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tables/table3.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2.xml" ContentType="application/vnd.openxmlformats-officedocument.drawing+xml"/>
  <Override PartName="/xl/activeX/activeX3.xml" ContentType="application/vnd.ms-office.activeX+xml"/>
  <Override PartName="/xl/activeX/activeX3.bin" ContentType="application/vnd.ms-office.activeX"/>
  <Override PartName="/xl/tables/table4.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tables/table5.xml" ContentType="application/vnd.openxmlformats-officedocument.spreadsheetml.table+xml"/>
  <Override PartName="/xl/drawings/drawing14.xml" ContentType="application/vnd.openxmlformats-officedocument.drawing+xml"/>
  <Override PartName="/xl/tables/table6.xml" ContentType="application/vnd.openxmlformats-officedocument.spreadsheetml.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5.xml" ContentType="application/vnd.openxmlformats-officedocument.drawing+xml"/>
  <Override PartName="/xl/charts/chart12.xml" ContentType="application/vnd.openxmlformats-officedocument.drawingml.chart+xml"/>
  <Override PartName="/xl/pivotTables/pivotTable20.xml" ContentType="application/vnd.openxmlformats-officedocument.spreadsheetml.pivotTable+xml"/>
  <Override PartName="/xl/tables/table7.xml" ContentType="application/vnd.openxmlformats-officedocument.spreadsheetml.table+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8.xml" ContentType="application/vnd.openxmlformats-officedocument.spreadsheetml.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0" yWindow="405" windowWidth="10125" windowHeight="3735" tabRatio="894"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Shelter Tracking" sheetId="19" r:id="rId9"/>
    <sheet name="Shelter Progress" sheetId="36" r:id="rId10"/>
    <sheet name="Shelter Summary (by Agency)" sheetId="45" r:id="rId11"/>
    <sheet name="Shelter Coverage Camp" sheetId="84" state="hidden" r:id="rId12"/>
    <sheet name="Shelter Coverage &amp; Gaps" sheetId="62" r:id="rId13"/>
    <sheet name="NFI Tracking" sheetId="20" r:id="rId14"/>
    <sheet name="NFI Pipeline" sheetId="30" r:id="rId15"/>
    <sheet name="Sheet2" sheetId="92" state="hidden" r:id="rId16"/>
    <sheet name="NFI Distribution (by Tship)" sheetId="37" r:id="rId17"/>
    <sheet name="Winter Item" sheetId="86" r:id="rId18"/>
    <sheet name="NFI Summary" sheetId="43" r:id="rId19"/>
    <sheet name="Map" sheetId="66" state="hidden" r:id="rId20"/>
    <sheet name="Define_TCL" sheetId="69" state="hidden" r:id="rId21"/>
    <sheet name="File_Details" sheetId="77" state="hidden" r:id="rId22"/>
    <sheet name="Definition" sheetId="49" state="hidden" r:id="rId23"/>
    <sheet name="Sheet1" sheetId="89" state="hidden" r:id="rId24"/>
  </sheets>
  <definedNames>
    <definedName name="_xlnm._FilterDatabase" localSheetId="1" hidden="1">'Camp List'!$A$1:$C$3</definedName>
    <definedName name="_xlnm._FilterDatabase" localSheetId="13" hidden="1">'NFI Tracking'!$A$5:$A$915</definedName>
    <definedName name="_xlnm._FilterDatabase" localSheetId="8" hidden="1">'Shelter Tracking'!$A$2:$P$3</definedName>
    <definedName name="AllData_Camplist" localSheetId="19">CampList[#All]</definedName>
    <definedName name="AllData_Camplist" localSheetId="12">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Define_TCL!$G$4:$J$1000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Definition!$L$2:$L$17</definedName>
    <definedName name="Kashin">CampList[#All]</definedName>
    <definedName name="Kyauk_Phyu_G" localSheetId="19">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Tracking'!$AB:$AB</definedName>
    <definedName name="NFI_Clothes_Pipeline">'NFI Pipeline'!$AB:$AB</definedName>
    <definedName name="NFI_Clothes_Stock">'NFI Pipeline'!$AA:$AA</definedName>
    <definedName name="NFI_Clothes_Track">'NFI Tracking'!$AD:$AD</definedName>
    <definedName name="NFI_Core_Pipeline">'NFI Pipeline'!$J:$J</definedName>
    <definedName name="NFI_Core_Stock">'NFI Pipeline'!$I:$I</definedName>
    <definedName name="NFI_Core_Track">'NFI Tracking'!$X:$X</definedName>
    <definedName name="NFI_Expiration">'NFI Tracking'!$I$1</definedName>
    <definedName name="NFI_Hygiene_Pipeline">'NFI Pipeline'!$G:$G</definedName>
    <definedName name="NFI_Hygiene_Stock">'NFI Pipeline'!$F:$F</definedName>
    <definedName name="NFI_Hygiene_Track">'NFI Tracking'!$W:$W</definedName>
    <definedName name="NFI_Kitchen_Pipeline">'NFI Pipeline'!$Y:$Y</definedName>
    <definedName name="NFI_Kitchen_Stock">'NFI Pipeline'!$X:$X</definedName>
    <definedName name="NFI_Kitchen_Track">'NFI Tracking'!$AC:$AC</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Tracking'!$Z:$Z</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Tracking'!$AE:$AE</definedName>
    <definedName name="NFI_Plastic_Mat_Pipeline">'NFI Pipeline'!$AH:$AH</definedName>
    <definedName name="NFI_Plastic_Mat_Stock">'NFI Pipeline'!$AG:$AG</definedName>
    <definedName name="NFI_Plastic_Mat_Track">'NFI Tracking'!$AF:$AF</definedName>
    <definedName name="NFI_Sanitary_Pipeline">'NFI Pipeline'!$M:$M</definedName>
    <definedName name="NFI_Sanitary_Stock">'NFI Pipeline'!$L:$L</definedName>
    <definedName name="NFI_Sanitary_Track">'NFI Tracking'!$Y:$Y</definedName>
    <definedName name="NFI_State">'NFI Tracking'!$E:$E</definedName>
    <definedName name="NFI_Tarpaulin_Pipeline">'NFI Pipeline'!$S:$S</definedName>
    <definedName name="NFI_Tarpaulin_Stock">'NFI Pipeline'!$R:$R</definedName>
    <definedName name="NFI_Tarpaulin_Track">'NFI Tracking'!$AA:$AA</definedName>
    <definedName name="NFI_Township">'NFI Tracking'!$F:$F</definedName>
    <definedName name="NFI_Winter_Blanket_Pipeline">'NFI Pipeline'!$AT:$AT</definedName>
    <definedName name="NFI_Winter_Blanket_Stock">'NFI Pipeline'!$AS:$AS</definedName>
    <definedName name="NFI_Winter_Blanket_Track">'NFI Tracking'!$AJ:$AJ</definedName>
    <definedName name="NFI_Winter_Clothes_Adult_Pipeline">'NFI Pipeline'!$AK:$AK</definedName>
    <definedName name="NFI_Winter_Clothes_Adult_Stock">'NFI Pipeline'!$AJ:$AJ</definedName>
    <definedName name="NFI_Winter_Clothes_Adult_Track">'NFI Tracking'!$AG:$AG</definedName>
    <definedName name="NFI_Winter_Clothes_Children_Pipeline">'NFI Pipeline'!$AN:$AN</definedName>
    <definedName name="NFI_Winter_Clothes_Children_Stock">'NFI Pipeline'!$AM:$AM</definedName>
    <definedName name="NFI_Winter_Clothes_Children_Track">'NFI Tracking'!$AH:$AH</definedName>
    <definedName name="NFI_Winter_Items_Other_Pipeline">'NFI Pipeline'!$AQ:$AQ</definedName>
    <definedName name="NFI_Winter_Items_Other_Stock">'NFI Pipeline'!$AP:$AP</definedName>
    <definedName name="NFI_Winter_Items_Other_Track">'NFI Tracking'!$AI:$AI</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Dashboard'!$C$4:$T$42</definedName>
    <definedName name="_xlnm.Print_Area" localSheetId="19">Map!$A:$O</definedName>
    <definedName name="_xlnm.Print_Area" localSheetId="16">'NFI Distribution (by Tship)'!$A$2:$Z$28</definedName>
    <definedName name="_xlnm.Print_Area" localSheetId="14">'NFI Pipeline'!$A$5:$AI$6</definedName>
    <definedName name="_xlnm.Print_Area" localSheetId="18">'NFI Summary'!$C$4:$S$39</definedName>
    <definedName name="_xlnm.Print_Area" localSheetId="13">'NFI Tracking'!$A$5:$O$5</definedName>
    <definedName name="_xlnm.Print_Area" localSheetId="12">'Shelter Coverage &amp; Gaps'!$C$4:$P$50</definedName>
    <definedName name="_xlnm.Print_Area" localSheetId="9">'Shelter Progress'!$A$2:$O$98</definedName>
    <definedName name="_xlnm.Print_Area" localSheetId="10">'Shelter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19">Map!$T$2:$AD$23</definedName>
    <definedName name="Report_Date">Definition!$B$23</definedName>
    <definedName name="Shan_North">Definition!$N$2:$N$7</definedName>
    <definedName name="Shelter_Draw_Ratio">'Shelter Coverage &amp; Gaps'!$T$13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24" r:id="rId25"/>
    <pivotCache cacheId="26" r:id="rId26"/>
    <pivotCache cacheId="40" r:id="rId27"/>
    <pivotCache cacheId="47" r:id="rId28"/>
  </pivotCaches>
</workbook>
</file>

<file path=xl/calcChain.xml><?xml version="1.0" encoding="utf-8"?>
<calcChain xmlns="http://schemas.openxmlformats.org/spreadsheetml/2006/main">
  <c r="E13" i="43" l="1"/>
  <c r="H13" i="43"/>
  <c r="A7" i="20" l="1"/>
  <c r="AK7" i="20"/>
  <c r="AM7" i="20"/>
  <c r="AP7" i="20" s="1"/>
  <c r="AO7" i="20"/>
  <c r="AQ7" i="20"/>
  <c r="A6" i="20"/>
  <c r="AK6" i="20"/>
  <c r="AM6" i="20"/>
  <c r="AP6" i="20" s="1"/>
  <c r="AO6" i="20"/>
  <c r="AQ6" i="20"/>
  <c r="A8" i="20"/>
  <c r="AK8" i="20"/>
  <c r="AM8" i="20"/>
  <c r="AP8" i="20" s="1"/>
  <c r="AO8" i="20"/>
  <c r="AQ8" i="20"/>
  <c r="T5" i="62"/>
  <c r="T4" i="62"/>
  <c r="AN7" i="20" l="1"/>
  <c r="AN6" i="20"/>
  <c r="AN8" i="20"/>
  <c r="AQ56" i="20"/>
  <c r="AO56" i="20"/>
  <c r="AM56" i="20"/>
  <c r="AN56" i="20" s="1"/>
  <c r="AK56" i="20"/>
  <c r="A56" i="20"/>
  <c r="A20" i="20"/>
  <c r="AK20" i="20"/>
  <c r="AM20" i="20"/>
  <c r="AP20" i="20" s="1"/>
  <c r="AO20" i="20"/>
  <c r="AQ20" i="20"/>
  <c r="A19" i="20"/>
  <c r="AK19" i="20"/>
  <c r="AM19" i="20"/>
  <c r="AP19" i="20" s="1"/>
  <c r="AO19" i="20"/>
  <c r="AQ19" i="20"/>
  <c r="AQ54" i="20"/>
  <c r="AO54" i="20"/>
  <c r="AM54" i="20"/>
  <c r="AP54" i="20" s="1"/>
  <c r="AK54" i="20"/>
  <c r="A54" i="20"/>
  <c r="A23" i="20"/>
  <c r="AK23" i="20"/>
  <c r="AM23" i="20"/>
  <c r="AP23" i="20" s="1"/>
  <c r="AO23" i="20"/>
  <c r="AQ23" i="20"/>
  <c r="A42" i="20"/>
  <c r="AK42" i="20"/>
  <c r="AM42" i="20"/>
  <c r="AP42" i="20" s="1"/>
  <c r="AO42" i="20"/>
  <c r="AQ42" i="20"/>
  <c r="AQ72" i="20"/>
  <c r="AO72" i="20"/>
  <c r="AM72" i="20"/>
  <c r="AP72" i="20" s="1"/>
  <c r="AK72" i="20"/>
  <c r="A72" i="20"/>
  <c r="AP56" i="20" l="1"/>
  <c r="AN20" i="20"/>
  <c r="AN19" i="20"/>
  <c r="AN54" i="20"/>
  <c r="AN42" i="20"/>
  <c r="AN23" i="20"/>
  <c r="AN72" i="20"/>
  <c r="AM41" i="20"/>
  <c r="V22" i="62" l="1"/>
  <c r="S95" i="14" l="1"/>
  <c r="AI95" i="14"/>
  <c r="AJ95" i="14"/>
  <c r="AK95" i="14" s="1"/>
  <c r="A249" i="20" l="1"/>
  <c r="A250" i="20"/>
  <c r="A252" i="20"/>
  <c r="A253" i="20"/>
  <c r="A256" i="20"/>
  <c r="A257" i="20"/>
  <c r="AK10" i="20" l="1"/>
  <c r="AK11" i="20"/>
  <c r="AK12" i="20"/>
  <c r="AK13" i="20"/>
  <c r="AQ9" i="20" l="1"/>
  <c r="AQ10" i="20"/>
  <c r="A12" i="20"/>
  <c r="A10" i="20"/>
  <c r="AM12" i="20"/>
  <c r="AN12" i="20" s="1"/>
  <c r="AM10" i="20"/>
  <c r="AN10" i="20" s="1"/>
  <c r="AO12" i="20"/>
  <c r="AO10" i="20"/>
  <c r="AQ12" i="20"/>
  <c r="AO9" i="20"/>
  <c r="AM9" i="20"/>
  <c r="AN9" i="20" s="1"/>
  <c r="AK9" i="20"/>
  <c r="A9" i="20"/>
  <c r="A11" i="20"/>
  <c r="A524" i="20"/>
  <c r="AM11" i="20"/>
  <c r="AN11" i="20" s="1"/>
  <c r="AO11" i="20"/>
  <c r="AQ11" i="20"/>
  <c r="AP9" i="20" l="1"/>
  <c r="AP10" i="20"/>
  <c r="AP12" i="20"/>
  <c r="AP11" i="20"/>
  <c r="S183" i="14"/>
  <c r="AI183" i="14"/>
  <c r="AJ183" i="14"/>
  <c r="AK183" i="14" s="1"/>
  <c r="A13" i="20" l="1"/>
  <c r="A15" i="20"/>
  <c r="A16" i="20"/>
  <c r="A27" i="20"/>
  <c r="P8" i="19"/>
  <c r="U8" i="19" s="1"/>
  <c r="P9" i="19"/>
  <c r="P10" i="19"/>
  <c r="P17" i="19"/>
  <c r="P18" i="19"/>
  <c r="P54" i="19"/>
  <c r="P55" i="19"/>
  <c r="P91" i="19"/>
  <c r="P90" i="19"/>
  <c r="P92" i="19"/>
  <c r="P93" i="19"/>
  <c r="P94" i="19"/>
  <c r="P95" i="19"/>
  <c r="P168" i="19"/>
  <c r="P167" i="19"/>
  <c r="P185" i="19"/>
  <c r="P213" i="19"/>
  <c r="P212" i="19"/>
  <c r="P214" i="19"/>
  <c r="P215" i="19"/>
  <c r="P233" i="19"/>
  <c r="P234" i="19"/>
  <c r="P235" i="19"/>
  <c r="P236" i="19"/>
  <c r="P252" i="19"/>
  <c r="P253" i="19"/>
  <c r="P271" i="19"/>
  <c r="P272" i="19"/>
  <c r="P286" i="19"/>
  <c r="P287" i="19"/>
  <c r="P288" i="19"/>
  <c r="P289" i="19"/>
  <c r="P290" i="19"/>
  <c r="P33" i="19"/>
  <c r="P34" i="19"/>
  <c r="P35" i="19"/>
  <c r="P83" i="19"/>
  <c r="P85" i="19"/>
  <c r="P84" i="19"/>
  <c r="P211" i="19"/>
  <c r="P5" i="19"/>
  <c r="P6" i="19"/>
  <c r="P7" i="19"/>
  <c r="P12" i="19"/>
  <c r="P11" i="19"/>
  <c r="P13" i="19"/>
  <c r="P14" i="19"/>
  <c r="P16" i="19"/>
  <c r="P15" i="19"/>
  <c r="P19" i="19"/>
  <c r="P20" i="19"/>
  <c r="P22" i="19"/>
  <c r="P21" i="19"/>
  <c r="P23" i="19"/>
  <c r="P32" i="19"/>
  <c r="P31" i="19"/>
  <c r="P36" i="19"/>
  <c r="P38" i="19"/>
  <c r="P37" i="19"/>
  <c r="P39" i="19"/>
  <c r="P48" i="19"/>
  <c r="P49" i="19"/>
  <c r="P50" i="19"/>
  <c r="P88" i="19"/>
  <c r="P86" i="19"/>
  <c r="P87" i="19"/>
  <c r="P89" i="19"/>
  <c r="P145" i="19"/>
  <c r="P146" i="19"/>
  <c r="P151" i="19"/>
  <c r="P152" i="19"/>
  <c r="P177" i="19"/>
  <c r="P176" i="19"/>
  <c r="P178" i="19"/>
  <c r="P186" i="19"/>
  <c r="P187" i="19"/>
  <c r="P193" i="19"/>
  <c r="P194" i="19"/>
  <c r="P195" i="19"/>
  <c r="P196" i="19"/>
  <c r="P231" i="19"/>
  <c r="P232" i="19"/>
  <c r="P238" i="19"/>
  <c r="P239" i="19"/>
  <c r="P279" i="19"/>
  <c r="P280" i="19"/>
  <c r="P281" i="19"/>
  <c r="P282" i="19"/>
  <c r="P291" i="19"/>
  <c r="P296" i="19"/>
  <c r="P65" i="19"/>
  <c r="P67" i="19"/>
  <c r="P68" i="19"/>
  <c r="P153" i="19"/>
  <c r="P162" i="19"/>
  <c r="P173" i="19"/>
  <c r="P174" i="19"/>
  <c r="P295" i="19"/>
  <c r="P28" i="19"/>
  <c r="P27" i="19"/>
  <c r="P29" i="19"/>
  <c r="P30" i="19"/>
  <c r="P71" i="19"/>
  <c r="P72" i="19"/>
  <c r="P73" i="19"/>
  <c r="P74" i="19"/>
  <c r="P75" i="19"/>
  <c r="P76" i="19"/>
  <c r="P103" i="19"/>
  <c r="P118" i="19"/>
  <c r="P119" i="19"/>
  <c r="P120" i="19"/>
  <c r="P121" i="19"/>
  <c r="P122" i="19"/>
  <c r="P129" i="19"/>
  <c r="P130" i="19"/>
  <c r="P131" i="19"/>
  <c r="P132" i="19"/>
  <c r="P133" i="19"/>
  <c r="P134" i="19"/>
  <c r="P143" i="19"/>
  <c r="P142" i="19"/>
  <c r="P141" i="19"/>
  <c r="P144" i="19"/>
  <c r="P161" i="19"/>
  <c r="P175" i="19"/>
  <c r="P51" i="19"/>
  <c r="P137" i="19"/>
  <c r="P138" i="19"/>
  <c r="P139" i="19"/>
  <c r="P70" i="19"/>
  <c r="P140" i="19"/>
  <c r="P188" i="19"/>
  <c r="P191" i="19"/>
  <c r="P192" i="19"/>
  <c r="P251" i="19"/>
  <c r="P43" i="19"/>
  <c r="P52" i="19"/>
  <c r="P53" i="19"/>
  <c r="P62" i="19"/>
  <c r="P63" i="19"/>
  <c r="P64" i="19"/>
  <c r="P96" i="19"/>
  <c r="P97" i="19"/>
  <c r="P98" i="19"/>
  <c r="P99" i="19"/>
  <c r="P100" i="19"/>
  <c r="P101" i="19"/>
  <c r="P102" i="19"/>
  <c r="P106" i="19"/>
  <c r="P124" i="19"/>
  <c r="P125" i="19"/>
  <c r="P126" i="19"/>
  <c r="P135" i="19"/>
  <c r="P136" i="19"/>
  <c r="P155" i="19"/>
  <c r="P154" i="19"/>
  <c r="P156" i="19"/>
  <c r="P157" i="19"/>
  <c r="P158" i="19"/>
  <c r="P159" i="19"/>
  <c r="P197" i="19"/>
  <c r="P198" i="19"/>
  <c r="P199" i="19"/>
  <c r="P200" i="19"/>
  <c r="P201" i="19"/>
  <c r="P204" i="19"/>
  <c r="P206" i="19"/>
  <c r="P207" i="19"/>
  <c r="P208" i="19"/>
  <c r="P240" i="19"/>
  <c r="P160" i="19"/>
  <c r="P164" i="19"/>
  <c r="P163" i="19"/>
  <c r="P165" i="19"/>
  <c r="P166" i="19"/>
  <c r="P40" i="19"/>
  <c r="P41" i="19"/>
  <c r="P42" i="19"/>
  <c r="P56" i="19"/>
  <c r="P57" i="19"/>
  <c r="P58" i="19"/>
  <c r="P59" i="19"/>
  <c r="P60" i="19"/>
  <c r="P61" i="19"/>
  <c r="P69" i="19"/>
  <c r="P77" i="19"/>
  <c r="P78" i="19"/>
  <c r="P79" i="19"/>
  <c r="P80" i="19"/>
  <c r="P81" i="19"/>
  <c r="P82" i="19"/>
  <c r="P123" i="19"/>
  <c r="P127" i="19"/>
  <c r="P128" i="19"/>
  <c r="P148" i="19"/>
  <c r="P147" i="19"/>
  <c r="P149" i="19"/>
  <c r="P150" i="19"/>
  <c r="P182" i="19"/>
  <c r="P183" i="19"/>
  <c r="P184" i="19"/>
  <c r="P202" i="19"/>
  <c r="P203" i="19"/>
  <c r="P205" i="19"/>
  <c r="P237" i="19"/>
  <c r="P241" i="19"/>
  <c r="P242" i="19"/>
  <c r="P243" i="19"/>
  <c r="P250" i="19"/>
  <c r="P254" i="19"/>
  <c r="P257" i="19"/>
  <c r="P255" i="19"/>
  <c r="P258" i="19"/>
  <c r="P259" i="19"/>
  <c r="P256" i="19"/>
  <c r="P260" i="19"/>
  <c r="P261" i="19"/>
  <c r="P262" i="19"/>
  <c r="P263" i="19"/>
  <c r="P264" i="19"/>
  <c r="P265" i="19"/>
  <c r="P285" i="19"/>
  <c r="P297" i="19"/>
  <c r="P169" i="19"/>
  <c r="P170" i="19"/>
  <c r="P171" i="19"/>
  <c r="P172" i="19"/>
  <c r="P181" i="19"/>
  <c r="P180" i="19"/>
  <c r="P298" i="19"/>
  <c r="P247" i="19"/>
  <c r="P248" i="19"/>
  <c r="P249" i="19"/>
  <c r="P24" i="19"/>
  <c r="P25" i="19"/>
  <c r="P26" i="19"/>
  <c r="P45" i="19"/>
  <c r="P44" i="19"/>
  <c r="P46" i="19"/>
  <c r="P47" i="19"/>
  <c r="P104" i="19"/>
  <c r="P105" i="19"/>
  <c r="P107" i="19"/>
  <c r="P108" i="19"/>
  <c r="P109" i="19"/>
  <c r="P110" i="19"/>
  <c r="P111" i="19"/>
  <c r="P112" i="19"/>
  <c r="P113" i="19"/>
  <c r="P114" i="19"/>
  <c r="P115" i="19"/>
  <c r="P116" i="19"/>
  <c r="P117" i="19"/>
  <c r="P190" i="19"/>
  <c r="P189" i="19"/>
  <c r="P209" i="19"/>
  <c r="P210" i="19"/>
  <c r="P216" i="19"/>
  <c r="P218" i="19"/>
  <c r="P217" i="19"/>
  <c r="P219" i="19"/>
  <c r="P220" i="19"/>
  <c r="P221" i="19"/>
  <c r="P222" i="19"/>
  <c r="P223" i="19"/>
  <c r="P224" i="19"/>
  <c r="P225" i="19"/>
  <c r="P227" i="19"/>
  <c r="P228" i="19"/>
  <c r="P226" i="19"/>
  <c r="P229" i="19"/>
  <c r="P230" i="19"/>
  <c r="P245" i="19"/>
  <c r="P244" i="19"/>
  <c r="P246" i="19"/>
  <c r="P268" i="19"/>
  <c r="P267" i="19"/>
  <c r="P269" i="19"/>
  <c r="P270" i="19"/>
  <c r="P273" i="19"/>
  <c r="P274" i="19"/>
  <c r="P275" i="19"/>
  <c r="P276" i="19"/>
  <c r="P277" i="19"/>
  <c r="P278" i="19"/>
  <c r="P283" i="19"/>
  <c r="P284" i="19"/>
  <c r="P292" i="19"/>
  <c r="P293" i="19"/>
  <c r="P294" i="19"/>
  <c r="P266" i="19"/>
  <c r="P179" i="19"/>
  <c r="P66" i="19"/>
  <c r="S8" i="19"/>
  <c r="U275" i="19" l="1"/>
  <c r="K15" i="36"/>
  <c r="K10" i="36"/>
  <c r="K7" i="36"/>
  <c r="U9" i="19"/>
  <c r="U10" i="19"/>
  <c r="U17" i="19"/>
  <c r="U18" i="19"/>
  <c r="U54" i="19"/>
  <c r="U55" i="19"/>
  <c r="U91" i="19"/>
  <c r="U90" i="19"/>
  <c r="U92" i="19"/>
  <c r="U93" i="19"/>
  <c r="U94" i="19"/>
  <c r="U95" i="19"/>
  <c r="U168" i="19"/>
  <c r="U167" i="19"/>
  <c r="U185" i="19"/>
  <c r="U213" i="19"/>
  <c r="U212" i="19"/>
  <c r="U214" i="19"/>
  <c r="U215" i="19"/>
  <c r="U233" i="19"/>
  <c r="U234" i="19"/>
  <c r="U235" i="19"/>
  <c r="U236" i="19"/>
  <c r="U252" i="19"/>
  <c r="U253" i="19"/>
  <c r="U271" i="19"/>
  <c r="U272" i="19"/>
  <c r="U286" i="19"/>
  <c r="U287" i="19"/>
  <c r="U288" i="19"/>
  <c r="U289" i="19"/>
  <c r="U290" i="19"/>
  <c r="U33" i="19"/>
  <c r="U34" i="19"/>
  <c r="U35" i="19"/>
  <c r="U83" i="19"/>
  <c r="U85" i="19"/>
  <c r="U84" i="19"/>
  <c r="U211" i="19"/>
  <c r="U5" i="19"/>
  <c r="U6" i="19"/>
  <c r="U7" i="19"/>
  <c r="U12" i="19"/>
  <c r="U11" i="19"/>
  <c r="U13" i="19"/>
  <c r="U14" i="19"/>
  <c r="U16" i="19"/>
  <c r="U15" i="19"/>
  <c r="U19" i="19"/>
  <c r="U20" i="19"/>
  <c r="U22" i="19"/>
  <c r="U21" i="19"/>
  <c r="U23" i="19"/>
  <c r="U32" i="19"/>
  <c r="U31" i="19"/>
  <c r="U36" i="19"/>
  <c r="U38" i="19"/>
  <c r="U37" i="19"/>
  <c r="U39" i="19"/>
  <c r="U48" i="19"/>
  <c r="U49" i="19"/>
  <c r="U50" i="19"/>
  <c r="U88" i="19"/>
  <c r="U86" i="19"/>
  <c r="U87" i="19"/>
  <c r="U89" i="19"/>
  <c r="U145" i="19"/>
  <c r="U146" i="19"/>
  <c r="U151" i="19"/>
  <c r="U152" i="19"/>
  <c r="U177" i="19"/>
  <c r="U176" i="19"/>
  <c r="U178" i="19"/>
  <c r="U186" i="19"/>
  <c r="U187" i="19"/>
  <c r="U193" i="19"/>
  <c r="U194" i="19"/>
  <c r="U195" i="19"/>
  <c r="U196" i="19"/>
  <c r="U231" i="19"/>
  <c r="U232" i="19"/>
  <c r="U238" i="19"/>
  <c r="U239" i="19"/>
  <c r="U279" i="19"/>
  <c r="U280" i="19"/>
  <c r="U281" i="19"/>
  <c r="U282" i="19"/>
  <c r="U291" i="19"/>
  <c r="U296" i="19"/>
  <c r="U65" i="19"/>
  <c r="U67" i="19"/>
  <c r="U68" i="19"/>
  <c r="U153" i="19"/>
  <c r="U162" i="19"/>
  <c r="U173" i="19"/>
  <c r="U174" i="19"/>
  <c r="U295" i="19"/>
  <c r="U28" i="19"/>
  <c r="U27" i="19"/>
  <c r="U29" i="19"/>
  <c r="U30" i="19"/>
  <c r="U71" i="19"/>
  <c r="U72" i="19"/>
  <c r="U73" i="19"/>
  <c r="U74" i="19"/>
  <c r="U75" i="19"/>
  <c r="U76" i="19"/>
  <c r="U103" i="19"/>
  <c r="U118" i="19"/>
  <c r="U119" i="19"/>
  <c r="U120" i="19"/>
  <c r="U121" i="19"/>
  <c r="U122" i="19"/>
  <c r="U129" i="19"/>
  <c r="U130" i="19"/>
  <c r="U131" i="19"/>
  <c r="U132" i="19"/>
  <c r="U133" i="19"/>
  <c r="U134" i="19"/>
  <c r="U143" i="19"/>
  <c r="U142" i="19"/>
  <c r="U141" i="19"/>
  <c r="U144" i="19"/>
  <c r="U161" i="19"/>
  <c r="U175" i="19"/>
  <c r="U51" i="19"/>
  <c r="U137" i="19"/>
  <c r="U138" i="19"/>
  <c r="U139" i="19"/>
  <c r="U70" i="19"/>
  <c r="U140" i="19"/>
  <c r="U188" i="19"/>
  <c r="U191" i="19"/>
  <c r="U192" i="19"/>
  <c r="U251" i="19"/>
  <c r="U43" i="19"/>
  <c r="U52" i="19"/>
  <c r="U53" i="19"/>
  <c r="U62" i="19"/>
  <c r="U63" i="19"/>
  <c r="U64" i="19"/>
  <c r="U96" i="19"/>
  <c r="U97" i="19"/>
  <c r="U98" i="19"/>
  <c r="U99" i="19"/>
  <c r="U100" i="19"/>
  <c r="U101" i="19"/>
  <c r="U102" i="19"/>
  <c r="U106" i="19"/>
  <c r="U124" i="19"/>
  <c r="U125" i="19"/>
  <c r="U126" i="19"/>
  <c r="U135" i="19"/>
  <c r="U136" i="19"/>
  <c r="U155" i="19"/>
  <c r="U154" i="19"/>
  <c r="U156" i="19"/>
  <c r="U157" i="19"/>
  <c r="U158" i="19"/>
  <c r="U159" i="19"/>
  <c r="U197" i="19"/>
  <c r="U198" i="19"/>
  <c r="U199" i="19"/>
  <c r="U200" i="19"/>
  <c r="U201" i="19"/>
  <c r="U204" i="19"/>
  <c r="U206" i="19"/>
  <c r="U207" i="19"/>
  <c r="U208" i="19"/>
  <c r="U240" i="19"/>
  <c r="U160" i="19"/>
  <c r="U164" i="19"/>
  <c r="U163" i="19"/>
  <c r="U165" i="19"/>
  <c r="U166" i="19"/>
  <c r="U40" i="19"/>
  <c r="U41" i="19"/>
  <c r="U42" i="19"/>
  <c r="U56" i="19"/>
  <c r="U57" i="19"/>
  <c r="U58" i="19"/>
  <c r="U59" i="19"/>
  <c r="U60" i="19"/>
  <c r="U61" i="19"/>
  <c r="U69" i="19"/>
  <c r="U77" i="19"/>
  <c r="U78" i="19"/>
  <c r="U79" i="19"/>
  <c r="U80" i="19"/>
  <c r="U81" i="19"/>
  <c r="U82" i="19"/>
  <c r="U123" i="19"/>
  <c r="U127" i="19"/>
  <c r="U128" i="19"/>
  <c r="U148" i="19"/>
  <c r="U147" i="19"/>
  <c r="U149" i="19"/>
  <c r="U150" i="19"/>
  <c r="U182" i="19"/>
  <c r="U183" i="19"/>
  <c r="U184" i="19"/>
  <c r="U202" i="19"/>
  <c r="U203" i="19"/>
  <c r="U205" i="19"/>
  <c r="U237" i="19"/>
  <c r="U241" i="19"/>
  <c r="U242" i="19"/>
  <c r="U243" i="19"/>
  <c r="U250" i="19"/>
  <c r="U254" i="19"/>
  <c r="U257" i="19"/>
  <c r="U255" i="19"/>
  <c r="U258" i="19"/>
  <c r="U259" i="19"/>
  <c r="U256" i="19"/>
  <c r="U260" i="19"/>
  <c r="U261" i="19"/>
  <c r="U262" i="19"/>
  <c r="U263" i="19"/>
  <c r="U264" i="19"/>
  <c r="U265" i="19"/>
  <c r="U285" i="19"/>
  <c r="U297" i="19"/>
  <c r="U169" i="19"/>
  <c r="U170" i="19"/>
  <c r="U171" i="19"/>
  <c r="U172" i="19"/>
  <c r="U181" i="19"/>
  <c r="U180" i="19"/>
  <c r="U298" i="19"/>
  <c r="U247" i="19"/>
  <c r="U248" i="19"/>
  <c r="U249" i="19"/>
  <c r="U24" i="19"/>
  <c r="U25" i="19"/>
  <c r="U26" i="19"/>
  <c r="U45" i="19"/>
  <c r="U44" i="19"/>
  <c r="U46" i="19"/>
  <c r="U47" i="19"/>
  <c r="U104" i="19"/>
  <c r="U105" i="19"/>
  <c r="U107" i="19"/>
  <c r="U108" i="19"/>
  <c r="U109" i="19"/>
  <c r="U110" i="19"/>
  <c r="U111" i="19"/>
  <c r="U112" i="19"/>
  <c r="U113" i="19"/>
  <c r="U114" i="19"/>
  <c r="U115" i="19"/>
  <c r="U116" i="19"/>
  <c r="U117" i="19"/>
  <c r="U190" i="19"/>
  <c r="U189" i="19"/>
  <c r="U209" i="19"/>
  <c r="U210" i="19"/>
  <c r="U216" i="19"/>
  <c r="U218" i="19"/>
  <c r="U217" i="19"/>
  <c r="U219" i="19"/>
  <c r="U220" i="19"/>
  <c r="U221" i="19"/>
  <c r="U222" i="19"/>
  <c r="U223" i="19"/>
  <c r="U224" i="19"/>
  <c r="U225" i="19"/>
  <c r="U227" i="19"/>
  <c r="U228" i="19"/>
  <c r="U226" i="19"/>
  <c r="U229" i="19"/>
  <c r="U230" i="19"/>
  <c r="U245" i="19"/>
  <c r="U244" i="19"/>
  <c r="U246" i="19"/>
  <c r="U268" i="19"/>
  <c r="U267" i="19"/>
  <c r="U269" i="19"/>
  <c r="U270" i="19"/>
  <c r="U273" i="19"/>
  <c r="U274" i="19"/>
  <c r="U276" i="19"/>
  <c r="U277" i="19"/>
  <c r="U278" i="19"/>
  <c r="U283" i="19"/>
  <c r="U284" i="19"/>
  <c r="U292" i="19"/>
  <c r="U293" i="19"/>
  <c r="U294" i="19"/>
  <c r="U266" i="19"/>
  <c r="U179" i="19"/>
  <c r="U66" i="19"/>
  <c r="T278" i="19"/>
  <c r="K11" i="36" l="1"/>
  <c r="K12" i="36"/>
  <c r="K14" i="36"/>
  <c r="K26" i="36"/>
  <c r="E8" i="36"/>
  <c r="E9" i="36"/>
  <c r="E10" i="36"/>
  <c r="E11" i="36"/>
  <c r="E12" i="36"/>
  <c r="E13" i="36"/>
  <c r="E14" i="36"/>
  <c r="E15" i="36"/>
  <c r="E16" i="36"/>
  <c r="E17" i="36"/>
  <c r="E18" i="36"/>
  <c r="E19" i="36"/>
  <c r="E20" i="36"/>
  <c r="E21" i="36"/>
  <c r="E22" i="36"/>
  <c r="E23" i="36"/>
  <c r="E24" i="36"/>
  <c r="E25" i="36"/>
  <c r="E26" i="36"/>
  <c r="E27" i="36"/>
  <c r="D27" i="36"/>
  <c r="D22" i="36"/>
  <c r="D23" i="36"/>
  <c r="D24" i="36"/>
  <c r="D25" i="36"/>
  <c r="D26" i="36"/>
  <c r="D8" i="36"/>
  <c r="D9" i="36"/>
  <c r="D10" i="36"/>
  <c r="D11" i="36"/>
  <c r="D12" i="36"/>
  <c r="D13" i="36"/>
  <c r="D14" i="36"/>
  <c r="D15" i="36"/>
  <c r="D16" i="36"/>
  <c r="D17" i="36"/>
  <c r="D18" i="36"/>
  <c r="D19" i="36"/>
  <c r="D20" i="36"/>
  <c r="D21" i="36"/>
  <c r="B7" i="36"/>
  <c r="N7" i="36" s="1"/>
  <c r="M29" i="40"/>
  <c r="AA3" i="66"/>
  <c r="AJ102" i="14" l="1"/>
  <c r="AK102" i="14" s="1"/>
  <c r="AJ101" i="14"/>
  <c r="AK101" i="14" s="1"/>
  <c r="AJ100" i="14"/>
  <c r="AK100" i="14" s="1"/>
  <c r="AJ99" i="14"/>
  <c r="AK99" i="14" s="1"/>
  <c r="AJ98" i="14"/>
  <c r="AK98" i="14" s="1"/>
  <c r="AJ97" i="14"/>
  <c r="AK97" i="14" s="1"/>
  <c r="AJ96" i="14"/>
  <c r="AK96" i="14" s="1"/>
  <c r="AJ94" i="14"/>
  <c r="AK94" i="14" s="1"/>
  <c r="AJ93" i="14"/>
  <c r="AK93" i="14" s="1"/>
  <c r="AJ92" i="14"/>
  <c r="AK92" i="14" s="1"/>
  <c r="AJ89" i="14"/>
  <c r="AK89" i="14" s="1"/>
  <c r="AJ88" i="14"/>
  <c r="AK88" i="14" s="1"/>
  <c r="AJ86" i="14"/>
  <c r="AK86" i="14" s="1"/>
  <c r="AJ85" i="14"/>
  <c r="AK85" i="14" s="1"/>
  <c r="AJ84" i="14"/>
  <c r="AK84" i="14" s="1"/>
  <c r="AJ83" i="14"/>
  <c r="AK83" i="14" s="1"/>
  <c r="AJ82" i="14"/>
  <c r="AK82" i="14" s="1"/>
  <c r="AJ81" i="14"/>
  <c r="AK81" i="14" s="1"/>
  <c r="AJ80" i="14"/>
  <c r="AK80" i="14" s="1"/>
  <c r="AJ79" i="14"/>
  <c r="AK79" i="14" s="1"/>
  <c r="AJ78" i="14"/>
  <c r="AK78" i="14" s="1"/>
  <c r="AJ76" i="14"/>
  <c r="AK76" i="14" s="1"/>
  <c r="AJ75" i="14"/>
  <c r="AK75" i="14" s="1"/>
  <c r="AJ74" i="14"/>
  <c r="AK74" i="14" s="1"/>
  <c r="AJ73" i="14"/>
  <c r="AK73" i="14" s="1"/>
  <c r="AJ70" i="14"/>
  <c r="AK70" i="14" s="1"/>
  <c r="AJ69" i="14"/>
  <c r="AK69" i="14" s="1"/>
  <c r="AJ68" i="14"/>
  <c r="AK68" i="14" s="1"/>
  <c r="AJ67" i="14"/>
  <c r="AK67" i="14" s="1"/>
  <c r="AJ66" i="14"/>
  <c r="AK66" i="14" s="1"/>
  <c r="AJ65" i="14"/>
  <c r="AK65" i="14" s="1"/>
  <c r="AJ64" i="14"/>
  <c r="AK64" i="14" s="1"/>
  <c r="AJ63" i="14"/>
  <c r="AK63" i="14" s="1"/>
  <c r="AJ61" i="14"/>
  <c r="AK61" i="14" s="1"/>
  <c r="AJ60" i="14"/>
  <c r="AK60" i="14" s="1"/>
  <c r="AJ59" i="14"/>
  <c r="AK59" i="14" s="1"/>
  <c r="AJ58" i="14"/>
  <c r="AK58" i="14" s="1"/>
  <c r="AJ56" i="14"/>
  <c r="AK56" i="14" s="1"/>
  <c r="AJ55" i="14"/>
  <c r="AK55" i="14" s="1"/>
  <c r="AJ54" i="14"/>
  <c r="AK54" i="14" s="1"/>
  <c r="AJ53" i="14"/>
  <c r="AK53" i="14" s="1"/>
  <c r="AJ52" i="14"/>
  <c r="AK52" i="14" s="1"/>
  <c r="AJ51" i="14"/>
  <c r="AK51" i="14" s="1"/>
  <c r="AJ50" i="14"/>
  <c r="AK50" i="14" s="1"/>
  <c r="AJ49" i="14"/>
  <c r="AK49" i="14" s="1"/>
  <c r="AJ48" i="14"/>
  <c r="AK48" i="14" s="1"/>
  <c r="AJ47" i="14"/>
  <c r="AK47" i="14" s="1"/>
  <c r="AJ46" i="14"/>
  <c r="AK46" i="14" s="1"/>
  <c r="AJ45" i="14"/>
  <c r="AK45" i="14" s="1"/>
  <c r="AJ43" i="14"/>
  <c r="AK43" i="14" s="1"/>
  <c r="AJ42" i="14"/>
  <c r="AK42" i="14" s="1"/>
  <c r="AJ41" i="14"/>
  <c r="AK41" i="14" s="1"/>
  <c r="AJ40" i="14"/>
  <c r="AK40" i="14" s="1"/>
  <c r="AJ34" i="14"/>
  <c r="AK34" i="14" s="1"/>
  <c r="S236" i="14" l="1"/>
  <c r="S182" i="14" l="1"/>
  <c r="AI182" i="14"/>
  <c r="AJ182" i="14"/>
  <c r="AK182" i="14" s="1"/>
  <c r="S206" i="14"/>
  <c r="AI206" i="14"/>
  <c r="AJ206" i="14"/>
  <c r="AK206" i="14" s="1"/>
  <c r="S29" i="14" l="1"/>
  <c r="AF29" i="14"/>
  <c r="AI29" i="14"/>
  <c r="AJ29" i="14"/>
  <c r="AK29" i="14" s="1"/>
  <c r="AH29" i="14" l="1"/>
  <c r="AM13" i="20"/>
  <c r="AN13" i="20" s="1"/>
  <c r="AO13" i="20"/>
  <c r="AQ13" i="20"/>
  <c r="AK16" i="20"/>
  <c r="AM16" i="20"/>
  <c r="AN16" i="20" s="1"/>
  <c r="AO16" i="20"/>
  <c r="AQ16" i="20"/>
  <c r="A14" i="20"/>
  <c r="AK14" i="20"/>
  <c r="AM14" i="20"/>
  <c r="AN14" i="20" s="1"/>
  <c r="AO14" i="20"/>
  <c r="AQ14" i="20"/>
  <c r="AP14" i="20" l="1"/>
  <c r="AP16" i="20"/>
  <c r="AP13" i="20"/>
  <c r="AK15" i="20"/>
  <c r="AM15" i="20"/>
  <c r="AN15" i="20" s="1"/>
  <c r="AO15" i="20"/>
  <c r="AQ15" i="20"/>
  <c r="AP15" i="20" l="1"/>
  <c r="AP37" i="40"/>
  <c r="AP38" i="40"/>
  <c r="AP39" i="40"/>
  <c r="AP40" i="40"/>
  <c r="AP41" i="40"/>
  <c r="AP42" i="40"/>
  <c r="AP43" i="40"/>
  <c r="AP44" i="40"/>
  <c r="AP45" i="40"/>
  <c r="AP46" i="40"/>
  <c r="AP47" i="40"/>
  <c r="AP48" i="40"/>
  <c r="AP49" i="40"/>
  <c r="AP50" i="40"/>
  <c r="AP51" i="40"/>
  <c r="AP52" i="40"/>
  <c r="AP53" i="40"/>
  <c r="AP54" i="40"/>
  <c r="AP55" i="40"/>
  <c r="AP56" i="40"/>
  <c r="AO37" i="40"/>
  <c r="AO38" i="40"/>
  <c r="AO39" i="40"/>
  <c r="AO40" i="40"/>
  <c r="AO41" i="40"/>
  <c r="AO42" i="40"/>
  <c r="AO43" i="40"/>
  <c r="AO44" i="40"/>
  <c r="AO45" i="40"/>
  <c r="AO46" i="40"/>
  <c r="AO47" i="40"/>
  <c r="AO48" i="40"/>
  <c r="AO49" i="40"/>
  <c r="AO50" i="40"/>
  <c r="AO51" i="40"/>
  <c r="AO52" i="40"/>
  <c r="AO53" i="40"/>
  <c r="AO54" i="40"/>
  <c r="AO55" i="40"/>
  <c r="AO56" i="40"/>
  <c r="AN37" i="40"/>
  <c r="AN38" i="40"/>
  <c r="AN39" i="40"/>
  <c r="AN40" i="40"/>
  <c r="AN41" i="40"/>
  <c r="AN42" i="40"/>
  <c r="AN43" i="40"/>
  <c r="AN44" i="40"/>
  <c r="AN45" i="40"/>
  <c r="AN46" i="40"/>
  <c r="AN47" i="40"/>
  <c r="AN48" i="40"/>
  <c r="AN49" i="40"/>
  <c r="AN50" i="40"/>
  <c r="AN51" i="40"/>
  <c r="AN52" i="40"/>
  <c r="AN53" i="40"/>
  <c r="AN54" i="40"/>
  <c r="AN55" i="40"/>
  <c r="AN56" i="40"/>
  <c r="AM37" i="40"/>
  <c r="AM38" i="40"/>
  <c r="AM39" i="40"/>
  <c r="AM40" i="40"/>
  <c r="AM41" i="40"/>
  <c r="AM42" i="40"/>
  <c r="AM43" i="40"/>
  <c r="AM44" i="40"/>
  <c r="AM45" i="40"/>
  <c r="AM46" i="40"/>
  <c r="AM47" i="40"/>
  <c r="AM48" i="40"/>
  <c r="AM49" i="40"/>
  <c r="AM50" i="40"/>
  <c r="AM51" i="40"/>
  <c r="AM52" i="40"/>
  <c r="AM53" i="40"/>
  <c r="AM54" i="40"/>
  <c r="AM55" i="40"/>
  <c r="AM56" i="40"/>
  <c r="AL51" i="40"/>
  <c r="AL52" i="40"/>
  <c r="AL53" i="40"/>
  <c r="AL54" i="40"/>
  <c r="AL55" i="40"/>
  <c r="AL56" i="40"/>
  <c r="AL37" i="40"/>
  <c r="AL38" i="40"/>
  <c r="AL39" i="40"/>
  <c r="AL40" i="40"/>
  <c r="AL41" i="40"/>
  <c r="AL42" i="40"/>
  <c r="AL43" i="40"/>
  <c r="AL44" i="40"/>
  <c r="AL45" i="40"/>
  <c r="AL46" i="40"/>
  <c r="AL47" i="40"/>
  <c r="AL48" i="40"/>
  <c r="AL49" i="40"/>
  <c r="AL50" i="40"/>
  <c r="A108" i="20" l="1"/>
  <c r="AK108" i="20"/>
  <c r="AM108" i="20"/>
  <c r="AN108" i="20" s="1"/>
  <c r="AQ108" i="20"/>
  <c r="AP108" i="20" l="1"/>
  <c r="A289" i="20"/>
  <c r="AK289" i="20"/>
  <c r="AM289" i="20"/>
  <c r="AN289" i="20" s="1"/>
  <c r="AO289" i="20"/>
  <c r="AQ289" i="20"/>
  <c r="A311" i="20"/>
  <c r="AK311" i="20"/>
  <c r="AM311" i="20"/>
  <c r="AN311" i="20" s="1"/>
  <c r="AO311" i="20"/>
  <c r="AQ311" i="20"/>
  <c r="AP289" i="20" l="1"/>
  <c r="AP311" i="20"/>
  <c r="A51" i="20"/>
  <c r="AK51" i="20"/>
  <c r="AM51" i="20"/>
  <c r="AN51" i="20" s="1"/>
  <c r="AO51" i="20"/>
  <c r="AQ51" i="20"/>
  <c r="A18" i="20"/>
  <c r="AK18" i="20"/>
  <c r="AM18" i="20"/>
  <c r="AN18" i="20" s="1"/>
  <c r="AO18" i="20"/>
  <c r="AQ18" i="20"/>
  <c r="AP51" i="20" l="1"/>
  <c r="AP18" i="20"/>
  <c r="A17" i="20"/>
  <c r="AK17" i="20"/>
  <c r="AM17" i="20"/>
  <c r="AN17" i="20" s="1"/>
  <c r="AO17" i="20"/>
  <c r="AQ17" i="20"/>
  <c r="A22" i="20"/>
  <c r="AK22" i="20"/>
  <c r="AM22" i="20"/>
  <c r="AN22" i="20" s="1"/>
  <c r="AO22" i="20"/>
  <c r="AQ22" i="20"/>
  <c r="A40" i="20"/>
  <c r="AK40" i="20"/>
  <c r="AM40" i="20"/>
  <c r="AN40" i="20" s="1"/>
  <c r="AO40" i="20"/>
  <c r="AQ40" i="20"/>
  <c r="A68" i="20"/>
  <c r="AK68" i="20"/>
  <c r="AM68" i="20"/>
  <c r="AN68" i="20" s="1"/>
  <c r="AO68" i="20"/>
  <c r="AQ68" i="20"/>
  <c r="AP40" i="20" l="1"/>
  <c r="AP68" i="20"/>
  <c r="AP17" i="20"/>
  <c r="AP22" i="20"/>
  <c r="S166" i="19"/>
  <c r="T166" i="19"/>
  <c r="S187" i="19"/>
  <c r="T187" i="19"/>
  <c r="S95" i="19"/>
  <c r="T95" i="19"/>
  <c r="S39" i="19"/>
  <c r="T39" i="19"/>
  <c r="S14" i="19"/>
  <c r="T14" i="19"/>
  <c r="S35" i="19"/>
  <c r="T35" i="19"/>
  <c r="S222" i="19"/>
  <c r="T222" i="19"/>
  <c r="S229" i="19"/>
  <c r="T229" i="19"/>
  <c r="S260" i="19"/>
  <c r="T260" i="19"/>
  <c r="S132" i="19"/>
  <c r="T132" i="19"/>
  <c r="S179" i="19" l="1"/>
  <c r="S66" i="19" l="1"/>
  <c r="T66" i="19"/>
  <c r="S196" i="19"/>
  <c r="T196" i="19"/>
  <c r="T179" i="19"/>
  <c r="S97" i="19"/>
  <c r="T97" i="19"/>
  <c r="S266" i="19"/>
  <c r="T266" i="19"/>
  <c r="S8" i="14" l="1"/>
  <c r="S12" i="14"/>
  <c r="S46" i="14"/>
  <c r="S55" i="14"/>
  <c r="S83" i="14"/>
  <c r="S151" i="14"/>
  <c r="S173" i="14"/>
  <c r="S195" i="14"/>
  <c r="S203" i="14"/>
  <c r="S222" i="14"/>
  <c r="S243" i="14"/>
  <c r="S27" i="14"/>
  <c r="S53" i="14"/>
  <c r="S74" i="14"/>
  <c r="S80" i="14"/>
  <c r="S193" i="14"/>
  <c r="S210" i="14"/>
  <c r="S6" i="14"/>
  <c r="S7" i="14"/>
  <c r="S9" i="14"/>
  <c r="S10" i="14"/>
  <c r="S18" i="14"/>
  <c r="S19" i="14"/>
  <c r="S25" i="14"/>
  <c r="S30" i="14"/>
  <c r="S42" i="14"/>
  <c r="S43" i="14"/>
  <c r="S52" i="14"/>
  <c r="S65" i="14"/>
  <c r="S81" i="14"/>
  <c r="S82" i="14"/>
  <c r="S133" i="14"/>
  <c r="S167" i="14"/>
  <c r="S174" i="14"/>
  <c r="S202" i="14"/>
  <c r="S205" i="14"/>
  <c r="S238" i="14"/>
  <c r="S244" i="14"/>
  <c r="S168" i="14"/>
  <c r="S176" i="14"/>
  <c r="S70" i="14"/>
  <c r="S64" i="14"/>
  <c r="S66" i="14"/>
  <c r="S67" i="14"/>
  <c r="S136" i="14"/>
  <c r="S145" i="14"/>
  <c r="S146" i="14"/>
  <c r="S163" i="14"/>
  <c r="S247" i="14"/>
  <c r="S23" i="14"/>
  <c r="S24" i="14"/>
  <c r="S47" i="14"/>
  <c r="S75" i="14"/>
  <c r="S87" i="14"/>
  <c r="S99" i="14"/>
  <c r="S100" i="14"/>
  <c r="S108" i="14"/>
  <c r="S109" i="14"/>
  <c r="S110" i="14"/>
  <c r="S111" i="14"/>
  <c r="S112" i="14"/>
  <c r="S118" i="14"/>
  <c r="S115" i="14"/>
  <c r="S116" i="14"/>
  <c r="S69" i="14"/>
  <c r="S89" i="14"/>
  <c r="S117" i="14"/>
  <c r="S177" i="14"/>
  <c r="S208" i="14"/>
  <c r="S209" i="14"/>
  <c r="S45" i="14"/>
  <c r="S137" i="14"/>
  <c r="S180" i="14"/>
  <c r="S219" i="14"/>
  <c r="S34" i="14"/>
  <c r="S48" i="14"/>
  <c r="S54" i="14"/>
  <c r="S61" i="14"/>
  <c r="S63" i="14"/>
  <c r="S84" i="14"/>
  <c r="S85" i="14"/>
  <c r="S86" i="14"/>
  <c r="S94" i="14"/>
  <c r="S102" i="14"/>
  <c r="S106" i="14"/>
  <c r="S107" i="14"/>
  <c r="S114" i="14"/>
  <c r="S139" i="14"/>
  <c r="S153" i="14"/>
  <c r="S186" i="14"/>
  <c r="S187" i="14"/>
  <c r="S189" i="14"/>
  <c r="S191" i="14"/>
  <c r="S196" i="14"/>
  <c r="S211" i="14"/>
  <c r="S224" i="14"/>
  <c r="S50" i="14"/>
  <c r="S51" i="14"/>
  <c r="S141" i="14"/>
  <c r="S142" i="14"/>
  <c r="S149" i="14"/>
  <c r="S150" i="14"/>
  <c r="S161" i="14"/>
  <c r="S162" i="14"/>
  <c r="S31" i="14"/>
  <c r="S32" i="14"/>
  <c r="S33" i="14"/>
  <c r="S59" i="14"/>
  <c r="S60" i="14"/>
  <c r="S68" i="14"/>
  <c r="S78" i="14"/>
  <c r="S79" i="14"/>
  <c r="S101" i="14"/>
  <c r="S103" i="14"/>
  <c r="S127" i="14"/>
  <c r="S128" i="14"/>
  <c r="S172" i="14"/>
  <c r="S188" i="14"/>
  <c r="S190" i="14"/>
  <c r="S212" i="14"/>
  <c r="S213" i="14"/>
  <c r="S217" i="14"/>
  <c r="S225" i="14"/>
  <c r="S226" i="14"/>
  <c r="S227" i="14"/>
  <c r="S228" i="14"/>
  <c r="S229" i="14"/>
  <c r="S242" i="14"/>
  <c r="S155" i="14"/>
  <c r="S156" i="14"/>
  <c r="S157" i="14"/>
  <c r="S158" i="14"/>
  <c r="S171" i="14"/>
  <c r="S169" i="14"/>
  <c r="S170" i="14"/>
  <c r="S58" i="14"/>
  <c r="S88" i="14"/>
  <c r="S234" i="14"/>
  <c r="S49" i="14"/>
  <c r="S76" i="14"/>
  <c r="S215" i="14"/>
  <c r="S216" i="14"/>
  <c r="S221" i="14"/>
  <c r="S22" i="14"/>
  <c r="S40" i="14"/>
  <c r="S41" i="14"/>
  <c r="S56" i="14"/>
  <c r="S73" i="14"/>
  <c r="S92" i="14"/>
  <c r="S93" i="14"/>
  <c r="S96" i="14"/>
  <c r="S97" i="14"/>
  <c r="S98" i="14"/>
  <c r="S179" i="14"/>
  <c r="S192" i="14"/>
  <c r="S197" i="14"/>
  <c r="S198" i="14"/>
  <c r="S199" i="14"/>
  <c r="S200" i="14"/>
  <c r="S201" i="14"/>
  <c r="S214" i="14"/>
  <c r="S230" i="14"/>
  <c r="S235" i="14"/>
  <c r="S239" i="14"/>
  <c r="S245" i="14"/>
  <c r="AI173" i="14"/>
  <c r="AI111" i="14"/>
  <c r="AI75" i="14"/>
  <c r="AI186" i="14"/>
  <c r="AI110" i="14"/>
  <c r="AI191" i="14"/>
  <c r="AI102" i="14"/>
  <c r="AI193" i="14"/>
  <c r="AI239" i="14"/>
  <c r="AI67" i="14"/>
  <c r="AI150" i="14"/>
  <c r="AI158" i="14"/>
  <c r="AI116" i="14"/>
  <c r="AI146" i="14"/>
  <c r="AI210" i="14"/>
  <c r="AI197" i="14"/>
  <c r="AI96" i="14"/>
  <c r="AI93" i="14"/>
  <c r="AI34" i="14"/>
  <c r="AI190" i="14"/>
  <c r="AI60" i="14"/>
  <c r="AI22" i="14"/>
  <c r="AI61" i="14"/>
  <c r="AI172" i="14"/>
  <c r="AI8" i="14"/>
  <c r="AI219" i="14"/>
  <c r="AI89" i="14"/>
  <c r="AI54" i="14"/>
  <c r="AI216" i="14"/>
  <c r="AI85" i="14"/>
  <c r="AJ173" i="14"/>
  <c r="AK173" i="14" s="1"/>
  <c r="AJ111" i="14"/>
  <c r="AK111" i="14" s="1"/>
  <c r="AJ186" i="14"/>
  <c r="AK186" i="14" s="1"/>
  <c r="AJ110" i="14"/>
  <c r="AK110" i="14" s="1"/>
  <c r="AJ191" i="14"/>
  <c r="AK191" i="14" s="1"/>
  <c r="AJ193" i="14"/>
  <c r="AK193" i="14" s="1"/>
  <c r="AJ239" i="14"/>
  <c r="AK239" i="14" s="1"/>
  <c r="AJ150" i="14"/>
  <c r="AK150" i="14" s="1"/>
  <c r="AJ158" i="14"/>
  <c r="AK158" i="14" s="1"/>
  <c r="AJ116" i="14"/>
  <c r="AK116" i="14" s="1"/>
  <c r="AJ146" i="14"/>
  <c r="AK146" i="14" s="1"/>
  <c r="AJ210" i="14"/>
  <c r="AK210" i="14" s="1"/>
  <c r="AJ197" i="14"/>
  <c r="AK197" i="14" s="1"/>
  <c r="AJ190" i="14"/>
  <c r="AK190" i="14" s="1"/>
  <c r="AJ22" i="14"/>
  <c r="AK22" i="14" s="1"/>
  <c r="AJ172" i="14"/>
  <c r="AK172" i="14" s="1"/>
  <c r="AJ8" i="14"/>
  <c r="AK8" i="14" s="1"/>
  <c r="AJ219" i="14"/>
  <c r="AK219" i="14" s="1"/>
  <c r="AJ216" i="14"/>
  <c r="AK216" i="14" s="1"/>
  <c r="A21" i="20" l="1"/>
  <c r="AK21" i="20"/>
  <c r="AM21" i="20"/>
  <c r="AN21" i="20" s="1"/>
  <c r="AO21" i="20"/>
  <c r="AQ21" i="20"/>
  <c r="AP21" i="20" l="1"/>
  <c r="A170" i="20"/>
  <c r="AK170" i="20"/>
  <c r="AM170" i="20"/>
  <c r="AN170" i="20" s="1"/>
  <c r="AO170" i="20"/>
  <c r="AQ170" i="20"/>
  <c r="A173" i="20"/>
  <c r="AK173" i="20"/>
  <c r="AM173" i="20"/>
  <c r="AN173" i="20" s="1"/>
  <c r="AO173" i="20"/>
  <c r="AQ173" i="20"/>
  <c r="A172" i="20"/>
  <c r="AK172" i="20"/>
  <c r="AM172" i="20"/>
  <c r="AN172" i="20" s="1"/>
  <c r="AO172" i="20"/>
  <c r="AQ172" i="20"/>
  <c r="A169" i="20"/>
  <c r="AK169" i="20"/>
  <c r="AM169" i="20"/>
  <c r="AN169" i="20" s="1"/>
  <c r="AO169" i="20"/>
  <c r="AQ169" i="20"/>
  <c r="A171" i="20"/>
  <c r="AK171" i="20"/>
  <c r="AM171" i="20"/>
  <c r="AN171" i="20" s="1"/>
  <c r="AO171" i="20"/>
  <c r="AQ171" i="20"/>
  <c r="A174" i="20"/>
  <c r="AK174" i="20"/>
  <c r="AM174" i="20"/>
  <c r="AN174" i="20" s="1"/>
  <c r="AO174" i="20"/>
  <c r="AQ174" i="20"/>
  <c r="AP170" i="20" l="1"/>
  <c r="AP173" i="20"/>
  <c r="AP169" i="20"/>
  <c r="AP172" i="20"/>
  <c r="AP171" i="20"/>
  <c r="AP174" i="20"/>
  <c r="F10" i="36"/>
  <c r="A3" i="91" l="1"/>
  <c r="E12" i="37" l="1"/>
  <c r="E13" i="37"/>
  <c r="C7" i="36"/>
  <c r="B9" i="36"/>
  <c r="B8" i="36"/>
  <c r="H18" i="43"/>
  <c r="H14" i="43"/>
  <c r="I13" i="43" l="1"/>
  <c r="D7" i="36"/>
  <c r="AF209" i="14" l="1"/>
  <c r="AI209" i="14"/>
  <c r="AJ209" i="14"/>
  <c r="AK209" i="14" s="1"/>
  <c r="AF208" i="14"/>
  <c r="AI208" i="14"/>
  <c r="AJ208" i="14"/>
  <c r="AK208" i="14" s="1"/>
  <c r="AH208" i="14" l="1"/>
  <c r="AH209" i="14"/>
  <c r="A26" i="20"/>
  <c r="AK26" i="20"/>
  <c r="AM26" i="20"/>
  <c r="AN26" i="20" s="1"/>
  <c r="AO26" i="20"/>
  <c r="AQ26" i="20"/>
  <c r="A25" i="20"/>
  <c r="AK25" i="20"/>
  <c r="AM25" i="20"/>
  <c r="AN25" i="20" s="1"/>
  <c r="AO25" i="20"/>
  <c r="AQ25" i="20"/>
  <c r="AK27" i="20"/>
  <c r="AM27" i="20"/>
  <c r="AN27" i="20" s="1"/>
  <c r="AO27" i="20"/>
  <c r="AQ27" i="20"/>
  <c r="A24" i="20"/>
  <c r="AK24" i="20"/>
  <c r="AM24" i="20"/>
  <c r="AN24" i="20" s="1"/>
  <c r="AO24" i="20"/>
  <c r="AQ24" i="20"/>
  <c r="A29" i="20"/>
  <c r="AK29" i="20"/>
  <c r="AM29" i="20"/>
  <c r="AN29" i="20" s="1"/>
  <c r="AO29" i="20"/>
  <c r="AQ29" i="20"/>
  <c r="A28" i="20"/>
  <c r="AK28" i="20"/>
  <c r="AM28" i="20"/>
  <c r="AN28" i="20" s="1"/>
  <c r="AO28" i="20"/>
  <c r="AQ28" i="20"/>
  <c r="A41" i="20"/>
  <c r="AK41" i="20"/>
  <c r="AN41" i="20"/>
  <c r="AO41" i="20"/>
  <c r="AQ41" i="20"/>
  <c r="A44" i="20"/>
  <c r="AK44" i="20"/>
  <c r="AM44" i="20"/>
  <c r="AN44" i="20" s="1"/>
  <c r="AO44" i="20"/>
  <c r="AQ44" i="20"/>
  <c r="AP26" i="20" l="1"/>
  <c r="AP25" i="20"/>
  <c r="AP27" i="20"/>
  <c r="AP24" i="20"/>
  <c r="AP29" i="20"/>
  <c r="AP28" i="20"/>
  <c r="AP44" i="20"/>
  <c r="AP41" i="20"/>
  <c r="AI88" i="14"/>
  <c r="AI168" i="14"/>
  <c r="AJ168" i="14"/>
  <c r="AK168" i="14" s="1"/>
  <c r="S139" i="19" l="1"/>
  <c r="T139" i="19"/>
  <c r="S167" i="19" l="1"/>
  <c r="T167" i="19"/>
  <c r="S87" i="19"/>
  <c r="T87" i="19"/>
  <c r="S37" i="19"/>
  <c r="T37" i="19"/>
  <c r="S84" i="19"/>
  <c r="T84" i="19"/>
  <c r="S226" i="19"/>
  <c r="T226" i="19"/>
  <c r="S256" i="19"/>
  <c r="T256" i="19"/>
  <c r="S147" i="19"/>
  <c r="T147" i="19"/>
  <c r="S176" i="19" l="1"/>
  <c r="T176" i="19"/>
  <c r="S292" i="19"/>
  <c r="T292" i="19"/>
  <c r="S286" i="19"/>
  <c r="T286" i="19"/>
  <c r="S273" i="19"/>
  <c r="T273" i="19"/>
  <c r="S267" i="19"/>
  <c r="T267" i="19"/>
  <c r="S268" i="19"/>
  <c r="T268" i="19"/>
  <c r="S257" i="19"/>
  <c r="T257" i="19"/>
  <c r="S255" i="19"/>
  <c r="T255" i="19"/>
  <c r="S245" i="19"/>
  <c r="T245" i="19"/>
  <c r="S227" i="19"/>
  <c r="T227" i="19"/>
  <c r="S217" i="19"/>
  <c r="T217" i="19"/>
  <c r="S218" i="19" l="1"/>
  <c r="T218" i="19"/>
  <c r="S212" i="19"/>
  <c r="T212" i="19"/>
  <c r="S209" i="19"/>
  <c r="T209" i="19"/>
  <c r="S193" i="19"/>
  <c r="T193" i="19"/>
  <c r="S189" i="19"/>
  <c r="T189" i="19"/>
  <c r="S154" i="19"/>
  <c r="T154" i="19"/>
  <c r="S151" i="19"/>
  <c r="T151" i="19"/>
  <c r="S149" i="19"/>
  <c r="T149" i="19"/>
  <c r="S142" i="19"/>
  <c r="T142" i="19"/>
  <c r="S137" i="19"/>
  <c r="T137" i="19"/>
  <c r="S107" i="19"/>
  <c r="T107" i="19"/>
  <c r="S91" i="19" l="1"/>
  <c r="T91" i="19"/>
  <c r="S86" i="19"/>
  <c r="T86" i="19"/>
  <c r="S83" i="19"/>
  <c r="T83" i="19"/>
  <c r="S45" i="19"/>
  <c r="T45" i="19"/>
  <c r="S31" i="19" l="1"/>
  <c r="T31" i="19"/>
  <c r="S24" i="19"/>
  <c r="T24" i="19"/>
  <c r="S21" i="19"/>
  <c r="T21" i="19"/>
  <c r="S15" i="19"/>
  <c r="T15" i="19"/>
  <c r="S11" i="19"/>
  <c r="T11" i="19"/>
  <c r="S48" i="19" l="1"/>
  <c r="T48" i="19"/>
  <c r="S162" i="19"/>
  <c r="T162" i="19"/>
  <c r="A164" i="20" l="1"/>
  <c r="AK164" i="20"/>
  <c r="AM164" i="20"/>
  <c r="AN164" i="20" s="1"/>
  <c r="AO164" i="20"/>
  <c r="AQ164" i="20"/>
  <c r="A140" i="20"/>
  <c r="A130" i="20"/>
  <c r="A135" i="20"/>
  <c r="A138" i="20"/>
  <c r="A159" i="20"/>
  <c r="A133" i="20"/>
  <c r="A141" i="20"/>
  <c r="A132" i="20"/>
  <c r="A148" i="20"/>
  <c r="A142" i="20"/>
  <c r="A131" i="20"/>
  <c r="A150" i="20"/>
  <c r="A163" i="20"/>
  <c r="A149" i="20"/>
  <c r="A161" i="20"/>
  <c r="A147" i="20"/>
  <c r="A146" i="20"/>
  <c r="A166" i="20"/>
  <c r="A137" i="20"/>
  <c r="A156" i="20"/>
  <c r="A144" i="20"/>
  <c r="A158" i="20"/>
  <c r="A153" i="20"/>
  <c r="A157" i="20"/>
  <c r="A165" i="20"/>
  <c r="AK140" i="20"/>
  <c r="AK130" i="20"/>
  <c r="AK135" i="20"/>
  <c r="AK138" i="20"/>
  <c r="AK159" i="20"/>
  <c r="AK133" i="20"/>
  <c r="AK141" i="20"/>
  <c r="AK132" i="20"/>
  <c r="AK148" i="20"/>
  <c r="AK142" i="20"/>
  <c r="AK131" i="20"/>
  <c r="AK150" i="20"/>
  <c r="AK163" i="20"/>
  <c r="AK149" i="20"/>
  <c r="AK161" i="20"/>
  <c r="AK147" i="20"/>
  <c r="AK146" i="20"/>
  <c r="AK166" i="20"/>
  <c r="AK137" i="20"/>
  <c r="AK156" i="20"/>
  <c r="AK144" i="20"/>
  <c r="AK158" i="20"/>
  <c r="AK153" i="20"/>
  <c r="AK157" i="20"/>
  <c r="AK165" i="20"/>
  <c r="AM140" i="20"/>
  <c r="AN140" i="20" s="1"/>
  <c r="AM130" i="20"/>
  <c r="AN130" i="20" s="1"/>
  <c r="AM135" i="20"/>
  <c r="AN135" i="20" s="1"/>
  <c r="AM138" i="20"/>
  <c r="AN138" i="20" s="1"/>
  <c r="AM159" i="20"/>
  <c r="AN159" i="20" s="1"/>
  <c r="AM133" i="20"/>
  <c r="AN133" i="20" s="1"/>
  <c r="AM141" i="20"/>
  <c r="AN141" i="20" s="1"/>
  <c r="AM132" i="20"/>
  <c r="AN132" i="20" s="1"/>
  <c r="AM148" i="20"/>
  <c r="AN148" i="20" s="1"/>
  <c r="AM142" i="20"/>
  <c r="AN142" i="20" s="1"/>
  <c r="AM131" i="20"/>
  <c r="AN131" i="20" s="1"/>
  <c r="AM150" i="20"/>
  <c r="AN150" i="20" s="1"/>
  <c r="AM163" i="20"/>
  <c r="AN163" i="20" s="1"/>
  <c r="AM149" i="20"/>
  <c r="AN149" i="20" s="1"/>
  <c r="AM161" i="20"/>
  <c r="AN161" i="20" s="1"/>
  <c r="AM147" i="20"/>
  <c r="AN147" i="20" s="1"/>
  <c r="AM146" i="20"/>
  <c r="AN146" i="20" s="1"/>
  <c r="AM166" i="20"/>
  <c r="AN166" i="20" s="1"/>
  <c r="AM137" i="20"/>
  <c r="AN137" i="20" s="1"/>
  <c r="AM156" i="20"/>
  <c r="AN156" i="20" s="1"/>
  <c r="AM144" i="20"/>
  <c r="AN144" i="20" s="1"/>
  <c r="AM158" i="20"/>
  <c r="AN158" i="20" s="1"/>
  <c r="AM153" i="20"/>
  <c r="AN153" i="20" s="1"/>
  <c r="AM157" i="20"/>
  <c r="AN157" i="20" s="1"/>
  <c r="AM165" i="20"/>
  <c r="AN165" i="20" s="1"/>
  <c r="AO140" i="20"/>
  <c r="AO130" i="20"/>
  <c r="AO135" i="20"/>
  <c r="AO138" i="20"/>
  <c r="AO159" i="20"/>
  <c r="AO133" i="20"/>
  <c r="AO141" i="20"/>
  <c r="AO132" i="20"/>
  <c r="AO148" i="20"/>
  <c r="AO142" i="20"/>
  <c r="AO131" i="20"/>
  <c r="AO150" i="20"/>
  <c r="AO163" i="20"/>
  <c r="AO149" i="20"/>
  <c r="AO161" i="20"/>
  <c r="AO147" i="20"/>
  <c r="AO146" i="20"/>
  <c r="AO166" i="20"/>
  <c r="AO137" i="20"/>
  <c r="AO156" i="20"/>
  <c r="AO144" i="20"/>
  <c r="AO158" i="20"/>
  <c r="AO153" i="20"/>
  <c r="AO157" i="20"/>
  <c r="AO165" i="20"/>
  <c r="AQ140" i="20"/>
  <c r="AQ130" i="20"/>
  <c r="AQ135" i="20"/>
  <c r="AQ138" i="20"/>
  <c r="AQ159" i="20"/>
  <c r="AQ133" i="20"/>
  <c r="AQ141" i="20"/>
  <c r="AQ132" i="20"/>
  <c r="AQ148" i="20"/>
  <c r="AQ142" i="20"/>
  <c r="AQ131" i="20"/>
  <c r="AQ150" i="20"/>
  <c r="AQ163" i="20"/>
  <c r="AQ149" i="20"/>
  <c r="AQ161" i="20"/>
  <c r="AQ147" i="20"/>
  <c r="AQ146" i="20"/>
  <c r="AQ166" i="20"/>
  <c r="AQ137" i="20"/>
  <c r="AQ156" i="20"/>
  <c r="AQ144" i="20"/>
  <c r="AQ158" i="20"/>
  <c r="AQ153" i="20"/>
  <c r="AQ157" i="20"/>
  <c r="AQ165" i="20"/>
  <c r="A134" i="20"/>
  <c r="AK134" i="20"/>
  <c r="AM134" i="20"/>
  <c r="AN134" i="20" s="1"/>
  <c r="AO134" i="20"/>
  <c r="AQ134" i="20"/>
  <c r="A145" i="20"/>
  <c r="AK145" i="20"/>
  <c r="AM145" i="20"/>
  <c r="AN145" i="20" s="1"/>
  <c r="AO145" i="20"/>
  <c r="AQ145" i="20"/>
  <c r="A154" i="20"/>
  <c r="AK154" i="20"/>
  <c r="AM154" i="20"/>
  <c r="AN154" i="20" s="1"/>
  <c r="AO154" i="20"/>
  <c r="AQ154" i="20"/>
  <c r="A151" i="20"/>
  <c r="AK151" i="20"/>
  <c r="AM151" i="20"/>
  <c r="AN151" i="20" s="1"/>
  <c r="AO151" i="20"/>
  <c r="AQ151" i="20"/>
  <c r="A139" i="20"/>
  <c r="AK139" i="20"/>
  <c r="AM139" i="20"/>
  <c r="AN139" i="20" s="1"/>
  <c r="AO139" i="20"/>
  <c r="AQ139" i="20"/>
  <c r="A162" i="20"/>
  <c r="AK162" i="20"/>
  <c r="AM162" i="20"/>
  <c r="AN162" i="20" s="1"/>
  <c r="AO162" i="20"/>
  <c r="AQ162" i="20"/>
  <c r="A152" i="20"/>
  <c r="AK152" i="20"/>
  <c r="AM152" i="20"/>
  <c r="AN152" i="20" s="1"/>
  <c r="AO152" i="20"/>
  <c r="AQ152" i="20"/>
  <c r="A129" i="20"/>
  <c r="AK129" i="20"/>
  <c r="AM129" i="20"/>
  <c r="AN129" i="20" s="1"/>
  <c r="AO129" i="20"/>
  <c r="AQ129" i="20"/>
  <c r="A136" i="20"/>
  <c r="AK136" i="20"/>
  <c r="AM136" i="20"/>
  <c r="AN136" i="20" s="1"/>
  <c r="AO136" i="20"/>
  <c r="AQ136" i="20"/>
  <c r="A160" i="20"/>
  <c r="AK160" i="20"/>
  <c r="AM160" i="20"/>
  <c r="AN160" i="20" s="1"/>
  <c r="AO160" i="20"/>
  <c r="AQ160" i="20"/>
  <c r="A155" i="20"/>
  <c r="AK155" i="20"/>
  <c r="AM155" i="20"/>
  <c r="AN155" i="20" s="1"/>
  <c r="AO155" i="20"/>
  <c r="AQ155" i="20"/>
  <c r="A143" i="20"/>
  <c r="AK143" i="20"/>
  <c r="AM143" i="20"/>
  <c r="AN143" i="20" s="1"/>
  <c r="AO143" i="20"/>
  <c r="AQ143" i="20"/>
  <c r="AP144" i="20" l="1"/>
  <c r="AP162" i="20"/>
  <c r="AP137" i="20"/>
  <c r="AP135" i="20"/>
  <c r="AP163" i="20"/>
  <c r="AP148" i="20"/>
  <c r="AP158" i="20"/>
  <c r="AP166" i="20"/>
  <c r="AP149" i="20"/>
  <c r="AP142" i="20"/>
  <c r="AP133" i="20"/>
  <c r="AP130" i="20"/>
  <c r="AP153" i="20"/>
  <c r="AP161" i="20"/>
  <c r="AP141" i="20"/>
  <c r="AP131" i="20"/>
  <c r="AP134" i="20"/>
  <c r="AP146" i="20"/>
  <c r="AP164" i="20"/>
  <c r="AP165" i="20"/>
  <c r="AP159" i="20"/>
  <c r="AP140" i="20"/>
  <c r="AP157" i="20"/>
  <c r="AP156" i="20"/>
  <c r="AP147" i="20"/>
  <c r="AP150" i="20"/>
  <c r="AP132" i="20"/>
  <c r="AP138" i="20"/>
  <c r="AP145" i="20"/>
  <c r="AP154" i="20"/>
  <c r="AP139" i="20"/>
  <c r="AP151" i="20"/>
  <c r="AP152" i="20"/>
  <c r="AP129" i="20"/>
  <c r="AP136" i="20"/>
  <c r="AP160" i="20"/>
  <c r="AP155" i="20"/>
  <c r="AP143" i="20"/>
  <c r="A32" i="20" l="1"/>
  <c r="AK32" i="20"/>
  <c r="AM32" i="20"/>
  <c r="AN32" i="20" s="1"/>
  <c r="AO32" i="20"/>
  <c r="AQ32" i="20"/>
  <c r="AP32" i="20" l="1"/>
  <c r="A30" i="20"/>
  <c r="AK30" i="20"/>
  <c r="AM30" i="20"/>
  <c r="AN30" i="20" s="1"/>
  <c r="AO30" i="20"/>
  <c r="AQ30" i="20"/>
  <c r="A31" i="20"/>
  <c r="AK31" i="20"/>
  <c r="AM31" i="20"/>
  <c r="AN31" i="20" s="1"/>
  <c r="AO31" i="20"/>
  <c r="AQ31" i="20"/>
  <c r="A35" i="20"/>
  <c r="AK35" i="20"/>
  <c r="AM35" i="20"/>
  <c r="AN35" i="20" s="1"/>
  <c r="AO35" i="20"/>
  <c r="AQ35" i="20"/>
  <c r="A33" i="20"/>
  <c r="AK33" i="20"/>
  <c r="AM33" i="20"/>
  <c r="AN33" i="20" s="1"/>
  <c r="AQ33" i="20"/>
  <c r="A36" i="20"/>
  <c r="AK36" i="20"/>
  <c r="AM36" i="20"/>
  <c r="AN36" i="20" s="1"/>
  <c r="AO36" i="20"/>
  <c r="AQ36" i="20"/>
  <c r="A34" i="20"/>
  <c r="AK34" i="20"/>
  <c r="AM34" i="20"/>
  <c r="AN34" i="20" s="1"/>
  <c r="AO34" i="20"/>
  <c r="AQ34" i="20"/>
  <c r="A38" i="20"/>
  <c r="AK38" i="20"/>
  <c r="AM38" i="20"/>
  <c r="AN38" i="20" s="1"/>
  <c r="AO38" i="20"/>
  <c r="AQ38" i="20"/>
  <c r="A37" i="20"/>
  <c r="AK37" i="20"/>
  <c r="AM37" i="20"/>
  <c r="AN37" i="20" s="1"/>
  <c r="AO37" i="20"/>
  <c r="AQ37" i="20"/>
  <c r="A39" i="20"/>
  <c r="AK39" i="20"/>
  <c r="AM39" i="20"/>
  <c r="AN39" i="20" s="1"/>
  <c r="AO39" i="20"/>
  <c r="AQ39" i="20"/>
  <c r="A50" i="20"/>
  <c r="AK50" i="20"/>
  <c r="AM50" i="20"/>
  <c r="AN50" i="20" s="1"/>
  <c r="AO50" i="20"/>
  <c r="AQ50" i="20"/>
  <c r="AP30" i="20" l="1"/>
  <c r="AP31" i="20"/>
  <c r="AP35" i="20"/>
  <c r="AP33" i="20"/>
  <c r="AP34" i="20"/>
  <c r="AP36" i="20"/>
  <c r="AP38" i="20"/>
  <c r="AP37" i="20"/>
  <c r="AP39" i="20"/>
  <c r="AP50" i="20"/>
  <c r="V16" i="40" l="1"/>
  <c r="G27" i="36" l="1"/>
  <c r="G25" i="36"/>
  <c r="G22" i="36"/>
  <c r="G19" i="36"/>
  <c r="G17" i="36"/>
  <c r="G16" i="36"/>
  <c r="G15" i="36"/>
  <c r="G13" i="36"/>
  <c r="G9" i="36"/>
  <c r="G8" i="36"/>
  <c r="G7" i="36"/>
  <c r="E7" i="36"/>
  <c r="AL11" i="40" l="1"/>
  <c r="AM11" i="40"/>
  <c r="AN11" i="40"/>
  <c r="AO11" i="40"/>
  <c r="AP36" i="40"/>
  <c r="AO36" i="40"/>
  <c r="AN36" i="40"/>
  <c r="AM36" i="40"/>
  <c r="AL36" i="40"/>
  <c r="AL57" i="40" s="1"/>
  <c r="I28" i="40" s="1"/>
  <c r="AO27" i="40"/>
  <c r="AN27" i="40"/>
  <c r="AM27" i="40"/>
  <c r="AL27" i="40"/>
  <c r="AO26" i="40"/>
  <c r="AN26" i="40"/>
  <c r="AM26" i="40"/>
  <c r="AL26" i="40"/>
  <c r="AO25" i="40"/>
  <c r="AN25" i="40"/>
  <c r="AM25" i="40"/>
  <c r="AL25" i="40"/>
  <c r="AO24" i="40"/>
  <c r="AN24" i="40"/>
  <c r="AM24" i="40"/>
  <c r="AL24" i="40"/>
  <c r="AO23" i="40"/>
  <c r="AN23" i="40"/>
  <c r="AM23" i="40"/>
  <c r="AL23" i="40"/>
  <c r="AO22" i="40"/>
  <c r="AN22" i="40"/>
  <c r="AM22" i="40"/>
  <c r="AL22" i="40"/>
  <c r="AO21" i="40"/>
  <c r="AN21" i="40"/>
  <c r="AM21" i="40"/>
  <c r="AL21" i="40"/>
  <c r="AO20" i="40"/>
  <c r="AN20" i="40"/>
  <c r="AM20" i="40"/>
  <c r="AL20" i="40"/>
  <c r="AO19" i="40"/>
  <c r="AN19" i="40"/>
  <c r="AM19" i="40"/>
  <c r="AL19" i="40"/>
  <c r="AO18" i="40"/>
  <c r="AN18" i="40"/>
  <c r="AM18" i="40"/>
  <c r="AL18" i="40"/>
  <c r="AO17" i="40"/>
  <c r="AN17" i="40"/>
  <c r="AM17" i="40"/>
  <c r="AL17" i="40"/>
  <c r="AO16" i="40"/>
  <c r="AN16" i="40"/>
  <c r="AM16" i="40"/>
  <c r="AL16" i="40"/>
  <c r="AO15" i="40"/>
  <c r="AN15" i="40"/>
  <c r="AM15" i="40"/>
  <c r="AL15" i="40"/>
  <c r="AO14" i="40"/>
  <c r="AN14" i="40"/>
  <c r="AM14" i="40"/>
  <c r="AL14" i="40"/>
  <c r="AO13" i="40"/>
  <c r="AN13" i="40"/>
  <c r="AM13" i="40"/>
  <c r="AL13" i="40"/>
  <c r="AO12" i="40"/>
  <c r="AN12" i="40"/>
  <c r="AM12" i="40"/>
  <c r="AL12" i="40"/>
  <c r="AO10" i="40"/>
  <c r="AN10" i="40"/>
  <c r="AM10" i="40"/>
  <c r="AL10" i="40"/>
  <c r="AO9" i="40"/>
  <c r="AN9" i="40"/>
  <c r="AM9" i="40"/>
  <c r="AL9" i="40"/>
  <c r="AO8" i="40"/>
  <c r="AN8" i="40"/>
  <c r="AM8" i="40"/>
  <c r="AL8" i="40"/>
  <c r="AO7" i="40"/>
  <c r="AN7" i="40"/>
  <c r="AM7" i="40"/>
  <c r="AL7" i="40"/>
  <c r="F32" i="40"/>
  <c r="E32" i="40"/>
  <c r="D32" i="40"/>
  <c r="F31" i="40"/>
  <c r="E31" i="40"/>
  <c r="D31" i="40"/>
  <c r="F30" i="40"/>
  <c r="E30" i="40"/>
  <c r="D30" i="40"/>
  <c r="F29" i="40"/>
  <c r="E29" i="40"/>
  <c r="D29" i="40"/>
  <c r="F28" i="40"/>
  <c r="E28" i="40"/>
  <c r="D28" i="40"/>
  <c r="F27" i="40"/>
  <c r="E27" i="40"/>
  <c r="D27" i="40"/>
  <c r="F26" i="40"/>
  <c r="E26" i="40"/>
  <c r="D26" i="40"/>
  <c r="F25" i="40"/>
  <c r="E25" i="40"/>
  <c r="D25" i="40"/>
  <c r="F24" i="40"/>
  <c r="E24" i="40"/>
  <c r="D24" i="40"/>
  <c r="F23" i="40"/>
  <c r="E23" i="40"/>
  <c r="D23" i="40"/>
  <c r="F22" i="40"/>
  <c r="E22" i="40"/>
  <c r="D22" i="40"/>
  <c r="F21" i="40"/>
  <c r="E21" i="40"/>
  <c r="D21" i="40"/>
  <c r="F20" i="40"/>
  <c r="E20" i="40"/>
  <c r="D20" i="40"/>
  <c r="F19" i="40"/>
  <c r="E19" i="40"/>
  <c r="D19" i="40"/>
  <c r="F18" i="40"/>
  <c r="E18" i="40"/>
  <c r="D18" i="40"/>
  <c r="F17" i="40"/>
  <c r="E17" i="40"/>
  <c r="D17" i="40"/>
  <c r="F16" i="40"/>
  <c r="E16" i="40"/>
  <c r="D16" i="40"/>
  <c r="F15" i="40"/>
  <c r="E15" i="40"/>
  <c r="D15" i="40"/>
  <c r="F14" i="40"/>
  <c r="E14" i="40"/>
  <c r="D14" i="40"/>
  <c r="F13" i="40"/>
  <c r="E13" i="40"/>
  <c r="D13" i="40"/>
  <c r="F12" i="40"/>
  <c r="E12" i="40"/>
  <c r="D12" i="40"/>
  <c r="AQ39" i="40" l="1"/>
  <c r="AQ55" i="40"/>
  <c r="AQ51" i="40"/>
  <c r="AP57" i="40"/>
  <c r="M28" i="40" s="1"/>
  <c r="AQ38" i="40"/>
  <c r="AQ54" i="40"/>
  <c r="AQ47" i="40"/>
  <c r="AQ43" i="40"/>
  <c r="AQ42" i="40"/>
  <c r="AM57" i="40"/>
  <c r="J28" i="40" s="1"/>
  <c r="AQ48" i="40"/>
  <c r="AQ44" i="40"/>
  <c r="AQ50" i="40"/>
  <c r="E33" i="40"/>
  <c r="AQ36" i="40"/>
  <c r="AQ49" i="40"/>
  <c r="AQ46" i="40"/>
  <c r="AQ45" i="40"/>
  <c r="AO57" i="40"/>
  <c r="L28" i="40" s="1"/>
  <c r="AQ37" i="40"/>
  <c r="AQ53" i="40"/>
  <c r="AQ52" i="40"/>
  <c r="AQ41" i="40"/>
  <c r="AQ40" i="40"/>
  <c r="AN57" i="40"/>
  <c r="K28" i="40" s="1"/>
  <c r="F33" i="40"/>
  <c r="D33" i="40"/>
  <c r="AQ56" i="40" l="1"/>
  <c r="AQ57" i="40" s="1"/>
  <c r="A58" i="20" l="1"/>
  <c r="A59" i="20"/>
  <c r="A62" i="20"/>
  <c r="A65" i="20"/>
  <c r="A86" i="20"/>
  <c r="A85" i="20"/>
  <c r="A99" i="20"/>
  <c r="A67" i="20"/>
  <c r="A109" i="20"/>
  <c r="A110" i="20"/>
  <c r="A111" i="20"/>
  <c r="A112" i="20"/>
  <c r="A113" i="20"/>
  <c r="A114" i="20"/>
  <c r="A115" i="20"/>
  <c r="A116" i="20"/>
  <c r="A117" i="20"/>
  <c r="A118" i="20"/>
  <c r="A119" i="20"/>
  <c r="A120" i="20"/>
  <c r="A121" i="20"/>
  <c r="A100" i="20"/>
  <c r="A83" i="20"/>
  <c r="A84" i="20"/>
  <c r="A63" i="20"/>
  <c r="A64" i="20"/>
  <c r="A69" i="20"/>
  <c r="A70" i="20"/>
  <c r="A122" i="20"/>
  <c r="A123" i="20"/>
  <c r="A124" i="20"/>
  <c r="A60" i="20"/>
  <c r="A66" i="20"/>
  <c r="A61" i="20"/>
  <c r="AK58" i="20"/>
  <c r="AK59" i="20"/>
  <c r="AK62" i="20"/>
  <c r="AK65" i="20"/>
  <c r="AK86" i="20"/>
  <c r="AK85" i="20"/>
  <c r="AK99" i="20"/>
  <c r="AK67" i="20"/>
  <c r="AK109" i="20"/>
  <c r="AK110" i="20"/>
  <c r="AK111" i="20"/>
  <c r="AK112" i="20"/>
  <c r="AK113" i="20"/>
  <c r="AK114" i="20"/>
  <c r="AK115" i="20"/>
  <c r="AK116" i="20"/>
  <c r="AK117" i="20"/>
  <c r="AK118" i="20"/>
  <c r="AK119" i="20"/>
  <c r="AK120" i="20"/>
  <c r="AK121" i="20"/>
  <c r="AK100" i="20"/>
  <c r="AK83" i="20"/>
  <c r="AK84" i="20"/>
  <c r="AK63" i="20"/>
  <c r="AK64" i="20"/>
  <c r="AK69" i="20"/>
  <c r="AK70" i="20"/>
  <c r="AK122" i="20"/>
  <c r="AK123" i="20"/>
  <c r="AK124" i="20"/>
  <c r="AK60" i="20"/>
  <c r="AK66" i="20"/>
  <c r="AK61" i="20"/>
  <c r="AM58" i="20"/>
  <c r="AN58" i="20" s="1"/>
  <c r="AM59" i="20"/>
  <c r="AN59" i="20" s="1"/>
  <c r="AM62" i="20"/>
  <c r="AN62" i="20" s="1"/>
  <c r="AM65" i="20"/>
  <c r="AN65" i="20" s="1"/>
  <c r="AM86" i="20"/>
  <c r="AN86" i="20" s="1"/>
  <c r="AM85" i="20"/>
  <c r="AN85" i="20" s="1"/>
  <c r="AM99" i="20"/>
  <c r="AN99" i="20" s="1"/>
  <c r="AM67" i="20"/>
  <c r="AN67" i="20" s="1"/>
  <c r="AM109" i="20"/>
  <c r="AN109" i="20" s="1"/>
  <c r="AM110" i="20"/>
  <c r="AN110" i="20" s="1"/>
  <c r="AM111" i="20"/>
  <c r="AN111" i="20" s="1"/>
  <c r="AM112" i="20"/>
  <c r="AN112" i="20" s="1"/>
  <c r="AM113" i="20"/>
  <c r="AN113" i="20" s="1"/>
  <c r="AM114" i="20"/>
  <c r="AN114" i="20" s="1"/>
  <c r="AM115" i="20"/>
  <c r="AN115" i="20" s="1"/>
  <c r="AM116" i="20"/>
  <c r="AN116" i="20" s="1"/>
  <c r="AM117" i="20"/>
  <c r="AN117" i="20" s="1"/>
  <c r="AM118" i="20"/>
  <c r="AN118" i="20" s="1"/>
  <c r="AM119" i="20"/>
  <c r="AN119" i="20" s="1"/>
  <c r="AM120" i="20"/>
  <c r="AN120" i="20" s="1"/>
  <c r="AM121" i="20"/>
  <c r="AN121" i="20" s="1"/>
  <c r="AM100" i="20"/>
  <c r="AN100" i="20" s="1"/>
  <c r="AM83" i="20"/>
  <c r="AN83" i="20" s="1"/>
  <c r="AM84" i="20"/>
  <c r="AN84" i="20" s="1"/>
  <c r="AM63" i="20"/>
  <c r="AN63" i="20" s="1"/>
  <c r="AM64" i="20"/>
  <c r="AN64" i="20" s="1"/>
  <c r="AM69" i="20"/>
  <c r="AN69" i="20" s="1"/>
  <c r="AM70" i="20"/>
  <c r="AN70" i="20" s="1"/>
  <c r="AM122" i="20"/>
  <c r="AN122" i="20" s="1"/>
  <c r="AM123" i="20"/>
  <c r="AN123" i="20" s="1"/>
  <c r="AM124" i="20"/>
  <c r="AN124" i="20" s="1"/>
  <c r="AM60" i="20"/>
  <c r="AN60" i="20" s="1"/>
  <c r="AM66" i="20"/>
  <c r="AN66" i="20" s="1"/>
  <c r="AM61" i="20"/>
  <c r="AN61" i="20" s="1"/>
  <c r="AO58" i="20"/>
  <c r="AO59" i="20"/>
  <c r="AO62" i="20"/>
  <c r="AO65" i="20"/>
  <c r="AO86" i="20"/>
  <c r="AO85" i="20"/>
  <c r="AO99" i="20"/>
  <c r="AO67" i="20"/>
  <c r="AO109" i="20"/>
  <c r="AO110" i="20"/>
  <c r="AO111" i="20"/>
  <c r="AO112" i="20"/>
  <c r="AO113" i="20"/>
  <c r="AO114" i="20"/>
  <c r="AO115" i="20"/>
  <c r="AO116" i="20"/>
  <c r="AO117" i="20"/>
  <c r="AO118" i="20"/>
  <c r="AO119" i="20"/>
  <c r="AO120" i="20"/>
  <c r="AO121" i="20"/>
  <c r="AO100" i="20"/>
  <c r="AO83" i="20"/>
  <c r="AO84" i="20"/>
  <c r="AO63" i="20"/>
  <c r="AO64" i="20"/>
  <c r="AO69" i="20"/>
  <c r="AO70" i="20"/>
  <c r="AO122" i="20"/>
  <c r="AO123" i="20"/>
  <c r="AO124" i="20"/>
  <c r="AO60" i="20"/>
  <c r="AO66" i="20"/>
  <c r="AO61" i="20"/>
  <c r="AQ58" i="20"/>
  <c r="AQ59" i="20"/>
  <c r="AQ62" i="20"/>
  <c r="AQ65" i="20"/>
  <c r="AQ86" i="20"/>
  <c r="AQ85" i="20"/>
  <c r="AQ99" i="20"/>
  <c r="AQ67" i="20"/>
  <c r="AQ109" i="20"/>
  <c r="AQ110" i="20"/>
  <c r="AQ111" i="20"/>
  <c r="AQ112" i="20"/>
  <c r="AQ113" i="20"/>
  <c r="AQ114" i="20"/>
  <c r="AQ115" i="20"/>
  <c r="AQ116" i="20"/>
  <c r="AQ117" i="20"/>
  <c r="AQ118" i="20"/>
  <c r="AQ119" i="20"/>
  <c r="AQ120" i="20"/>
  <c r="AQ121" i="20"/>
  <c r="AQ100" i="20"/>
  <c r="AQ83" i="20"/>
  <c r="AQ84" i="20"/>
  <c r="AQ63" i="20"/>
  <c r="AQ64" i="20"/>
  <c r="AQ69" i="20"/>
  <c r="AQ70" i="20"/>
  <c r="AQ122" i="20"/>
  <c r="AQ123" i="20"/>
  <c r="AQ124" i="20"/>
  <c r="AQ60" i="20"/>
  <c r="AQ66" i="20"/>
  <c r="AQ61" i="20"/>
  <c r="AP61" i="20" l="1"/>
  <c r="AP123" i="20"/>
  <c r="AP100" i="20"/>
  <c r="AP110" i="20"/>
  <c r="AP59" i="20"/>
  <c r="AP122" i="20"/>
  <c r="AP113" i="20"/>
  <c r="AP86" i="20"/>
  <c r="AP64" i="20"/>
  <c r="AP121" i="20"/>
  <c r="AP114" i="20"/>
  <c r="AP118" i="20"/>
  <c r="AP85" i="20"/>
  <c r="AP66" i="20"/>
  <c r="AP63" i="20"/>
  <c r="AP117" i="20"/>
  <c r="AP109" i="20"/>
  <c r="AP58" i="20"/>
  <c r="AP60" i="20"/>
  <c r="AP70" i="20"/>
  <c r="AP84" i="20"/>
  <c r="AP120" i="20"/>
  <c r="AP116" i="20"/>
  <c r="AP112" i="20"/>
  <c r="AP67" i="20"/>
  <c r="AP65" i="20"/>
  <c r="AP124" i="20"/>
  <c r="AP69" i="20"/>
  <c r="AP83" i="20"/>
  <c r="AP119" i="20"/>
  <c r="AP115" i="20"/>
  <c r="AP111" i="20"/>
  <c r="AP99" i="20"/>
  <c r="AP62" i="20"/>
  <c r="AQ252" i="20" l="1"/>
  <c r="AQ256" i="20"/>
  <c r="AQ249" i="20"/>
  <c r="AQ257" i="20"/>
  <c r="AO249" i="20"/>
  <c r="AM249" i="20"/>
  <c r="AN249" i="20" s="1"/>
  <c r="AK249" i="20"/>
  <c r="AO252" i="20"/>
  <c r="AM252" i="20"/>
  <c r="AN252" i="20" s="1"/>
  <c r="AK252" i="20"/>
  <c r="AO256" i="20"/>
  <c r="AM256" i="20"/>
  <c r="AN256" i="20" s="1"/>
  <c r="AK256"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0"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6"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72" i="14"/>
  <c r="AK72" i="14" s="1"/>
  <c r="AJ109" i="14"/>
  <c r="AK109" i="14" s="1"/>
  <c r="AJ139" i="14"/>
  <c r="AK139" i="14" s="1"/>
  <c r="AJ151" i="14"/>
  <c r="AK151" i="14" s="1"/>
  <c r="AJ156" i="14"/>
  <c r="AK156" i="14" s="1"/>
  <c r="AJ195" i="14"/>
  <c r="AK195" i="14" s="1"/>
  <c r="AJ200" i="14"/>
  <c r="AK200" i="14" s="1"/>
  <c r="AJ202" i="14"/>
  <c r="AK202" i="14" s="1"/>
  <c r="AJ203" i="14"/>
  <c r="AK203" i="14" s="1"/>
  <c r="AJ222" i="14"/>
  <c r="AK222" i="14" s="1"/>
  <c r="AJ243" i="14"/>
  <c r="AK243" i="14" s="1"/>
  <c r="AJ5" i="14"/>
  <c r="AK5" i="14" s="1"/>
  <c r="AJ11" i="14"/>
  <c r="AK11" i="14" s="1"/>
  <c r="AJ13" i="14"/>
  <c r="AK13" i="14" s="1"/>
  <c r="AJ14" i="14"/>
  <c r="AK14" i="14" s="1"/>
  <c r="AJ15" i="14"/>
  <c r="AK15" i="14" s="1"/>
  <c r="AJ16" i="14"/>
  <c r="AK16" i="14" s="1"/>
  <c r="AJ17" i="14"/>
  <c r="AK17" i="14" s="1"/>
  <c r="AJ20" i="14"/>
  <c r="AK20" i="14" s="1"/>
  <c r="AJ21" i="14"/>
  <c r="AK21" i="14" s="1"/>
  <c r="AJ26" i="14"/>
  <c r="AK26" i="14" s="1"/>
  <c r="AJ28" i="14"/>
  <c r="AK28" i="14" s="1"/>
  <c r="AJ35" i="14"/>
  <c r="AK35" i="14" s="1"/>
  <c r="AJ36" i="14"/>
  <c r="AK36" i="14" s="1"/>
  <c r="AJ37" i="14"/>
  <c r="AK37" i="14" s="1"/>
  <c r="AJ38" i="14"/>
  <c r="AK38" i="14" s="1"/>
  <c r="AJ44" i="14"/>
  <c r="AK44" i="14" s="1"/>
  <c r="AJ57" i="14"/>
  <c r="AK57" i="14" s="1"/>
  <c r="AJ62" i="14"/>
  <c r="AK62" i="14" s="1"/>
  <c r="AJ71" i="14"/>
  <c r="AK71" i="14" s="1"/>
  <c r="AJ77" i="14"/>
  <c r="AK77" i="14" s="1"/>
  <c r="AJ90" i="14"/>
  <c r="AK90" i="14" s="1"/>
  <c r="AJ104" i="14"/>
  <c r="AK104" i="14" s="1"/>
  <c r="AJ105" i="14"/>
  <c r="AK105" i="14" s="1"/>
  <c r="AJ113" i="14"/>
  <c r="AK113" i="14" s="1"/>
  <c r="AJ119" i="14"/>
  <c r="AK119" i="14" s="1"/>
  <c r="AJ120" i="14"/>
  <c r="AK120" i="14" s="1"/>
  <c r="AJ121" i="14"/>
  <c r="AK121" i="14" s="1"/>
  <c r="AJ122" i="14"/>
  <c r="AK122" i="14" s="1"/>
  <c r="AJ123" i="14"/>
  <c r="AK123" i="14" s="1"/>
  <c r="AJ124" i="14"/>
  <c r="AK124" i="14" s="1"/>
  <c r="AJ125" i="14"/>
  <c r="AK125" i="14" s="1"/>
  <c r="AJ126" i="14"/>
  <c r="AK126" i="14" s="1"/>
  <c r="AJ129" i="14"/>
  <c r="AK129" i="14" s="1"/>
  <c r="AJ130" i="14"/>
  <c r="AK130" i="14" s="1"/>
  <c r="AJ131" i="14"/>
  <c r="AK131" i="14" s="1"/>
  <c r="AJ132" i="14"/>
  <c r="AK132" i="14" s="1"/>
  <c r="AJ134" i="14"/>
  <c r="AK134" i="14" s="1"/>
  <c r="AJ135" i="14"/>
  <c r="AK135" i="14" s="1"/>
  <c r="AJ138" i="14"/>
  <c r="AK138" i="14" s="1"/>
  <c r="AJ140" i="14"/>
  <c r="AK140" i="14" s="1"/>
  <c r="AJ143" i="14"/>
  <c r="AK143" i="14" s="1"/>
  <c r="AJ144" i="14"/>
  <c r="AK144" i="14" s="1"/>
  <c r="AJ147" i="14"/>
  <c r="AK147" i="14" s="1"/>
  <c r="AJ148" i="14"/>
  <c r="AK148" i="14" s="1"/>
  <c r="AJ154" i="14"/>
  <c r="AK154" i="14" s="1"/>
  <c r="AJ159" i="14"/>
  <c r="AK159" i="14" s="1"/>
  <c r="AJ160" i="14"/>
  <c r="AK160" i="14" s="1"/>
  <c r="AJ164" i="14"/>
  <c r="AK164" i="14" s="1"/>
  <c r="AJ165" i="14"/>
  <c r="AK165" i="14" s="1"/>
  <c r="AJ166" i="14"/>
  <c r="AK166" i="14" s="1"/>
  <c r="AJ175" i="14"/>
  <c r="AK175" i="14" s="1"/>
  <c r="AJ181" i="14"/>
  <c r="AK181" i="14" s="1"/>
  <c r="AJ184" i="14"/>
  <c r="AK184" i="14" s="1"/>
  <c r="AJ185" i="14"/>
  <c r="AK185" i="14" s="1"/>
  <c r="AJ194" i="14"/>
  <c r="AK194" i="14" s="1"/>
  <c r="AJ204" i="14"/>
  <c r="AK204" i="14" s="1"/>
  <c r="AJ207" i="14"/>
  <c r="AK207" i="14" s="1"/>
  <c r="AJ218" i="14"/>
  <c r="AK218" i="14" s="1"/>
  <c r="AJ220" i="14"/>
  <c r="AK220" i="14" s="1"/>
  <c r="AJ223" i="14"/>
  <c r="AK223" i="14" s="1"/>
  <c r="AJ231" i="14"/>
  <c r="AK231" i="14" s="1"/>
  <c r="AJ232" i="14"/>
  <c r="AK232" i="14" s="1"/>
  <c r="AJ233" i="14"/>
  <c r="AK233" i="14" s="1"/>
  <c r="AJ237" i="14"/>
  <c r="AK237" i="14" s="1"/>
  <c r="AJ240" i="14"/>
  <c r="AK240" i="14" s="1"/>
  <c r="AJ241" i="14"/>
  <c r="AK241" i="14" s="1"/>
  <c r="AJ246" i="14"/>
  <c r="AK246" i="14" s="1"/>
  <c r="AJ6" i="14"/>
  <c r="AK6" i="14" s="1"/>
  <c r="AJ7" i="14"/>
  <c r="AK7" i="14" s="1"/>
  <c r="AJ9" i="14"/>
  <c r="AK9" i="14" s="1"/>
  <c r="AJ10" i="14"/>
  <c r="AK10" i="14" s="1"/>
  <c r="AJ12" i="14"/>
  <c r="AK12" i="14" s="1"/>
  <c r="AJ18" i="14"/>
  <c r="AK18" i="14" s="1"/>
  <c r="AJ19" i="14"/>
  <c r="AK19" i="14" s="1"/>
  <c r="AJ23" i="14"/>
  <c r="AK23" i="14" s="1"/>
  <c r="AJ24" i="14"/>
  <c r="AK24" i="14" s="1"/>
  <c r="AJ25" i="14"/>
  <c r="AK25" i="14" s="1"/>
  <c r="AJ27" i="14"/>
  <c r="AK27" i="14" s="1"/>
  <c r="AJ30" i="14"/>
  <c r="AK30" i="14" s="1"/>
  <c r="AJ31" i="14"/>
  <c r="AK31" i="14" s="1"/>
  <c r="AJ32" i="14"/>
  <c r="AK32" i="14" s="1"/>
  <c r="AJ33" i="14"/>
  <c r="AK33" i="14" s="1"/>
  <c r="AJ39" i="14"/>
  <c r="AK39" i="14" s="1"/>
  <c r="AJ87" i="14"/>
  <c r="AK87" i="14" s="1"/>
  <c r="AJ91" i="14"/>
  <c r="AK91" i="14" s="1"/>
  <c r="AJ103" i="14"/>
  <c r="AK103" i="14" s="1"/>
  <c r="AJ106" i="14"/>
  <c r="AK106" i="14" s="1"/>
  <c r="AJ107" i="14"/>
  <c r="AK107" i="14" s="1"/>
  <c r="AJ108" i="14"/>
  <c r="AK108" i="14" s="1"/>
  <c r="AJ112" i="14"/>
  <c r="AK112" i="14" s="1"/>
  <c r="AJ115" i="14"/>
  <c r="AK115" i="14" s="1"/>
  <c r="AJ117" i="14"/>
  <c r="AK117" i="14" s="1"/>
  <c r="AJ118" i="14"/>
  <c r="AK118" i="14" s="1"/>
  <c r="AJ127" i="14"/>
  <c r="AK127" i="14" s="1"/>
  <c r="AJ128" i="14"/>
  <c r="AK128" i="14" s="1"/>
  <c r="AJ133" i="14"/>
  <c r="AK133" i="14" s="1"/>
  <c r="AJ136" i="14"/>
  <c r="AK136" i="14" s="1"/>
  <c r="AJ137" i="14"/>
  <c r="AK137" i="14" s="1"/>
  <c r="AJ141" i="14"/>
  <c r="AK141" i="14" s="1"/>
  <c r="AJ142" i="14"/>
  <c r="AK142" i="14" s="1"/>
  <c r="AJ145" i="14"/>
  <c r="AK145" i="14" s="1"/>
  <c r="AJ149" i="14"/>
  <c r="AK149" i="14" s="1"/>
  <c r="AJ152" i="14"/>
  <c r="AK152" i="14" s="1"/>
  <c r="AJ153" i="14"/>
  <c r="AK153" i="14" s="1"/>
  <c r="AJ155" i="14"/>
  <c r="AK155" i="14" s="1"/>
  <c r="AJ157" i="14"/>
  <c r="AK157" i="14" s="1"/>
  <c r="AJ161" i="14"/>
  <c r="AK161" i="14" s="1"/>
  <c r="AJ162" i="14"/>
  <c r="AK162" i="14" s="1"/>
  <c r="AJ163" i="14"/>
  <c r="AK163" i="14" s="1"/>
  <c r="AJ167" i="14"/>
  <c r="AK167" i="14" s="1"/>
  <c r="AJ169" i="14"/>
  <c r="AK169" i="14" s="1"/>
  <c r="AJ170" i="14"/>
  <c r="AK170" i="14" s="1"/>
  <c r="AJ171" i="14"/>
  <c r="AK171" i="14" s="1"/>
  <c r="AJ174" i="14"/>
  <c r="AK174" i="14" s="1"/>
  <c r="AJ176" i="14"/>
  <c r="AK176" i="14" s="1"/>
  <c r="AJ177" i="14"/>
  <c r="AK177" i="14" s="1"/>
  <c r="AJ178" i="14"/>
  <c r="AK178" i="14" s="1"/>
  <c r="AJ179" i="14"/>
  <c r="AK179" i="14" s="1"/>
  <c r="AJ180" i="14"/>
  <c r="AK180" i="14" s="1"/>
  <c r="AJ187" i="14"/>
  <c r="AK187" i="14" s="1"/>
  <c r="AJ188" i="14"/>
  <c r="AK188" i="14" s="1"/>
  <c r="AJ189" i="14"/>
  <c r="AK189" i="14" s="1"/>
  <c r="AJ192" i="14"/>
  <c r="AK192" i="14" s="1"/>
  <c r="AJ196" i="14"/>
  <c r="AK196" i="14" s="1"/>
  <c r="AJ198" i="14"/>
  <c r="AK198" i="14" s="1"/>
  <c r="AJ199" i="14"/>
  <c r="AK199" i="14" s="1"/>
  <c r="AJ201" i="14"/>
  <c r="AK201" i="14" s="1"/>
  <c r="AJ205" i="14"/>
  <c r="AK205" i="14" s="1"/>
  <c r="AJ211" i="14"/>
  <c r="AK211" i="14" s="1"/>
  <c r="AJ212" i="14"/>
  <c r="AK212" i="14" s="1"/>
  <c r="AJ213" i="14"/>
  <c r="AK213" i="14" s="1"/>
  <c r="AJ214" i="14"/>
  <c r="AK214" i="14" s="1"/>
  <c r="AJ215" i="14"/>
  <c r="AK215" i="14" s="1"/>
  <c r="AJ217" i="14"/>
  <c r="AK217" i="14" s="1"/>
  <c r="AJ221" i="14"/>
  <c r="AK221" i="14" s="1"/>
  <c r="AJ224" i="14"/>
  <c r="AK224" i="14" s="1"/>
  <c r="AJ225" i="14"/>
  <c r="AK225" i="14" s="1"/>
  <c r="AJ226" i="14"/>
  <c r="AK226" i="14" s="1"/>
  <c r="AJ227" i="14"/>
  <c r="AK227" i="14" s="1"/>
  <c r="AJ228" i="14"/>
  <c r="AK228" i="14" s="1"/>
  <c r="AJ229" i="14"/>
  <c r="AK229" i="14" s="1"/>
  <c r="AJ230" i="14"/>
  <c r="AK230" i="14" s="1"/>
  <c r="AJ234" i="14"/>
  <c r="AK234" i="14" s="1"/>
  <c r="AJ235" i="14"/>
  <c r="AK235" i="14" s="1"/>
  <c r="AJ236" i="14"/>
  <c r="AK236" i="14" s="1"/>
  <c r="AJ238" i="14"/>
  <c r="AK238" i="14" s="1"/>
  <c r="AJ242" i="14"/>
  <c r="AK242" i="14" s="1"/>
  <c r="AJ244" i="14"/>
  <c r="AK244" i="14" s="1"/>
  <c r="AJ245" i="14"/>
  <c r="AK245" i="14" s="1"/>
  <c r="AJ247" i="14"/>
  <c r="AK247" i="14" s="1"/>
  <c r="AI72" i="14"/>
  <c r="AI109" i="14"/>
  <c r="AI139" i="14"/>
  <c r="AI151" i="14"/>
  <c r="AI156" i="14"/>
  <c r="AI195" i="14"/>
  <c r="AI200" i="14"/>
  <c r="AI202" i="14"/>
  <c r="AI203" i="14"/>
  <c r="AI222" i="14"/>
  <c r="AI243" i="14"/>
  <c r="AI5" i="14"/>
  <c r="AI11" i="14"/>
  <c r="AI13" i="14"/>
  <c r="AI14" i="14"/>
  <c r="AI15" i="14"/>
  <c r="AI16" i="14"/>
  <c r="AI17" i="14"/>
  <c r="AI20" i="14"/>
  <c r="AI21" i="14"/>
  <c r="AI26" i="14"/>
  <c r="AI28" i="14"/>
  <c r="AI35" i="14"/>
  <c r="AI36" i="14"/>
  <c r="AI37" i="14"/>
  <c r="AI38" i="14"/>
  <c r="AI44" i="14"/>
  <c r="AI57" i="14"/>
  <c r="AI62" i="14"/>
  <c r="AI71" i="14"/>
  <c r="AI77" i="14"/>
  <c r="AI90" i="14"/>
  <c r="AI104" i="14"/>
  <c r="AI105" i="14"/>
  <c r="AI113" i="14"/>
  <c r="AI119" i="14"/>
  <c r="AI120" i="14"/>
  <c r="AI121" i="14"/>
  <c r="AI122" i="14"/>
  <c r="AI123" i="14"/>
  <c r="AI124" i="14"/>
  <c r="AI125" i="14"/>
  <c r="AI126" i="14"/>
  <c r="AI129" i="14"/>
  <c r="AI130" i="14"/>
  <c r="AI131" i="14"/>
  <c r="AI132" i="14"/>
  <c r="AI134" i="14"/>
  <c r="AI135" i="14"/>
  <c r="AI138" i="14"/>
  <c r="AI140" i="14"/>
  <c r="AI143" i="14"/>
  <c r="AI144" i="14"/>
  <c r="AI147" i="14"/>
  <c r="AI148" i="14"/>
  <c r="AI154" i="14"/>
  <c r="AI159" i="14"/>
  <c r="AI160" i="14"/>
  <c r="AI164" i="14"/>
  <c r="AI165" i="14"/>
  <c r="AI166" i="14"/>
  <c r="AI175" i="14"/>
  <c r="AI181" i="14"/>
  <c r="AI184" i="14"/>
  <c r="AI185" i="14"/>
  <c r="AI194" i="14"/>
  <c r="AI204" i="14"/>
  <c r="AI207" i="14"/>
  <c r="AI218" i="14"/>
  <c r="AI220" i="14"/>
  <c r="AI223" i="14"/>
  <c r="AI231" i="14"/>
  <c r="AI232" i="14"/>
  <c r="AI233" i="14"/>
  <c r="AI237" i="14"/>
  <c r="AI240" i="14"/>
  <c r="AI241" i="14"/>
  <c r="AI246" i="14"/>
  <c r="AI6" i="14"/>
  <c r="AI7" i="14"/>
  <c r="AI9" i="14"/>
  <c r="AI10" i="14"/>
  <c r="AI12" i="14"/>
  <c r="AI18" i="14"/>
  <c r="AI19" i="14"/>
  <c r="AI23" i="14"/>
  <c r="AI24" i="14"/>
  <c r="AI25" i="14"/>
  <c r="AI27" i="14"/>
  <c r="AI30" i="14"/>
  <c r="AI31" i="14"/>
  <c r="AI32" i="14"/>
  <c r="AI33" i="14"/>
  <c r="AI39" i="14"/>
  <c r="AI40" i="14"/>
  <c r="AI41" i="14"/>
  <c r="AI42" i="14"/>
  <c r="AI43" i="14"/>
  <c r="AI45" i="14"/>
  <c r="AI46" i="14"/>
  <c r="AI47" i="14"/>
  <c r="AI48" i="14"/>
  <c r="AI49" i="14"/>
  <c r="AI50" i="14"/>
  <c r="AI51" i="14"/>
  <c r="AI52" i="14"/>
  <c r="AI53" i="14"/>
  <c r="AI55" i="14"/>
  <c r="AI56" i="14"/>
  <c r="AI58" i="14"/>
  <c r="AI59" i="14"/>
  <c r="AI63" i="14"/>
  <c r="AI64" i="14"/>
  <c r="AI65" i="14"/>
  <c r="AI66" i="14"/>
  <c r="AI68" i="14"/>
  <c r="AI69" i="14"/>
  <c r="AI70" i="14"/>
  <c r="AI73" i="14"/>
  <c r="AI74" i="14"/>
  <c r="AI76" i="14"/>
  <c r="AI78" i="14"/>
  <c r="AI79" i="14"/>
  <c r="AI80" i="14"/>
  <c r="AI81" i="14"/>
  <c r="AI82" i="14"/>
  <c r="AI83" i="14"/>
  <c r="AI84" i="14"/>
  <c r="AI86" i="14"/>
  <c r="AI87" i="14"/>
  <c r="AI91" i="14"/>
  <c r="AI92" i="14"/>
  <c r="AI94" i="14"/>
  <c r="AI97" i="14"/>
  <c r="AI98" i="14"/>
  <c r="AI99" i="14"/>
  <c r="AI100" i="14"/>
  <c r="AI101" i="14"/>
  <c r="AI103" i="14"/>
  <c r="AI106" i="14"/>
  <c r="AI107" i="14"/>
  <c r="AI108" i="14"/>
  <c r="AI112" i="14"/>
  <c r="AI115" i="14"/>
  <c r="AI117" i="14"/>
  <c r="AI118" i="14"/>
  <c r="AI127" i="14"/>
  <c r="AI128" i="14"/>
  <c r="AI133" i="14"/>
  <c r="AI136" i="14"/>
  <c r="AI137" i="14"/>
  <c r="AI141" i="14"/>
  <c r="AI142" i="14"/>
  <c r="AI145" i="14"/>
  <c r="AI149" i="14"/>
  <c r="AI152" i="14"/>
  <c r="AI153" i="14"/>
  <c r="AI155" i="14"/>
  <c r="AI157" i="14"/>
  <c r="AI161" i="14"/>
  <c r="AI162" i="14"/>
  <c r="AI163" i="14"/>
  <c r="AI167" i="14"/>
  <c r="AI169" i="14"/>
  <c r="AI170" i="14"/>
  <c r="AI171" i="14"/>
  <c r="AI174" i="14"/>
  <c r="AI176" i="14"/>
  <c r="AI177" i="14"/>
  <c r="AI178" i="14"/>
  <c r="AI179" i="14"/>
  <c r="AI180" i="14"/>
  <c r="AI187" i="14"/>
  <c r="AI188" i="14"/>
  <c r="AI189" i="14"/>
  <c r="AI192" i="14"/>
  <c r="AI196" i="14"/>
  <c r="AI198" i="14"/>
  <c r="AI199" i="14"/>
  <c r="AI201" i="14"/>
  <c r="AI205" i="14"/>
  <c r="AI211" i="14"/>
  <c r="AI212" i="14"/>
  <c r="AI213" i="14"/>
  <c r="AI214" i="14"/>
  <c r="AI215" i="14"/>
  <c r="AI217" i="14"/>
  <c r="AI221" i="14"/>
  <c r="AI224" i="14"/>
  <c r="AI225" i="14"/>
  <c r="AI226" i="14"/>
  <c r="AI227" i="14"/>
  <c r="AI228" i="14"/>
  <c r="AI229" i="14"/>
  <c r="AI230" i="14"/>
  <c r="AI234" i="14"/>
  <c r="AI235" i="14"/>
  <c r="AI236" i="14"/>
  <c r="AI238" i="14"/>
  <c r="AI242" i="14"/>
  <c r="AI244" i="14"/>
  <c r="AI245" i="14"/>
  <c r="AI247" i="14"/>
  <c r="H15" i="43"/>
  <c r="H19" i="43"/>
  <c r="H17" i="43"/>
  <c r="Q13" i="43"/>
  <c r="Q14" i="43"/>
  <c r="H16" i="43"/>
  <c r="Q15" i="43"/>
  <c r="AP252" i="20" l="1"/>
  <c r="AP249" i="20"/>
  <c r="AP256" i="20"/>
  <c r="V23" i="62" l="1"/>
  <c r="V24" i="62"/>
  <c r="V25" i="62"/>
  <c r="V26" i="62"/>
  <c r="V27" i="62"/>
  <c r="V28" i="62"/>
  <c r="V29" i="62"/>
  <c r="V30" i="62"/>
  <c r="V31" i="62"/>
  <c r="U22" i="62"/>
  <c r="T22" i="62" s="1"/>
  <c r="U23" i="62"/>
  <c r="U24" i="62"/>
  <c r="U25" i="62"/>
  <c r="U26" i="62"/>
  <c r="U27" i="62"/>
  <c r="U28" i="62"/>
  <c r="U29" i="62"/>
  <c r="U30" i="62"/>
  <c r="U31" i="62"/>
  <c r="S31" i="62"/>
  <c r="S23" i="62"/>
  <c r="S24" i="62"/>
  <c r="S25" i="62"/>
  <c r="S26" i="62"/>
  <c r="S27" i="62"/>
  <c r="S28" i="62"/>
  <c r="S29" i="62"/>
  <c r="S30" i="62"/>
  <c r="S22" i="62"/>
  <c r="A77" i="20"/>
  <c r="A76" i="20"/>
  <c r="A80" i="20"/>
  <c r="A79" i="20"/>
  <c r="A43" i="20"/>
  <c r="A49" i="20"/>
  <c r="A53" i="20"/>
  <c r="A52" i="20"/>
  <c r="A55" i="20"/>
  <c r="A57" i="20"/>
  <c r="A71" i="20"/>
  <c r="A73" i="20"/>
  <c r="A45" i="20"/>
  <c r="A47" i="20"/>
  <c r="A48" i="20"/>
  <c r="A46" i="20"/>
  <c r="A74" i="20"/>
  <c r="A78" i="20"/>
  <c r="A75" i="20"/>
  <c r="A81" i="20"/>
  <c r="A82" i="20"/>
  <c r="A87" i="20"/>
  <c r="A96" i="20"/>
  <c r="A95" i="20"/>
  <c r="A107" i="20"/>
  <c r="A101" i="20"/>
  <c r="A102" i="20"/>
  <c r="A91" i="20"/>
  <c r="A106" i="20"/>
  <c r="A105" i="20"/>
  <c r="A104" i="20"/>
  <c r="A97" i="20"/>
  <c r="A88" i="20"/>
  <c r="A90" i="20"/>
  <c r="A94" i="20"/>
  <c r="A92" i="20"/>
  <c r="A89" i="20"/>
  <c r="A98" i="20"/>
  <c r="A93" i="20"/>
  <c r="A103" i="20"/>
  <c r="A125" i="20"/>
  <c r="A126" i="20"/>
  <c r="A127" i="20"/>
  <c r="A128" i="20"/>
  <c r="A167" i="20"/>
  <c r="A168" i="20"/>
  <c r="A175" i="20"/>
  <c r="A176" i="20"/>
  <c r="A178" i="20"/>
  <c r="A177" i="20"/>
  <c r="A182" i="20"/>
  <c r="A180" i="20"/>
  <c r="A181" i="20"/>
  <c r="A179" i="20"/>
  <c r="A184" i="20"/>
  <c r="A183" i="20"/>
  <c r="A185" i="20"/>
  <c r="A187" i="20"/>
  <c r="A186" i="20"/>
  <c r="A189" i="20"/>
  <c r="A188" i="20"/>
  <c r="A190" i="20"/>
  <c r="A192" i="20"/>
  <c r="A191" i="20"/>
  <c r="A193" i="20"/>
  <c r="A194" i="20"/>
  <c r="A196" i="20"/>
  <c r="A195" i="20"/>
  <c r="A197" i="20"/>
  <c r="A198" i="20"/>
  <c r="A199" i="20"/>
  <c r="A201" i="20"/>
  <c r="A200" i="20"/>
  <c r="A202" i="20"/>
  <c r="A203" i="20"/>
  <c r="A205" i="20"/>
  <c r="A204" i="20"/>
  <c r="A207" i="20"/>
  <c r="A206" i="20"/>
  <c r="A208" i="20"/>
  <c r="A209" i="20"/>
  <c r="A210" i="20"/>
  <c r="A211" i="20"/>
  <c r="A212" i="20"/>
  <c r="A214" i="20"/>
  <c r="A213" i="20"/>
  <c r="A220" i="20"/>
  <c r="A216" i="20"/>
  <c r="A218" i="20"/>
  <c r="A219" i="20"/>
  <c r="A215" i="20"/>
  <c r="A217" i="20"/>
  <c r="A221" i="20"/>
  <c r="A222" i="20"/>
  <c r="A223" i="20"/>
  <c r="A226" i="20"/>
  <c r="A225" i="20"/>
  <c r="A224" i="20"/>
  <c r="A229" i="20"/>
  <c r="A227" i="20"/>
  <c r="A228" i="20"/>
  <c r="A231" i="20"/>
  <c r="A232" i="20"/>
  <c r="A234" i="20"/>
  <c r="A230" i="20"/>
  <c r="A233" i="20"/>
  <c r="A237" i="20"/>
  <c r="A236" i="20"/>
  <c r="A235" i="20"/>
  <c r="A241" i="20"/>
  <c r="A239" i="20"/>
  <c r="A240" i="20"/>
  <c r="A238" i="20"/>
  <c r="A242" i="20"/>
  <c r="A243" i="20"/>
  <c r="A245" i="20"/>
  <c r="A244" i="20"/>
  <c r="A246" i="20"/>
  <c r="A247" i="20"/>
  <c r="A248" i="20"/>
  <c r="A251" i="20"/>
  <c r="A255" i="20"/>
  <c r="A254" i="20"/>
  <c r="A259" i="20"/>
  <c r="A261" i="20"/>
  <c r="A258" i="20"/>
  <c r="A260" i="20"/>
  <c r="A262" i="20"/>
  <c r="A263" i="20"/>
  <c r="A264" i="20"/>
  <c r="A265" i="20"/>
  <c r="A267" i="20"/>
  <c r="A266" i="20"/>
  <c r="A270" i="20"/>
  <c r="A269" i="20"/>
  <c r="A268" i="20"/>
  <c r="A271" i="20"/>
  <c r="A273" i="20"/>
  <c r="A272" i="20"/>
  <c r="A274" i="20"/>
  <c r="A275" i="20"/>
  <c r="A276" i="20"/>
  <c r="A277" i="20"/>
  <c r="A278" i="20"/>
  <c r="A281" i="20"/>
  <c r="A279" i="20"/>
  <c r="A280" i="20"/>
  <c r="A283" i="20"/>
  <c r="A284" i="20"/>
  <c r="A282" i="20"/>
  <c r="A286" i="20"/>
  <c r="A285" i="20"/>
  <c r="A287" i="20"/>
  <c r="A288" i="20"/>
  <c r="A290" i="20"/>
  <c r="A291" i="20"/>
  <c r="A292" i="20"/>
  <c r="A294" i="20"/>
  <c r="A293" i="20"/>
  <c r="A295" i="20"/>
  <c r="A297" i="20"/>
  <c r="A296" i="20"/>
  <c r="A303" i="20"/>
  <c r="A300" i="20"/>
  <c r="A298" i="20"/>
  <c r="A299" i="20"/>
  <c r="A302" i="20"/>
  <c r="A301" i="20"/>
  <c r="A304" i="20"/>
  <c r="A305" i="20"/>
  <c r="A308" i="20"/>
  <c r="A307" i="20"/>
  <c r="A306" i="20"/>
  <c r="A310" i="20"/>
  <c r="A309" i="20"/>
  <c r="A312" i="20"/>
  <c r="A313" i="20"/>
  <c r="A317" i="20"/>
  <c r="A315" i="20"/>
  <c r="A316" i="20"/>
  <c r="A314" i="20"/>
  <c r="A318" i="20"/>
  <c r="A319" i="20"/>
  <c r="A320" i="20"/>
  <c r="A321" i="20"/>
  <c r="A323" i="20"/>
  <c r="A324" i="20"/>
  <c r="A322" i="20"/>
  <c r="A325" i="20"/>
  <c r="A327" i="20"/>
  <c r="A329" i="20"/>
  <c r="A326" i="20"/>
  <c r="A328" i="20"/>
  <c r="A331" i="20"/>
  <c r="A330" i="20"/>
  <c r="A332" i="20"/>
  <c r="A333" i="20"/>
  <c r="A335" i="20"/>
  <c r="A334" i="20"/>
  <c r="A336" i="20"/>
  <c r="A338" i="20"/>
  <c r="A339" i="20"/>
  <c r="A337" i="20"/>
  <c r="A340" i="20"/>
  <c r="A341" i="20"/>
  <c r="A344" i="20"/>
  <c r="A343" i="20"/>
  <c r="A342" i="20"/>
  <c r="A346" i="20"/>
  <c r="A345" i="20"/>
  <c r="A347" i="20"/>
  <c r="A348" i="20"/>
  <c r="A411" i="20"/>
  <c r="A362" i="20"/>
  <c r="A360" i="20"/>
  <c r="A373" i="20"/>
  <c r="A355" i="20"/>
  <c r="A402" i="20"/>
  <c r="A395" i="20"/>
  <c r="A377" i="20"/>
  <c r="A413" i="20"/>
  <c r="A414" i="20"/>
  <c r="A365" i="20"/>
  <c r="A382" i="20"/>
  <c r="A371" i="20"/>
  <c r="A416" i="20"/>
  <c r="A393" i="20"/>
  <c r="A376" i="20"/>
  <c r="A408" i="20"/>
  <c r="A363" i="20"/>
  <c r="A407" i="20"/>
  <c r="A403" i="20"/>
  <c r="A352" i="20"/>
  <c r="A350" i="20"/>
  <c r="A410" i="20"/>
  <c r="A361" i="20"/>
  <c r="A394" i="20"/>
  <c r="A356" i="20"/>
  <c r="A359" i="20"/>
  <c r="A372" i="20"/>
  <c r="A399" i="20"/>
  <c r="A406" i="20"/>
  <c r="A390" i="20"/>
  <c r="A357" i="20"/>
  <c r="A419" i="20"/>
  <c r="A378" i="20"/>
  <c r="A396" i="20"/>
  <c r="A354" i="20"/>
  <c r="A415" i="20"/>
  <c r="A364" i="20"/>
  <c r="A367" i="20"/>
  <c r="A385" i="20"/>
  <c r="A374" i="20"/>
  <c r="A388" i="20"/>
  <c r="A409" i="20"/>
  <c r="A398" i="20"/>
  <c r="A401" i="20"/>
  <c r="A379" i="20"/>
  <c r="A386" i="20"/>
  <c r="A421" i="20"/>
  <c r="A381" i="20"/>
  <c r="A368" i="20"/>
  <c r="A384" i="20"/>
  <c r="A380" i="20"/>
  <c r="A412" i="20"/>
  <c r="A400" i="20"/>
  <c r="A418" i="20"/>
  <c r="A405" i="20"/>
  <c r="A370" i="20"/>
  <c r="A383" i="20"/>
  <c r="A391" i="20"/>
  <c r="A375" i="20"/>
  <c r="A351" i="20"/>
  <c r="A349" i="20"/>
  <c r="A358" i="20"/>
  <c r="A389" i="20"/>
  <c r="A353" i="20"/>
  <c r="A366" i="20"/>
  <c r="A387" i="20"/>
  <c r="A420" i="20"/>
  <c r="A417" i="20"/>
  <c r="A392" i="20"/>
  <c r="A404" i="20"/>
  <c r="A397" i="20"/>
  <c r="A369" i="20"/>
  <c r="A422" i="20"/>
  <c r="A423" i="20"/>
  <c r="A424" i="20"/>
  <c r="A426" i="20"/>
  <c r="A428" i="20"/>
  <c r="A425" i="20"/>
  <c r="A429" i="20"/>
  <c r="A430" i="20"/>
  <c r="A427" i="20"/>
  <c r="A433" i="20"/>
  <c r="A432" i="20"/>
  <c r="A431" i="20"/>
  <c r="A434" i="20"/>
  <c r="A435" i="20"/>
  <c r="A436" i="20"/>
  <c r="A437" i="20"/>
  <c r="A439" i="20"/>
  <c r="A438" i="20"/>
  <c r="A440" i="20"/>
  <c r="A441" i="20"/>
  <c r="A445" i="20"/>
  <c r="A442" i="20"/>
  <c r="A444" i="20"/>
  <c r="A443" i="20"/>
  <c r="A446" i="20"/>
  <c r="A448" i="20"/>
  <c r="A447" i="20"/>
  <c r="A449" i="20"/>
  <c r="A451" i="20"/>
  <c r="A450" i="20"/>
  <c r="A452" i="20"/>
  <c r="A454" i="20"/>
  <c r="A453" i="20"/>
  <c r="A455" i="20"/>
  <c r="A461" i="20"/>
  <c r="A457" i="20"/>
  <c r="A460" i="20"/>
  <c r="A456" i="20"/>
  <c r="A458" i="20"/>
  <c r="A459" i="20"/>
  <c r="A462" i="20"/>
  <c r="A463" i="20"/>
  <c r="A464" i="20"/>
  <c r="A465" i="20"/>
  <c r="A467" i="20"/>
  <c r="A469" i="20"/>
  <c r="A466" i="20"/>
  <c r="A470" i="20"/>
  <c r="A468" i="20"/>
  <c r="A471" i="20"/>
  <c r="A473" i="20"/>
  <c r="A475" i="20"/>
  <c r="A476" i="20"/>
  <c r="A472" i="20"/>
  <c r="A474" i="20"/>
  <c r="A478" i="20"/>
  <c r="A477" i="20"/>
  <c r="A481" i="20"/>
  <c r="A479" i="20"/>
  <c r="A480" i="20"/>
  <c r="A482" i="20"/>
  <c r="A483" i="20"/>
  <c r="A484" i="20"/>
  <c r="A485" i="20"/>
  <c r="A487" i="20"/>
  <c r="A486" i="20"/>
  <c r="A488" i="20"/>
  <c r="A489" i="20"/>
  <c r="A502" i="20"/>
  <c r="A501" i="20"/>
  <c r="A491" i="20"/>
  <c r="A497" i="20"/>
  <c r="A496" i="20"/>
  <c r="A500" i="20"/>
  <c r="A499" i="20"/>
  <c r="A494" i="20"/>
  <c r="A493" i="20"/>
  <c r="A495" i="20"/>
  <c r="A492" i="20"/>
  <c r="A503" i="20"/>
  <c r="A498" i="20"/>
  <c r="A490" i="20"/>
  <c r="A506" i="20"/>
  <c r="A504" i="20"/>
  <c r="A505" i="20"/>
  <c r="A507" i="20"/>
  <c r="A514" i="20"/>
  <c r="A508" i="20"/>
  <c r="A516" i="20"/>
  <c r="A518" i="20"/>
  <c r="A511" i="20"/>
  <c r="A515" i="20"/>
  <c r="A517" i="20"/>
  <c r="A513" i="20"/>
  <c r="A510" i="20"/>
  <c r="A509" i="20"/>
  <c r="A512" i="20"/>
  <c r="A519" i="20"/>
  <c r="A521" i="20"/>
  <c r="A520" i="20"/>
  <c r="A522" i="20"/>
  <c r="A523" i="20"/>
  <c r="A525" i="20"/>
  <c r="A526" i="20"/>
  <c r="A527" i="20"/>
  <c r="A528" i="20"/>
  <c r="A532" i="20"/>
  <c r="A535" i="20"/>
  <c r="A536" i="20"/>
  <c r="A534" i="20"/>
  <c r="A530" i="20"/>
  <c r="A533" i="20"/>
  <c r="A531" i="20"/>
  <c r="A529" i="20"/>
  <c r="A539" i="20"/>
  <c r="A538" i="20"/>
  <c r="A537" i="20"/>
  <c r="A540" i="20"/>
  <c r="A541" i="20"/>
  <c r="A542" i="20"/>
  <c r="A543" i="20"/>
  <c r="A544" i="20"/>
  <c r="A545" i="20"/>
  <c r="A547" i="20"/>
  <c r="A546" i="20"/>
  <c r="A548" i="20"/>
  <c r="A550" i="20"/>
  <c r="A549" i="20"/>
  <c r="A561" i="20"/>
  <c r="A560" i="20"/>
  <c r="A552" i="20"/>
  <c r="A554" i="20"/>
  <c r="A556" i="20"/>
  <c r="A557" i="20"/>
  <c r="A551" i="20"/>
  <c r="A559" i="20"/>
  <c r="A558" i="20"/>
  <c r="A555" i="20"/>
  <c r="A553" i="20"/>
  <c r="A563" i="20"/>
  <c r="A562" i="20"/>
  <c r="A564" i="20"/>
  <c r="A565" i="20"/>
  <c r="A567" i="20"/>
  <c r="A566" i="20"/>
  <c r="A568" i="20"/>
  <c r="A569" i="20"/>
  <c r="A570" i="20"/>
  <c r="A571" i="20"/>
  <c r="A573" i="20"/>
  <c r="A576" i="20"/>
  <c r="A579" i="20"/>
  <c r="A577" i="20"/>
  <c r="A575" i="20"/>
  <c r="A572" i="20"/>
  <c r="A574" i="20"/>
  <c r="A578" i="20"/>
  <c r="A592" i="20"/>
  <c r="A584" i="20"/>
  <c r="A585" i="20"/>
  <c r="A581" i="20"/>
  <c r="A582" i="20"/>
  <c r="A586" i="20"/>
  <c r="A590" i="20"/>
  <c r="A591" i="20"/>
  <c r="A589" i="20"/>
  <c r="A580" i="20"/>
  <c r="A583" i="20"/>
  <c r="A588" i="20"/>
  <c r="A587" i="20"/>
  <c r="A599" i="20"/>
  <c r="A601" i="20"/>
  <c r="A596" i="20"/>
  <c r="A595" i="20"/>
  <c r="A593" i="20"/>
  <c r="A597" i="20"/>
  <c r="A600" i="20"/>
  <c r="A594" i="20"/>
  <c r="A598" i="20"/>
  <c r="A612" i="20"/>
  <c r="A610" i="20"/>
  <c r="A607" i="20"/>
  <c r="A611" i="20"/>
  <c r="A609" i="20"/>
  <c r="A604" i="20"/>
  <c r="A605" i="20"/>
  <c r="A606" i="20"/>
  <c r="A602" i="20"/>
  <c r="A603" i="20"/>
  <c r="A608" i="20"/>
  <c r="A614" i="20"/>
  <c r="A613" i="20"/>
  <c r="A615" i="20"/>
  <c r="A616" i="20"/>
  <c r="A617" i="20"/>
  <c r="A621" i="20"/>
  <c r="A619" i="20"/>
  <c r="A618" i="20"/>
  <c r="A623" i="20"/>
  <c r="A622" i="20"/>
  <c r="A620" i="20"/>
  <c r="A628" i="20"/>
  <c r="A624" i="20"/>
  <c r="A627" i="20"/>
  <c r="A626" i="20"/>
  <c r="A625" i="20"/>
  <c r="A629" i="20"/>
  <c r="A640" i="20"/>
  <c r="A641" i="20"/>
  <c r="A638" i="20"/>
  <c r="A630" i="20"/>
  <c r="A637" i="20"/>
  <c r="A636" i="20"/>
  <c r="A642" i="20"/>
  <c r="A643" i="20"/>
  <c r="A635" i="20"/>
  <c r="A639" i="20"/>
  <c r="A631" i="20"/>
  <c r="A634" i="20"/>
  <c r="A633" i="20"/>
  <c r="A632" i="20"/>
  <c r="A644" i="20"/>
  <c r="A645" i="20"/>
  <c r="A646" i="20"/>
  <c r="A648" i="20"/>
  <c r="A647" i="20"/>
  <c r="A649" i="20"/>
  <c r="A650" i="20"/>
  <c r="A651" i="20"/>
  <c r="A652" i="20"/>
  <c r="A653" i="20"/>
  <c r="A654" i="20"/>
  <c r="A655" i="20"/>
  <c r="A656" i="20"/>
  <c r="A657" i="20"/>
  <c r="A679" i="20"/>
  <c r="A693" i="20"/>
  <c r="A676" i="20"/>
  <c r="A672" i="20"/>
  <c r="A673" i="20"/>
  <c r="A662" i="20"/>
  <c r="A677" i="20"/>
  <c r="A684" i="20"/>
  <c r="A691" i="20"/>
  <c r="A686" i="20"/>
  <c r="A666" i="20"/>
  <c r="A685" i="20"/>
  <c r="A690" i="20"/>
  <c r="A675" i="20"/>
  <c r="A674" i="20"/>
  <c r="A681" i="20"/>
  <c r="A692" i="20"/>
  <c r="A688" i="20"/>
  <c r="A687" i="20"/>
  <c r="A689" i="20"/>
  <c r="A694" i="20"/>
  <c r="A670" i="20"/>
  <c r="A668" i="20"/>
  <c r="A695" i="20"/>
  <c r="A678" i="20"/>
  <c r="A667" i="20"/>
  <c r="A682" i="20"/>
  <c r="A661" i="20"/>
  <c r="A658" i="20"/>
  <c r="A680" i="20"/>
  <c r="A660" i="20"/>
  <c r="A665" i="20"/>
  <c r="A664" i="20"/>
  <c r="A663" i="20"/>
  <c r="A659" i="20"/>
  <c r="A669" i="20"/>
  <c r="A671" i="20"/>
  <c r="A683" i="20"/>
  <c r="A697" i="20"/>
  <c r="A696" i="20"/>
  <c r="A699" i="20"/>
  <c r="A698" i="20"/>
  <c r="A700" i="20"/>
  <c r="A702" i="20"/>
  <c r="A701" i="20"/>
  <c r="A703" i="20"/>
  <c r="A704" i="20"/>
  <c r="A705" i="20"/>
  <c r="A706" i="20"/>
  <c r="A707" i="20"/>
  <c r="A708" i="20"/>
  <c r="A709" i="20"/>
  <c r="A710" i="20"/>
  <c r="A711" i="20"/>
  <c r="A712" i="20"/>
  <c r="A713" i="20"/>
  <c r="A714" i="20"/>
  <c r="A715" i="20"/>
  <c r="A716" i="20"/>
  <c r="A717" i="20"/>
  <c r="A718" i="20"/>
  <c r="A719" i="20"/>
  <c r="A720" i="20"/>
  <c r="A721" i="20"/>
  <c r="A723" i="20"/>
  <c r="A722" i="20"/>
  <c r="A725" i="20"/>
  <c r="A724" i="20"/>
  <c r="A726" i="20"/>
  <c r="A727" i="20"/>
  <c r="A728" i="20"/>
  <c r="A729" i="20"/>
  <c r="A730" i="20"/>
  <c r="A731" i="20"/>
  <c r="A732" i="20"/>
  <c r="A733" i="20"/>
  <c r="A735" i="20"/>
  <c r="A734" i="20"/>
  <c r="A736" i="20"/>
  <c r="A737" i="20"/>
  <c r="A738" i="20"/>
  <c r="A739" i="20"/>
  <c r="A741" i="20"/>
  <c r="A740" i="20"/>
  <c r="A742" i="20"/>
  <c r="A743" i="20"/>
  <c r="A744" i="20"/>
  <c r="A746" i="20"/>
  <c r="A745" i="20"/>
  <c r="A748" i="20"/>
  <c r="A747" i="20"/>
  <c r="A752" i="20"/>
  <c r="A749" i="20"/>
  <c r="A750" i="20"/>
  <c r="A751" i="20"/>
  <c r="A753" i="20"/>
  <c r="A754" i="20"/>
  <c r="A755" i="20"/>
  <c r="A757" i="20"/>
  <c r="A756" i="20"/>
  <c r="A768" i="20"/>
  <c r="A767" i="20"/>
  <c r="A772" i="20"/>
  <c r="A763" i="20"/>
  <c r="A759" i="20"/>
  <c r="A761" i="20"/>
  <c r="A760" i="20"/>
  <c r="A764" i="20"/>
  <c r="A777" i="20"/>
  <c r="A762" i="20"/>
  <c r="A771" i="20"/>
  <c r="A770" i="20"/>
  <c r="A758" i="20"/>
  <c r="A773" i="20"/>
  <c r="A776" i="20"/>
  <c r="A769" i="20"/>
  <c r="A775" i="20"/>
  <c r="A774" i="20"/>
  <c r="A765" i="20"/>
  <c r="A766" i="20"/>
  <c r="A780" i="20"/>
  <c r="A779" i="20"/>
  <c r="A781" i="20"/>
  <c r="A783" i="20"/>
  <c r="A782" i="20"/>
  <c r="A778" i="20"/>
  <c r="A788" i="20"/>
  <c r="A784" i="20"/>
  <c r="A786" i="20"/>
  <c r="A789" i="20"/>
  <c r="A785" i="20"/>
  <c r="A787" i="20"/>
  <c r="A790" i="20"/>
  <c r="A791" i="20"/>
  <c r="A792" i="20"/>
  <c r="A793" i="20"/>
  <c r="A794" i="20"/>
  <c r="A795" i="20"/>
  <c r="A796" i="20"/>
  <c r="A797" i="20"/>
  <c r="A799" i="20"/>
  <c r="A800" i="20"/>
  <c r="A798" i="20"/>
  <c r="A801" i="20"/>
  <c r="A802" i="20"/>
  <c r="A803" i="20"/>
  <c r="A804" i="20"/>
  <c r="A805" i="20"/>
  <c r="A807" i="20"/>
  <c r="A806" i="20"/>
  <c r="A808" i="20"/>
  <c r="A809" i="20"/>
  <c r="A810" i="20"/>
  <c r="A811" i="20"/>
  <c r="A814" i="20"/>
  <c r="A812" i="20"/>
  <c r="A813" i="20"/>
  <c r="A815" i="20"/>
  <c r="A816" i="20"/>
  <c r="A820" i="20"/>
  <c r="A817" i="20"/>
  <c r="A819" i="20"/>
  <c r="A818" i="20"/>
  <c r="A821" i="20"/>
  <c r="A824" i="20"/>
  <c r="A823" i="20"/>
  <c r="A825" i="20"/>
  <c r="A822" i="20"/>
  <c r="A826" i="20"/>
  <c r="A827" i="20"/>
  <c r="A828" i="20"/>
  <c r="A829" i="20"/>
  <c r="A830" i="20"/>
  <c r="A832" i="20"/>
  <c r="A831" i="20"/>
  <c r="A833" i="20"/>
  <c r="A834" i="20"/>
  <c r="A835" i="20"/>
  <c r="A836" i="20"/>
  <c r="A837" i="20"/>
  <c r="A838" i="20"/>
  <c r="A839" i="20"/>
  <c r="A844" i="20"/>
  <c r="A843" i="20"/>
  <c r="A842" i="20"/>
  <c r="A841" i="20"/>
  <c r="A840" i="20"/>
  <c r="A846" i="20"/>
  <c r="A845" i="20"/>
  <c r="A848" i="20"/>
  <c r="A847" i="20"/>
  <c r="A849" i="20"/>
  <c r="A851" i="20"/>
  <c r="A850" i="20"/>
  <c r="A852" i="20"/>
  <c r="A853" i="20"/>
  <c r="A854" i="20"/>
  <c r="A855" i="20"/>
  <c r="A866" i="20"/>
  <c r="A867" i="20"/>
  <c r="A865" i="20"/>
  <c r="A868" i="20"/>
  <c r="A864" i="20"/>
  <c r="A862" i="20"/>
  <c r="A861" i="20"/>
  <c r="A860" i="20"/>
  <c r="A863" i="20"/>
  <c r="A859" i="20"/>
  <c r="A858" i="20"/>
  <c r="A857" i="20"/>
  <c r="A856" i="20"/>
  <c r="A869" i="20"/>
  <c r="A870" i="20"/>
  <c r="A871" i="20"/>
  <c r="A874" i="20"/>
  <c r="A873" i="20"/>
  <c r="A872" i="20"/>
  <c r="A875" i="20"/>
  <c r="A876" i="20"/>
  <c r="A877" i="20"/>
  <c r="A878" i="20"/>
  <c r="A879" i="20"/>
  <c r="A880" i="20"/>
  <c r="A881" i="20"/>
  <c r="A882" i="20"/>
  <c r="A883" i="20"/>
  <c r="A885" i="20"/>
  <c r="A886" i="20"/>
  <c r="A884" i="20"/>
  <c r="A890" i="20"/>
  <c r="A888" i="20"/>
  <c r="A889" i="20"/>
  <c r="A887" i="20"/>
  <c r="A891" i="20"/>
  <c r="A892" i="20"/>
  <c r="A893" i="20"/>
  <c r="A895" i="20"/>
  <c r="A894" i="20"/>
  <c r="A896" i="20"/>
  <c r="A898" i="20"/>
  <c r="A897" i="20"/>
  <c r="A899" i="20"/>
  <c r="A901" i="20"/>
  <c r="A902" i="20"/>
  <c r="A900" i="20"/>
  <c r="A903" i="20"/>
  <c r="A904" i="20"/>
  <c r="A906" i="20"/>
  <c r="A907" i="20"/>
  <c r="A905" i="20"/>
  <c r="A909" i="20"/>
  <c r="A908" i="20"/>
  <c r="A910" i="20"/>
  <c r="A912" i="20"/>
  <c r="A911" i="20"/>
  <c r="A913" i="20"/>
  <c r="A914" i="20"/>
  <c r="A915" i="20"/>
  <c r="K23" i="36"/>
  <c r="S158" i="19"/>
  <c r="S156" i="19"/>
  <c r="S157" i="19"/>
  <c r="S155" i="19"/>
  <c r="S159" i="19"/>
  <c r="S160" i="19"/>
  <c r="S161" i="19"/>
  <c r="S164" i="19"/>
  <c r="S163" i="19"/>
  <c r="S165" i="19"/>
  <c r="S168" i="19"/>
  <c r="S169" i="19"/>
  <c r="S170" i="19"/>
  <c r="S171" i="19"/>
  <c r="S172" i="19"/>
  <c r="S173" i="19"/>
  <c r="S174" i="19"/>
  <c r="S175" i="19"/>
  <c r="S178" i="19"/>
  <c r="S177" i="19"/>
  <c r="S180" i="19"/>
  <c r="S181" i="19"/>
  <c r="S182" i="19"/>
  <c r="S183" i="19"/>
  <c r="S184" i="19"/>
  <c r="S185" i="19"/>
  <c r="S186" i="19"/>
  <c r="S188" i="19"/>
  <c r="S190" i="19"/>
  <c r="S191" i="19"/>
  <c r="S192" i="19"/>
  <c r="S194" i="19"/>
  <c r="S195" i="19"/>
  <c r="S197" i="19"/>
  <c r="S198" i="19"/>
  <c r="S200" i="19"/>
  <c r="S199" i="19"/>
  <c r="S201" i="19"/>
  <c r="S202" i="19"/>
  <c r="S203" i="19"/>
  <c r="S204" i="19"/>
  <c r="S205" i="19"/>
  <c r="S206" i="19"/>
  <c r="S207" i="19"/>
  <c r="S208" i="19"/>
  <c r="S210" i="19"/>
  <c r="S211" i="19"/>
  <c r="S214" i="19"/>
  <c r="S213" i="19"/>
  <c r="S215" i="19"/>
  <c r="S216" i="19"/>
  <c r="S219" i="19"/>
  <c r="S220" i="19"/>
  <c r="S221" i="19"/>
  <c r="S223" i="19"/>
  <c r="S224" i="19"/>
  <c r="S225" i="19"/>
  <c r="S228" i="19"/>
  <c r="S230" i="19"/>
  <c r="S232" i="19"/>
  <c r="S231" i="19"/>
  <c r="S234" i="19"/>
  <c r="S235" i="19"/>
  <c r="S233" i="19"/>
  <c r="S236" i="19"/>
  <c r="S237" i="19"/>
  <c r="S239" i="19"/>
  <c r="S238" i="19"/>
  <c r="S240" i="19"/>
  <c r="S241" i="19"/>
  <c r="S242" i="19"/>
  <c r="S243" i="19"/>
  <c r="S244" i="19"/>
  <c r="S246" i="19"/>
  <c r="S247" i="19"/>
  <c r="S248" i="19"/>
  <c r="S249" i="19"/>
  <c r="S250" i="19"/>
  <c r="S251" i="19"/>
  <c r="S252" i="19"/>
  <c r="S253" i="19"/>
  <c r="S254" i="19"/>
  <c r="S259" i="19"/>
  <c r="S258" i="19"/>
  <c r="S261" i="19"/>
  <c r="S262" i="19"/>
  <c r="S263" i="19"/>
  <c r="S264" i="19"/>
  <c r="S265" i="19"/>
  <c r="S269" i="19"/>
  <c r="S270" i="19"/>
  <c r="S271" i="19"/>
  <c r="S272" i="19"/>
  <c r="S274" i="19"/>
  <c r="S275" i="19"/>
  <c r="S276" i="19"/>
  <c r="S277" i="19"/>
  <c r="S278" i="19"/>
  <c r="S279" i="19"/>
  <c r="S281" i="19"/>
  <c r="S280" i="19"/>
  <c r="S282" i="19"/>
  <c r="S284" i="19"/>
  <c r="S283" i="19"/>
  <c r="S285" i="19"/>
  <c r="S287" i="19"/>
  <c r="S288" i="19"/>
  <c r="S289" i="19"/>
  <c r="S290" i="19"/>
  <c r="S291" i="19"/>
  <c r="S293" i="19"/>
  <c r="S294" i="19"/>
  <c r="S295" i="19"/>
  <c r="S297" i="19"/>
  <c r="S296" i="19"/>
  <c r="S298" i="19"/>
  <c r="T158" i="19"/>
  <c r="T156" i="19"/>
  <c r="T157" i="19"/>
  <c r="T155" i="19"/>
  <c r="T159" i="19"/>
  <c r="T160" i="19"/>
  <c r="T161" i="19"/>
  <c r="T164" i="19"/>
  <c r="T163" i="19"/>
  <c r="T165" i="19"/>
  <c r="T168" i="19"/>
  <c r="T169" i="19"/>
  <c r="T170" i="19"/>
  <c r="T171" i="19"/>
  <c r="T172" i="19"/>
  <c r="T173" i="19"/>
  <c r="T174" i="19"/>
  <c r="T175" i="19"/>
  <c r="T178" i="19"/>
  <c r="T177" i="19"/>
  <c r="T180" i="19"/>
  <c r="T181" i="19"/>
  <c r="T182" i="19"/>
  <c r="T183" i="19"/>
  <c r="T184" i="19"/>
  <c r="T185" i="19"/>
  <c r="T186" i="19"/>
  <c r="T188" i="19"/>
  <c r="T190" i="19"/>
  <c r="T191" i="19"/>
  <c r="T192" i="19"/>
  <c r="T194" i="19"/>
  <c r="T195" i="19"/>
  <c r="T197" i="19"/>
  <c r="T198" i="19"/>
  <c r="T200" i="19"/>
  <c r="T199" i="19"/>
  <c r="T201" i="19"/>
  <c r="T202" i="19"/>
  <c r="T203" i="19"/>
  <c r="T204" i="19"/>
  <c r="T205" i="19"/>
  <c r="T206" i="19"/>
  <c r="T207" i="19"/>
  <c r="T208" i="19"/>
  <c r="T210" i="19"/>
  <c r="T211" i="19"/>
  <c r="T214" i="19"/>
  <c r="T213" i="19"/>
  <c r="T215" i="19"/>
  <c r="T216" i="19"/>
  <c r="T219" i="19"/>
  <c r="T220" i="19"/>
  <c r="T221" i="19"/>
  <c r="T223" i="19"/>
  <c r="T224" i="19"/>
  <c r="T225" i="19"/>
  <c r="T228" i="19"/>
  <c r="T230" i="19"/>
  <c r="T232" i="19"/>
  <c r="T231" i="19"/>
  <c r="T234" i="19"/>
  <c r="T235" i="19"/>
  <c r="T233" i="19"/>
  <c r="T236" i="19"/>
  <c r="T237" i="19"/>
  <c r="T239" i="19"/>
  <c r="T238" i="19"/>
  <c r="T240" i="19"/>
  <c r="T241" i="19"/>
  <c r="T242" i="19"/>
  <c r="T243" i="19"/>
  <c r="T244" i="19"/>
  <c r="T246" i="19"/>
  <c r="T247" i="19"/>
  <c r="T248" i="19"/>
  <c r="T249" i="19"/>
  <c r="T250" i="19"/>
  <c r="T251" i="19"/>
  <c r="T252" i="19"/>
  <c r="T253" i="19"/>
  <c r="T254" i="19"/>
  <c r="T259" i="19"/>
  <c r="T258" i="19"/>
  <c r="T261" i="19"/>
  <c r="T262" i="19"/>
  <c r="T263" i="19"/>
  <c r="T264" i="19"/>
  <c r="T265" i="19"/>
  <c r="T269" i="19"/>
  <c r="T270" i="19"/>
  <c r="T271" i="19"/>
  <c r="T272" i="19"/>
  <c r="T274" i="19"/>
  <c r="T275" i="19"/>
  <c r="T276" i="19"/>
  <c r="T277" i="19"/>
  <c r="T279" i="19"/>
  <c r="T281" i="19"/>
  <c r="T280" i="19"/>
  <c r="T282" i="19"/>
  <c r="T284" i="19"/>
  <c r="T283" i="19"/>
  <c r="T285" i="19"/>
  <c r="T287" i="19"/>
  <c r="T288" i="19"/>
  <c r="T289" i="19"/>
  <c r="T290" i="19"/>
  <c r="T291" i="19"/>
  <c r="T293" i="19"/>
  <c r="T294" i="19"/>
  <c r="T295" i="19"/>
  <c r="T297" i="19"/>
  <c r="T296" i="19"/>
  <c r="T298" i="19"/>
  <c r="K18" i="36" l="1"/>
  <c r="K22" i="36"/>
  <c r="K20" i="36"/>
  <c r="K24" i="36"/>
  <c r="K25" i="36"/>
  <c r="T30" i="62"/>
  <c r="T26" i="62"/>
  <c r="T29" i="62"/>
  <c r="T25" i="62"/>
  <c r="T28" i="62"/>
  <c r="T24" i="62"/>
  <c r="T31" i="62"/>
  <c r="T27" i="62"/>
  <c r="T23" i="62"/>
  <c r="K16" i="36"/>
  <c r="T5" i="19"/>
  <c r="T7" i="19"/>
  <c r="T8" i="19"/>
  <c r="T9" i="19"/>
  <c r="T10" i="19"/>
  <c r="T13" i="19"/>
  <c r="T12" i="19"/>
  <c r="T16" i="19"/>
  <c r="T17" i="19"/>
  <c r="T18" i="19"/>
  <c r="T20" i="19"/>
  <c r="T19" i="19"/>
  <c r="T22" i="19"/>
  <c r="T23" i="19"/>
  <c r="T25" i="19"/>
  <c r="T26" i="19"/>
  <c r="T27" i="19"/>
  <c r="T28" i="19"/>
  <c r="T29" i="19"/>
  <c r="T30" i="19"/>
  <c r="T32" i="19"/>
  <c r="T34" i="19"/>
  <c r="T33" i="19"/>
  <c r="T38" i="19"/>
  <c r="T36" i="19"/>
  <c r="T40" i="19"/>
  <c r="T41" i="19"/>
  <c r="T42" i="19"/>
  <c r="T43" i="19"/>
  <c r="T44" i="19"/>
  <c r="T46" i="19"/>
  <c r="T47" i="19"/>
  <c r="T49" i="19"/>
  <c r="T50" i="19"/>
  <c r="T51" i="19"/>
  <c r="T52" i="19"/>
  <c r="T53" i="19"/>
  <c r="T54" i="19"/>
  <c r="T55" i="19"/>
  <c r="T57" i="19"/>
  <c r="T58" i="19"/>
  <c r="T56" i="19"/>
  <c r="T59" i="19"/>
  <c r="T60" i="19"/>
  <c r="T61" i="19"/>
  <c r="T62" i="19"/>
  <c r="T63" i="19"/>
  <c r="T64" i="19"/>
  <c r="T65" i="19"/>
  <c r="T67" i="19"/>
  <c r="T68" i="19"/>
  <c r="T69" i="19"/>
  <c r="T70" i="19"/>
  <c r="T72" i="19"/>
  <c r="T71" i="19"/>
  <c r="T74" i="19"/>
  <c r="T73" i="19"/>
  <c r="T75" i="19"/>
  <c r="T76" i="19"/>
  <c r="T77" i="19"/>
  <c r="T78" i="19"/>
  <c r="T79" i="19"/>
  <c r="T80" i="19"/>
  <c r="T81" i="19"/>
  <c r="T82" i="19"/>
  <c r="T85" i="19"/>
  <c r="T88" i="19"/>
  <c r="T89" i="19"/>
  <c r="T92" i="19"/>
  <c r="T93" i="19"/>
  <c r="T90" i="19"/>
  <c r="T94" i="19"/>
  <c r="T96" i="19"/>
  <c r="T99" i="19"/>
  <c r="T98" i="19"/>
  <c r="T100" i="19"/>
  <c r="T102" i="19"/>
  <c r="T101" i="19"/>
  <c r="T103" i="19"/>
  <c r="T104" i="19"/>
  <c r="T105" i="19"/>
  <c r="T106"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3" i="19"/>
  <c r="T134" i="19"/>
  <c r="T135" i="19"/>
  <c r="T136" i="19"/>
  <c r="T138" i="19"/>
  <c r="T140" i="19"/>
  <c r="T141" i="19"/>
  <c r="T143" i="19"/>
  <c r="T144" i="19"/>
  <c r="T145" i="19"/>
  <c r="T146" i="19"/>
  <c r="T148" i="19"/>
  <c r="T150" i="19"/>
  <c r="T152" i="19"/>
  <c r="T153" i="19"/>
  <c r="T6" i="19"/>
  <c r="S5" i="19"/>
  <c r="S7" i="19"/>
  <c r="S9" i="19"/>
  <c r="S10" i="19"/>
  <c r="S13" i="19"/>
  <c r="S12" i="19"/>
  <c r="S16" i="19"/>
  <c r="S17" i="19"/>
  <c r="S18" i="19"/>
  <c r="S20" i="19"/>
  <c r="S19" i="19"/>
  <c r="S22" i="19"/>
  <c r="S23" i="19"/>
  <c r="S25" i="19"/>
  <c r="S26" i="19"/>
  <c r="S27" i="19"/>
  <c r="S28" i="19"/>
  <c r="S29" i="19"/>
  <c r="S30" i="19"/>
  <c r="S32" i="19"/>
  <c r="S34" i="19"/>
  <c r="S33" i="19"/>
  <c r="S38" i="19"/>
  <c r="S36" i="19"/>
  <c r="S40" i="19"/>
  <c r="S41" i="19"/>
  <c r="S42" i="19"/>
  <c r="S43" i="19"/>
  <c r="S44" i="19"/>
  <c r="S46" i="19"/>
  <c r="S47" i="19"/>
  <c r="S49" i="19"/>
  <c r="S50" i="19"/>
  <c r="S51" i="19"/>
  <c r="S52" i="19"/>
  <c r="S53" i="19"/>
  <c r="S54" i="19"/>
  <c r="S55" i="19"/>
  <c r="S57" i="19"/>
  <c r="S58" i="19"/>
  <c r="S56" i="19"/>
  <c r="S59" i="19"/>
  <c r="S60" i="19"/>
  <c r="S61" i="19"/>
  <c r="S62" i="19"/>
  <c r="S63" i="19"/>
  <c r="S64" i="19"/>
  <c r="S65" i="19"/>
  <c r="S67" i="19"/>
  <c r="S68" i="19"/>
  <c r="S69" i="19"/>
  <c r="S70" i="19"/>
  <c r="S72" i="19"/>
  <c r="S71" i="19"/>
  <c r="S74" i="19"/>
  <c r="S73" i="19"/>
  <c r="S75" i="19"/>
  <c r="S76" i="19"/>
  <c r="S77" i="19"/>
  <c r="S78" i="19"/>
  <c r="S79" i="19"/>
  <c r="S80" i="19"/>
  <c r="S81" i="19"/>
  <c r="S82" i="19"/>
  <c r="S85" i="19"/>
  <c r="S88" i="19"/>
  <c r="S89" i="19"/>
  <c r="S92" i="19"/>
  <c r="S93" i="19"/>
  <c r="S90" i="19"/>
  <c r="S94" i="19"/>
  <c r="S96" i="19"/>
  <c r="S99" i="19"/>
  <c r="S98" i="19"/>
  <c r="S100" i="19"/>
  <c r="S102" i="19"/>
  <c r="S101" i="19"/>
  <c r="S103" i="19"/>
  <c r="S104" i="19"/>
  <c r="S105" i="19"/>
  <c r="S106" i="19"/>
  <c r="S108" i="19"/>
  <c r="S109" i="19"/>
  <c r="S110" i="19"/>
  <c r="S111" i="19"/>
  <c r="S112" i="19"/>
  <c r="S113" i="19"/>
  <c r="S114" i="19"/>
  <c r="S115" i="19"/>
  <c r="S116" i="19"/>
  <c r="S117" i="19"/>
  <c r="S118" i="19"/>
  <c r="S119" i="19"/>
  <c r="S120" i="19"/>
  <c r="S121" i="19"/>
  <c r="S122" i="19"/>
  <c r="S123" i="19"/>
  <c r="S124" i="19"/>
  <c r="S125" i="19"/>
  <c r="S126" i="19"/>
  <c r="S127" i="19"/>
  <c r="S128" i="19"/>
  <c r="S129" i="19"/>
  <c r="S130" i="19"/>
  <c r="S131" i="19"/>
  <c r="S133" i="19"/>
  <c r="S134" i="19"/>
  <c r="S135" i="19"/>
  <c r="S136" i="19"/>
  <c r="S138" i="19"/>
  <c r="S140" i="19"/>
  <c r="S141" i="19"/>
  <c r="S143" i="19"/>
  <c r="S144" i="19"/>
  <c r="S145" i="19"/>
  <c r="S146" i="19"/>
  <c r="S148" i="19"/>
  <c r="S150" i="19"/>
  <c r="S152" i="19"/>
  <c r="S153" i="19"/>
  <c r="S6" i="19"/>
  <c r="T10" i="62"/>
  <c r="T7" i="62"/>
  <c r="T8" i="62"/>
  <c r="T9" i="62"/>
  <c r="AF95" i="14" l="1"/>
  <c r="AH95" i="14" s="1"/>
  <c r="AF183" i="14"/>
  <c r="AH183" i="14" s="1"/>
  <c r="AF89" i="14"/>
  <c r="AH89" i="14" s="1"/>
  <c r="AF8" i="14"/>
  <c r="AF6" i="14"/>
  <c r="K8" i="36"/>
  <c r="K27" i="36"/>
  <c r="K21" i="36"/>
  <c r="K17" i="36"/>
  <c r="K13" i="36"/>
  <c r="K19" i="36"/>
  <c r="K9" i="36"/>
  <c r="AF182" i="14"/>
  <c r="AF206" i="14"/>
  <c r="AF186" i="14"/>
  <c r="AF193" i="14"/>
  <c r="AF158" i="14"/>
  <c r="AF197" i="14"/>
  <c r="AF190" i="14"/>
  <c r="AF172" i="14"/>
  <c r="AF54" i="14"/>
  <c r="AF60" i="14"/>
  <c r="AF216" i="14"/>
  <c r="AF173" i="14"/>
  <c r="AF110" i="14"/>
  <c r="AF239" i="14"/>
  <c r="AF116" i="14"/>
  <c r="AF96" i="14"/>
  <c r="AF111" i="14"/>
  <c r="AF191" i="14"/>
  <c r="AF67" i="14"/>
  <c r="AF146" i="14"/>
  <c r="AF93" i="14"/>
  <c r="AF22" i="14"/>
  <c r="AF219" i="14"/>
  <c r="AF102" i="14"/>
  <c r="AF210" i="14"/>
  <c r="AF61" i="14"/>
  <c r="AF85" i="14"/>
  <c r="AF75" i="14"/>
  <c r="AF150" i="14"/>
  <c r="AF34" i="14"/>
  <c r="AF88" i="14"/>
  <c r="AF168" i="14"/>
  <c r="AK77" i="20"/>
  <c r="AM77" i="20"/>
  <c r="AN77" i="20" s="1"/>
  <c r="AO77" i="20"/>
  <c r="AQ77" i="20"/>
  <c r="AK76" i="20"/>
  <c r="AM76" i="20"/>
  <c r="AN76" i="20" s="1"/>
  <c r="AO76" i="20"/>
  <c r="AQ76" i="20"/>
  <c r="AK80" i="20"/>
  <c r="AM80" i="20"/>
  <c r="AN80" i="20" s="1"/>
  <c r="AO80" i="20"/>
  <c r="AQ80" i="20"/>
  <c r="AK79" i="20"/>
  <c r="AM79" i="20"/>
  <c r="AN79" i="20" s="1"/>
  <c r="AO79" i="20"/>
  <c r="AQ79" i="20"/>
  <c r="AK43" i="20"/>
  <c r="AM43" i="20"/>
  <c r="AN43" i="20" s="1"/>
  <c r="AO43" i="20"/>
  <c r="AQ43" i="20"/>
  <c r="AK49" i="20"/>
  <c r="AM49" i="20"/>
  <c r="AN49" i="20" s="1"/>
  <c r="AO49" i="20"/>
  <c r="AQ49" i="20"/>
  <c r="AK53" i="20"/>
  <c r="AM53" i="20"/>
  <c r="AN53" i="20" s="1"/>
  <c r="AO53" i="20"/>
  <c r="AQ53" i="20"/>
  <c r="AK52" i="20"/>
  <c r="AM52" i="20"/>
  <c r="AN52" i="20" s="1"/>
  <c r="AO52" i="20"/>
  <c r="AQ52" i="20"/>
  <c r="AK55" i="20"/>
  <c r="AM55" i="20"/>
  <c r="AN55" i="20" s="1"/>
  <c r="AO55" i="20"/>
  <c r="AQ55" i="20"/>
  <c r="AK57" i="20"/>
  <c r="AM57" i="20"/>
  <c r="AN57" i="20" s="1"/>
  <c r="AO57" i="20"/>
  <c r="AQ57" i="20"/>
  <c r="AK71" i="20"/>
  <c r="AM71" i="20"/>
  <c r="AN71" i="20" s="1"/>
  <c r="AO71" i="20"/>
  <c r="AQ71" i="20"/>
  <c r="AK73" i="20"/>
  <c r="AM73" i="20"/>
  <c r="AN73" i="20" s="1"/>
  <c r="AO73" i="20"/>
  <c r="AQ73" i="20"/>
  <c r="AH88" i="14" l="1"/>
  <c r="AH85" i="14"/>
  <c r="AH219" i="14"/>
  <c r="AH67" i="14"/>
  <c r="AH116" i="14"/>
  <c r="AH216" i="14"/>
  <c r="AH190" i="14"/>
  <c r="AH186" i="14"/>
  <c r="AH34" i="14"/>
  <c r="AH61" i="14"/>
  <c r="AH22" i="14"/>
  <c r="AH191" i="14"/>
  <c r="AH239" i="14"/>
  <c r="AH60" i="14"/>
  <c r="AH197" i="14"/>
  <c r="AH206" i="14"/>
  <c r="AH150" i="14"/>
  <c r="AH210" i="14"/>
  <c r="AH93" i="14"/>
  <c r="AH111" i="14"/>
  <c r="AH110" i="14"/>
  <c r="AH54" i="14"/>
  <c r="AH158" i="14"/>
  <c r="AH182" i="14"/>
  <c r="AH168" i="14"/>
  <c r="AH75" i="14"/>
  <c r="AH102" i="14"/>
  <c r="AH146" i="14"/>
  <c r="AH96" i="14"/>
  <c r="AH173" i="14"/>
  <c r="AH172" i="14"/>
  <c r="AH193" i="14"/>
  <c r="AH8" i="14"/>
  <c r="AP49" i="20"/>
  <c r="AP57" i="20"/>
  <c r="AP52" i="20"/>
  <c r="M7" i="36"/>
  <c r="AP76" i="20"/>
  <c r="AP77" i="20"/>
  <c r="AP80" i="20"/>
  <c r="AP55" i="20"/>
  <c r="AP79" i="20"/>
  <c r="AP43" i="20"/>
  <c r="AP53" i="20"/>
  <c r="AP71" i="20"/>
  <c r="AP73" i="20"/>
  <c r="AF137" i="14"/>
  <c r="AF45" i="14"/>
  <c r="AK314" i="20"/>
  <c r="AK316" i="20"/>
  <c r="AK315" i="20"/>
  <c r="AK317" i="20"/>
  <c r="AK275" i="20"/>
  <c r="AK235" i="20"/>
  <c r="AK238" i="20"/>
  <c r="AK271" i="20"/>
  <c r="AK254" i="20"/>
  <c r="AK282" i="20"/>
  <c r="AK277" i="20"/>
  <c r="AK266" i="20"/>
  <c r="AK284" i="20"/>
  <c r="AK233" i="20"/>
  <c r="AK224" i="20"/>
  <c r="AK267" i="20"/>
  <c r="AK280" i="20"/>
  <c r="AK279" i="20"/>
  <c r="AK211" i="20"/>
  <c r="AK213" i="20"/>
  <c r="AK281" i="20"/>
  <c r="AK223" i="20"/>
  <c r="AK283" i="20"/>
  <c r="AK228" i="20"/>
  <c r="AK230" i="20"/>
  <c r="AK240" i="20"/>
  <c r="AK236" i="20"/>
  <c r="AK268" i="20"/>
  <c r="AK190" i="20"/>
  <c r="AK195" i="20"/>
  <c r="AK196" i="20"/>
  <c r="AK227" i="20"/>
  <c r="AK269" i="20"/>
  <c r="AK270" i="20"/>
  <c r="AK198" i="20"/>
  <c r="AK202" i="20"/>
  <c r="AK234" i="20"/>
  <c r="AK255" i="20"/>
  <c r="AK204" i="20"/>
  <c r="AK205" i="20"/>
  <c r="AK206" i="20"/>
  <c r="AK207" i="20"/>
  <c r="AK214" i="20"/>
  <c r="AK225" i="20"/>
  <c r="AK251" i="20"/>
  <c r="AK248" i="20"/>
  <c r="AK194" i="20"/>
  <c r="AK200" i="20"/>
  <c r="AK201" i="20"/>
  <c r="AK199" i="20"/>
  <c r="AK212" i="20"/>
  <c r="AK222" i="20"/>
  <c r="AK226" i="20"/>
  <c r="AK232" i="20"/>
  <c r="AK237" i="20"/>
  <c r="AK247" i="20"/>
  <c r="AK231" i="20"/>
  <c r="AK197" i="20"/>
  <c r="AK209" i="20"/>
  <c r="AK210" i="20"/>
  <c r="AK221" i="20"/>
  <c r="AK229" i="20"/>
  <c r="AK274" i="20"/>
  <c r="AK272" i="20"/>
  <c r="AK273" i="20"/>
  <c r="AK276" i="20"/>
  <c r="AK287" i="20"/>
  <c r="AK285" i="20"/>
  <c r="AK286" i="20"/>
  <c r="AK537" i="20"/>
  <c r="AK538" i="20"/>
  <c r="AK544" i="20"/>
  <c r="AK539" i="20"/>
  <c r="AK529" i="20"/>
  <c r="AK545" i="20"/>
  <c r="AK531" i="20"/>
  <c r="AK543" i="20"/>
  <c r="AK540" i="20"/>
  <c r="AK541" i="20"/>
  <c r="AK542" i="20"/>
  <c r="AK683" i="20"/>
  <c r="AK671" i="20"/>
  <c r="AK669" i="20"/>
  <c r="AK659" i="20"/>
  <c r="AK663" i="20"/>
  <c r="AK664" i="20"/>
  <c r="AK665" i="20"/>
  <c r="AK660" i="20"/>
  <c r="AK680" i="20"/>
  <c r="AK658" i="20"/>
  <c r="AK661" i="20"/>
  <c r="AK682" i="20"/>
  <c r="AK667" i="20"/>
  <c r="AK449" i="20"/>
  <c r="AK462" i="20"/>
  <c r="AK678" i="20"/>
  <c r="AK695" i="20"/>
  <c r="AK668" i="20"/>
  <c r="AK670" i="20"/>
  <c r="AK446" i="20"/>
  <c r="AK694" i="20"/>
  <c r="AK689" i="20"/>
  <c r="AK459" i="20"/>
  <c r="AK687" i="20"/>
  <c r="AK688" i="20"/>
  <c r="AK301" i="20"/>
  <c r="AK302" i="20"/>
  <c r="AK306" i="20"/>
  <c r="AK307" i="20"/>
  <c r="AK340" i="20"/>
  <c r="AK437" i="20"/>
  <c r="AK447" i="20"/>
  <c r="AK692" i="20"/>
  <c r="AK296" i="20"/>
  <c r="AK681" i="20"/>
  <c r="AK674" i="20"/>
  <c r="AK675" i="20"/>
  <c r="AK309" i="20"/>
  <c r="AK310" i="20"/>
  <c r="AK690" i="20"/>
  <c r="AK685" i="20"/>
  <c r="AK299" i="20"/>
  <c r="AK305" i="20"/>
  <c r="AK666" i="20"/>
  <c r="AK686" i="20"/>
  <c r="AK458" i="20"/>
  <c r="AK691" i="20"/>
  <c r="AK684" i="20"/>
  <c r="AK677" i="20"/>
  <c r="AK662" i="20"/>
  <c r="AK673" i="20"/>
  <c r="AK672" i="20"/>
  <c r="AK676" i="20"/>
  <c r="AK693" i="20"/>
  <c r="AK679" i="20"/>
  <c r="AK369" i="20"/>
  <c r="AK397" i="20"/>
  <c r="AK404" i="20"/>
  <c r="AK392" i="20"/>
  <c r="AK417" i="20"/>
  <c r="AK420" i="20"/>
  <c r="AK387" i="20"/>
  <c r="AK366" i="20"/>
  <c r="AK353" i="20"/>
  <c r="AK389" i="20"/>
  <c r="AK358" i="20"/>
  <c r="AK349" i="20"/>
  <c r="AK351" i="20"/>
  <c r="AK375" i="20"/>
  <c r="AK298" i="20"/>
  <c r="AK300" i="20"/>
  <c r="AK303" i="20"/>
  <c r="AK477" i="20"/>
  <c r="AK620" i="20"/>
  <c r="AK478" i="20"/>
  <c r="AK625" i="20"/>
  <c r="AK626" i="20"/>
  <c r="AK627" i="20"/>
  <c r="AK624" i="20"/>
  <c r="AK578" i="20"/>
  <c r="AK613" i="20"/>
  <c r="AK622" i="20"/>
  <c r="AK474" i="20"/>
  <c r="AK472" i="20"/>
  <c r="AK616" i="20"/>
  <c r="AK623" i="20"/>
  <c r="AK571" i="20"/>
  <c r="AK615" i="20"/>
  <c r="AK618" i="20"/>
  <c r="AK570" i="20"/>
  <c r="AK574" i="20"/>
  <c r="AK548" i="20"/>
  <c r="AK614" i="20"/>
  <c r="AK291" i="20"/>
  <c r="AK290" i="20"/>
  <c r="AK295" i="20"/>
  <c r="AK293" i="20"/>
  <c r="AK294" i="20"/>
  <c r="AK337" i="20"/>
  <c r="AK339" i="20"/>
  <c r="AK338" i="20"/>
  <c r="AK336" i="20"/>
  <c r="AK334" i="20"/>
  <c r="AK335" i="20"/>
  <c r="AK333" i="20"/>
  <c r="AK391" i="20"/>
  <c r="AK657" i="20"/>
  <c r="AK322" i="20"/>
  <c r="AK383" i="20"/>
  <c r="AK370" i="20"/>
  <c r="AK427" i="20"/>
  <c r="AK456" i="20"/>
  <c r="AK405" i="20"/>
  <c r="AK468" i="20"/>
  <c r="AK418" i="20"/>
  <c r="AK400" i="20"/>
  <c r="AK412" i="20"/>
  <c r="AK380" i="20"/>
  <c r="AK453" i="20"/>
  <c r="AK564" i="20"/>
  <c r="AK656" i="20"/>
  <c r="AK325" i="20"/>
  <c r="AK384" i="20"/>
  <c r="AK368" i="20"/>
  <c r="AK707" i="20"/>
  <c r="AK328" i="20"/>
  <c r="AK381" i="20"/>
  <c r="AK421" i="20"/>
  <c r="AK386" i="20"/>
  <c r="AK470" i="20"/>
  <c r="AK647" i="20"/>
  <c r="AK379" i="20"/>
  <c r="AK401" i="20"/>
  <c r="AK398" i="20"/>
  <c r="AK454" i="20"/>
  <c r="AK464" i="20"/>
  <c r="AK566" i="20"/>
  <c r="AK324" i="20"/>
  <c r="AK409" i="20"/>
  <c r="AK388" i="20"/>
  <c r="AK374" i="20"/>
  <c r="AK431" i="20"/>
  <c r="AK432" i="20"/>
  <c r="AK463" i="20"/>
  <c r="AK569" i="20"/>
  <c r="AK323" i="20"/>
  <c r="AK385" i="20"/>
  <c r="AK367" i="20"/>
  <c r="AK364" i="20"/>
  <c r="AK422" i="20"/>
  <c r="AK653" i="20"/>
  <c r="AK332" i="20"/>
  <c r="AK345" i="20"/>
  <c r="AK347" i="20"/>
  <c r="AK415" i="20"/>
  <c r="AK354" i="20"/>
  <c r="AK396" i="20"/>
  <c r="AK378" i="20"/>
  <c r="AK419" i="20"/>
  <c r="AK357" i="20"/>
  <c r="AK390" i="20"/>
  <c r="AK406" i="20"/>
  <c r="AK424" i="20"/>
  <c r="AK433" i="20"/>
  <c r="AK460" i="20"/>
  <c r="AK567" i="20"/>
  <c r="AK650" i="20"/>
  <c r="AK652" i="20"/>
  <c r="AK655" i="20"/>
  <c r="AK399" i="20"/>
  <c r="AK372" i="20"/>
  <c r="AK359" i="20"/>
  <c r="AK457" i="20"/>
  <c r="AK646" i="20"/>
  <c r="AK705" i="20"/>
  <c r="AK356" i="20"/>
  <c r="AK466" i="20"/>
  <c r="AK341" i="20"/>
  <c r="AK394" i="20"/>
  <c r="AK361" i="20"/>
  <c r="AK648" i="20"/>
  <c r="AK320" i="20"/>
  <c r="AK410" i="20"/>
  <c r="AK350" i="20"/>
  <c r="AK352" i="20"/>
  <c r="AK403" i="20"/>
  <c r="AK430" i="20"/>
  <c r="AK441" i="20"/>
  <c r="AK644" i="20"/>
  <c r="AK645" i="20"/>
  <c r="AK649" i="20"/>
  <c r="AK326" i="20"/>
  <c r="AK329" i="20"/>
  <c r="AK330" i="20"/>
  <c r="AK407" i="20"/>
  <c r="AK363" i="20"/>
  <c r="AK408" i="20"/>
  <c r="AK376" i="20"/>
  <c r="AK393" i="20"/>
  <c r="AK416" i="20"/>
  <c r="AK371" i="20"/>
  <c r="AK382" i="20"/>
  <c r="AK365" i="20"/>
  <c r="AK443" i="20"/>
  <c r="AK651" i="20"/>
  <c r="AK654" i="20"/>
  <c r="AK708" i="20"/>
  <c r="AK709" i="20"/>
  <c r="AK710" i="20"/>
  <c r="AK312" i="20"/>
  <c r="AK319" i="20"/>
  <c r="AK321" i="20"/>
  <c r="AK331" i="20"/>
  <c r="AK414" i="20"/>
  <c r="AK413" i="20"/>
  <c r="AK377" i="20"/>
  <c r="AK395" i="20"/>
  <c r="AK436" i="20"/>
  <c r="AK435" i="20"/>
  <c r="AK434" i="20"/>
  <c r="AK565" i="20"/>
  <c r="AK179" i="20"/>
  <c r="AK452" i="20"/>
  <c r="AK490" i="20"/>
  <c r="AK829" i="20"/>
  <c r="AK839" i="20"/>
  <c r="AK840" i="20"/>
  <c r="AK850" i="20"/>
  <c r="AK851" i="20"/>
  <c r="AK856" i="20"/>
  <c r="AK857" i="20"/>
  <c r="AK858" i="20"/>
  <c r="AK859" i="20"/>
  <c r="AK887" i="20"/>
  <c r="AK894" i="20"/>
  <c r="AK257" i="20"/>
  <c r="AK250" i="20"/>
  <c r="AK253" i="20"/>
  <c r="AK498" i="20"/>
  <c r="AK608" i="20"/>
  <c r="AK260" i="20"/>
  <c r="AK423" i="20"/>
  <c r="AK461" i="20"/>
  <c r="AK471" i="20"/>
  <c r="AK744" i="20"/>
  <c r="AK103" i="20"/>
  <c r="AK93" i="20"/>
  <c r="AK512" i="20"/>
  <c r="AK553" i="20"/>
  <c r="AK587" i="20"/>
  <c r="AK588" i="20"/>
  <c r="AK217" i="20"/>
  <c r="AK505" i="20"/>
  <c r="AK509" i="20"/>
  <c r="AK546" i="20"/>
  <c r="AK568" i="20"/>
  <c r="AK619" i="20"/>
  <c r="AK822" i="20"/>
  <c r="AK510" i="20"/>
  <c r="AK724" i="20"/>
  <c r="AK818" i="20"/>
  <c r="AK871" i="20"/>
  <c r="AK878" i="20"/>
  <c r="AK503" i="20"/>
  <c r="AK98" i="20"/>
  <c r="AK89" i="20"/>
  <c r="AK92" i="20"/>
  <c r="AK94" i="20"/>
  <c r="AK90" i="20"/>
  <c r="AK88" i="20"/>
  <c r="AK97" i="20"/>
  <c r="AK104" i="20"/>
  <c r="AK105" i="20"/>
  <c r="AK106" i="20"/>
  <c r="AK91" i="20"/>
  <c r="AK102" i="20"/>
  <c r="AK440" i="20"/>
  <c r="AK450" i="20"/>
  <c r="AK469" i="20"/>
  <c r="AK484" i="20"/>
  <c r="AK492" i="20"/>
  <c r="AK495" i="20"/>
  <c r="AK533" i="20"/>
  <c r="AK549" i="20"/>
  <c r="AK550" i="20"/>
  <c r="AK555" i="20"/>
  <c r="AK558" i="20"/>
  <c r="AK559" i="20"/>
  <c r="AK551" i="20"/>
  <c r="AK583" i="20"/>
  <c r="AK580" i="20"/>
  <c r="AK598" i="20"/>
  <c r="AK594" i="20"/>
  <c r="AK600" i="20"/>
  <c r="AK863" i="20"/>
  <c r="AK860" i="20"/>
  <c r="AK861" i="20"/>
  <c r="AK862" i="20"/>
  <c r="AK215" i="20"/>
  <c r="AK493" i="20"/>
  <c r="AK513" i="20"/>
  <c r="AK530" i="20"/>
  <c r="AK572" i="20"/>
  <c r="AK603" i="20"/>
  <c r="AK628" i="20"/>
  <c r="AK703" i="20"/>
  <c r="AK721" i="20"/>
  <c r="AK82" i="20"/>
  <c r="AK239" i="20"/>
  <c r="AK278" i="20"/>
  <c r="AK429" i="20"/>
  <c r="AK602" i="20"/>
  <c r="AK701" i="20"/>
  <c r="AK712" i="20"/>
  <c r="AK713" i="20"/>
  <c r="AK864" i="20"/>
  <c r="AK101" i="20"/>
  <c r="AK107" i="20"/>
  <c r="AK95" i="20"/>
  <c r="AK128" i="20"/>
  <c r="AK534" i="20"/>
  <c r="AK536" i="20"/>
  <c r="AK557" i="20"/>
  <c r="AK589" i="20"/>
  <c r="AK591" i="20"/>
  <c r="AK700" i="20"/>
  <c r="AK714" i="20"/>
  <c r="AK730" i="20"/>
  <c r="AK731" i="20"/>
  <c r="AK766" i="20"/>
  <c r="AK838" i="20"/>
  <c r="AK868" i="20"/>
  <c r="AK606" i="20"/>
  <c r="AK756" i="20"/>
  <c r="AK46" i="20"/>
  <c r="AK183" i="20"/>
  <c r="AK486" i="20"/>
  <c r="AK562" i="20"/>
  <c r="AK798" i="20"/>
  <c r="AK819" i="20"/>
  <c r="AK884" i="20"/>
  <c r="AK125" i="20"/>
  <c r="AK241" i="20"/>
  <c r="AK246" i="20"/>
  <c r="AK504" i="20"/>
  <c r="AK575" i="20"/>
  <c r="AK719" i="20"/>
  <c r="AK722" i="20"/>
  <c r="AK745" i="20"/>
  <c r="AK747" i="20"/>
  <c r="AK793" i="20"/>
  <c r="AK127" i="20"/>
  <c r="AK167" i="20"/>
  <c r="AK168" i="20"/>
  <c r="AK176" i="20"/>
  <c r="AK181" i="20"/>
  <c r="AK297" i="20"/>
  <c r="AK402" i="20"/>
  <c r="AK465" i="20"/>
  <c r="AK476" i="20"/>
  <c r="AK489" i="20"/>
  <c r="AK494" i="20"/>
  <c r="AK517" i="20"/>
  <c r="AK519" i="20"/>
  <c r="AK525" i="20"/>
  <c r="AK528" i="20"/>
  <c r="AK605" i="20"/>
  <c r="AK717" i="20"/>
  <c r="AK729" i="20"/>
  <c r="AK736" i="20"/>
  <c r="AK743" i="20"/>
  <c r="AK755" i="20"/>
  <c r="AK754" i="20"/>
  <c r="AK765" i="20"/>
  <c r="AK774" i="20"/>
  <c r="AK775" i="20"/>
  <c r="AK796" i="20"/>
  <c r="AK804" i="20"/>
  <c r="AK828" i="20"/>
  <c r="AK837" i="20"/>
  <c r="AK849" i="20"/>
  <c r="AK895" i="20"/>
  <c r="AK748" i="20"/>
  <c r="AK177" i="20"/>
  <c r="AK219" i="20"/>
  <c r="AK262" i="20"/>
  <c r="AK515" i="20"/>
  <c r="AK577" i="20"/>
  <c r="AK604" i="20"/>
  <c r="AK716" i="20"/>
  <c r="AK769" i="20"/>
  <c r="AK787" i="20"/>
  <c r="AK801" i="20"/>
  <c r="AK825" i="20"/>
  <c r="AK826" i="20"/>
  <c r="AK853" i="20"/>
  <c r="AK854" i="20"/>
  <c r="AK511" i="20"/>
  <c r="AK706" i="20"/>
  <c r="AK742" i="20"/>
  <c r="AK751" i="20"/>
  <c r="AK753" i="20"/>
  <c r="AK776" i="20"/>
  <c r="AK773" i="20"/>
  <c r="AK778" i="20"/>
  <c r="AK813" i="20"/>
  <c r="AK900" i="20"/>
  <c r="AK915" i="20"/>
  <c r="AK75" i="20"/>
  <c r="AK480" i="20"/>
  <c r="AK483" i="20"/>
  <c r="AK499" i="20"/>
  <c r="AK500" i="20"/>
  <c r="AK609" i="20"/>
  <c r="AK611" i="20"/>
  <c r="AK785" i="20"/>
  <c r="AK865" i="20"/>
  <c r="AK876" i="20"/>
  <c r="AK78" i="20"/>
  <c r="AK180" i="20"/>
  <c r="AK243" i="20"/>
  <c r="AK244" i="20"/>
  <c r="AK258" i="20"/>
  <c r="AK263" i="20"/>
  <c r="AK318" i="20"/>
  <c r="AK355" i="20"/>
  <c r="AK448" i="20"/>
  <c r="AK482" i="20"/>
  <c r="AK518" i="20"/>
  <c r="AK527" i="20"/>
  <c r="AK547" i="20"/>
  <c r="AK725" i="20"/>
  <c r="AK728" i="20"/>
  <c r="AK758" i="20"/>
  <c r="AK789" i="20"/>
  <c r="AK792" i="20"/>
  <c r="AK797" i="20"/>
  <c r="AK800" i="20"/>
  <c r="AK802" i="20"/>
  <c r="AK815" i="20"/>
  <c r="AK816" i="20"/>
  <c r="AK821" i="20"/>
  <c r="AK830" i="20"/>
  <c r="AK841" i="20"/>
  <c r="AK842" i="20"/>
  <c r="AK843" i="20"/>
  <c r="AK845" i="20"/>
  <c r="AK875" i="20"/>
  <c r="AK886" i="20"/>
  <c r="AK218" i="20"/>
  <c r="AK304" i="20"/>
  <c r="AK308" i="20"/>
  <c r="AK373" i="20"/>
  <c r="AK360" i="20"/>
  <c r="AK475" i="20"/>
  <c r="AK473" i="20"/>
  <c r="AK621" i="20"/>
  <c r="AK726" i="20"/>
  <c r="AK734" i="20"/>
  <c r="AK735" i="20"/>
  <c r="AK740" i="20"/>
  <c r="AK741" i="20"/>
  <c r="AK770" i="20"/>
  <c r="AK771" i="20"/>
  <c r="AK806" i="20"/>
  <c r="AK807" i="20"/>
  <c r="AK823" i="20"/>
  <c r="AK834" i="20"/>
  <c r="AK835" i="20"/>
  <c r="AK836" i="20"/>
  <c r="AK852" i="20"/>
  <c r="AK904" i="20"/>
  <c r="AK342" i="20"/>
  <c r="AK425" i="20"/>
  <c r="AK438" i="20"/>
  <c r="AK455" i="20"/>
  <c r="AK479" i="20"/>
  <c r="AK496" i="20"/>
  <c r="AK497" i="20"/>
  <c r="AK607" i="20"/>
  <c r="AK610" i="20"/>
  <c r="AK292" i="20"/>
  <c r="AK362" i="20"/>
  <c r="AK506" i="20"/>
  <c r="AK516" i="20"/>
  <c r="AK723" i="20"/>
  <c r="AK733" i="20"/>
  <c r="AK739" i="20"/>
  <c r="AK750" i="20"/>
  <c r="AK762" i="20"/>
  <c r="AK782" i="20"/>
  <c r="AK795" i="20"/>
  <c r="AK805" i="20"/>
  <c r="AK827" i="20"/>
  <c r="AK833" i="20"/>
  <c r="AK846" i="20"/>
  <c r="AK877" i="20"/>
  <c r="AK889" i="20"/>
  <c r="AK902" i="20"/>
  <c r="AK908" i="20"/>
  <c r="AK914" i="20"/>
  <c r="AK81" i="20"/>
  <c r="AK178" i="20"/>
  <c r="AK313" i="20"/>
  <c r="AK343" i="20"/>
  <c r="AK344" i="20"/>
  <c r="AK348" i="20"/>
  <c r="AK411" i="20"/>
  <c r="AK444" i="20"/>
  <c r="AK451" i="20"/>
  <c r="AK481" i="20"/>
  <c r="AK535" i="20"/>
  <c r="AK563" i="20"/>
  <c r="AK617" i="20"/>
  <c r="AK698" i="20"/>
  <c r="AK699" i="20"/>
  <c r="AK696" i="20"/>
  <c r="AK702" i="20"/>
  <c r="AK704" i="20"/>
  <c r="AK711" i="20"/>
  <c r="AK732" i="20"/>
  <c r="AK737" i="20"/>
  <c r="AK738" i="20"/>
  <c r="AK749" i="20"/>
  <c r="AK777" i="20"/>
  <c r="AK764" i="20"/>
  <c r="AK786" i="20"/>
  <c r="AK791" i="20"/>
  <c r="AK808" i="20"/>
  <c r="AK811" i="20"/>
  <c r="AK812" i="20"/>
  <c r="AK817" i="20"/>
  <c r="AK820" i="20"/>
  <c r="AK831" i="20"/>
  <c r="AK832" i="20"/>
  <c r="AK844" i="20"/>
  <c r="AK847" i="20"/>
  <c r="AK855" i="20"/>
  <c r="AK870" i="20"/>
  <c r="AK872" i="20"/>
  <c r="AK879" i="20"/>
  <c r="AK882" i="20"/>
  <c r="AK888" i="20"/>
  <c r="AK892" i="20"/>
  <c r="AK893" i="20"/>
  <c r="AK897" i="20"/>
  <c r="AK898" i="20"/>
  <c r="AK903" i="20"/>
  <c r="AK909" i="20"/>
  <c r="AK905" i="20"/>
  <c r="AK913" i="20"/>
  <c r="AK48" i="20"/>
  <c r="AK47" i="20"/>
  <c r="AK45" i="20"/>
  <c r="AK87" i="20"/>
  <c r="AK184" i="20"/>
  <c r="AK185" i="20"/>
  <c r="AK186" i="20"/>
  <c r="AK187" i="20"/>
  <c r="AK216" i="20"/>
  <c r="AK245" i="20"/>
  <c r="AK261" i="20"/>
  <c r="AK264" i="20"/>
  <c r="AK265" i="20"/>
  <c r="AK346" i="20"/>
  <c r="AK428" i="20"/>
  <c r="AK487" i="20"/>
  <c r="AK485" i="20"/>
  <c r="AK488" i="20"/>
  <c r="AK508" i="20"/>
  <c r="AK514" i="20"/>
  <c r="AK697" i="20"/>
  <c r="AK760" i="20"/>
  <c r="AK761" i="20"/>
  <c r="AK759" i="20"/>
  <c r="AK763" i="20"/>
  <c r="AK783" i="20"/>
  <c r="AK781" i="20"/>
  <c r="AK784" i="20"/>
  <c r="AK790" i="20"/>
  <c r="AK794" i="20"/>
  <c r="AK803" i="20"/>
  <c r="AK809" i="20"/>
  <c r="AK814" i="20"/>
  <c r="AK824" i="20"/>
  <c r="AK880" i="20"/>
  <c r="AK881" i="20"/>
  <c r="AK885" i="20"/>
  <c r="AK883" i="20"/>
  <c r="AK896" i="20"/>
  <c r="AK907" i="20"/>
  <c r="AK906" i="20"/>
  <c r="AK911" i="20"/>
  <c r="AK912" i="20"/>
  <c r="AK910" i="20"/>
  <c r="AK507" i="20"/>
  <c r="AK779" i="20"/>
  <c r="AK780" i="20"/>
  <c r="AK891" i="20"/>
  <c r="AK901" i="20"/>
  <c r="AK74" i="20"/>
  <c r="AK96" i="20"/>
  <c r="AK126" i="20"/>
  <c r="AK175" i="20"/>
  <c r="AK182" i="20"/>
  <c r="AK188" i="20"/>
  <c r="AK189" i="20"/>
  <c r="AK191" i="20"/>
  <c r="AK192" i="20"/>
  <c r="AK193" i="20"/>
  <c r="AK203" i="20"/>
  <c r="AK208" i="20"/>
  <c r="AK220" i="20"/>
  <c r="AK242" i="20"/>
  <c r="AK259" i="20"/>
  <c r="AK288" i="20"/>
  <c r="AK327" i="20"/>
  <c r="AK426" i="20"/>
  <c r="AK439" i="20"/>
  <c r="AK442" i="20"/>
  <c r="AK445" i="20"/>
  <c r="AK467" i="20"/>
  <c r="AK491" i="20"/>
  <c r="AK501" i="20"/>
  <c r="AK502" i="20"/>
  <c r="AK520" i="20"/>
  <c r="AK521" i="20"/>
  <c r="AK522" i="20"/>
  <c r="AK523" i="20"/>
  <c r="AK524" i="20"/>
  <c r="AK526" i="20"/>
  <c r="AK532" i="20"/>
  <c r="AK556" i="20"/>
  <c r="AK554" i="20"/>
  <c r="AK552" i="20"/>
  <c r="AK560" i="20"/>
  <c r="AK561" i="20"/>
  <c r="AK579" i="20"/>
  <c r="AK576" i="20"/>
  <c r="AK573" i="20"/>
  <c r="AK590" i="20"/>
  <c r="AK586" i="20"/>
  <c r="AK582" i="20"/>
  <c r="AK581" i="20"/>
  <c r="AK585" i="20"/>
  <c r="AK584" i="20"/>
  <c r="AK592" i="20"/>
  <c r="AK597" i="20"/>
  <c r="AK593" i="20"/>
  <c r="AK595" i="20"/>
  <c r="AK596" i="20"/>
  <c r="AK601" i="20"/>
  <c r="AK599" i="20"/>
  <c r="AK612" i="20"/>
  <c r="AK715" i="20"/>
  <c r="AK718" i="20"/>
  <c r="AK720" i="20"/>
  <c r="AK727" i="20"/>
  <c r="AK746" i="20"/>
  <c r="AK752" i="20"/>
  <c r="AK757" i="20"/>
  <c r="AK772" i="20"/>
  <c r="AK767" i="20"/>
  <c r="AK768" i="20"/>
  <c r="AK788" i="20"/>
  <c r="AK799" i="20"/>
  <c r="AK810" i="20"/>
  <c r="AK848" i="20"/>
  <c r="AK867" i="20"/>
  <c r="AK866" i="20"/>
  <c r="AK869" i="20"/>
  <c r="AK873" i="20"/>
  <c r="AK874" i="20"/>
  <c r="AK890" i="20"/>
  <c r="AK899" i="20"/>
  <c r="AK632" i="20"/>
  <c r="AK633" i="20"/>
  <c r="AK634" i="20"/>
  <c r="AK631" i="20"/>
  <c r="AK639" i="20"/>
  <c r="AK635" i="20"/>
  <c r="AK643" i="20"/>
  <c r="AK642" i="20"/>
  <c r="AK636" i="20"/>
  <c r="AK637" i="20"/>
  <c r="AK630" i="20"/>
  <c r="AK638" i="20"/>
  <c r="AK641" i="20"/>
  <c r="AK640" i="20"/>
  <c r="AK629" i="20"/>
  <c r="W4" i="43"/>
  <c r="AM179" i="20"/>
  <c r="AN179" i="20" s="1"/>
  <c r="AM452" i="20"/>
  <c r="AN452" i="20" s="1"/>
  <c r="AM490" i="20"/>
  <c r="AN490" i="20" s="1"/>
  <c r="AM537" i="20"/>
  <c r="AN537" i="20" s="1"/>
  <c r="AM829" i="20"/>
  <c r="AN829" i="20" s="1"/>
  <c r="AM839" i="20"/>
  <c r="AN839" i="20" s="1"/>
  <c r="AM840" i="20"/>
  <c r="AN840" i="20" s="1"/>
  <c r="AM850" i="20"/>
  <c r="AN850" i="20" s="1"/>
  <c r="AM851" i="20"/>
  <c r="AN851" i="20" s="1"/>
  <c r="AM856" i="20"/>
  <c r="AN856" i="20" s="1"/>
  <c r="AM857" i="20"/>
  <c r="AN857" i="20" s="1"/>
  <c r="AM858" i="20"/>
  <c r="AN858" i="20" s="1"/>
  <c r="AM859" i="20"/>
  <c r="AN859" i="20" s="1"/>
  <c r="AM887" i="20"/>
  <c r="AN887" i="20" s="1"/>
  <c r="AM894" i="20"/>
  <c r="AN894" i="20" s="1"/>
  <c r="AM257" i="20"/>
  <c r="AN257" i="20" s="1"/>
  <c r="AM250" i="20"/>
  <c r="AN250" i="20" s="1"/>
  <c r="AM253" i="20"/>
  <c r="AN253" i="20" s="1"/>
  <c r="AM498" i="20"/>
  <c r="AN498" i="20" s="1"/>
  <c r="AM608" i="20"/>
  <c r="AN608" i="20" s="1"/>
  <c r="AM260" i="20"/>
  <c r="AN260" i="20" s="1"/>
  <c r="AM275" i="20"/>
  <c r="AN275" i="20" s="1"/>
  <c r="AM333" i="20"/>
  <c r="AN333" i="20" s="1"/>
  <c r="AM391" i="20"/>
  <c r="AN391" i="20" s="1"/>
  <c r="AM423" i="20"/>
  <c r="AN423" i="20" s="1"/>
  <c r="AM461" i="20"/>
  <c r="AN461" i="20" s="1"/>
  <c r="AM471" i="20"/>
  <c r="AN471" i="20" s="1"/>
  <c r="AM477" i="20"/>
  <c r="AN477" i="20" s="1"/>
  <c r="AM657" i="20"/>
  <c r="AN657" i="20" s="1"/>
  <c r="AM744" i="20"/>
  <c r="AN744" i="20" s="1"/>
  <c r="AM298" i="20"/>
  <c r="AN298" i="20" s="1"/>
  <c r="AM103" i="20"/>
  <c r="AN103" i="20" s="1"/>
  <c r="AM93" i="20"/>
  <c r="AN93" i="20" s="1"/>
  <c r="AM300" i="20"/>
  <c r="AN300" i="20" s="1"/>
  <c r="AM512" i="20"/>
  <c r="AN512" i="20" s="1"/>
  <c r="AM538" i="20"/>
  <c r="AN538" i="20" s="1"/>
  <c r="AM553" i="20"/>
  <c r="AN553" i="20" s="1"/>
  <c r="AM587" i="20"/>
  <c r="AN587" i="20" s="1"/>
  <c r="AM588" i="20"/>
  <c r="AN588" i="20" s="1"/>
  <c r="AM683" i="20"/>
  <c r="AN683" i="20" s="1"/>
  <c r="AM217" i="20"/>
  <c r="AN217" i="20" s="1"/>
  <c r="AM235" i="20"/>
  <c r="AN235" i="20" s="1"/>
  <c r="AM322" i="20"/>
  <c r="AN322" i="20" s="1"/>
  <c r="AM383" i="20"/>
  <c r="AN383" i="20" s="1"/>
  <c r="AM505" i="20"/>
  <c r="AN505" i="20" s="1"/>
  <c r="AM509" i="20"/>
  <c r="AN509" i="20" s="1"/>
  <c r="AM546" i="20"/>
  <c r="AN546" i="20" s="1"/>
  <c r="AM568" i="20"/>
  <c r="AN568" i="20" s="1"/>
  <c r="AM619" i="20"/>
  <c r="AN619" i="20" s="1"/>
  <c r="AM632" i="20"/>
  <c r="AN632" i="20" s="1"/>
  <c r="AM671" i="20"/>
  <c r="AN671" i="20" s="1"/>
  <c r="AM822" i="20"/>
  <c r="AN822" i="20" s="1"/>
  <c r="AM238" i="20"/>
  <c r="AN238" i="20" s="1"/>
  <c r="AM510" i="20"/>
  <c r="AN510" i="20" s="1"/>
  <c r="AM544" i="20"/>
  <c r="AN544" i="20" s="1"/>
  <c r="AM620" i="20"/>
  <c r="AN620" i="20" s="1"/>
  <c r="AM633" i="20"/>
  <c r="AN633" i="20" s="1"/>
  <c r="AM724" i="20"/>
  <c r="AN724" i="20" s="1"/>
  <c r="AM818" i="20"/>
  <c r="AN818" i="20" s="1"/>
  <c r="AM871" i="20"/>
  <c r="AN871" i="20" s="1"/>
  <c r="AM878" i="20"/>
  <c r="AN878" i="20" s="1"/>
  <c r="AM369" i="20"/>
  <c r="AN369" i="20" s="1"/>
  <c r="AM370" i="20"/>
  <c r="AN370" i="20" s="1"/>
  <c r="AM397" i="20"/>
  <c r="AN397" i="20" s="1"/>
  <c r="AM427" i="20"/>
  <c r="AN427" i="20" s="1"/>
  <c r="AM456" i="20"/>
  <c r="AN456" i="20" s="1"/>
  <c r="AM503" i="20"/>
  <c r="AN503" i="20" s="1"/>
  <c r="AM98" i="20"/>
  <c r="AN98" i="20" s="1"/>
  <c r="AM89" i="20"/>
  <c r="AN89" i="20" s="1"/>
  <c r="AM92" i="20"/>
  <c r="AN92" i="20" s="1"/>
  <c r="AM94" i="20"/>
  <c r="AN94" i="20" s="1"/>
  <c r="AM90" i="20"/>
  <c r="AN90" i="20" s="1"/>
  <c r="AM88" i="20"/>
  <c r="AN88" i="20" s="1"/>
  <c r="AM97" i="20"/>
  <c r="AN97" i="20" s="1"/>
  <c r="AM104" i="20"/>
  <c r="AN104" i="20" s="1"/>
  <c r="AM105" i="20"/>
  <c r="AN105" i="20" s="1"/>
  <c r="AM106" i="20"/>
  <c r="AN106" i="20" s="1"/>
  <c r="AM91" i="20"/>
  <c r="AN91" i="20" s="1"/>
  <c r="AM102" i="20"/>
  <c r="AN102" i="20" s="1"/>
  <c r="AM271" i="20"/>
  <c r="AN271" i="20" s="1"/>
  <c r="AM404" i="20"/>
  <c r="AN404" i="20" s="1"/>
  <c r="AM405" i="20"/>
  <c r="AN405" i="20" s="1"/>
  <c r="AM392" i="20"/>
  <c r="AN392" i="20" s="1"/>
  <c r="AM440" i="20"/>
  <c r="AN440" i="20" s="1"/>
  <c r="AM450" i="20"/>
  <c r="AN450" i="20" s="1"/>
  <c r="AM468" i="20"/>
  <c r="AN468" i="20" s="1"/>
  <c r="AM469" i="20"/>
  <c r="AN469" i="20" s="1"/>
  <c r="AM478" i="20"/>
  <c r="AN478" i="20" s="1"/>
  <c r="AM484" i="20"/>
  <c r="AN484" i="20" s="1"/>
  <c r="AM492" i="20"/>
  <c r="AN492" i="20" s="1"/>
  <c r="AM495" i="20"/>
  <c r="AN495" i="20" s="1"/>
  <c r="AM533" i="20"/>
  <c r="AN533" i="20" s="1"/>
  <c r="AM539" i="20"/>
  <c r="AN539" i="20" s="1"/>
  <c r="AM549" i="20"/>
  <c r="AN549" i="20" s="1"/>
  <c r="AM550" i="20"/>
  <c r="AN550" i="20" s="1"/>
  <c r="AM555" i="20"/>
  <c r="AN555" i="20" s="1"/>
  <c r="AM558" i="20"/>
  <c r="AN558" i="20" s="1"/>
  <c r="AM559" i="20"/>
  <c r="AN559" i="20" s="1"/>
  <c r="AM551" i="20"/>
  <c r="AN551" i="20" s="1"/>
  <c r="AM583" i="20"/>
  <c r="AN583" i="20" s="1"/>
  <c r="AM580" i="20"/>
  <c r="AN580" i="20" s="1"/>
  <c r="AM598" i="20"/>
  <c r="AN598" i="20" s="1"/>
  <c r="AM594" i="20"/>
  <c r="AN594" i="20" s="1"/>
  <c r="AM600" i="20"/>
  <c r="AN600" i="20" s="1"/>
  <c r="AM625" i="20"/>
  <c r="AN625" i="20" s="1"/>
  <c r="AM626" i="20"/>
  <c r="AN626" i="20" s="1"/>
  <c r="AM627" i="20"/>
  <c r="AN627" i="20" s="1"/>
  <c r="AM624" i="20"/>
  <c r="AN624" i="20" s="1"/>
  <c r="AM669" i="20"/>
  <c r="AN669" i="20" s="1"/>
  <c r="AM659" i="20"/>
  <c r="AN659" i="20" s="1"/>
  <c r="AM663" i="20"/>
  <c r="AN663" i="20" s="1"/>
  <c r="AM664" i="20"/>
  <c r="AN664" i="20" s="1"/>
  <c r="AM665" i="20"/>
  <c r="AN665" i="20" s="1"/>
  <c r="AM660" i="20"/>
  <c r="AN660" i="20" s="1"/>
  <c r="AM680" i="20"/>
  <c r="AN680" i="20" s="1"/>
  <c r="AM658" i="20"/>
  <c r="AN658" i="20" s="1"/>
  <c r="AM661" i="20"/>
  <c r="AN661" i="20" s="1"/>
  <c r="AM682" i="20"/>
  <c r="AN682" i="20" s="1"/>
  <c r="AM863" i="20"/>
  <c r="AN863" i="20" s="1"/>
  <c r="AM860" i="20"/>
  <c r="AN860" i="20" s="1"/>
  <c r="AM861" i="20"/>
  <c r="AN861" i="20" s="1"/>
  <c r="AM862" i="20"/>
  <c r="AN862" i="20" s="1"/>
  <c r="AM215" i="20"/>
  <c r="AN215" i="20" s="1"/>
  <c r="AM254" i="20"/>
  <c r="AN254" i="20" s="1"/>
  <c r="AM282" i="20"/>
  <c r="AN282" i="20" s="1"/>
  <c r="AM493" i="20"/>
  <c r="AN493" i="20" s="1"/>
  <c r="AM513" i="20"/>
  <c r="AN513" i="20" s="1"/>
  <c r="AM529" i="20"/>
  <c r="AN529" i="20" s="1"/>
  <c r="AM530" i="20"/>
  <c r="AN530" i="20" s="1"/>
  <c r="AM545" i="20"/>
  <c r="AN545" i="20" s="1"/>
  <c r="AM572" i="20"/>
  <c r="AN572" i="20" s="1"/>
  <c r="AM603" i="20"/>
  <c r="AN603" i="20" s="1"/>
  <c r="AM628" i="20"/>
  <c r="AN628" i="20" s="1"/>
  <c r="AM703" i="20"/>
  <c r="AN703" i="20" s="1"/>
  <c r="AM721" i="20"/>
  <c r="AN721" i="20" s="1"/>
  <c r="AM82" i="20"/>
  <c r="AN82" i="20" s="1"/>
  <c r="AM239" i="20"/>
  <c r="AN239" i="20" s="1"/>
  <c r="AM277" i="20"/>
  <c r="AN277" i="20" s="1"/>
  <c r="AM278" i="20"/>
  <c r="AN278" i="20" s="1"/>
  <c r="AM429" i="20"/>
  <c r="AN429" i="20" s="1"/>
  <c r="AM602" i="20"/>
  <c r="AN602" i="20" s="1"/>
  <c r="AM667" i="20"/>
  <c r="AN667" i="20" s="1"/>
  <c r="AM701" i="20"/>
  <c r="AN701" i="20" s="1"/>
  <c r="AM712" i="20"/>
  <c r="AN712" i="20" s="1"/>
  <c r="AM713" i="20"/>
  <c r="AN713" i="20" s="1"/>
  <c r="AM864" i="20"/>
  <c r="AN864" i="20" s="1"/>
  <c r="AM101" i="20"/>
  <c r="AN101" i="20" s="1"/>
  <c r="AM107" i="20"/>
  <c r="AN107" i="20" s="1"/>
  <c r="AM95" i="20"/>
  <c r="AN95" i="20" s="1"/>
  <c r="AM128" i="20"/>
  <c r="AN128" i="20" s="1"/>
  <c r="AM266" i="20"/>
  <c r="AN266" i="20" s="1"/>
  <c r="AM284" i="20"/>
  <c r="AN284" i="20" s="1"/>
  <c r="AM337" i="20"/>
  <c r="AN337" i="20" s="1"/>
  <c r="AM417" i="20"/>
  <c r="AN417" i="20" s="1"/>
  <c r="AM418" i="20"/>
  <c r="AN418" i="20" s="1"/>
  <c r="AM400" i="20"/>
  <c r="AN400" i="20" s="1"/>
  <c r="AM412" i="20"/>
  <c r="AN412" i="20" s="1"/>
  <c r="AM380" i="20"/>
  <c r="AN380" i="20" s="1"/>
  <c r="AM449" i="20"/>
  <c r="AN449" i="20" s="1"/>
  <c r="AM453" i="20"/>
  <c r="AN453" i="20" s="1"/>
  <c r="AM462" i="20"/>
  <c r="AN462" i="20" s="1"/>
  <c r="AM534" i="20"/>
  <c r="AN534" i="20" s="1"/>
  <c r="AM536" i="20"/>
  <c r="AN536" i="20" s="1"/>
  <c r="AM557" i="20"/>
  <c r="AN557" i="20" s="1"/>
  <c r="AM564" i="20"/>
  <c r="AN564" i="20" s="1"/>
  <c r="AM589" i="20"/>
  <c r="AN589" i="20" s="1"/>
  <c r="AM591" i="20"/>
  <c r="AN591" i="20" s="1"/>
  <c r="AM656" i="20"/>
  <c r="AN656" i="20" s="1"/>
  <c r="AM678" i="20"/>
  <c r="AN678" i="20" s="1"/>
  <c r="AM695" i="20"/>
  <c r="AN695" i="20" s="1"/>
  <c r="AM668" i="20"/>
  <c r="AN668" i="20" s="1"/>
  <c r="AM700" i="20"/>
  <c r="AN700" i="20" s="1"/>
  <c r="AM714" i="20"/>
  <c r="AN714" i="20" s="1"/>
  <c r="AM730" i="20"/>
  <c r="AN730" i="20" s="1"/>
  <c r="AM731" i="20"/>
  <c r="AN731" i="20" s="1"/>
  <c r="AM766" i="20"/>
  <c r="AN766" i="20" s="1"/>
  <c r="AM838" i="20"/>
  <c r="AN838" i="20" s="1"/>
  <c r="AM868" i="20"/>
  <c r="AN868" i="20" s="1"/>
  <c r="AM606" i="20"/>
  <c r="AN606" i="20" s="1"/>
  <c r="AM756" i="20"/>
  <c r="AN756" i="20" s="1"/>
  <c r="AM46" i="20"/>
  <c r="AN46" i="20" s="1"/>
  <c r="AM183" i="20"/>
  <c r="AN183" i="20" s="1"/>
  <c r="AM233" i="20"/>
  <c r="AN233" i="20" s="1"/>
  <c r="AM325" i="20"/>
  <c r="AN325" i="20" s="1"/>
  <c r="AM384" i="20"/>
  <c r="AN384" i="20" s="1"/>
  <c r="AM368" i="20"/>
  <c r="AN368" i="20" s="1"/>
  <c r="AM486" i="20"/>
  <c r="AN486" i="20" s="1"/>
  <c r="AM562" i="20"/>
  <c r="AN562" i="20" s="1"/>
  <c r="AM578" i="20"/>
  <c r="AN578" i="20" s="1"/>
  <c r="AM634" i="20"/>
  <c r="AN634" i="20" s="1"/>
  <c r="AM707" i="20"/>
  <c r="AN707" i="20" s="1"/>
  <c r="AM798" i="20"/>
  <c r="AN798" i="20" s="1"/>
  <c r="AM819" i="20"/>
  <c r="AN819" i="20" s="1"/>
  <c r="AM884" i="20"/>
  <c r="AN884" i="20" s="1"/>
  <c r="AM125" i="20"/>
  <c r="AN125" i="20" s="1"/>
  <c r="AM224" i="20"/>
  <c r="AN224" i="20" s="1"/>
  <c r="AM241" i="20"/>
  <c r="AN241" i="20" s="1"/>
  <c r="AM246" i="20"/>
  <c r="AN246" i="20" s="1"/>
  <c r="AM267" i="20"/>
  <c r="AN267" i="20" s="1"/>
  <c r="AM280" i="20"/>
  <c r="AN280" i="20" s="1"/>
  <c r="AM279" i="20"/>
  <c r="AN279" i="20" s="1"/>
  <c r="AM291" i="20"/>
  <c r="AN291" i="20" s="1"/>
  <c r="AM314" i="20"/>
  <c r="AN314" i="20" s="1"/>
  <c r="AM328" i="20"/>
  <c r="AN328" i="20" s="1"/>
  <c r="AM381" i="20"/>
  <c r="AN381" i="20" s="1"/>
  <c r="AM420" i="20"/>
  <c r="AN420" i="20" s="1"/>
  <c r="AM421" i="20"/>
  <c r="AN421" i="20" s="1"/>
  <c r="AM386" i="20"/>
  <c r="AN386" i="20" s="1"/>
  <c r="AM470" i="20"/>
  <c r="AN470" i="20" s="1"/>
  <c r="AM504" i="20"/>
  <c r="AN504" i="20" s="1"/>
  <c r="AM575" i="20"/>
  <c r="AN575" i="20" s="1"/>
  <c r="AM631" i="20"/>
  <c r="AN631" i="20" s="1"/>
  <c r="AM647" i="20"/>
  <c r="AN647" i="20" s="1"/>
  <c r="AM670" i="20"/>
  <c r="AN670" i="20" s="1"/>
  <c r="AM719" i="20"/>
  <c r="AN719" i="20" s="1"/>
  <c r="AM722" i="20"/>
  <c r="AN722" i="20" s="1"/>
  <c r="AM745" i="20"/>
  <c r="AN745" i="20" s="1"/>
  <c r="AM747" i="20"/>
  <c r="AN747" i="20" s="1"/>
  <c r="AM793" i="20"/>
  <c r="AN793" i="20" s="1"/>
  <c r="AM127" i="20"/>
  <c r="AN127" i="20" s="1"/>
  <c r="AM167" i="20"/>
  <c r="AN167" i="20" s="1"/>
  <c r="AM168" i="20"/>
  <c r="AN168" i="20" s="1"/>
  <c r="AM176" i="20"/>
  <c r="AN176" i="20" s="1"/>
  <c r="AM181" i="20"/>
  <c r="AN181" i="20" s="1"/>
  <c r="AM211" i="20"/>
  <c r="AN211" i="20" s="1"/>
  <c r="AM213" i="20"/>
  <c r="AN213" i="20" s="1"/>
  <c r="AM297" i="20"/>
  <c r="AN297" i="20" s="1"/>
  <c r="AM339" i="20"/>
  <c r="AN339" i="20" s="1"/>
  <c r="AM338" i="20"/>
  <c r="AN338" i="20" s="1"/>
  <c r="AM379" i="20"/>
  <c r="AN379" i="20" s="1"/>
  <c r="AM401" i="20"/>
  <c r="AN401" i="20" s="1"/>
  <c r="AM402" i="20"/>
  <c r="AN402" i="20" s="1"/>
  <c r="AM398" i="20"/>
  <c r="AN398" i="20" s="1"/>
  <c r="AM446" i="20"/>
  <c r="AN446" i="20" s="1"/>
  <c r="AM454" i="20"/>
  <c r="AN454" i="20" s="1"/>
  <c r="AM464" i="20"/>
  <c r="AN464" i="20" s="1"/>
  <c r="AM465" i="20"/>
  <c r="AN465" i="20" s="1"/>
  <c r="AM476" i="20"/>
  <c r="AN476" i="20" s="1"/>
  <c r="AM489" i="20"/>
  <c r="AN489" i="20" s="1"/>
  <c r="AM494" i="20"/>
  <c r="AN494" i="20" s="1"/>
  <c r="AM517" i="20"/>
  <c r="AN517" i="20" s="1"/>
  <c r="AM519" i="20"/>
  <c r="AN519" i="20" s="1"/>
  <c r="AM525" i="20"/>
  <c r="AN525" i="20" s="1"/>
  <c r="AM528" i="20"/>
  <c r="AN528" i="20" s="1"/>
  <c r="AM566" i="20"/>
  <c r="AN566" i="20" s="1"/>
  <c r="AM605" i="20"/>
  <c r="AN605" i="20" s="1"/>
  <c r="AM694" i="20"/>
  <c r="AN694" i="20" s="1"/>
  <c r="AM689" i="20"/>
  <c r="AN689" i="20" s="1"/>
  <c r="AM717" i="20"/>
  <c r="AN717" i="20" s="1"/>
  <c r="AM729" i="20"/>
  <c r="AN729" i="20" s="1"/>
  <c r="AM736" i="20"/>
  <c r="AN736" i="20" s="1"/>
  <c r="AM743" i="20"/>
  <c r="AN743" i="20" s="1"/>
  <c r="AM755" i="20"/>
  <c r="AN755" i="20" s="1"/>
  <c r="AM754" i="20"/>
  <c r="AN754" i="20" s="1"/>
  <c r="AM765" i="20"/>
  <c r="AN765" i="20" s="1"/>
  <c r="AM774" i="20"/>
  <c r="AN774" i="20" s="1"/>
  <c r="AM775" i="20"/>
  <c r="AN775" i="20" s="1"/>
  <c r="AM796" i="20"/>
  <c r="AN796" i="20" s="1"/>
  <c r="AM804" i="20"/>
  <c r="AN804" i="20" s="1"/>
  <c r="AM828" i="20"/>
  <c r="AN828" i="20" s="1"/>
  <c r="AM837" i="20"/>
  <c r="AN837" i="20" s="1"/>
  <c r="AM849" i="20"/>
  <c r="AN849" i="20" s="1"/>
  <c r="AM895" i="20"/>
  <c r="AN895" i="20" s="1"/>
  <c r="AM281" i="20"/>
  <c r="AN281" i="20" s="1"/>
  <c r="AM316" i="20"/>
  <c r="AN316" i="20" s="1"/>
  <c r="AM315" i="20"/>
  <c r="AN315" i="20" s="1"/>
  <c r="AM613" i="20"/>
  <c r="AN613" i="20" s="1"/>
  <c r="AM748" i="20"/>
  <c r="AN748" i="20" s="1"/>
  <c r="AM177" i="20"/>
  <c r="AN177" i="20" s="1"/>
  <c r="AM219" i="20"/>
  <c r="AN219" i="20" s="1"/>
  <c r="AM223" i="20"/>
  <c r="AN223" i="20" s="1"/>
  <c r="AM262" i="20"/>
  <c r="AN262" i="20" s="1"/>
  <c r="AM283" i="20"/>
  <c r="AN283" i="20" s="1"/>
  <c r="AM324" i="20"/>
  <c r="AN324" i="20" s="1"/>
  <c r="AM409" i="20"/>
  <c r="AN409" i="20" s="1"/>
  <c r="AM387" i="20"/>
  <c r="AN387" i="20" s="1"/>
  <c r="AM388" i="20"/>
  <c r="AN388" i="20" s="1"/>
  <c r="AM374" i="20"/>
  <c r="AN374" i="20" s="1"/>
  <c r="AM431" i="20"/>
  <c r="AN431" i="20" s="1"/>
  <c r="AM432" i="20"/>
  <c r="AN432" i="20" s="1"/>
  <c r="AM459" i="20"/>
  <c r="AN459" i="20" s="1"/>
  <c r="AM463" i="20"/>
  <c r="AN463" i="20" s="1"/>
  <c r="AM515" i="20"/>
  <c r="AN515" i="20" s="1"/>
  <c r="AM531" i="20"/>
  <c r="AN531" i="20" s="1"/>
  <c r="AM569" i="20"/>
  <c r="AN569" i="20" s="1"/>
  <c r="AM577" i="20"/>
  <c r="AN577" i="20" s="1"/>
  <c r="AM604" i="20"/>
  <c r="AN604" i="20" s="1"/>
  <c r="AM622" i="20"/>
  <c r="AN622" i="20" s="1"/>
  <c r="AM639" i="20"/>
  <c r="AN639" i="20" s="1"/>
  <c r="AM687" i="20"/>
  <c r="AN687" i="20" s="1"/>
  <c r="AM716" i="20"/>
  <c r="AN716" i="20" s="1"/>
  <c r="AM769" i="20"/>
  <c r="AN769" i="20" s="1"/>
  <c r="AM787" i="20"/>
  <c r="AN787" i="20" s="1"/>
  <c r="AM801" i="20"/>
  <c r="AN801" i="20" s="1"/>
  <c r="AM825" i="20"/>
  <c r="AN825" i="20" s="1"/>
  <c r="AM826" i="20"/>
  <c r="AN826" i="20" s="1"/>
  <c r="AM853" i="20"/>
  <c r="AN853" i="20" s="1"/>
  <c r="AM854" i="20"/>
  <c r="AN854" i="20" s="1"/>
  <c r="AM228" i="20"/>
  <c r="AN228" i="20" s="1"/>
  <c r="AM230" i="20"/>
  <c r="AN230" i="20" s="1"/>
  <c r="AM240" i="20"/>
  <c r="AN240" i="20" s="1"/>
  <c r="AM511" i="20"/>
  <c r="AN511" i="20" s="1"/>
  <c r="AM543" i="20"/>
  <c r="AN543" i="20" s="1"/>
  <c r="AM688" i="20"/>
  <c r="AN688" i="20" s="1"/>
  <c r="AM706" i="20"/>
  <c r="AN706" i="20" s="1"/>
  <c r="AM742" i="20"/>
  <c r="AN742" i="20" s="1"/>
  <c r="AM751" i="20"/>
  <c r="AN751" i="20" s="1"/>
  <c r="AM753" i="20"/>
  <c r="AN753" i="20" s="1"/>
  <c r="AM776" i="20"/>
  <c r="AN776" i="20" s="1"/>
  <c r="AM773" i="20"/>
  <c r="AN773" i="20" s="1"/>
  <c r="AM778" i="20"/>
  <c r="AN778" i="20" s="1"/>
  <c r="AM813" i="20"/>
  <c r="AN813" i="20" s="1"/>
  <c r="AM900" i="20"/>
  <c r="AN900" i="20" s="1"/>
  <c r="AM915" i="20"/>
  <c r="AN915" i="20" s="1"/>
  <c r="AM75" i="20"/>
  <c r="AN75" i="20" s="1"/>
  <c r="AM236" i="20"/>
  <c r="AN236" i="20" s="1"/>
  <c r="AM268" i="20"/>
  <c r="AN268" i="20" s="1"/>
  <c r="AM290" i="20"/>
  <c r="AN290" i="20" s="1"/>
  <c r="AM323" i="20"/>
  <c r="AN323" i="20" s="1"/>
  <c r="AM385" i="20"/>
  <c r="AN385" i="20" s="1"/>
  <c r="AM366" i="20"/>
  <c r="AN366" i="20" s="1"/>
  <c r="AM367" i="20"/>
  <c r="AN367" i="20" s="1"/>
  <c r="AM364" i="20"/>
  <c r="AN364" i="20" s="1"/>
  <c r="AM422" i="20"/>
  <c r="AN422" i="20" s="1"/>
  <c r="AM474" i="20"/>
  <c r="AN474" i="20" s="1"/>
  <c r="AM480" i="20"/>
  <c r="AN480" i="20" s="1"/>
  <c r="AM483" i="20"/>
  <c r="AN483" i="20" s="1"/>
  <c r="AM499" i="20"/>
  <c r="AN499" i="20" s="1"/>
  <c r="AM500" i="20"/>
  <c r="AN500" i="20" s="1"/>
  <c r="AM609" i="20"/>
  <c r="AN609" i="20" s="1"/>
  <c r="AM611" i="20"/>
  <c r="AN611" i="20" s="1"/>
  <c r="AM635" i="20"/>
  <c r="AN635" i="20" s="1"/>
  <c r="AM653" i="20"/>
  <c r="AN653" i="20" s="1"/>
  <c r="AM785" i="20"/>
  <c r="AN785" i="20" s="1"/>
  <c r="AM865" i="20"/>
  <c r="AN865" i="20" s="1"/>
  <c r="AM876" i="20"/>
  <c r="AN876" i="20" s="1"/>
  <c r="AM78" i="20"/>
  <c r="AN78" i="20" s="1"/>
  <c r="AM180" i="20"/>
  <c r="AN180" i="20" s="1"/>
  <c r="AM190" i="20"/>
  <c r="AN190" i="20" s="1"/>
  <c r="AM243" i="20"/>
  <c r="AN243" i="20" s="1"/>
  <c r="AM244" i="20"/>
  <c r="AN244" i="20" s="1"/>
  <c r="AM258" i="20"/>
  <c r="AN258" i="20" s="1"/>
  <c r="AM263" i="20"/>
  <c r="AN263" i="20" s="1"/>
  <c r="AM295" i="20"/>
  <c r="AN295" i="20" s="1"/>
  <c r="AM301" i="20"/>
  <c r="AN301" i="20" s="1"/>
  <c r="AM302" i="20"/>
  <c r="AN302" i="20" s="1"/>
  <c r="AM306" i="20"/>
  <c r="AN306" i="20" s="1"/>
  <c r="AM307" i="20"/>
  <c r="AN307" i="20" s="1"/>
  <c r="AM318" i="20"/>
  <c r="AN318" i="20" s="1"/>
  <c r="AM332" i="20"/>
  <c r="AN332" i="20" s="1"/>
  <c r="AM340" i="20"/>
  <c r="AN340" i="20" s="1"/>
  <c r="AM345" i="20"/>
  <c r="AN345" i="20" s="1"/>
  <c r="AM347" i="20"/>
  <c r="AN347" i="20" s="1"/>
  <c r="AM415" i="20"/>
  <c r="AN415" i="20" s="1"/>
  <c r="AM353" i="20"/>
  <c r="AN353" i="20" s="1"/>
  <c r="AM354" i="20"/>
  <c r="AN354" i="20" s="1"/>
  <c r="AM355" i="20"/>
  <c r="AN355" i="20" s="1"/>
  <c r="AM396" i="20"/>
  <c r="AN396" i="20" s="1"/>
  <c r="AM378" i="20"/>
  <c r="AN378" i="20" s="1"/>
  <c r="AM419" i="20"/>
  <c r="AN419" i="20" s="1"/>
  <c r="AM357" i="20"/>
  <c r="AN357" i="20" s="1"/>
  <c r="AM389" i="20"/>
  <c r="AN389" i="20" s="1"/>
  <c r="AM390" i="20"/>
  <c r="AN390" i="20" s="1"/>
  <c r="AM406" i="20"/>
  <c r="AN406" i="20" s="1"/>
  <c r="AM424" i="20"/>
  <c r="AN424" i="20" s="1"/>
  <c r="AM433" i="20"/>
  <c r="AN433" i="20" s="1"/>
  <c r="AM437" i="20"/>
  <c r="AN437" i="20" s="1"/>
  <c r="AM447" i="20"/>
  <c r="AN447" i="20" s="1"/>
  <c r="AM448" i="20"/>
  <c r="AN448" i="20" s="1"/>
  <c r="AM460" i="20"/>
  <c r="AN460" i="20" s="1"/>
  <c r="AM472" i="20"/>
  <c r="AN472" i="20" s="1"/>
  <c r="AM482" i="20"/>
  <c r="AN482" i="20" s="1"/>
  <c r="AM518" i="20"/>
  <c r="AN518" i="20" s="1"/>
  <c r="AM527" i="20"/>
  <c r="AN527" i="20" s="1"/>
  <c r="AM540" i="20"/>
  <c r="AN540" i="20" s="1"/>
  <c r="AM541" i="20"/>
  <c r="AN541" i="20" s="1"/>
  <c r="AM547" i="20"/>
  <c r="AN547" i="20" s="1"/>
  <c r="AM567" i="20"/>
  <c r="AN567" i="20" s="1"/>
  <c r="AM643" i="20"/>
  <c r="AN643" i="20" s="1"/>
  <c r="AM642" i="20"/>
  <c r="AN642" i="20" s="1"/>
  <c r="AM650" i="20"/>
  <c r="AN650" i="20" s="1"/>
  <c r="AM652" i="20"/>
  <c r="AN652" i="20" s="1"/>
  <c r="AM655" i="20"/>
  <c r="AN655" i="20" s="1"/>
  <c r="AM692" i="20"/>
  <c r="AN692" i="20" s="1"/>
  <c r="AM725" i="20"/>
  <c r="AN725" i="20" s="1"/>
  <c r="AM728" i="20"/>
  <c r="AN728" i="20" s="1"/>
  <c r="AM758" i="20"/>
  <c r="AN758" i="20" s="1"/>
  <c r="AM789" i="20"/>
  <c r="AN789" i="20" s="1"/>
  <c r="AM792" i="20"/>
  <c r="AN792" i="20" s="1"/>
  <c r="AM797" i="20"/>
  <c r="AN797" i="20" s="1"/>
  <c r="AM800" i="20"/>
  <c r="AN800" i="20" s="1"/>
  <c r="AM802" i="20"/>
  <c r="AN802" i="20" s="1"/>
  <c r="AM815" i="20"/>
  <c r="AN815" i="20" s="1"/>
  <c r="AM816" i="20"/>
  <c r="AN816" i="20" s="1"/>
  <c r="AM821" i="20"/>
  <c r="AN821" i="20" s="1"/>
  <c r="AM830" i="20"/>
  <c r="AN830" i="20" s="1"/>
  <c r="AM841" i="20"/>
  <c r="AN841" i="20" s="1"/>
  <c r="AM842" i="20"/>
  <c r="AN842" i="20" s="1"/>
  <c r="AM843" i="20"/>
  <c r="AN843" i="20" s="1"/>
  <c r="AM845" i="20"/>
  <c r="AN845" i="20" s="1"/>
  <c r="AM875" i="20"/>
  <c r="AN875" i="20" s="1"/>
  <c r="AM886" i="20"/>
  <c r="AN886" i="20" s="1"/>
  <c r="AM195" i="20"/>
  <c r="AN195" i="20" s="1"/>
  <c r="AM196" i="20"/>
  <c r="AN196" i="20" s="1"/>
  <c r="AM218" i="20"/>
  <c r="AN218" i="20" s="1"/>
  <c r="AM227" i="20"/>
  <c r="AN227" i="20" s="1"/>
  <c r="AM269" i="20"/>
  <c r="AN269" i="20" s="1"/>
  <c r="AM270" i="20"/>
  <c r="AN270" i="20" s="1"/>
  <c r="AM296" i="20"/>
  <c r="AN296" i="20" s="1"/>
  <c r="AM304" i="20"/>
  <c r="AN304" i="20" s="1"/>
  <c r="AM308" i="20"/>
  <c r="AN308" i="20" s="1"/>
  <c r="AM336" i="20"/>
  <c r="AN336" i="20" s="1"/>
  <c r="AM334" i="20"/>
  <c r="AN334" i="20" s="1"/>
  <c r="AM335" i="20"/>
  <c r="AN335" i="20" s="1"/>
  <c r="AM399" i="20"/>
  <c r="AN399" i="20" s="1"/>
  <c r="AM372" i="20"/>
  <c r="AN372" i="20" s="1"/>
  <c r="AM373" i="20"/>
  <c r="AN373" i="20" s="1"/>
  <c r="AM358" i="20"/>
  <c r="AN358" i="20" s="1"/>
  <c r="AM359" i="20"/>
  <c r="AN359" i="20" s="1"/>
  <c r="AM360" i="20"/>
  <c r="AN360" i="20" s="1"/>
  <c r="AM457" i="20"/>
  <c r="AN457" i="20" s="1"/>
  <c r="AM475" i="20"/>
  <c r="AN475" i="20" s="1"/>
  <c r="AM473" i="20"/>
  <c r="AN473" i="20" s="1"/>
  <c r="AM621" i="20"/>
  <c r="AN621" i="20" s="1"/>
  <c r="AM646" i="20"/>
  <c r="AN646" i="20" s="1"/>
  <c r="AM681" i="20"/>
  <c r="AN681" i="20" s="1"/>
  <c r="AM674" i="20"/>
  <c r="AN674" i="20" s="1"/>
  <c r="AM675" i="20"/>
  <c r="AN675" i="20" s="1"/>
  <c r="AM705" i="20"/>
  <c r="AN705" i="20" s="1"/>
  <c r="AM726" i="20"/>
  <c r="AN726" i="20" s="1"/>
  <c r="AM734" i="20"/>
  <c r="AN734" i="20" s="1"/>
  <c r="AM735" i="20"/>
  <c r="AN735" i="20" s="1"/>
  <c r="AM740" i="20"/>
  <c r="AN740" i="20" s="1"/>
  <c r="AM741" i="20"/>
  <c r="AN741" i="20" s="1"/>
  <c r="AM770" i="20"/>
  <c r="AN770" i="20" s="1"/>
  <c r="AM771" i="20"/>
  <c r="AN771" i="20" s="1"/>
  <c r="AM806" i="20"/>
  <c r="AN806" i="20" s="1"/>
  <c r="AM807" i="20"/>
  <c r="AN807" i="20" s="1"/>
  <c r="AM823" i="20"/>
  <c r="AN823" i="20" s="1"/>
  <c r="AM834" i="20"/>
  <c r="AN834" i="20" s="1"/>
  <c r="AM835" i="20"/>
  <c r="AN835" i="20" s="1"/>
  <c r="AM836" i="20"/>
  <c r="AN836" i="20" s="1"/>
  <c r="AM852" i="20"/>
  <c r="AN852" i="20" s="1"/>
  <c r="AM904" i="20"/>
  <c r="AN904" i="20" s="1"/>
  <c r="AM342" i="20"/>
  <c r="AN342" i="20" s="1"/>
  <c r="AM356" i="20"/>
  <c r="AN356" i="20" s="1"/>
  <c r="AM425" i="20"/>
  <c r="AN425" i="20" s="1"/>
  <c r="AM438" i="20"/>
  <c r="AN438" i="20" s="1"/>
  <c r="AM455" i="20"/>
  <c r="AN455" i="20" s="1"/>
  <c r="AM466" i="20"/>
  <c r="AN466" i="20" s="1"/>
  <c r="AM479" i="20"/>
  <c r="AN479" i="20" s="1"/>
  <c r="AM496" i="20"/>
  <c r="AN496" i="20" s="1"/>
  <c r="AM497" i="20"/>
  <c r="AN497" i="20" s="1"/>
  <c r="AM607" i="20"/>
  <c r="AN607" i="20" s="1"/>
  <c r="AM610" i="20"/>
  <c r="AN610" i="20" s="1"/>
  <c r="AM198" i="20"/>
  <c r="AN198" i="20" s="1"/>
  <c r="AM202" i="20"/>
  <c r="AN202" i="20" s="1"/>
  <c r="AM234" i="20"/>
  <c r="AN234" i="20" s="1"/>
  <c r="AM255" i="20"/>
  <c r="AN255" i="20" s="1"/>
  <c r="AM292" i="20"/>
  <c r="AN292" i="20" s="1"/>
  <c r="AM309" i="20"/>
  <c r="AN309" i="20" s="1"/>
  <c r="AM310" i="20"/>
  <c r="AN310" i="20" s="1"/>
  <c r="AM341" i="20"/>
  <c r="AN341" i="20" s="1"/>
  <c r="AM394" i="20"/>
  <c r="AN394" i="20" s="1"/>
  <c r="AM361" i="20"/>
  <c r="AN361" i="20" s="1"/>
  <c r="AM362" i="20"/>
  <c r="AN362" i="20" s="1"/>
  <c r="AM506" i="20"/>
  <c r="AN506" i="20" s="1"/>
  <c r="AM516" i="20"/>
  <c r="AN516" i="20" s="1"/>
  <c r="AM616" i="20"/>
  <c r="AN616" i="20" s="1"/>
  <c r="AM623" i="20"/>
  <c r="AN623" i="20" s="1"/>
  <c r="AM648" i="20"/>
  <c r="AN648" i="20" s="1"/>
  <c r="AM690" i="20"/>
  <c r="AN690" i="20" s="1"/>
  <c r="AM723" i="20"/>
  <c r="AN723" i="20" s="1"/>
  <c r="AM733" i="20"/>
  <c r="AN733" i="20" s="1"/>
  <c r="AM739" i="20"/>
  <c r="AN739" i="20" s="1"/>
  <c r="AM750" i="20"/>
  <c r="AN750" i="20" s="1"/>
  <c r="AM762" i="20"/>
  <c r="AN762" i="20" s="1"/>
  <c r="AM782" i="20"/>
  <c r="AN782" i="20" s="1"/>
  <c r="AM795" i="20"/>
  <c r="AN795" i="20" s="1"/>
  <c r="AM805" i="20"/>
  <c r="AN805" i="20" s="1"/>
  <c r="AM827" i="20"/>
  <c r="AN827" i="20" s="1"/>
  <c r="AM833" i="20"/>
  <c r="AN833" i="20" s="1"/>
  <c r="AM846" i="20"/>
  <c r="AN846" i="20" s="1"/>
  <c r="AM877" i="20"/>
  <c r="AN877" i="20" s="1"/>
  <c r="AM889" i="20"/>
  <c r="AN889" i="20" s="1"/>
  <c r="AM902" i="20"/>
  <c r="AN902" i="20" s="1"/>
  <c r="AM908" i="20"/>
  <c r="AN908" i="20" s="1"/>
  <c r="AM914" i="20"/>
  <c r="AN914" i="20" s="1"/>
  <c r="AM81" i="20"/>
  <c r="AN81" i="20" s="1"/>
  <c r="AM178" i="20"/>
  <c r="AN178" i="20" s="1"/>
  <c r="AM204" i="20"/>
  <c r="AN204" i="20" s="1"/>
  <c r="AM205" i="20"/>
  <c r="AN205" i="20" s="1"/>
  <c r="AM206" i="20"/>
  <c r="AN206" i="20" s="1"/>
  <c r="AM207" i="20"/>
  <c r="AN207" i="20" s="1"/>
  <c r="AM214" i="20"/>
  <c r="AN214" i="20" s="1"/>
  <c r="AM225" i="20"/>
  <c r="AN225" i="20" s="1"/>
  <c r="AM251" i="20"/>
  <c r="AN251" i="20" s="1"/>
  <c r="AM248" i="20"/>
  <c r="AN248" i="20" s="1"/>
  <c r="AM293" i="20"/>
  <c r="AN293" i="20" s="1"/>
  <c r="AM313" i="20"/>
  <c r="AN313" i="20" s="1"/>
  <c r="AM320" i="20"/>
  <c r="AN320" i="20" s="1"/>
  <c r="AM343" i="20"/>
  <c r="AN343" i="20" s="1"/>
  <c r="AM344" i="20"/>
  <c r="AN344" i="20" s="1"/>
  <c r="AM348" i="20"/>
  <c r="AN348" i="20" s="1"/>
  <c r="AM410" i="20"/>
  <c r="AN410" i="20" s="1"/>
  <c r="AM411" i="20"/>
  <c r="AN411" i="20" s="1"/>
  <c r="AM349" i="20"/>
  <c r="AN349" i="20" s="1"/>
  <c r="AM350" i="20"/>
  <c r="AN350" i="20" s="1"/>
  <c r="AM351" i="20"/>
  <c r="AN351" i="20" s="1"/>
  <c r="AM352" i="20"/>
  <c r="AN352" i="20" s="1"/>
  <c r="AM403" i="20"/>
  <c r="AN403" i="20" s="1"/>
  <c r="AM430" i="20"/>
  <c r="AN430" i="20" s="1"/>
  <c r="AM441" i="20"/>
  <c r="AN441" i="20" s="1"/>
  <c r="AM444" i="20"/>
  <c r="AN444" i="20" s="1"/>
  <c r="AM451" i="20"/>
  <c r="AN451" i="20" s="1"/>
  <c r="AM481" i="20"/>
  <c r="AN481" i="20" s="1"/>
  <c r="AM535" i="20"/>
  <c r="AN535" i="20" s="1"/>
  <c r="AM542" i="20"/>
  <c r="AN542" i="20" s="1"/>
  <c r="AM563" i="20"/>
  <c r="AN563" i="20" s="1"/>
  <c r="AM571" i="20"/>
  <c r="AN571" i="20" s="1"/>
  <c r="AM615" i="20"/>
  <c r="AN615" i="20" s="1"/>
  <c r="AM617" i="20"/>
  <c r="AN617" i="20" s="1"/>
  <c r="AM618" i="20"/>
  <c r="AN618" i="20" s="1"/>
  <c r="AM636" i="20"/>
  <c r="AN636" i="20" s="1"/>
  <c r="AM644" i="20"/>
  <c r="AN644" i="20" s="1"/>
  <c r="AM645" i="20"/>
  <c r="AN645" i="20" s="1"/>
  <c r="AM649" i="20"/>
  <c r="AN649" i="20" s="1"/>
  <c r="AM685" i="20"/>
  <c r="AN685" i="20" s="1"/>
  <c r="AM698" i="20"/>
  <c r="AN698" i="20" s="1"/>
  <c r="AM699" i="20"/>
  <c r="AN699" i="20" s="1"/>
  <c r="AM696" i="20"/>
  <c r="AN696" i="20" s="1"/>
  <c r="AM702" i="20"/>
  <c r="AN702" i="20" s="1"/>
  <c r="AM704" i="20"/>
  <c r="AN704" i="20" s="1"/>
  <c r="AM711" i="20"/>
  <c r="AN711" i="20" s="1"/>
  <c r="AM732" i="20"/>
  <c r="AN732" i="20" s="1"/>
  <c r="AM737" i="20"/>
  <c r="AN737" i="20" s="1"/>
  <c r="AM738" i="20"/>
  <c r="AN738" i="20" s="1"/>
  <c r="AM749" i="20"/>
  <c r="AN749" i="20" s="1"/>
  <c r="AM777" i="20"/>
  <c r="AN777" i="20" s="1"/>
  <c r="AM764" i="20"/>
  <c r="AN764" i="20" s="1"/>
  <c r="AM786" i="20"/>
  <c r="AN786" i="20" s="1"/>
  <c r="AM791" i="20"/>
  <c r="AN791" i="20" s="1"/>
  <c r="AM808" i="20"/>
  <c r="AN808" i="20" s="1"/>
  <c r="AM811" i="20"/>
  <c r="AN811" i="20" s="1"/>
  <c r="AM812" i="20"/>
  <c r="AN812" i="20" s="1"/>
  <c r="AM817" i="20"/>
  <c r="AN817" i="20" s="1"/>
  <c r="AM820" i="20"/>
  <c r="AN820" i="20" s="1"/>
  <c r="AM831" i="20"/>
  <c r="AN831" i="20" s="1"/>
  <c r="AM832" i="20"/>
  <c r="AN832" i="20" s="1"/>
  <c r="AM844" i="20"/>
  <c r="AN844" i="20" s="1"/>
  <c r="AM847" i="20"/>
  <c r="AN847" i="20" s="1"/>
  <c r="AM855" i="20"/>
  <c r="AN855" i="20" s="1"/>
  <c r="AM870" i="20"/>
  <c r="AN870" i="20" s="1"/>
  <c r="AM872" i="20"/>
  <c r="AN872" i="20" s="1"/>
  <c r="AM879" i="20"/>
  <c r="AN879" i="20" s="1"/>
  <c r="AM882" i="20"/>
  <c r="AN882" i="20" s="1"/>
  <c r="AM888" i="20"/>
  <c r="AN888" i="20" s="1"/>
  <c r="AM892" i="20"/>
  <c r="AN892" i="20" s="1"/>
  <c r="AM893" i="20"/>
  <c r="AN893" i="20" s="1"/>
  <c r="AM897" i="20"/>
  <c r="AN897" i="20" s="1"/>
  <c r="AM898" i="20"/>
  <c r="AN898" i="20" s="1"/>
  <c r="AM903" i="20"/>
  <c r="AN903" i="20" s="1"/>
  <c r="AM909" i="20"/>
  <c r="AN909" i="20" s="1"/>
  <c r="AM905" i="20"/>
  <c r="AN905" i="20" s="1"/>
  <c r="AM913" i="20"/>
  <c r="AN913" i="20" s="1"/>
  <c r="AM48" i="20"/>
  <c r="AN48" i="20" s="1"/>
  <c r="AM47" i="20"/>
  <c r="AN47" i="20" s="1"/>
  <c r="AM45" i="20"/>
  <c r="AN45" i="20" s="1"/>
  <c r="AM87" i="20"/>
  <c r="AN87" i="20" s="1"/>
  <c r="AM184" i="20"/>
  <c r="AN184" i="20" s="1"/>
  <c r="AM185" i="20"/>
  <c r="AN185" i="20" s="1"/>
  <c r="AM186" i="20"/>
  <c r="AN186" i="20" s="1"/>
  <c r="AM187" i="20"/>
  <c r="AN187" i="20" s="1"/>
  <c r="AM194" i="20"/>
  <c r="AN194" i="20" s="1"/>
  <c r="AM200" i="20"/>
  <c r="AN200" i="20" s="1"/>
  <c r="AM201" i="20"/>
  <c r="AN201" i="20" s="1"/>
  <c r="AM199" i="20"/>
  <c r="AN199" i="20" s="1"/>
  <c r="AM212" i="20"/>
  <c r="AN212" i="20" s="1"/>
  <c r="AM216" i="20"/>
  <c r="AN216" i="20" s="1"/>
  <c r="AM222" i="20"/>
  <c r="AN222" i="20" s="1"/>
  <c r="AM226" i="20"/>
  <c r="AN226" i="20" s="1"/>
  <c r="AM232" i="20"/>
  <c r="AN232" i="20" s="1"/>
  <c r="AM237" i="20"/>
  <c r="AN237" i="20" s="1"/>
  <c r="AM245" i="20"/>
  <c r="AN245" i="20" s="1"/>
  <c r="AM247" i="20"/>
  <c r="AN247" i="20" s="1"/>
  <c r="AM261" i="20"/>
  <c r="AN261" i="20" s="1"/>
  <c r="AM264" i="20"/>
  <c r="AN264" i="20" s="1"/>
  <c r="AM265" i="20"/>
  <c r="AN265" i="20" s="1"/>
  <c r="AM299" i="20"/>
  <c r="AN299" i="20" s="1"/>
  <c r="AM305" i="20"/>
  <c r="AN305" i="20" s="1"/>
  <c r="AM326" i="20"/>
  <c r="AN326" i="20" s="1"/>
  <c r="AM329" i="20"/>
  <c r="AN329" i="20" s="1"/>
  <c r="AM330" i="20"/>
  <c r="AN330" i="20" s="1"/>
  <c r="AM346" i="20"/>
  <c r="AN346" i="20" s="1"/>
  <c r="AM407" i="20"/>
  <c r="AN407" i="20" s="1"/>
  <c r="AM363" i="20"/>
  <c r="AN363" i="20" s="1"/>
  <c r="AM408" i="20"/>
  <c r="AN408" i="20" s="1"/>
  <c r="AM375" i="20"/>
  <c r="AN375" i="20" s="1"/>
  <c r="AM376" i="20"/>
  <c r="AN376" i="20" s="1"/>
  <c r="AM393" i="20"/>
  <c r="AN393" i="20" s="1"/>
  <c r="AM416" i="20"/>
  <c r="AN416" i="20" s="1"/>
  <c r="AM371" i="20"/>
  <c r="AN371" i="20" s="1"/>
  <c r="AM382" i="20"/>
  <c r="AN382" i="20" s="1"/>
  <c r="AM365" i="20"/>
  <c r="AN365" i="20" s="1"/>
  <c r="AM428" i="20"/>
  <c r="AN428" i="20" s="1"/>
  <c r="AM443" i="20"/>
  <c r="AN443" i="20" s="1"/>
  <c r="AM487" i="20"/>
  <c r="AN487" i="20" s="1"/>
  <c r="AM485" i="20"/>
  <c r="AN485" i="20" s="1"/>
  <c r="AM488" i="20"/>
  <c r="AN488" i="20" s="1"/>
  <c r="AM508" i="20"/>
  <c r="AN508" i="20" s="1"/>
  <c r="AM514" i="20"/>
  <c r="AN514" i="20" s="1"/>
  <c r="AM570" i="20"/>
  <c r="AN570" i="20" s="1"/>
  <c r="AM574" i="20"/>
  <c r="AN574" i="20" s="1"/>
  <c r="AM637" i="20"/>
  <c r="AN637" i="20" s="1"/>
  <c r="AM630" i="20"/>
  <c r="AN630" i="20" s="1"/>
  <c r="AM638" i="20"/>
  <c r="AN638" i="20" s="1"/>
  <c r="AM651" i="20"/>
  <c r="AN651" i="20" s="1"/>
  <c r="AM654" i="20"/>
  <c r="AN654" i="20" s="1"/>
  <c r="AM666" i="20"/>
  <c r="AN666" i="20" s="1"/>
  <c r="AM686" i="20"/>
  <c r="AN686" i="20" s="1"/>
  <c r="AM697" i="20"/>
  <c r="AN697" i="20" s="1"/>
  <c r="AM708" i="20"/>
  <c r="AN708" i="20" s="1"/>
  <c r="AM709" i="20"/>
  <c r="AN709" i="20" s="1"/>
  <c r="AM710" i="20"/>
  <c r="AN710" i="20" s="1"/>
  <c r="AM760" i="20"/>
  <c r="AN760" i="20" s="1"/>
  <c r="AM761" i="20"/>
  <c r="AN761" i="20" s="1"/>
  <c r="AM759" i="20"/>
  <c r="AN759" i="20" s="1"/>
  <c r="AM763" i="20"/>
  <c r="AN763" i="20" s="1"/>
  <c r="AM783" i="20"/>
  <c r="AN783" i="20" s="1"/>
  <c r="AM781" i="20"/>
  <c r="AN781" i="20" s="1"/>
  <c r="AM784" i="20"/>
  <c r="AN784" i="20" s="1"/>
  <c r="AM790" i="20"/>
  <c r="AN790" i="20" s="1"/>
  <c r="AM794" i="20"/>
  <c r="AN794" i="20" s="1"/>
  <c r="AM803" i="20"/>
  <c r="AN803" i="20" s="1"/>
  <c r="AM809" i="20"/>
  <c r="AN809" i="20" s="1"/>
  <c r="AM814" i="20"/>
  <c r="AN814" i="20" s="1"/>
  <c r="AM824" i="20"/>
  <c r="AN824" i="20" s="1"/>
  <c r="AM880" i="20"/>
  <c r="AN880" i="20" s="1"/>
  <c r="AM881" i="20"/>
  <c r="AN881" i="20" s="1"/>
  <c r="AM885" i="20"/>
  <c r="AN885" i="20" s="1"/>
  <c r="AM883" i="20"/>
  <c r="AN883" i="20" s="1"/>
  <c r="AM896" i="20"/>
  <c r="AN896" i="20" s="1"/>
  <c r="AM907" i="20"/>
  <c r="AN907" i="20" s="1"/>
  <c r="AM906" i="20"/>
  <c r="AN906" i="20" s="1"/>
  <c r="AM911" i="20"/>
  <c r="AN911" i="20" s="1"/>
  <c r="AM912" i="20"/>
  <c r="AN912" i="20" s="1"/>
  <c r="AM910" i="20"/>
  <c r="AN910" i="20" s="1"/>
  <c r="AM231" i="20"/>
  <c r="AN231" i="20" s="1"/>
  <c r="AM507" i="20"/>
  <c r="AN507" i="20" s="1"/>
  <c r="AM779" i="20"/>
  <c r="AN779" i="20" s="1"/>
  <c r="AM780" i="20"/>
  <c r="AN780" i="20" s="1"/>
  <c r="AM891" i="20"/>
  <c r="AN891" i="20" s="1"/>
  <c r="AM901" i="20"/>
  <c r="AN901" i="20" s="1"/>
  <c r="AM74" i="20"/>
  <c r="AN74" i="20" s="1"/>
  <c r="AM96" i="20"/>
  <c r="AN96" i="20" s="1"/>
  <c r="AM126" i="20"/>
  <c r="AN126" i="20" s="1"/>
  <c r="AM175" i="20"/>
  <c r="AN175" i="20" s="1"/>
  <c r="AM182" i="20"/>
  <c r="AN182" i="20" s="1"/>
  <c r="AM188" i="20"/>
  <c r="AN188" i="20" s="1"/>
  <c r="AM189" i="20"/>
  <c r="AN189" i="20" s="1"/>
  <c r="AM191" i="20"/>
  <c r="AN191" i="20" s="1"/>
  <c r="AM192" i="20"/>
  <c r="AN192" i="20" s="1"/>
  <c r="AM193" i="20"/>
  <c r="AN193" i="20" s="1"/>
  <c r="AM197" i="20"/>
  <c r="AN197" i="20" s="1"/>
  <c r="AM203" i="20"/>
  <c r="AN203" i="20" s="1"/>
  <c r="AM208" i="20"/>
  <c r="AN208" i="20" s="1"/>
  <c r="AM209" i="20"/>
  <c r="AN209" i="20" s="1"/>
  <c r="AM210" i="20"/>
  <c r="AN210" i="20" s="1"/>
  <c r="AM220" i="20"/>
  <c r="AN220" i="20" s="1"/>
  <c r="AM221" i="20"/>
  <c r="AN221" i="20" s="1"/>
  <c r="AM229" i="20"/>
  <c r="AN229" i="20" s="1"/>
  <c r="AM242" i="20"/>
  <c r="AN242" i="20" s="1"/>
  <c r="AM259" i="20"/>
  <c r="AN259" i="20" s="1"/>
  <c r="AM274" i="20"/>
  <c r="AN274" i="20" s="1"/>
  <c r="AM272" i="20"/>
  <c r="AN272" i="20" s="1"/>
  <c r="AM273" i="20"/>
  <c r="AN273" i="20" s="1"/>
  <c r="AM276" i="20"/>
  <c r="AN276" i="20" s="1"/>
  <c r="AM287" i="20"/>
  <c r="AN287" i="20" s="1"/>
  <c r="AM285" i="20"/>
  <c r="AN285" i="20" s="1"/>
  <c r="AM286" i="20"/>
  <c r="AN286" i="20" s="1"/>
  <c r="AM288" i="20"/>
  <c r="AN288" i="20" s="1"/>
  <c r="AM294" i="20"/>
  <c r="AN294" i="20" s="1"/>
  <c r="AM303" i="20"/>
  <c r="AN303" i="20" s="1"/>
  <c r="AM312" i="20"/>
  <c r="AN312" i="20" s="1"/>
  <c r="AM317" i="20"/>
  <c r="AN317" i="20" s="1"/>
  <c r="AM319" i="20"/>
  <c r="AN319" i="20" s="1"/>
  <c r="AM321" i="20"/>
  <c r="AN321" i="20" s="1"/>
  <c r="AM327" i="20"/>
  <c r="AN327" i="20" s="1"/>
  <c r="AM331" i="20"/>
  <c r="AN331" i="20" s="1"/>
  <c r="AM414" i="20"/>
  <c r="AN414" i="20" s="1"/>
  <c r="AM413" i="20"/>
  <c r="AN413" i="20" s="1"/>
  <c r="AM377" i="20"/>
  <c r="AN377" i="20" s="1"/>
  <c r="AM395" i="20"/>
  <c r="AN395" i="20" s="1"/>
  <c r="AM426" i="20"/>
  <c r="AN426" i="20" s="1"/>
  <c r="AM436" i="20"/>
  <c r="AN436" i="20" s="1"/>
  <c r="AM435" i="20"/>
  <c r="AN435" i="20" s="1"/>
  <c r="AM434" i="20"/>
  <c r="AN434" i="20" s="1"/>
  <c r="AM439" i="20"/>
  <c r="AN439" i="20" s="1"/>
  <c r="AM442" i="20"/>
  <c r="AN442" i="20" s="1"/>
  <c r="AM445" i="20"/>
  <c r="AN445" i="20" s="1"/>
  <c r="AM458" i="20"/>
  <c r="AN458" i="20" s="1"/>
  <c r="AM467" i="20"/>
  <c r="AN467" i="20" s="1"/>
  <c r="AM491" i="20"/>
  <c r="AN491" i="20" s="1"/>
  <c r="AM501" i="20"/>
  <c r="AN501" i="20" s="1"/>
  <c r="AM502" i="20"/>
  <c r="AN502" i="20" s="1"/>
  <c r="AM520" i="20"/>
  <c r="AN520" i="20" s="1"/>
  <c r="AM521" i="20"/>
  <c r="AN521" i="20" s="1"/>
  <c r="AM522" i="20"/>
  <c r="AN522" i="20" s="1"/>
  <c r="AM523" i="20"/>
  <c r="AN523" i="20" s="1"/>
  <c r="AM524" i="20"/>
  <c r="AN524" i="20" s="1"/>
  <c r="AM526" i="20"/>
  <c r="AN526" i="20" s="1"/>
  <c r="AM532" i="20"/>
  <c r="AN532" i="20" s="1"/>
  <c r="AM548" i="20"/>
  <c r="AN548" i="20" s="1"/>
  <c r="AM556" i="20"/>
  <c r="AN556" i="20" s="1"/>
  <c r="AM554" i="20"/>
  <c r="AN554" i="20" s="1"/>
  <c r="AM552" i="20"/>
  <c r="AN552" i="20" s="1"/>
  <c r="AM560" i="20"/>
  <c r="AN560" i="20" s="1"/>
  <c r="AM561" i="20"/>
  <c r="AN561" i="20" s="1"/>
  <c r="AM565" i="20"/>
  <c r="AN565" i="20" s="1"/>
  <c r="AM579" i="20"/>
  <c r="AN579" i="20" s="1"/>
  <c r="AM576" i="20"/>
  <c r="AN576" i="20" s="1"/>
  <c r="AM573" i="20"/>
  <c r="AN573" i="20" s="1"/>
  <c r="AM590" i="20"/>
  <c r="AN590" i="20" s="1"/>
  <c r="AM586" i="20"/>
  <c r="AN586" i="20" s="1"/>
  <c r="AM582" i="20"/>
  <c r="AN582" i="20" s="1"/>
  <c r="AM581" i="20"/>
  <c r="AN581" i="20" s="1"/>
  <c r="AM585" i="20"/>
  <c r="AN585" i="20" s="1"/>
  <c r="AM584" i="20"/>
  <c r="AN584" i="20" s="1"/>
  <c r="AM592" i="20"/>
  <c r="AN592" i="20" s="1"/>
  <c r="AM597" i="20"/>
  <c r="AN597" i="20" s="1"/>
  <c r="AM593" i="20"/>
  <c r="AN593" i="20" s="1"/>
  <c r="AM595" i="20"/>
  <c r="AN595" i="20" s="1"/>
  <c r="AM596" i="20"/>
  <c r="AN596" i="20" s="1"/>
  <c r="AM601" i="20"/>
  <c r="AN601" i="20" s="1"/>
  <c r="AM599" i="20"/>
  <c r="AN599" i="20" s="1"/>
  <c r="AM612" i="20"/>
  <c r="AN612" i="20" s="1"/>
  <c r="AM614" i="20"/>
  <c r="AN614" i="20" s="1"/>
  <c r="AM641" i="20"/>
  <c r="AN641" i="20" s="1"/>
  <c r="AM640" i="20"/>
  <c r="AN640" i="20" s="1"/>
  <c r="AM629" i="20"/>
  <c r="AN629" i="20" s="1"/>
  <c r="AM691" i="20"/>
  <c r="AN691" i="20" s="1"/>
  <c r="AM684" i="20"/>
  <c r="AN684" i="20" s="1"/>
  <c r="AM677" i="20"/>
  <c r="AN677" i="20" s="1"/>
  <c r="AM662" i="20"/>
  <c r="AN662" i="20" s="1"/>
  <c r="AM673" i="20"/>
  <c r="AN673" i="20" s="1"/>
  <c r="AM672" i="20"/>
  <c r="AN672" i="20" s="1"/>
  <c r="AM676" i="20"/>
  <c r="AN676" i="20" s="1"/>
  <c r="AM693" i="20"/>
  <c r="AN693" i="20" s="1"/>
  <c r="AM679" i="20"/>
  <c r="AN679" i="20" s="1"/>
  <c r="AM715" i="20"/>
  <c r="AN715" i="20" s="1"/>
  <c r="AM718" i="20"/>
  <c r="AN718" i="20" s="1"/>
  <c r="AM720" i="20"/>
  <c r="AN720" i="20" s="1"/>
  <c r="AM727" i="20"/>
  <c r="AN727" i="20" s="1"/>
  <c r="AM746" i="20"/>
  <c r="AN746" i="20" s="1"/>
  <c r="AM752" i="20"/>
  <c r="AN752" i="20" s="1"/>
  <c r="AM757" i="20"/>
  <c r="AN757" i="20" s="1"/>
  <c r="AM772" i="20"/>
  <c r="AN772" i="20" s="1"/>
  <c r="AM767" i="20"/>
  <c r="AN767" i="20" s="1"/>
  <c r="AM768" i="20"/>
  <c r="AN768" i="20" s="1"/>
  <c r="AM788" i="20"/>
  <c r="AN788" i="20" s="1"/>
  <c r="AM799" i="20"/>
  <c r="AN799" i="20" s="1"/>
  <c r="AM810" i="20"/>
  <c r="AN810" i="20" s="1"/>
  <c r="AM848" i="20"/>
  <c r="AN848" i="20" s="1"/>
  <c r="AM867" i="20"/>
  <c r="AN867" i="20" s="1"/>
  <c r="AM866" i="20"/>
  <c r="AN866" i="20" s="1"/>
  <c r="AM869" i="20"/>
  <c r="AN869" i="20" s="1"/>
  <c r="AM873" i="20"/>
  <c r="AN873" i="20" s="1"/>
  <c r="AM874" i="20"/>
  <c r="AN874" i="20" s="1"/>
  <c r="AM890" i="20"/>
  <c r="AN890" i="20" s="1"/>
  <c r="AM899" i="20"/>
  <c r="AN899" i="20" s="1"/>
  <c r="AO257" i="20"/>
  <c r="I1" i="20"/>
  <c r="AO250" i="20"/>
  <c r="AO314" i="20"/>
  <c r="AO316" i="20"/>
  <c r="AO315" i="20"/>
  <c r="AO317" i="20"/>
  <c r="AO275" i="20"/>
  <c r="AO235" i="20"/>
  <c r="AO238" i="20"/>
  <c r="AO271" i="20"/>
  <c r="AO254" i="20"/>
  <c r="AO282" i="20"/>
  <c r="AO277" i="20"/>
  <c r="AO266" i="20"/>
  <c r="AO284" i="20"/>
  <c r="AO233" i="20"/>
  <c r="AO224" i="20"/>
  <c r="AO267" i="20"/>
  <c r="AO280" i="20"/>
  <c r="AO279" i="20"/>
  <c r="AO211" i="20"/>
  <c r="AO213" i="20"/>
  <c r="AO281" i="20"/>
  <c r="AO223" i="20"/>
  <c r="AO283" i="20"/>
  <c r="AO228" i="20"/>
  <c r="AO230" i="20"/>
  <c r="AO240" i="20"/>
  <c r="AO236" i="20"/>
  <c r="AO268" i="20"/>
  <c r="AO190" i="20"/>
  <c r="AO195" i="20"/>
  <c r="AO196" i="20"/>
  <c r="AO227" i="20"/>
  <c r="AO270" i="20"/>
  <c r="AO198" i="20"/>
  <c r="AO202" i="20"/>
  <c r="AO234" i="20"/>
  <c r="AO255" i="20"/>
  <c r="AO204" i="20"/>
  <c r="AO205" i="20"/>
  <c r="AO206" i="20"/>
  <c r="AO207" i="20"/>
  <c r="AO214" i="20"/>
  <c r="AO225" i="20"/>
  <c r="AO251" i="20"/>
  <c r="AO248" i="20"/>
  <c r="AO194" i="20"/>
  <c r="AO200" i="20"/>
  <c r="AO201" i="20"/>
  <c r="AO199" i="20"/>
  <c r="AO212" i="20"/>
  <c r="AO222" i="20"/>
  <c r="AO226" i="20"/>
  <c r="AO232" i="20"/>
  <c r="AO237" i="20"/>
  <c r="AO247" i="20"/>
  <c r="AO231" i="20"/>
  <c r="AO197" i="20"/>
  <c r="AO209" i="20"/>
  <c r="AO210" i="20"/>
  <c r="AO221" i="20"/>
  <c r="AO229" i="20"/>
  <c r="AO274" i="20"/>
  <c r="AO272" i="20"/>
  <c r="AO273" i="20"/>
  <c r="AO276" i="20"/>
  <c r="AO287" i="20"/>
  <c r="AO285" i="20"/>
  <c r="AO286" i="20"/>
  <c r="AO537" i="20"/>
  <c r="AO538" i="20"/>
  <c r="AO544" i="20"/>
  <c r="AO539" i="20"/>
  <c r="AO529" i="20"/>
  <c r="AO545" i="20"/>
  <c r="AO531" i="20"/>
  <c r="AO543" i="20"/>
  <c r="AO540" i="20"/>
  <c r="AO541" i="20"/>
  <c r="AO542" i="20"/>
  <c r="AO683" i="20"/>
  <c r="AO671" i="20"/>
  <c r="AO669" i="20"/>
  <c r="AO659" i="20"/>
  <c r="AO663" i="20"/>
  <c r="AO664" i="20"/>
  <c r="AO665" i="20"/>
  <c r="AO660" i="20"/>
  <c r="AO680" i="20"/>
  <c r="AO658" i="20"/>
  <c r="AO661" i="20"/>
  <c r="AO682" i="20"/>
  <c r="AO667" i="20"/>
  <c r="AO449" i="20"/>
  <c r="AO462" i="20"/>
  <c r="AO678" i="20"/>
  <c r="AO695" i="20"/>
  <c r="AO668" i="20"/>
  <c r="AO670" i="20"/>
  <c r="AO446" i="20"/>
  <c r="AO694" i="20"/>
  <c r="AO689" i="20"/>
  <c r="AO459" i="20"/>
  <c r="AO687" i="20"/>
  <c r="AO688" i="20"/>
  <c r="AO301" i="20"/>
  <c r="AO302" i="20"/>
  <c r="AO306" i="20"/>
  <c r="AO307" i="20"/>
  <c r="AO340" i="20"/>
  <c r="AO437" i="20"/>
  <c r="AO447" i="20"/>
  <c r="AO692" i="20"/>
  <c r="AO296" i="20"/>
  <c r="AO681" i="20"/>
  <c r="AO674" i="20"/>
  <c r="AO675" i="20"/>
  <c r="AO309" i="20"/>
  <c r="AO310" i="20"/>
  <c r="AO690" i="20"/>
  <c r="AO685" i="20"/>
  <c r="AO299" i="20"/>
  <c r="AO305" i="20"/>
  <c r="AO666" i="20"/>
  <c r="AO686" i="20"/>
  <c r="AO458" i="20"/>
  <c r="AO691" i="20"/>
  <c r="AO684" i="20"/>
  <c r="AO677" i="20"/>
  <c r="AO662" i="20"/>
  <c r="AO673" i="20"/>
  <c r="AO672" i="20"/>
  <c r="AO676" i="20"/>
  <c r="AO693" i="20"/>
  <c r="AO679" i="20"/>
  <c r="AO369" i="20"/>
  <c r="AO397" i="20"/>
  <c r="AO404" i="20"/>
  <c r="AO392" i="20"/>
  <c r="AO417" i="20"/>
  <c r="AO420" i="20"/>
  <c r="AO387" i="20"/>
  <c r="AO366" i="20"/>
  <c r="AO353" i="20"/>
  <c r="AO389" i="20"/>
  <c r="AO358" i="20"/>
  <c r="AO349" i="20"/>
  <c r="AO351" i="20"/>
  <c r="AO375" i="20"/>
  <c r="AO298" i="20"/>
  <c r="AO300" i="20"/>
  <c r="AO303" i="20"/>
  <c r="AO477" i="20"/>
  <c r="AO620" i="20"/>
  <c r="AO478" i="20"/>
  <c r="AO625" i="20"/>
  <c r="AO626" i="20"/>
  <c r="AO627" i="20"/>
  <c r="AO624" i="20"/>
  <c r="AO578" i="20"/>
  <c r="AO613" i="20"/>
  <c r="AO622" i="20"/>
  <c r="AO474" i="20"/>
  <c r="AO472" i="20"/>
  <c r="AO616" i="20"/>
  <c r="AO623" i="20"/>
  <c r="AO571" i="20"/>
  <c r="AO615" i="20"/>
  <c r="AO618" i="20"/>
  <c r="AO570" i="20"/>
  <c r="AO574" i="20"/>
  <c r="AO548" i="20"/>
  <c r="AO614" i="20"/>
  <c r="AO291" i="20"/>
  <c r="AO290" i="20"/>
  <c r="AO295" i="20"/>
  <c r="AO293" i="20"/>
  <c r="AO294" i="20"/>
  <c r="AO337" i="20"/>
  <c r="AO339" i="20"/>
  <c r="AO338" i="20"/>
  <c r="AO336" i="20"/>
  <c r="AO334" i="20"/>
  <c r="AO335" i="20"/>
  <c r="AO333" i="20"/>
  <c r="AO391" i="20"/>
  <c r="AO657" i="20"/>
  <c r="AO322" i="20"/>
  <c r="AO383" i="20"/>
  <c r="AO370" i="20"/>
  <c r="AO427" i="20"/>
  <c r="AO456" i="20"/>
  <c r="AO405" i="20"/>
  <c r="AO468" i="20"/>
  <c r="AO418" i="20"/>
  <c r="AO400" i="20"/>
  <c r="AO412" i="20"/>
  <c r="AO380" i="20"/>
  <c r="AO453" i="20"/>
  <c r="AO564" i="20"/>
  <c r="AO656" i="20"/>
  <c r="AO325" i="20"/>
  <c r="AO384" i="20"/>
  <c r="AO368" i="20"/>
  <c r="AO707" i="20"/>
  <c r="AO328" i="20"/>
  <c r="AO381" i="20"/>
  <c r="AO421" i="20"/>
  <c r="AO386" i="20"/>
  <c r="AO470" i="20"/>
  <c r="AO647" i="20"/>
  <c r="AO379" i="20"/>
  <c r="AO401" i="20"/>
  <c r="AO398" i="20"/>
  <c r="AO454" i="20"/>
  <c r="AO464" i="20"/>
  <c r="AO566" i="20"/>
  <c r="AO324" i="20"/>
  <c r="AO409" i="20"/>
  <c r="AO388" i="20"/>
  <c r="AO374" i="20"/>
  <c r="AO431" i="20"/>
  <c r="AO432" i="20"/>
  <c r="AO463" i="20"/>
  <c r="AO569" i="20"/>
  <c r="AO323" i="20"/>
  <c r="AO385" i="20"/>
  <c r="AO367" i="20"/>
  <c r="AO364" i="20"/>
  <c r="AO422" i="20"/>
  <c r="AO653" i="20"/>
  <c r="AO332" i="20"/>
  <c r="AO345" i="20"/>
  <c r="AO347" i="20"/>
  <c r="AO415" i="20"/>
  <c r="AO354" i="20"/>
  <c r="AO396" i="20"/>
  <c r="AO378" i="20"/>
  <c r="AO419" i="20"/>
  <c r="AO357" i="20"/>
  <c r="AO390" i="20"/>
  <c r="AO406" i="20"/>
  <c r="AO424" i="20"/>
  <c r="AO433" i="20"/>
  <c r="AO460" i="20"/>
  <c r="AO567" i="20"/>
  <c r="AO650" i="20"/>
  <c r="AO652" i="20"/>
  <c r="AO655" i="20"/>
  <c r="AO399" i="20"/>
  <c r="AO372" i="20"/>
  <c r="AO359" i="20"/>
  <c r="AO457" i="20"/>
  <c r="AO646" i="20"/>
  <c r="AO705" i="20"/>
  <c r="AO341" i="20"/>
  <c r="AO394" i="20"/>
  <c r="AO361" i="20"/>
  <c r="AO648" i="20"/>
  <c r="AO320" i="20"/>
  <c r="AO410" i="20"/>
  <c r="AO350" i="20"/>
  <c r="AO352" i="20"/>
  <c r="AO403" i="20"/>
  <c r="AO430" i="20"/>
  <c r="AO441" i="20"/>
  <c r="AO644" i="20"/>
  <c r="AO645" i="20"/>
  <c r="AO649" i="20"/>
  <c r="AO326" i="20"/>
  <c r="AO329" i="20"/>
  <c r="AO330" i="20"/>
  <c r="AO407" i="20"/>
  <c r="AO363" i="20"/>
  <c r="AO408" i="20"/>
  <c r="AO376" i="20"/>
  <c r="AO393" i="20"/>
  <c r="AO416" i="20"/>
  <c r="AO371" i="20"/>
  <c r="AO382" i="20"/>
  <c r="AO365" i="20"/>
  <c r="AO443" i="20"/>
  <c r="AO651" i="20"/>
  <c r="AO654" i="20"/>
  <c r="AO708" i="20"/>
  <c r="AO709" i="20"/>
  <c r="AO710" i="20"/>
  <c r="AO312" i="20"/>
  <c r="AO319" i="20"/>
  <c r="AO321" i="20"/>
  <c r="AO331" i="20"/>
  <c r="AO414" i="20"/>
  <c r="AO413" i="20"/>
  <c r="AO377" i="20"/>
  <c r="AO395" i="20"/>
  <c r="AO436" i="20"/>
  <c r="AO435" i="20"/>
  <c r="AO434" i="20"/>
  <c r="AO565" i="20"/>
  <c r="AO179" i="20"/>
  <c r="AO452" i="20"/>
  <c r="AO490" i="20"/>
  <c r="AO829" i="20"/>
  <c r="AO839" i="20"/>
  <c r="AO840" i="20"/>
  <c r="AO850" i="20"/>
  <c r="AO851" i="20"/>
  <c r="AO856" i="20"/>
  <c r="AO857" i="20"/>
  <c r="AO858" i="20"/>
  <c r="AO859" i="20"/>
  <c r="AO887" i="20"/>
  <c r="AO894" i="20"/>
  <c r="AO253" i="20"/>
  <c r="AO498" i="20"/>
  <c r="AO608" i="20"/>
  <c r="AO260" i="20"/>
  <c r="AO423" i="20"/>
  <c r="AO461" i="20"/>
  <c r="AO471" i="20"/>
  <c r="AO744" i="20"/>
  <c r="AO103" i="20"/>
  <c r="AO93" i="20"/>
  <c r="AO512" i="20"/>
  <c r="AO553" i="20"/>
  <c r="AO587" i="20"/>
  <c r="AO588" i="20"/>
  <c r="AO217" i="20"/>
  <c r="AO505" i="20"/>
  <c r="AO509" i="20"/>
  <c r="AO546" i="20"/>
  <c r="AO568" i="20"/>
  <c r="AO619" i="20"/>
  <c r="AO822" i="20"/>
  <c r="AO510" i="20"/>
  <c r="AO724" i="20"/>
  <c r="AO818" i="20"/>
  <c r="AO871" i="20"/>
  <c r="AO878" i="20"/>
  <c r="AO503" i="20"/>
  <c r="AO98" i="20"/>
  <c r="AO89" i="20"/>
  <c r="AO92" i="20"/>
  <c r="AO94" i="20"/>
  <c r="AO90" i="20"/>
  <c r="AO88" i="20"/>
  <c r="AO97" i="20"/>
  <c r="AO104" i="20"/>
  <c r="AO105" i="20"/>
  <c r="AO106" i="20"/>
  <c r="AO91" i="20"/>
  <c r="AO102" i="20"/>
  <c r="AO440" i="20"/>
  <c r="AO450" i="20"/>
  <c r="AO469" i="20"/>
  <c r="AO484" i="20"/>
  <c r="AO492" i="20"/>
  <c r="AO495" i="20"/>
  <c r="AO533" i="20"/>
  <c r="AO549" i="20"/>
  <c r="AO550" i="20"/>
  <c r="AO555" i="20"/>
  <c r="AO558" i="20"/>
  <c r="AO559" i="20"/>
  <c r="AO551" i="20"/>
  <c r="AO583" i="20"/>
  <c r="AO580" i="20"/>
  <c r="AO598" i="20"/>
  <c r="AO594" i="20"/>
  <c r="AO600" i="20"/>
  <c r="AO863" i="20"/>
  <c r="AO860" i="20"/>
  <c r="AO861" i="20"/>
  <c r="AO862" i="20"/>
  <c r="AO215" i="20"/>
  <c r="AO493" i="20"/>
  <c r="AO513" i="20"/>
  <c r="AO530" i="20"/>
  <c r="AO572" i="20"/>
  <c r="AO603" i="20"/>
  <c r="AO628" i="20"/>
  <c r="AO703" i="20"/>
  <c r="AO721" i="20"/>
  <c r="AO82" i="20"/>
  <c r="AO239" i="20"/>
  <c r="AO278" i="20"/>
  <c r="AO429" i="20"/>
  <c r="AO602" i="20"/>
  <c r="AO701" i="20"/>
  <c r="AO712" i="20"/>
  <c r="AO713" i="20"/>
  <c r="AO864" i="20"/>
  <c r="AO101" i="20"/>
  <c r="AO107" i="20"/>
  <c r="AO95" i="20"/>
  <c r="AO128" i="20"/>
  <c r="AO534" i="20"/>
  <c r="AO536" i="20"/>
  <c r="AO557" i="20"/>
  <c r="AO589" i="20"/>
  <c r="AO591" i="20"/>
  <c r="AO700" i="20"/>
  <c r="AO714" i="20"/>
  <c r="AO730" i="20"/>
  <c r="AO731" i="20"/>
  <c r="AO766" i="20"/>
  <c r="AO838" i="20"/>
  <c r="AO868" i="20"/>
  <c r="AO606" i="20"/>
  <c r="AO756" i="20"/>
  <c r="AO46" i="20"/>
  <c r="AO183" i="20"/>
  <c r="AO486" i="20"/>
  <c r="AO562" i="20"/>
  <c r="AO798" i="20"/>
  <c r="AO819" i="20"/>
  <c r="AO884" i="20"/>
  <c r="AO125" i="20"/>
  <c r="AO241" i="20"/>
  <c r="AO246" i="20"/>
  <c r="AO504" i="20"/>
  <c r="AO575" i="20"/>
  <c r="AO719" i="20"/>
  <c r="AO722" i="20"/>
  <c r="AO745" i="20"/>
  <c r="AO747" i="20"/>
  <c r="AO793" i="20"/>
  <c r="AO127" i="20"/>
  <c r="AO167" i="20"/>
  <c r="AO168" i="20"/>
  <c r="AO176" i="20"/>
  <c r="AO181" i="20"/>
  <c r="AO297" i="20"/>
  <c r="AO402" i="20"/>
  <c r="AO465" i="20"/>
  <c r="AO476" i="20"/>
  <c r="AO489" i="20"/>
  <c r="AO494" i="20"/>
  <c r="AO517" i="20"/>
  <c r="AO519" i="20"/>
  <c r="AO525" i="20"/>
  <c r="AO528" i="20"/>
  <c r="AO605" i="20"/>
  <c r="AO717" i="20"/>
  <c r="AO729" i="20"/>
  <c r="AO736" i="20"/>
  <c r="AO743" i="20"/>
  <c r="AO755" i="20"/>
  <c r="AO754" i="20"/>
  <c r="AO765" i="20"/>
  <c r="AO774" i="20"/>
  <c r="AO775" i="20"/>
  <c r="AO796" i="20"/>
  <c r="AO804" i="20"/>
  <c r="AO828" i="20"/>
  <c r="AO837" i="20"/>
  <c r="AO849" i="20"/>
  <c r="AO895" i="20"/>
  <c r="AO748" i="20"/>
  <c r="AO177" i="20"/>
  <c r="AO219" i="20"/>
  <c r="AO262" i="20"/>
  <c r="AO515" i="20"/>
  <c r="AO577" i="20"/>
  <c r="AO604" i="20"/>
  <c r="AO716" i="20"/>
  <c r="AO769" i="20"/>
  <c r="AO787" i="20"/>
  <c r="AO801" i="20"/>
  <c r="AO825" i="20"/>
  <c r="AO826" i="20"/>
  <c r="AO853" i="20"/>
  <c r="AO854" i="20"/>
  <c r="AO511" i="20"/>
  <c r="AO706" i="20"/>
  <c r="AO742" i="20"/>
  <c r="AO751" i="20"/>
  <c r="AO753" i="20"/>
  <c r="AO776" i="20"/>
  <c r="AO773" i="20"/>
  <c r="AO778" i="20"/>
  <c r="AO813" i="20"/>
  <c r="AO900" i="20"/>
  <c r="AO915" i="20"/>
  <c r="AO75" i="20"/>
  <c r="AO480" i="20"/>
  <c r="AO483" i="20"/>
  <c r="AO499" i="20"/>
  <c r="AO500" i="20"/>
  <c r="AO609" i="20"/>
  <c r="AO611" i="20"/>
  <c r="AO785" i="20"/>
  <c r="AO865" i="20"/>
  <c r="AO876" i="20"/>
  <c r="AO78" i="20"/>
  <c r="AO180" i="20"/>
  <c r="AO243" i="20"/>
  <c r="AO244" i="20"/>
  <c r="AO258" i="20"/>
  <c r="AO263" i="20"/>
  <c r="AO318" i="20"/>
  <c r="AO355" i="20"/>
  <c r="AO448" i="20"/>
  <c r="AO482" i="20"/>
  <c r="AO518" i="20"/>
  <c r="AO527" i="20"/>
  <c r="AO547" i="20"/>
  <c r="AO725" i="20"/>
  <c r="AO728" i="20"/>
  <c r="AO758" i="20"/>
  <c r="AO789" i="20"/>
  <c r="AO792" i="20"/>
  <c r="AO797" i="20"/>
  <c r="AO800" i="20"/>
  <c r="AO802" i="20"/>
  <c r="AO815" i="20"/>
  <c r="AO816" i="20"/>
  <c r="AO821" i="20"/>
  <c r="AO830" i="20"/>
  <c r="AO841" i="20"/>
  <c r="AO842" i="20"/>
  <c r="AO843" i="20"/>
  <c r="AO845" i="20"/>
  <c r="AO875" i="20"/>
  <c r="AO886" i="20"/>
  <c r="AO218" i="20"/>
  <c r="AO304" i="20"/>
  <c r="AO308" i="20"/>
  <c r="AO373" i="20"/>
  <c r="AO360" i="20"/>
  <c r="AO475" i="20"/>
  <c r="AO473" i="20"/>
  <c r="AO621" i="20"/>
  <c r="AO726" i="20"/>
  <c r="AO734" i="20"/>
  <c r="AO735" i="20"/>
  <c r="AO740" i="20"/>
  <c r="AO741" i="20"/>
  <c r="AO770" i="20"/>
  <c r="AO771" i="20"/>
  <c r="AO806" i="20"/>
  <c r="AO807" i="20"/>
  <c r="AO823" i="20"/>
  <c r="AO834" i="20"/>
  <c r="AO835" i="20"/>
  <c r="AO836" i="20"/>
  <c r="AO852" i="20"/>
  <c r="AO904" i="20"/>
  <c r="AO496" i="20"/>
  <c r="AO497" i="20"/>
  <c r="AO607" i="20"/>
  <c r="AO610" i="20"/>
  <c r="AO292" i="20"/>
  <c r="AO362" i="20"/>
  <c r="AO506" i="20"/>
  <c r="AO516" i="20"/>
  <c r="AO723" i="20"/>
  <c r="AO733" i="20"/>
  <c r="AO739" i="20"/>
  <c r="AO750" i="20"/>
  <c r="AO762" i="20"/>
  <c r="AO782" i="20"/>
  <c r="AO795" i="20"/>
  <c r="AO805" i="20"/>
  <c r="AO827" i="20"/>
  <c r="AO833" i="20"/>
  <c r="AO846" i="20"/>
  <c r="AO877" i="20"/>
  <c r="AO889" i="20"/>
  <c r="AO902" i="20"/>
  <c r="AO908" i="20"/>
  <c r="AO914" i="20"/>
  <c r="AO81" i="20"/>
  <c r="AO178" i="20"/>
  <c r="AO313" i="20"/>
  <c r="AO343" i="20"/>
  <c r="AO344" i="20"/>
  <c r="AO348" i="20"/>
  <c r="AO411" i="20"/>
  <c r="AO444" i="20"/>
  <c r="AO451" i="20"/>
  <c r="AO481" i="20"/>
  <c r="AO535" i="20"/>
  <c r="AO563" i="20"/>
  <c r="AO617" i="20"/>
  <c r="AO698" i="20"/>
  <c r="AO699" i="20"/>
  <c r="AO696" i="20"/>
  <c r="AO702" i="20"/>
  <c r="AO704" i="20"/>
  <c r="AO711" i="20"/>
  <c r="AO732" i="20"/>
  <c r="AO737" i="20"/>
  <c r="AO738" i="20"/>
  <c r="AO749" i="20"/>
  <c r="AO777" i="20"/>
  <c r="AO764" i="20"/>
  <c r="AO786" i="20"/>
  <c r="AO791" i="20"/>
  <c r="AO808" i="20"/>
  <c r="AO811" i="20"/>
  <c r="AO812" i="20"/>
  <c r="AO817" i="20"/>
  <c r="AO820" i="20"/>
  <c r="AO831" i="20"/>
  <c r="AO832" i="20"/>
  <c r="AO844" i="20"/>
  <c r="AO847" i="20"/>
  <c r="AO855" i="20"/>
  <c r="AO870" i="20"/>
  <c r="AO872" i="20"/>
  <c r="AO879" i="20"/>
  <c r="AO882" i="20"/>
  <c r="AO888" i="20"/>
  <c r="AO892" i="20"/>
  <c r="AO893" i="20"/>
  <c r="AO897" i="20"/>
  <c r="AO898" i="20"/>
  <c r="AO903" i="20"/>
  <c r="AO909" i="20"/>
  <c r="AO905" i="20"/>
  <c r="AO913" i="20"/>
  <c r="AO48" i="20"/>
  <c r="AO47" i="20"/>
  <c r="AO45" i="20"/>
  <c r="AO87" i="20"/>
  <c r="AO184" i="20"/>
  <c r="AO185" i="20"/>
  <c r="AO186" i="20"/>
  <c r="AO187" i="20"/>
  <c r="AO216" i="20"/>
  <c r="AO245" i="20"/>
  <c r="AO261" i="20"/>
  <c r="AO264" i="20"/>
  <c r="AO265" i="20"/>
  <c r="AO346" i="20"/>
  <c r="AO428" i="20"/>
  <c r="AO487" i="20"/>
  <c r="AO485" i="20"/>
  <c r="AO488" i="20"/>
  <c r="AO508" i="20"/>
  <c r="AO514" i="20"/>
  <c r="AO697" i="20"/>
  <c r="AO760" i="20"/>
  <c r="AO761" i="20"/>
  <c r="AO759" i="20"/>
  <c r="AO763" i="20"/>
  <c r="AO783" i="20"/>
  <c r="AO781" i="20"/>
  <c r="AO784" i="20"/>
  <c r="AO790" i="20"/>
  <c r="AO794" i="20"/>
  <c r="AO803" i="20"/>
  <c r="AO809" i="20"/>
  <c r="AO814" i="20"/>
  <c r="AO824" i="20"/>
  <c r="AO880" i="20"/>
  <c r="AO881" i="20"/>
  <c r="AO885" i="20"/>
  <c r="AO883" i="20"/>
  <c r="AO896" i="20"/>
  <c r="AO907" i="20"/>
  <c r="AO906" i="20"/>
  <c r="AO911" i="20"/>
  <c r="AO912" i="20"/>
  <c r="AO910" i="20"/>
  <c r="AO507" i="20"/>
  <c r="AO779" i="20"/>
  <c r="AO780" i="20"/>
  <c r="AO891" i="20"/>
  <c r="AO901" i="20"/>
  <c r="AO74" i="20"/>
  <c r="AO96" i="20"/>
  <c r="AO126" i="20"/>
  <c r="AO175" i="20"/>
  <c r="AO182" i="20"/>
  <c r="AO188" i="20"/>
  <c r="AO189" i="20"/>
  <c r="AO191" i="20"/>
  <c r="AO192" i="20"/>
  <c r="AO193" i="20"/>
  <c r="AO203" i="20"/>
  <c r="AO208" i="20"/>
  <c r="AO220" i="20"/>
  <c r="AO242" i="20"/>
  <c r="AO259" i="20"/>
  <c r="AO288" i="20"/>
  <c r="AO327" i="20"/>
  <c r="AO426" i="20"/>
  <c r="AO439" i="20"/>
  <c r="AO442" i="20"/>
  <c r="AO445" i="20"/>
  <c r="AO467" i="20"/>
  <c r="AO491" i="20"/>
  <c r="AO501" i="20"/>
  <c r="AO502" i="20"/>
  <c r="AO520" i="20"/>
  <c r="AO521" i="20"/>
  <c r="AO522" i="20"/>
  <c r="AO523" i="20"/>
  <c r="AO524" i="20"/>
  <c r="AO526" i="20"/>
  <c r="AO532" i="20"/>
  <c r="AO556" i="20"/>
  <c r="AO554" i="20"/>
  <c r="AO552" i="20"/>
  <c r="AO560" i="20"/>
  <c r="AO561" i="20"/>
  <c r="AO579" i="20"/>
  <c r="AO576" i="20"/>
  <c r="AO573" i="20"/>
  <c r="AO590" i="20"/>
  <c r="AO586" i="20"/>
  <c r="AO582" i="20"/>
  <c r="AO581" i="20"/>
  <c r="AO585" i="20"/>
  <c r="AO584" i="20"/>
  <c r="AO592" i="20"/>
  <c r="AO597" i="20"/>
  <c r="AO593" i="20"/>
  <c r="AO595" i="20"/>
  <c r="AO596" i="20"/>
  <c r="AO601" i="20"/>
  <c r="AO599" i="20"/>
  <c r="AO612" i="20"/>
  <c r="AO715" i="20"/>
  <c r="AO718" i="20"/>
  <c r="AO720" i="20"/>
  <c r="AO727" i="20"/>
  <c r="AO746" i="20"/>
  <c r="AO752" i="20"/>
  <c r="AO757" i="20"/>
  <c r="AO772" i="20"/>
  <c r="AO767" i="20"/>
  <c r="AO768" i="20"/>
  <c r="AO788" i="20"/>
  <c r="AO799" i="20"/>
  <c r="AO810" i="20"/>
  <c r="AO848" i="20"/>
  <c r="AO867" i="20"/>
  <c r="AO866" i="20"/>
  <c r="AO869" i="20"/>
  <c r="AO873" i="20"/>
  <c r="AO874" i="20"/>
  <c r="AO890" i="20"/>
  <c r="AO899" i="20"/>
  <c r="AO632" i="20"/>
  <c r="AO633" i="20"/>
  <c r="AO634" i="20"/>
  <c r="AO631" i="20"/>
  <c r="AO639" i="20"/>
  <c r="AO635" i="20"/>
  <c r="AO643" i="20"/>
  <c r="AO642" i="20"/>
  <c r="AO636" i="20"/>
  <c r="AO637" i="20"/>
  <c r="AO630" i="20"/>
  <c r="AO638" i="20"/>
  <c r="AO641" i="20"/>
  <c r="AO640" i="20"/>
  <c r="AO629" i="20"/>
  <c r="W5" i="43"/>
  <c r="M14" i="43"/>
  <c r="M15" i="43"/>
  <c r="M13" i="43"/>
  <c r="AQ48" i="20"/>
  <c r="AQ46" i="20"/>
  <c r="AQ47" i="20"/>
  <c r="AQ45" i="20"/>
  <c r="AF28" i="14"/>
  <c r="AF57" i="14"/>
  <c r="AF236" i="14"/>
  <c r="AF74" i="14"/>
  <c r="AF46" i="14"/>
  <c r="AF48" i="14"/>
  <c r="AF196" i="14"/>
  <c r="AF234" i="14"/>
  <c r="AF106" i="14"/>
  <c r="AF153" i="14"/>
  <c r="AF224" i="14"/>
  <c r="AF63" i="14"/>
  <c r="AF112" i="14"/>
  <c r="AF76" i="14"/>
  <c r="AF73" i="14"/>
  <c r="AF47" i="14"/>
  <c r="AF94" i="14"/>
  <c r="AF49" i="14"/>
  <c r="AF107" i="14"/>
  <c r="AF56" i="14"/>
  <c r="AF16" i="14"/>
  <c r="AF58" i="14"/>
  <c r="AF142" i="14"/>
  <c r="AF50" i="14"/>
  <c r="AF162" i="14"/>
  <c r="AF51" i="14"/>
  <c r="AF176" i="14"/>
  <c r="AF170" i="14"/>
  <c r="AQ75" i="20"/>
  <c r="AQ78" i="20"/>
  <c r="AQ81" i="20"/>
  <c r="AQ87" i="20"/>
  <c r="AQ82" i="20"/>
  <c r="AQ74" i="20"/>
  <c r="AQ127" i="20"/>
  <c r="AQ126" i="20"/>
  <c r="AQ128" i="20"/>
  <c r="AQ167" i="20"/>
  <c r="AQ168" i="20"/>
  <c r="AQ125" i="20"/>
  <c r="AQ89" i="20"/>
  <c r="AQ90" i="20"/>
  <c r="AQ91" i="20"/>
  <c r="AQ92" i="20"/>
  <c r="AQ93" i="20"/>
  <c r="AQ94" i="20"/>
  <c r="AQ95" i="20"/>
  <c r="AQ97" i="20"/>
  <c r="AQ98" i="20"/>
  <c r="AQ101" i="20"/>
  <c r="AQ102" i="20"/>
  <c r="AQ103" i="20"/>
  <c r="AQ104" i="20"/>
  <c r="AQ105" i="20"/>
  <c r="AQ106" i="20"/>
  <c r="AQ107" i="20"/>
  <c r="AQ96" i="20"/>
  <c r="AQ88" i="20"/>
  <c r="AQ217" i="20"/>
  <c r="AQ218" i="20"/>
  <c r="AQ219" i="20"/>
  <c r="AQ220" i="20"/>
  <c r="AQ216" i="20"/>
  <c r="AQ215" i="20"/>
  <c r="AQ178" i="20"/>
  <c r="AQ177" i="20"/>
  <c r="N12" i="37"/>
  <c r="N13" i="37"/>
  <c r="AQ175" i="20"/>
  <c r="AQ176" i="20"/>
  <c r="AQ180" i="20"/>
  <c r="AQ179" i="20"/>
  <c r="AQ182" i="20"/>
  <c r="AQ181" i="20"/>
  <c r="AQ183" i="20"/>
  <c r="AQ184" i="20"/>
  <c r="AQ250" i="20"/>
  <c r="AQ253" i="20"/>
  <c r="AQ259" i="20"/>
  <c r="AQ262" i="20"/>
  <c r="AQ263" i="20"/>
  <c r="AQ203" i="20"/>
  <c r="AQ193" i="20"/>
  <c r="AQ191" i="20"/>
  <c r="AQ192" i="20"/>
  <c r="AQ188" i="20"/>
  <c r="AQ189" i="20"/>
  <c r="AQ186" i="20"/>
  <c r="AQ187" i="20"/>
  <c r="AQ185" i="20"/>
  <c r="AQ208" i="20"/>
  <c r="AQ255" i="20"/>
  <c r="AQ254" i="20"/>
  <c r="AQ248" i="20"/>
  <c r="AQ251" i="20"/>
  <c r="AQ206" i="20"/>
  <c r="AQ207" i="20"/>
  <c r="AQ240" i="20"/>
  <c r="AQ234" i="20"/>
  <c r="AQ231" i="20"/>
  <c r="AQ230" i="20"/>
  <c r="AQ232" i="20"/>
  <c r="AQ228" i="20"/>
  <c r="AQ227" i="20"/>
  <c r="AQ195" i="20"/>
  <c r="AQ196" i="20"/>
  <c r="AQ214" i="20"/>
  <c r="AQ212" i="20"/>
  <c r="AQ211" i="20"/>
  <c r="AQ247" i="20"/>
  <c r="AQ202" i="20"/>
  <c r="AQ200" i="20"/>
  <c r="AQ201" i="20"/>
  <c r="AQ199" i="20"/>
  <c r="AQ197" i="20"/>
  <c r="AQ213" i="20"/>
  <c r="AQ238" i="20"/>
  <c r="AQ236" i="20"/>
  <c r="AQ237" i="20"/>
  <c r="AQ235" i="20"/>
  <c r="AQ233" i="20"/>
  <c r="AQ229" i="20"/>
  <c r="AQ225" i="20"/>
  <c r="AQ224" i="20"/>
  <c r="AQ226" i="20"/>
  <c r="AQ223" i="20"/>
  <c r="AQ222" i="20"/>
  <c r="AQ221" i="20"/>
  <c r="AQ190" i="20"/>
  <c r="AQ205" i="20"/>
  <c r="AQ204" i="20"/>
  <c r="AQ279" i="20"/>
  <c r="AQ280" i="20"/>
  <c r="AQ281" i="20"/>
  <c r="AQ210" i="20"/>
  <c r="AQ209" i="20"/>
  <c r="AQ269" i="20"/>
  <c r="AQ270" i="20"/>
  <c r="AQ198" i="20"/>
  <c r="AQ194" i="20"/>
  <c r="AQ275" i="20"/>
  <c r="AQ274" i="20"/>
  <c r="AQ273" i="20"/>
  <c r="AQ272" i="20"/>
  <c r="AQ271" i="20"/>
  <c r="AQ268" i="20"/>
  <c r="AQ266" i="20"/>
  <c r="AQ267" i="20"/>
  <c r="AQ282" i="20"/>
  <c r="AQ283" i="20"/>
  <c r="AQ285" i="20"/>
  <c r="AQ286" i="20"/>
  <c r="AQ284" i="20"/>
  <c r="AQ287" i="20"/>
  <c r="AQ276" i="20"/>
  <c r="AQ277" i="20"/>
  <c r="AQ521" i="20"/>
  <c r="AQ520" i="20"/>
  <c r="AQ522" i="20"/>
  <c r="AQ523" i="20"/>
  <c r="AQ524" i="20"/>
  <c r="AQ298" i="20"/>
  <c r="AQ303" i="20"/>
  <c r="AQ300"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Q330" i="20"/>
  <c r="AQ324" i="20"/>
  <c r="AQ328" i="20"/>
  <c r="AQ326" i="20"/>
  <c r="AQ329" i="20"/>
  <c r="AQ322" i="20"/>
  <c r="AQ320" i="20"/>
  <c r="AQ321" i="20"/>
  <c r="AQ332" i="20"/>
  <c r="AQ323" i="20"/>
  <c r="AQ325" i="20"/>
  <c r="AQ331" i="20"/>
  <c r="AQ441" i="20"/>
  <c r="AQ470" i="20"/>
  <c r="AQ333" i="20"/>
  <c r="AQ424" i="20"/>
  <c r="AQ345" i="20"/>
  <c r="AQ422" i="20"/>
  <c r="AQ443" i="20"/>
  <c r="AQ430" i="20"/>
  <c r="AQ341" i="20"/>
  <c r="AQ464" i="20"/>
  <c r="AQ457" i="20"/>
  <c r="AQ454" i="20"/>
  <c r="AQ460" i="20"/>
  <c r="AQ433" i="20"/>
  <c r="AQ463" i="20"/>
  <c r="AQ432" i="20"/>
  <c r="AQ453" i="20"/>
  <c r="AQ436" i="20"/>
  <c r="AQ347" i="20"/>
  <c r="AQ468" i="20"/>
  <c r="AQ466" i="20"/>
  <c r="AQ456" i="20"/>
  <c r="AQ427" i="20"/>
  <c r="AQ319" i="20"/>
  <c r="AQ435" i="20"/>
  <c r="AQ434" i="20"/>
  <c r="AQ312" i="20"/>
  <c r="AQ431"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Q241" i="20"/>
  <c r="AQ239" i="20"/>
  <c r="AQ261" i="20"/>
  <c r="AQ242" i="20"/>
  <c r="AQ245" i="20"/>
  <c r="AQ244" i="20"/>
  <c r="AQ246" i="20"/>
  <c r="AQ243" i="20"/>
  <c r="AQ258" i="20"/>
  <c r="AQ260" i="20"/>
  <c r="AQ264" i="20"/>
  <c r="AQ265" i="20"/>
  <c r="AQ278" i="20"/>
  <c r="AQ299" i="20"/>
  <c r="AQ302" i="20"/>
  <c r="AQ307" i="20"/>
  <c r="AQ310" i="20"/>
  <c r="AQ309" i="20"/>
  <c r="AQ306" i="20"/>
  <c r="AQ301" i="20"/>
  <c r="AQ305" i="20"/>
  <c r="AQ296" i="20"/>
  <c r="AQ340" i="20"/>
  <c r="AQ459" i="20"/>
  <c r="AQ437" i="20"/>
  <c r="AQ449" i="20"/>
  <c r="AQ458" i="20"/>
  <c r="AQ447" i="20"/>
  <c r="AQ446" i="20"/>
  <c r="AQ462" i="20"/>
  <c r="AQ537" i="20"/>
  <c r="AQ490" i="20"/>
  <c r="AQ840" i="20"/>
  <c r="AQ839" i="20"/>
  <c r="AQ829" i="20"/>
  <c r="AQ894" i="20"/>
  <c r="AQ887" i="20"/>
  <c r="AQ850" i="20"/>
  <c r="AQ851" i="20"/>
  <c r="AQ856" i="20"/>
  <c r="AQ857" i="20"/>
  <c r="AQ858" i="20"/>
  <c r="AQ859" i="20"/>
  <c r="AQ814" i="20"/>
  <c r="AQ907" i="20"/>
  <c r="AQ783" i="20"/>
  <c r="AQ896" i="20"/>
  <c r="AQ777" i="20"/>
  <c r="AQ897" i="20"/>
  <c r="AQ877" i="20"/>
  <c r="AQ690" i="20"/>
  <c r="AQ908" i="20"/>
  <c r="AQ890" i="20"/>
  <c r="AQ752" i="20"/>
  <c r="AQ899" i="20"/>
  <c r="AQ623" i="20"/>
  <c r="AQ889" i="20"/>
  <c r="AQ616" i="20"/>
  <c r="AQ516" i="20"/>
  <c r="AQ914" i="20"/>
  <c r="AQ688" i="20"/>
  <c r="AQ915" i="20"/>
  <c r="AQ776" i="20"/>
  <c r="AQ751" i="20"/>
  <c r="AQ888" i="20"/>
  <c r="AQ913" i="20"/>
  <c r="AQ811" i="20"/>
  <c r="AQ909" i="20"/>
  <c r="AQ704" i="20"/>
  <c r="AQ893" i="20"/>
  <c r="AQ898" i="20"/>
  <c r="AQ911" i="20"/>
  <c r="AQ760" i="20"/>
  <c r="AQ761" i="20"/>
  <c r="AQ912" i="20"/>
  <c r="AQ910" i="20"/>
  <c r="AQ759" i="20"/>
  <c r="AQ753" i="20"/>
  <c r="AQ900" i="20"/>
  <c r="AQ778" i="20"/>
  <c r="AQ906" i="20"/>
  <c r="AQ781" i="20"/>
  <c r="AQ508" i="20"/>
  <c r="AQ891" i="20"/>
  <c r="AQ779" i="20"/>
  <c r="AQ780" i="20"/>
  <c r="AQ901" i="20"/>
  <c r="AQ507" i="20"/>
  <c r="AQ739" i="20"/>
  <c r="AQ733" i="20"/>
  <c r="AQ782" i="20"/>
  <c r="AQ506" i="20"/>
  <c r="AQ902" i="20"/>
  <c r="AQ750" i="20"/>
  <c r="AQ823" i="20"/>
  <c r="AQ681" i="20"/>
  <c r="AQ904" i="20"/>
  <c r="AQ726" i="20"/>
  <c r="AQ855" i="20"/>
  <c r="AQ618" i="20"/>
  <c r="AQ738" i="20"/>
  <c r="AQ732" i="20"/>
  <c r="AQ702" i="20"/>
  <c r="AQ615" i="20"/>
  <c r="AQ812" i="20"/>
  <c r="AQ870" i="20"/>
  <c r="AQ764" i="20"/>
  <c r="AQ879" i="20"/>
  <c r="AQ892" i="20"/>
  <c r="AQ905" i="20"/>
  <c r="AQ903" i="20"/>
  <c r="AQ872" i="20"/>
  <c r="AQ571" i="20"/>
  <c r="AQ542" i="20"/>
  <c r="AQ749" i="20"/>
  <c r="AQ770" i="20"/>
  <c r="AQ674" i="20"/>
  <c r="AQ740" i="20"/>
  <c r="AQ734" i="20"/>
  <c r="AQ806" i="20"/>
  <c r="AQ852" i="20"/>
  <c r="AQ771" i="20"/>
  <c r="AQ675" i="20"/>
  <c r="AQ741" i="20"/>
  <c r="AQ735" i="20"/>
  <c r="AQ621" i="20"/>
  <c r="AQ807" i="20"/>
  <c r="AQ895" i="20"/>
  <c r="AQ849" i="20"/>
  <c r="AQ694" i="20"/>
  <c r="AQ755" i="20"/>
  <c r="AQ743" i="20"/>
  <c r="AQ736" i="20"/>
  <c r="AQ828" i="20"/>
  <c r="AQ689" i="20"/>
  <c r="AQ754" i="20"/>
  <c r="AQ517" i="20"/>
  <c r="AQ519" i="20"/>
  <c r="AQ543" i="20"/>
  <c r="AQ773" i="20"/>
  <c r="AQ706" i="20"/>
  <c r="AQ511" i="20"/>
  <c r="AQ742" i="20"/>
  <c r="AQ813" i="20"/>
  <c r="AQ514" i="20"/>
  <c r="AQ881" i="20"/>
  <c r="AQ854" i="20"/>
  <c r="AQ853" i="20"/>
  <c r="AQ826" i="20"/>
  <c r="AQ825" i="20"/>
  <c r="AQ687" i="20"/>
  <c r="AQ622" i="20"/>
  <c r="AQ409" i="20"/>
  <c r="AQ787" i="20"/>
  <c r="AQ515" i="20"/>
  <c r="AQ381" i="20"/>
  <c r="AQ670" i="20"/>
  <c r="AQ504" i="20"/>
  <c r="AQ574" i="20"/>
  <c r="AQ666" i="20"/>
  <c r="AQ363" i="20"/>
  <c r="AQ784" i="20"/>
  <c r="AQ880" i="20"/>
  <c r="AQ570" i="20"/>
  <c r="AQ620" i="20"/>
  <c r="AQ544" i="20"/>
  <c r="AQ510" i="20"/>
  <c r="AQ871" i="20"/>
  <c r="AQ878" i="20"/>
  <c r="AQ818" i="20"/>
  <c r="AQ724" i="20"/>
  <c r="AQ809" i="20"/>
  <c r="AQ686" i="20"/>
  <c r="AQ824" i="20"/>
  <c r="AQ822" i="20"/>
  <c r="AQ671" i="20"/>
  <c r="AQ509" i="20"/>
  <c r="AQ546" i="20"/>
  <c r="AQ505" i="20"/>
  <c r="AQ568" i="20"/>
  <c r="AQ619" i="20"/>
  <c r="AQ882" i="20"/>
  <c r="AQ685" i="20"/>
  <c r="AQ711" i="20"/>
  <c r="AQ563" i="20"/>
  <c r="AQ847" i="20"/>
  <c r="AQ535" i="20"/>
  <c r="AQ786" i="20"/>
  <c r="AQ617" i="20"/>
  <c r="AQ791" i="20"/>
  <c r="AQ772" i="20"/>
  <c r="AQ821" i="20"/>
  <c r="AQ797" i="20"/>
  <c r="AQ789" i="20"/>
  <c r="AQ691" i="20"/>
  <c r="AQ414" i="20"/>
  <c r="AQ788" i="20"/>
  <c r="AQ873" i="20"/>
  <c r="AQ799" i="20"/>
  <c r="AQ848" i="20"/>
  <c r="AQ874" i="20"/>
  <c r="AQ692" i="20"/>
  <c r="AQ415" i="20"/>
  <c r="AQ547" i="20"/>
  <c r="AQ725" i="20"/>
  <c r="AQ875" i="20"/>
  <c r="AQ800" i="20"/>
  <c r="AQ518" i="20"/>
  <c r="AQ792" i="20"/>
  <c r="AQ785" i="20"/>
  <c r="AQ865" i="20"/>
  <c r="AQ876" i="20"/>
  <c r="AQ798" i="20"/>
  <c r="AQ819" i="20"/>
  <c r="AQ562" i="20"/>
  <c r="AQ578" i="20"/>
  <c r="AQ413" i="20"/>
  <c r="AQ294" i="20"/>
  <c r="AQ869" i="20"/>
  <c r="AQ529" i="20"/>
  <c r="AQ572" i="20"/>
  <c r="AQ721" i="20"/>
  <c r="AQ530" i="20"/>
  <c r="AQ575" i="20"/>
  <c r="AQ719" i="20"/>
  <c r="AQ291" i="20"/>
  <c r="AQ715" i="20"/>
  <c r="AQ579" i="20"/>
  <c r="AQ718" i="20"/>
  <c r="AQ576" i="20"/>
  <c r="AQ573" i="20"/>
  <c r="AQ720" i="20"/>
  <c r="AQ808" i="20"/>
  <c r="AQ698" i="20"/>
  <c r="AQ649" i="20"/>
  <c r="AQ451" i="20"/>
  <c r="AQ410" i="20"/>
  <c r="AQ348" i="20"/>
  <c r="AQ343" i="20"/>
  <c r="AQ344" i="20"/>
  <c r="AQ699" i="20"/>
  <c r="AQ481" i="20"/>
  <c r="AQ444" i="20"/>
  <c r="AQ313" i="20"/>
  <c r="AQ411" i="20"/>
  <c r="AQ737" i="20"/>
  <c r="AQ844" i="20"/>
  <c r="AQ654" i="20"/>
  <c r="AQ376" i="20"/>
  <c r="AQ697" i="20"/>
  <c r="AQ428" i="20"/>
  <c r="AQ816" i="20"/>
  <c r="AQ815" i="20"/>
  <c r="AQ652" i="20"/>
  <c r="AQ354" i="20"/>
  <c r="AQ355" i="20"/>
  <c r="AQ318" i="20"/>
  <c r="AQ482" i="20"/>
  <c r="AQ472" i="20"/>
  <c r="AQ841" i="20"/>
  <c r="AQ429" i="20"/>
  <c r="AQ653" i="20"/>
  <c r="AQ367" i="20"/>
  <c r="AQ480" i="20"/>
  <c r="AQ483" i="20"/>
  <c r="AQ474" i="20"/>
  <c r="AQ656" i="20"/>
  <c r="AQ418" i="20"/>
  <c r="AQ700" i="20"/>
  <c r="AQ650" i="20"/>
  <c r="AQ396" i="20"/>
  <c r="AQ802" i="20"/>
  <c r="AQ421" i="20"/>
  <c r="AQ793" i="20"/>
  <c r="AQ651" i="20"/>
  <c r="AQ393" i="20"/>
  <c r="AQ346" i="20"/>
  <c r="AQ794" i="20"/>
  <c r="AQ846" i="20"/>
  <c r="AQ833" i="20"/>
  <c r="AQ648" i="20"/>
  <c r="AQ394" i="20"/>
  <c r="AQ805" i="20"/>
  <c r="AQ723" i="20"/>
  <c r="AQ646" i="20"/>
  <c r="AQ399" i="20"/>
  <c r="AQ647" i="20"/>
  <c r="AQ386" i="20"/>
  <c r="AQ722" i="20"/>
  <c r="AQ767" i="20"/>
  <c r="AQ768" i="20"/>
  <c r="AQ657" i="20"/>
  <c r="AQ391" i="20"/>
  <c r="AQ423" i="20"/>
  <c r="AQ461" i="20"/>
  <c r="AQ477" i="20"/>
  <c r="AQ471" i="20"/>
  <c r="AQ744" i="20"/>
  <c r="AQ696" i="20"/>
  <c r="AQ644" i="20"/>
  <c r="AQ350" i="20"/>
  <c r="AQ817" i="20"/>
  <c r="AQ831" i="20"/>
  <c r="AQ645" i="20"/>
  <c r="AQ352" i="20"/>
  <c r="AQ820" i="20"/>
  <c r="AQ832" i="20"/>
  <c r="AQ655" i="20"/>
  <c r="AQ378" i="20"/>
  <c r="AQ728" i="20"/>
  <c r="AQ527" i="20"/>
  <c r="AQ765" i="20"/>
  <c r="AQ566" i="20"/>
  <c r="AQ379" i="20"/>
  <c r="AQ476" i="20"/>
  <c r="AQ528" i="20"/>
  <c r="AQ717" i="20"/>
  <c r="AQ729" i="20"/>
  <c r="AQ565" i="20"/>
  <c r="AQ377" i="20"/>
  <c r="AQ526" i="20"/>
  <c r="AQ727" i="20"/>
  <c r="AQ400" i="20"/>
  <c r="AQ731" i="20"/>
  <c r="AQ838" i="20"/>
  <c r="AQ564" i="20"/>
  <c r="AQ412" i="20"/>
  <c r="AQ730" i="20"/>
  <c r="AQ714" i="20"/>
  <c r="AQ314" i="20"/>
  <c r="AQ747" i="20"/>
  <c r="AQ745" i="20"/>
  <c r="AQ316" i="20"/>
  <c r="AQ748" i="20"/>
  <c r="AQ746" i="20"/>
  <c r="AQ614" i="20"/>
  <c r="AQ315" i="20"/>
  <c r="AQ613" i="20"/>
  <c r="AQ868" i="20"/>
  <c r="AQ589" i="20"/>
  <c r="AQ534" i="20"/>
  <c r="AQ684" i="20"/>
  <c r="AQ590" i="20"/>
  <c r="AQ867" i="20"/>
  <c r="AQ677" i="20"/>
  <c r="AQ586" i="20"/>
  <c r="AQ556" i="20"/>
  <c r="AQ582" i="20"/>
  <c r="AQ554" i="20"/>
  <c r="AQ678" i="20"/>
  <c r="AQ557" i="20"/>
  <c r="AQ662" i="20"/>
  <c r="AQ581" i="20"/>
  <c r="AQ673" i="20"/>
  <c r="AQ585" i="20"/>
  <c r="AQ672" i="20"/>
  <c r="AQ584" i="20"/>
  <c r="AQ532" i="20"/>
  <c r="AQ683" i="20"/>
  <c r="AQ587" i="20"/>
  <c r="AQ538" i="20"/>
  <c r="AQ512" i="20"/>
  <c r="AQ588" i="20"/>
  <c r="AQ695" i="20"/>
  <c r="AQ591" i="20"/>
  <c r="AQ536" i="20"/>
  <c r="AQ866" i="20"/>
  <c r="AQ676" i="20"/>
  <c r="AQ553" i="20"/>
  <c r="AQ419" i="20"/>
  <c r="AQ886" i="20"/>
  <c r="AQ295" i="20"/>
  <c r="AQ540" i="20"/>
  <c r="AQ357" i="20"/>
  <c r="AQ758" i="20"/>
  <c r="AQ842" i="20"/>
  <c r="AQ845" i="20"/>
  <c r="AQ364" i="20"/>
  <c r="AQ290" i="20"/>
  <c r="AQ709" i="20"/>
  <c r="AQ416" i="20"/>
  <c r="AQ488" i="20"/>
  <c r="AQ710" i="20"/>
  <c r="AQ371" i="20"/>
  <c r="AQ487" i="20"/>
  <c r="AQ382" i="20"/>
  <c r="AQ885" i="20"/>
  <c r="AQ790" i="20"/>
  <c r="AQ293" i="20"/>
  <c r="AQ707" i="20"/>
  <c r="AQ368" i="20"/>
  <c r="AQ884" i="20"/>
  <c r="AQ486" i="20"/>
  <c r="AQ803" i="20"/>
  <c r="AQ763" i="20"/>
  <c r="AQ708" i="20"/>
  <c r="AQ365" i="20"/>
  <c r="AQ883" i="20"/>
  <c r="AQ485" i="20"/>
  <c r="AQ362" i="20"/>
  <c r="AQ361" i="20"/>
  <c r="AQ795" i="20"/>
  <c r="AQ292" i="20"/>
  <c r="AQ827" i="20"/>
  <c r="AQ762" i="20"/>
  <c r="AQ837" i="20"/>
  <c r="AQ774" i="20"/>
  <c r="AQ775" i="20"/>
  <c r="AQ402" i="20"/>
  <c r="AQ401" i="20"/>
  <c r="AQ339" i="20"/>
  <c r="AQ525" i="20"/>
  <c r="AQ297" i="20"/>
  <c r="AQ804" i="20"/>
  <c r="AQ373" i="20"/>
  <c r="AQ336" i="20"/>
  <c r="AQ372" i="20"/>
  <c r="AQ308" i="20"/>
  <c r="AQ835" i="20"/>
  <c r="AQ475" i="20"/>
  <c r="AQ705" i="20"/>
  <c r="AQ360" i="20"/>
  <c r="AQ334" i="20"/>
  <c r="AQ335" i="20"/>
  <c r="AQ836" i="20"/>
  <c r="AQ359" i="20"/>
  <c r="AQ304" i="20"/>
  <c r="AQ473" i="20"/>
  <c r="AQ834" i="20"/>
  <c r="AQ398" i="20"/>
  <c r="AQ338" i="20"/>
  <c r="AQ796" i="20"/>
  <c r="AQ465" i="20"/>
  <c r="AQ489" i="20"/>
  <c r="AQ567" i="20"/>
  <c r="AQ390" i="20"/>
  <c r="AQ448" i="20"/>
  <c r="AQ769" i="20"/>
  <c r="AQ569" i="20"/>
  <c r="AQ388" i="20"/>
  <c r="AQ604" i="20"/>
  <c r="AQ766" i="20"/>
  <c r="AQ380" i="20"/>
  <c r="AQ337" i="20"/>
  <c r="AQ757" i="20"/>
  <c r="AQ395" i="20"/>
  <c r="AQ810" i="20"/>
  <c r="AQ864" i="20"/>
  <c r="AQ712" i="20"/>
  <c r="AQ701" i="20"/>
  <c r="AQ667" i="20"/>
  <c r="AQ602" i="20"/>
  <c r="AQ713" i="20"/>
  <c r="AQ843" i="20"/>
  <c r="AQ541" i="20"/>
  <c r="AQ830" i="20"/>
  <c r="AQ545" i="20"/>
  <c r="AQ628" i="20"/>
  <c r="AQ703" i="20"/>
  <c r="AQ513" i="20"/>
  <c r="AQ327" i="20"/>
  <c r="AQ426" i="20"/>
  <c r="AQ491" i="20"/>
  <c r="AQ442" i="20"/>
  <c r="AQ669" i="20"/>
  <c r="AQ583" i="20"/>
  <c r="AQ555" i="20"/>
  <c r="AQ659" i="20"/>
  <c r="AQ625" i="20"/>
  <c r="AQ863" i="20"/>
  <c r="AQ663" i="20"/>
  <c r="AQ626" i="20"/>
  <c r="AQ597" i="20"/>
  <c r="AQ593" i="20"/>
  <c r="AQ664" i="20"/>
  <c r="AQ595" i="20"/>
  <c r="AQ596" i="20"/>
  <c r="AQ552" i="20"/>
  <c r="AQ665" i="20"/>
  <c r="AQ627" i="20"/>
  <c r="AQ598" i="20"/>
  <c r="AQ693" i="20"/>
  <c r="AQ601" i="20"/>
  <c r="AQ560" i="20"/>
  <c r="AQ660" i="20"/>
  <c r="AQ680" i="20"/>
  <c r="AQ558" i="20"/>
  <c r="AQ679" i="20"/>
  <c r="AQ599" i="20"/>
  <c r="AQ860" i="20"/>
  <c r="AQ861" i="20"/>
  <c r="AQ862" i="20"/>
  <c r="AQ658" i="20"/>
  <c r="AQ594" i="20"/>
  <c r="AQ624" i="20"/>
  <c r="AQ549" i="20"/>
  <c r="AQ550" i="20"/>
  <c r="AQ559" i="20"/>
  <c r="AQ539" i="20"/>
  <c r="AQ467" i="20"/>
  <c r="AQ661" i="20"/>
  <c r="AQ551" i="20"/>
  <c r="AQ580" i="20"/>
  <c r="AQ668" i="20"/>
  <c r="AQ682" i="20"/>
  <c r="AQ600" i="20"/>
  <c r="AQ533" i="20"/>
  <c r="AQ450" i="20"/>
  <c r="AQ405" i="20"/>
  <c r="AQ440" i="20"/>
  <c r="AQ469" i="20"/>
  <c r="AQ478" i="20"/>
  <c r="AQ484" i="20"/>
  <c r="AQ356" i="20"/>
  <c r="AQ479" i="20"/>
  <c r="AQ425" i="20"/>
  <c r="AQ342" i="20"/>
  <c r="AQ455" i="20"/>
  <c r="AQ438" i="20"/>
  <c r="AQ531" i="20"/>
  <c r="AQ374" i="20"/>
  <c r="AQ577" i="20"/>
  <c r="AQ716" i="20"/>
  <c r="AQ801" i="20"/>
  <c r="AQ592" i="20"/>
  <c r="AQ561" i="20"/>
  <c r="AQ370" i="20"/>
  <c r="AQ756" i="20"/>
  <c r="AQ548" i="20"/>
  <c r="AQ317" i="20"/>
  <c r="AQ445" i="20"/>
  <c r="AQ439" i="20"/>
  <c r="AQ288" i="20"/>
  <c r="AQ609" i="20"/>
  <c r="AQ499" i="20"/>
  <c r="AQ500" i="20"/>
  <c r="AQ608" i="20"/>
  <c r="AQ498" i="20"/>
  <c r="AQ496" i="20"/>
  <c r="AQ607" i="20"/>
  <c r="AQ611" i="20"/>
  <c r="AQ605" i="20"/>
  <c r="AQ494" i="20"/>
  <c r="AQ606" i="20"/>
  <c r="AQ492" i="20"/>
  <c r="AQ603" i="20"/>
  <c r="AQ493" i="20"/>
  <c r="AQ495" i="20"/>
  <c r="AQ497" i="20"/>
  <c r="AQ501" i="20"/>
  <c r="AQ610" i="20"/>
  <c r="AQ503" i="20"/>
  <c r="AQ612" i="20"/>
  <c r="AQ502" i="20"/>
  <c r="AQ353" i="20"/>
  <c r="AQ366" i="20"/>
  <c r="AQ375" i="20"/>
  <c r="AQ404" i="20"/>
  <c r="AQ420" i="20"/>
  <c r="AQ417" i="20"/>
  <c r="AQ629" i="20"/>
  <c r="AQ397" i="20"/>
  <c r="AQ392" i="20"/>
  <c r="AQ369" i="20"/>
  <c r="AQ387" i="20"/>
  <c r="AQ389" i="20"/>
  <c r="AQ358" i="20"/>
  <c r="AQ349" i="20"/>
  <c r="AQ351" i="20"/>
  <c r="AQ630" i="20"/>
  <c r="AQ631" i="20"/>
  <c r="AQ632" i="20"/>
  <c r="AQ633" i="20"/>
  <c r="AQ634" i="20"/>
  <c r="AQ635" i="20"/>
  <c r="AQ636" i="20"/>
  <c r="AQ637" i="20"/>
  <c r="AQ638" i="20"/>
  <c r="AQ639" i="20"/>
  <c r="AQ640" i="20"/>
  <c r="AQ641" i="20"/>
  <c r="AQ642" i="20"/>
  <c r="AQ643" i="20"/>
  <c r="AQ383" i="20"/>
  <c r="AQ384" i="20"/>
  <c r="AQ385" i="20"/>
  <c r="AQ403" i="20"/>
  <c r="AQ406" i="20"/>
  <c r="AQ407" i="20"/>
  <c r="AQ408" i="20"/>
  <c r="S231"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AQ452" i="20"/>
  <c r="C5" i="35"/>
  <c r="M12" i="37"/>
  <c r="M13" i="37"/>
  <c r="L12" i="37"/>
  <c r="L13" i="37"/>
  <c r="K12" i="37"/>
  <c r="K13" i="37"/>
  <c r="C3" i="77"/>
  <c r="C2" i="77" s="1"/>
  <c r="S38" i="14"/>
  <c r="S37" i="14"/>
  <c r="B15" i="37"/>
  <c r="C15" i="37"/>
  <c r="B14" i="36"/>
  <c r="C14" i="36"/>
  <c r="F14" i="36"/>
  <c r="G14" i="36"/>
  <c r="H14" i="36"/>
  <c r="I14" i="36"/>
  <c r="J14" i="36"/>
  <c r="X10" i="66"/>
  <c r="Y10" i="66"/>
  <c r="AG10" i="66"/>
  <c r="C5" i="40"/>
  <c r="A3" i="33"/>
  <c r="S220" i="14"/>
  <c r="S91" i="14"/>
  <c r="S178" i="14"/>
  <c r="S218" i="14"/>
  <c r="S57" i="14"/>
  <c r="S16" i="14"/>
  <c r="S15" i="14"/>
  <c r="S17" i="14"/>
  <c r="S105" i="14"/>
  <c r="S104" i="14"/>
  <c r="S233" i="14"/>
  <c r="S35" i="14"/>
  <c r="S140" i="14"/>
  <c r="S237" i="14"/>
  <c r="S20" i="14"/>
  <c r="S71" i="14"/>
  <c r="S144" i="14"/>
  <c r="S72" i="14"/>
  <c r="S62" i="14"/>
  <c r="S152" i="14"/>
  <c r="S160" i="14"/>
  <c r="S184" i="14"/>
  <c r="S175" i="14"/>
  <c r="S147" i="14"/>
  <c r="S164" i="14"/>
  <c r="S36" i="14"/>
  <c r="S39" i="14"/>
  <c r="S166" i="14"/>
  <c r="S154" i="14"/>
  <c r="S165" i="14"/>
  <c r="S181" i="14"/>
  <c r="S138" i="14"/>
  <c r="S240" i="14"/>
  <c r="S185" i="14"/>
  <c r="S132" i="14"/>
  <c r="S131" i="14"/>
  <c r="S26" i="14"/>
  <c r="S134" i="14"/>
  <c r="S130" i="14"/>
  <c r="S14" i="14"/>
  <c r="S120" i="14"/>
  <c r="S119" i="14"/>
  <c r="S124" i="14"/>
  <c r="S121" i="14"/>
  <c r="S126" i="14"/>
  <c r="S122" i="14"/>
  <c r="S123" i="14"/>
  <c r="S125" i="14"/>
  <c r="S232" i="14"/>
  <c r="S194" i="14"/>
  <c r="S207" i="14"/>
  <c r="S129" i="14"/>
  <c r="S90" i="14"/>
  <c r="S204" i="14"/>
  <c r="S223" i="14"/>
  <c r="S21" i="14"/>
  <c r="S113" i="14"/>
  <c r="S77" i="14"/>
  <c r="S28" i="14"/>
  <c r="S13" i="14"/>
  <c r="S5" i="14"/>
  <c r="S11" i="14"/>
  <c r="S241" i="14"/>
  <c r="S135" i="14"/>
  <c r="S44" i="14"/>
  <c r="S246" i="14"/>
  <c r="S143" i="14"/>
  <c r="S159" i="14"/>
  <c r="D17" i="43"/>
  <c r="D18" i="43"/>
  <c r="D19" i="43"/>
  <c r="X3" i="66"/>
  <c r="Y3" i="66"/>
  <c r="AG3" i="66"/>
  <c r="Z3" i="66" s="1"/>
  <c r="C9" i="37"/>
  <c r="C10" i="37"/>
  <c r="C11" i="37"/>
  <c r="C12" i="37"/>
  <c r="C13" i="37"/>
  <c r="C14" i="37"/>
  <c r="C16" i="37"/>
  <c r="C17" i="37"/>
  <c r="C18" i="37"/>
  <c r="C19" i="37"/>
  <c r="C20" i="37"/>
  <c r="C21" i="37"/>
  <c r="C22" i="37"/>
  <c r="C23" i="37"/>
  <c r="C24" i="37"/>
  <c r="C25" i="37"/>
  <c r="C26" i="37"/>
  <c r="C27" i="37"/>
  <c r="C28" i="37"/>
  <c r="C8" i="37"/>
  <c r="B9" i="37"/>
  <c r="B10" i="37"/>
  <c r="B11" i="37"/>
  <c r="B12" i="37"/>
  <c r="B13" i="37"/>
  <c r="B14" i="37"/>
  <c r="B16" i="37"/>
  <c r="B17" i="37"/>
  <c r="B18" i="37"/>
  <c r="B19" i="37"/>
  <c r="B20" i="37"/>
  <c r="B21" i="37"/>
  <c r="B22" i="37"/>
  <c r="B23" i="37"/>
  <c r="B24" i="37"/>
  <c r="B25" i="37"/>
  <c r="B26" i="37"/>
  <c r="B27" i="37"/>
  <c r="B28" i="37"/>
  <c r="B8" i="37"/>
  <c r="B10" i="36"/>
  <c r="B11" i="36"/>
  <c r="B12" i="36"/>
  <c r="B13" i="36"/>
  <c r="N13" i="36" s="1"/>
  <c r="B15" i="36"/>
  <c r="B16" i="36"/>
  <c r="N16" i="36" s="1"/>
  <c r="B17" i="36"/>
  <c r="B18" i="36"/>
  <c r="N18" i="36" s="1"/>
  <c r="B19" i="36"/>
  <c r="B20" i="36"/>
  <c r="B21" i="36"/>
  <c r="B22" i="36"/>
  <c r="B23" i="36"/>
  <c r="B24" i="36"/>
  <c r="B25" i="36"/>
  <c r="B26" i="36"/>
  <c r="B27" i="36"/>
  <c r="C17" i="36"/>
  <c r="C18" i="36"/>
  <c r="C19" i="36"/>
  <c r="C20" i="36"/>
  <c r="C21" i="36"/>
  <c r="C22" i="36"/>
  <c r="C23" i="36"/>
  <c r="C24" i="36"/>
  <c r="C25" i="36"/>
  <c r="C26" i="36"/>
  <c r="C27" i="36"/>
  <c r="C8" i="36"/>
  <c r="C9" i="36"/>
  <c r="C10" i="36"/>
  <c r="C11" i="36"/>
  <c r="C12" i="36"/>
  <c r="C13" i="36"/>
  <c r="C15" i="36"/>
  <c r="C16" i="36"/>
  <c r="Y4" i="66"/>
  <c r="Y5" i="66"/>
  <c r="Y6" i="66"/>
  <c r="Y7" i="66"/>
  <c r="Y8" i="66"/>
  <c r="Y9" i="66"/>
  <c r="Y11" i="66"/>
  <c r="Y12" i="66"/>
  <c r="Y13" i="66"/>
  <c r="Y14" i="66"/>
  <c r="Y15" i="66"/>
  <c r="Y16" i="66"/>
  <c r="Y17" i="66"/>
  <c r="Y18" i="66"/>
  <c r="Y19" i="66"/>
  <c r="Y20" i="66"/>
  <c r="Y21" i="66"/>
  <c r="Y22" i="66"/>
  <c r="Y23" i="66"/>
  <c r="X4" i="66"/>
  <c r="X5" i="66"/>
  <c r="X6" i="66"/>
  <c r="X7" i="66"/>
  <c r="X8" i="66"/>
  <c r="X9" i="66"/>
  <c r="X11" i="66"/>
  <c r="X12" i="66"/>
  <c r="X13" i="66"/>
  <c r="X14" i="66"/>
  <c r="X15" i="66"/>
  <c r="X16" i="66"/>
  <c r="X17" i="66"/>
  <c r="X18" i="66"/>
  <c r="X19" i="66"/>
  <c r="X20" i="66"/>
  <c r="X21" i="66"/>
  <c r="X22" i="66"/>
  <c r="X23" i="66"/>
  <c r="AG4" i="66"/>
  <c r="Z4" i="66" s="1"/>
  <c r="AG5" i="66"/>
  <c r="Z5" i="66" s="1"/>
  <c r="AG6" i="66"/>
  <c r="Z6" i="66" s="1"/>
  <c r="AG7" i="66"/>
  <c r="Z7" i="66" s="1"/>
  <c r="AG8" i="66"/>
  <c r="AG9" i="66"/>
  <c r="Z9" i="66" s="1"/>
  <c r="AG11" i="66"/>
  <c r="Z11" i="66" s="1"/>
  <c r="AG12" i="66"/>
  <c r="Z12" i="66" s="1"/>
  <c r="AG13" i="66"/>
  <c r="Z13" i="66" s="1"/>
  <c r="AG14" i="66"/>
  <c r="Z14" i="66" s="1"/>
  <c r="AG15" i="66"/>
  <c r="Z15" i="66" s="1"/>
  <c r="AG16" i="66"/>
  <c r="Z16" i="66" s="1"/>
  <c r="AG17" i="66"/>
  <c r="Z17" i="66" s="1"/>
  <c r="AG18" i="66"/>
  <c r="Z18" i="66" s="1"/>
  <c r="AG19" i="66"/>
  <c r="Z19" i="66" s="1"/>
  <c r="AG20" i="66"/>
  <c r="Z20" i="66" s="1"/>
  <c r="AG22" i="66"/>
  <c r="Z22" i="66" s="1"/>
  <c r="AG23" i="66"/>
  <c r="Z23" i="66" s="1"/>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C48" i="37"/>
  <c r="B48" i="37"/>
  <c r="N47" i="37"/>
  <c r="M47" i="37"/>
  <c r="J47" i="37"/>
  <c r="I47" i="37"/>
  <c r="F47" i="37"/>
  <c r="E47" i="37"/>
  <c r="C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J40" i="37"/>
  <c r="I40" i="37"/>
  <c r="F40" i="37"/>
  <c r="E40" i="37"/>
  <c r="C40" i="37"/>
  <c r="B40" i="37"/>
  <c r="N39" i="37"/>
  <c r="M39" i="37"/>
  <c r="L39" i="37"/>
  <c r="J39" i="37"/>
  <c r="I39" i="37"/>
  <c r="H39" i="37"/>
  <c r="F39" i="37"/>
  <c r="E39" i="37"/>
  <c r="D39" i="37"/>
  <c r="C39" i="37"/>
  <c r="B39" i="37"/>
  <c r="N38" i="37"/>
  <c r="M38" i="37"/>
  <c r="L38" i="37"/>
  <c r="J38" i="37"/>
  <c r="I38" i="37"/>
  <c r="H38" i="37"/>
  <c r="F38" i="37"/>
  <c r="E38" i="37"/>
  <c r="D38" i="37"/>
  <c r="C38" i="37"/>
  <c r="B38" i="37"/>
  <c r="N37" i="37"/>
  <c r="M37" i="37"/>
  <c r="J37" i="37"/>
  <c r="I37" i="37"/>
  <c r="F37" i="37"/>
  <c r="E37" i="37"/>
  <c r="C37" i="37"/>
  <c r="B37" i="37"/>
  <c r="N36" i="37"/>
  <c r="M36" i="37"/>
  <c r="J36" i="37"/>
  <c r="I36" i="37"/>
  <c r="F36" i="37"/>
  <c r="E36" i="37"/>
  <c r="C36" i="37"/>
  <c r="B36" i="37"/>
  <c r="N35" i="37"/>
  <c r="M35" i="37"/>
  <c r="J35" i="37"/>
  <c r="I35" i="37"/>
  <c r="F35" i="37"/>
  <c r="E35" i="37"/>
  <c r="C35" i="37"/>
  <c r="B35" i="37"/>
  <c r="N34" i="37"/>
  <c r="M34" i="37"/>
  <c r="J34" i="37"/>
  <c r="I34" i="37"/>
  <c r="F34" i="37"/>
  <c r="E34" i="37"/>
  <c r="C34" i="37"/>
  <c r="B34" i="37"/>
  <c r="D12" i="37"/>
  <c r="F12" i="37"/>
  <c r="G12" i="37"/>
  <c r="H12" i="37"/>
  <c r="I12" i="37"/>
  <c r="J12" i="37"/>
  <c r="D13" i="37"/>
  <c r="F13" i="37"/>
  <c r="G13" i="37"/>
  <c r="H13" i="37"/>
  <c r="I13" i="37"/>
  <c r="J13" i="37"/>
  <c r="F8" i="36"/>
  <c r="H8" i="36"/>
  <c r="I8" i="36"/>
  <c r="J8" i="36"/>
  <c r="F9" i="36"/>
  <c r="H9" i="36"/>
  <c r="I9" i="36"/>
  <c r="J9" i="36"/>
  <c r="G10" i="36"/>
  <c r="H10" i="36"/>
  <c r="I10" i="36"/>
  <c r="J10" i="36"/>
  <c r="F11" i="36"/>
  <c r="G11" i="36"/>
  <c r="H11" i="36"/>
  <c r="I11" i="36"/>
  <c r="J11" i="36"/>
  <c r="F12" i="36"/>
  <c r="G12" i="36"/>
  <c r="H12" i="36"/>
  <c r="I12" i="36"/>
  <c r="J12" i="36"/>
  <c r="F13" i="36"/>
  <c r="H13" i="36"/>
  <c r="I13" i="36"/>
  <c r="J13" i="36"/>
  <c r="F15" i="36"/>
  <c r="H15" i="36"/>
  <c r="I15" i="36"/>
  <c r="J15" i="36"/>
  <c r="F16" i="36"/>
  <c r="H16" i="36"/>
  <c r="I16" i="36"/>
  <c r="J16" i="36"/>
  <c r="F17" i="36"/>
  <c r="H17" i="36"/>
  <c r="I17" i="36"/>
  <c r="J17" i="36"/>
  <c r="F18" i="36"/>
  <c r="G18" i="36"/>
  <c r="H18" i="36"/>
  <c r="I18" i="36"/>
  <c r="J18" i="36"/>
  <c r="F19" i="36"/>
  <c r="H19" i="36"/>
  <c r="I19" i="36"/>
  <c r="J19" i="36"/>
  <c r="F20" i="36"/>
  <c r="G20" i="36"/>
  <c r="H20" i="36"/>
  <c r="I20" i="36"/>
  <c r="J20" i="36"/>
  <c r="F21" i="36"/>
  <c r="G21" i="36"/>
  <c r="H21" i="36"/>
  <c r="I21" i="36"/>
  <c r="J21" i="36"/>
  <c r="F22" i="36"/>
  <c r="H22" i="36"/>
  <c r="I22" i="36"/>
  <c r="J22" i="36"/>
  <c r="F23" i="36"/>
  <c r="G23" i="36"/>
  <c r="H23" i="36"/>
  <c r="I23" i="36"/>
  <c r="J23" i="36"/>
  <c r="F24" i="36"/>
  <c r="G24" i="36"/>
  <c r="H24" i="36"/>
  <c r="I24" i="36"/>
  <c r="J24" i="36"/>
  <c r="F25" i="36"/>
  <c r="H25" i="36"/>
  <c r="I25" i="36"/>
  <c r="J25" i="36"/>
  <c r="F26" i="36"/>
  <c r="G26" i="36"/>
  <c r="H26" i="36"/>
  <c r="I26" i="36"/>
  <c r="J26" i="36"/>
  <c r="F27" i="36"/>
  <c r="H27" i="36"/>
  <c r="I27" i="36"/>
  <c r="J27" i="36"/>
  <c r="S148" i="14"/>
  <c r="AQ34" i="40"/>
  <c r="AA22" i="66"/>
  <c r="A3" i="37"/>
  <c r="A3" i="30"/>
  <c r="A3" i="20"/>
  <c r="C5" i="62"/>
  <c r="A3" i="45"/>
  <c r="A3" i="36"/>
  <c r="A3" i="19"/>
  <c r="C5" i="43"/>
  <c r="AE24" i="66"/>
  <c r="AF24" i="66"/>
  <c r="AO28" i="40"/>
  <c r="L29" i="40" s="1"/>
  <c r="A3" i="14"/>
  <c r="D16" i="43"/>
  <c r="D15" i="43"/>
  <c r="D14" i="43"/>
  <c r="D13" i="43"/>
  <c r="AL28" i="40"/>
  <c r="I29" i="40" s="1"/>
  <c r="AA21" i="66"/>
  <c r="AA20" i="66"/>
  <c r="AN28" i="40"/>
  <c r="K29" i="40" s="1"/>
  <c r="AM28" i="40"/>
  <c r="J29" i="40" s="1"/>
  <c r="AA10" i="66"/>
  <c r="AA8" i="66"/>
  <c r="AA18" i="66"/>
  <c r="AA12" i="66"/>
  <c r="AA7" i="66"/>
  <c r="AA14" i="66"/>
  <c r="AA13" i="66"/>
  <c r="AA5" i="66"/>
  <c r="AA6" i="66"/>
  <c r="AA11" i="66"/>
  <c r="AA9" i="66"/>
  <c r="AA4" i="66"/>
  <c r="AA23" i="66"/>
  <c r="AA19" i="66"/>
  <c r="AA15" i="66"/>
  <c r="AA16" i="66"/>
  <c r="AA17" i="66"/>
  <c r="J7" i="36"/>
  <c r="I7" i="36"/>
  <c r="H7" i="36"/>
  <c r="F7" i="36"/>
  <c r="E38" i="40"/>
  <c r="D37" i="40"/>
  <c r="E37" i="40"/>
  <c r="D39" i="40"/>
  <c r="D38" i="40"/>
  <c r="E39" i="40"/>
  <c r="Z7" i="20" l="1"/>
  <c r="AD7" i="20"/>
  <c r="AH7" i="20"/>
  <c r="AL7" i="20"/>
  <c r="AB7" i="20"/>
  <c r="Y7" i="20"/>
  <c r="AC7" i="20"/>
  <c r="AG7" i="20"/>
  <c r="W7" i="20"/>
  <c r="AA7" i="20"/>
  <c r="AE7" i="20"/>
  <c r="AI7" i="20"/>
  <c r="X7" i="20"/>
  <c r="AF7" i="20"/>
  <c r="AJ7" i="20"/>
  <c r="Z6" i="20"/>
  <c r="AD6" i="20"/>
  <c r="AH6" i="20"/>
  <c r="AL6" i="20"/>
  <c r="W6" i="20"/>
  <c r="AA6" i="20"/>
  <c r="AE6" i="20"/>
  <c r="AI6" i="20"/>
  <c r="X6" i="20"/>
  <c r="AB6" i="20"/>
  <c r="AF6" i="20"/>
  <c r="AJ6" i="20"/>
  <c r="Y6" i="20"/>
  <c r="AC6" i="20"/>
  <c r="AG6" i="20"/>
  <c r="Z8" i="20"/>
  <c r="AD8" i="20"/>
  <c r="AH8" i="20"/>
  <c r="AL8" i="20"/>
  <c r="W8" i="20"/>
  <c r="AA8" i="20"/>
  <c r="AE8" i="20"/>
  <c r="AI8" i="20"/>
  <c r="X8" i="20"/>
  <c r="AB8" i="20"/>
  <c r="AF8" i="20"/>
  <c r="AJ8" i="20"/>
  <c r="Y8" i="20"/>
  <c r="AC8" i="20"/>
  <c r="AG8" i="20"/>
  <c r="AL56" i="20"/>
  <c r="AE56" i="20"/>
  <c r="AF56" i="20"/>
  <c r="AG56" i="20"/>
  <c r="Z56" i="20"/>
  <c r="AI56" i="20"/>
  <c r="AJ56" i="20"/>
  <c r="AA56" i="20"/>
  <c r="AB56" i="20"/>
  <c r="AC56" i="20"/>
  <c r="AH56" i="20"/>
  <c r="W56" i="20"/>
  <c r="X56" i="20"/>
  <c r="Y56" i="20"/>
  <c r="AD56" i="20"/>
  <c r="Z20" i="20"/>
  <c r="AD20" i="20"/>
  <c r="AH20" i="20"/>
  <c r="AL20" i="20"/>
  <c r="W20" i="20"/>
  <c r="AA20" i="20"/>
  <c r="AE20" i="20"/>
  <c r="AI20" i="20"/>
  <c r="X20" i="20"/>
  <c r="AB20" i="20"/>
  <c r="AF20" i="20"/>
  <c r="AJ20" i="20"/>
  <c r="Y20" i="20"/>
  <c r="AC20" i="20"/>
  <c r="AG20" i="20"/>
  <c r="Z19" i="20"/>
  <c r="AD19" i="20"/>
  <c r="AH19" i="20"/>
  <c r="AL19" i="20"/>
  <c r="W19" i="20"/>
  <c r="AA19" i="20"/>
  <c r="AE19" i="20"/>
  <c r="AI19" i="20"/>
  <c r="X19" i="20"/>
  <c r="AB19" i="20"/>
  <c r="AF19" i="20"/>
  <c r="AJ19" i="20"/>
  <c r="Y19" i="20"/>
  <c r="AC19" i="20"/>
  <c r="AG19" i="20"/>
  <c r="AJ54" i="20"/>
  <c r="AE54" i="20"/>
  <c r="Y54" i="20"/>
  <c r="AI54" i="20"/>
  <c r="AC54" i="20"/>
  <c r="X54" i="20"/>
  <c r="AF54" i="20"/>
  <c r="AA54" i="20"/>
  <c r="AG54" i="20"/>
  <c r="AB54" i="20"/>
  <c r="W54" i="20"/>
  <c r="AL54" i="20"/>
  <c r="AH54" i="20"/>
  <c r="Z54" i="20"/>
  <c r="AD54" i="20"/>
  <c r="Z23" i="20"/>
  <c r="AD23" i="20"/>
  <c r="AH23" i="20"/>
  <c r="AL23" i="20"/>
  <c r="W23" i="20"/>
  <c r="AA23" i="20"/>
  <c r="AE23" i="20"/>
  <c r="AI23" i="20"/>
  <c r="Y23" i="20"/>
  <c r="AC23" i="20"/>
  <c r="AG23" i="20"/>
  <c r="X23" i="20"/>
  <c r="AB23" i="20"/>
  <c r="AF23" i="20"/>
  <c r="AJ23" i="20"/>
  <c r="Z42" i="20"/>
  <c r="AD42" i="20"/>
  <c r="AH42" i="20"/>
  <c r="AL42" i="20"/>
  <c r="W42" i="20"/>
  <c r="AA42" i="20"/>
  <c r="AE42" i="20"/>
  <c r="AI42" i="20"/>
  <c r="X42" i="20"/>
  <c r="AB42" i="20"/>
  <c r="AF42" i="20"/>
  <c r="AJ42" i="20"/>
  <c r="Y42" i="20"/>
  <c r="AC42" i="20"/>
  <c r="AG42" i="20"/>
  <c r="AC72" i="20"/>
  <c r="W72" i="20"/>
  <c r="AE72" i="20"/>
  <c r="AD72" i="20"/>
  <c r="AL72" i="20"/>
  <c r="AI72" i="20"/>
  <c r="AB72" i="20"/>
  <c r="AJ72" i="20"/>
  <c r="AH72" i="20"/>
  <c r="X72" i="20"/>
  <c r="AF72" i="20"/>
  <c r="Y72" i="20"/>
  <c r="Z72" i="20"/>
  <c r="AA72" i="20"/>
  <c r="AG72" i="20"/>
  <c r="I54" i="37"/>
  <c r="W257" i="20"/>
  <c r="AA256" i="20"/>
  <c r="AL524" i="20"/>
  <c r="AL11" i="20"/>
  <c r="AE9" i="20"/>
  <c r="AL12" i="20"/>
  <c r="AL9" i="20"/>
  <c r="AL10" i="20"/>
  <c r="AD9" i="20"/>
  <c r="AL15" i="20"/>
  <c r="AL13" i="20"/>
  <c r="AL16" i="20"/>
  <c r="AL27" i="20"/>
  <c r="AL14" i="20"/>
  <c r="AL108" i="20"/>
  <c r="AL311" i="20"/>
  <c r="AL289" i="20"/>
  <c r="AL18" i="20"/>
  <c r="AL51" i="20"/>
  <c r="AL40" i="20"/>
  <c r="AL17" i="20"/>
  <c r="AL22" i="20"/>
  <c r="AL68" i="20"/>
  <c r="AL21" i="20"/>
  <c r="AL174" i="20"/>
  <c r="AL169" i="20"/>
  <c r="AL173" i="20"/>
  <c r="AL172" i="20"/>
  <c r="AL171" i="20"/>
  <c r="AL170" i="20"/>
  <c r="AL25" i="20"/>
  <c r="AL26" i="20"/>
  <c r="AL41" i="20"/>
  <c r="AL24" i="20"/>
  <c r="AL29" i="20"/>
  <c r="AL44" i="20"/>
  <c r="AL28" i="20"/>
  <c r="AL160" i="20"/>
  <c r="AL137" i="20"/>
  <c r="AL135" i="20"/>
  <c r="AL158" i="20"/>
  <c r="AL133" i="20"/>
  <c r="AL151" i="20"/>
  <c r="AL163" i="20"/>
  <c r="AL155" i="20"/>
  <c r="AL156" i="20"/>
  <c r="AL138" i="20"/>
  <c r="AL162" i="20"/>
  <c r="AL161" i="20"/>
  <c r="AL136" i="20"/>
  <c r="AL166" i="20"/>
  <c r="AL130" i="20"/>
  <c r="AL165" i="20"/>
  <c r="AL148" i="20"/>
  <c r="AL152" i="20"/>
  <c r="AL147" i="20"/>
  <c r="AL164" i="20"/>
  <c r="AL145" i="20"/>
  <c r="AL131" i="20"/>
  <c r="AL139" i="20"/>
  <c r="AL149" i="20"/>
  <c r="AL143" i="20"/>
  <c r="AL144" i="20"/>
  <c r="AL159" i="20"/>
  <c r="AL154" i="20"/>
  <c r="AL150" i="20"/>
  <c r="AL153" i="20"/>
  <c r="AL141" i="20"/>
  <c r="AL134" i="20"/>
  <c r="AL142" i="20"/>
  <c r="AL129" i="20"/>
  <c r="AL146" i="20"/>
  <c r="AL140" i="20"/>
  <c r="AL157" i="20"/>
  <c r="AL132" i="20"/>
  <c r="AL32" i="20"/>
  <c r="AL39" i="20"/>
  <c r="AL34" i="20"/>
  <c r="AL37" i="20"/>
  <c r="AL50" i="20"/>
  <c r="AL33" i="20"/>
  <c r="AL38" i="20"/>
  <c r="AL30" i="20"/>
  <c r="AL35" i="20"/>
  <c r="AL31" i="20"/>
  <c r="AL36" i="20"/>
  <c r="AL60" i="20"/>
  <c r="AL116" i="20"/>
  <c r="AL124" i="20"/>
  <c r="AL115" i="20"/>
  <c r="AL61" i="20"/>
  <c r="AL118" i="20"/>
  <c r="AL59" i="20"/>
  <c r="AL121" i="20"/>
  <c r="AL86" i="20"/>
  <c r="AL70" i="20"/>
  <c r="AL112" i="20"/>
  <c r="AL69" i="20"/>
  <c r="AL111" i="20"/>
  <c r="AL123" i="20"/>
  <c r="AL114" i="20"/>
  <c r="AL66" i="20"/>
  <c r="AL117" i="20"/>
  <c r="AL58" i="20"/>
  <c r="AL84" i="20"/>
  <c r="AL67" i="20"/>
  <c r="AL83" i="20"/>
  <c r="AL99" i="20"/>
  <c r="AL64" i="20"/>
  <c r="AL110" i="20"/>
  <c r="AL122" i="20"/>
  <c r="AL113" i="20"/>
  <c r="AL120" i="20"/>
  <c r="AL65" i="20"/>
  <c r="AL119" i="20"/>
  <c r="AL62" i="20"/>
  <c r="AL100" i="20"/>
  <c r="AL85" i="20"/>
  <c r="AL63" i="20"/>
  <c r="AL109" i="20"/>
  <c r="AL249" i="20"/>
  <c r="AL252" i="20"/>
  <c r="AL256" i="20"/>
  <c r="AL253" i="20"/>
  <c r="AL257" i="20"/>
  <c r="AL250" i="20"/>
  <c r="AL914" i="20"/>
  <c r="AL897" i="20"/>
  <c r="AL882" i="20"/>
  <c r="AL858" i="20"/>
  <c r="AL851" i="20"/>
  <c r="AL834" i="20"/>
  <c r="AL817" i="20"/>
  <c r="AL802" i="20"/>
  <c r="AL786" i="20"/>
  <c r="AL758" i="20"/>
  <c r="AL754" i="20"/>
  <c r="AL738" i="20"/>
  <c r="AL723" i="20"/>
  <c r="AL706" i="20"/>
  <c r="AL911" i="20"/>
  <c r="AL896" i="20"/>
  <c r="AL880" i="20"/>
  <c r="AL863" i="20"/>
  <c r="AL847" i="20"/>
  <c r="AL831" i="20"/>
  <c r="AL816" i="20"/>
  <c r="AL798" i="20"/>
  <c r="AL788" i="20"/>
  <c r="AL771" i="20"/>
  <c r="AL751" i="20"/>
  <c r="AL736" i="20"/>
  <c r="AL720" i="20"/>
  <c r="AL678" i="20"/>
  <c r="AL910" i="20"/>
  <c r="AL895" i="20"/>
  <c r="AL878" i="20"/>
  <c r="AL861" i="20"/>
  <c r="AL845" i="20"/>
  <c r="AL830" i="20"/>
  <c r="AL813" i="20"/>
  <c r="AL799" i="20"/>
  <c r="AL782" i="20"/>
  <c r="AL777" i="20"/>
  <c r="AL749" i="20"/>
  <c r="AL735" i="20"/>
  <c r="AL718" i="20"/>
  <c r="AL701" i="20"/>
  <c r="AL909" i="20"/>
  <c r="AL892" i="20"/>
  <c r="AL876" i="20"/>
  <c r="AL864" i="20"/>
  <c r="AL840" i="20"/>
  <c r="AL828" i="20"/>
  <c r="AL814" i="20"/>
  <c r="AL796" i="20"/>
  <c r="AL781" i="20"/>
  <c r="AL760" i="20"/>
  <c r="AL747" i="20"/>
  <c r="AL732" i="20"/>
  <c r="AL716" i="20"/>
  <c r="AL694" i="20"/>
  <c r="AL673" i="20"/>
  <c r="AL646" i="20"/>
  <c r="AL640" i="20"/>
  <c r="AL613" i="20"/>
  <c r="AL597" i="20"/>
  <c r="AL241" i="20"/>
  <c r="AL222" i="20"/>
  <c r="AL207" i="20"/>
  <c r="AL190" i="20"/>
  <c r="AL168" i="20"/>
  <c r="AL105" i="20"/>
  <c r="AL47" i="20"/>
  <c r="AL913" i="20"/>
  <c r="AL898" i="20"/>
  <c r="AL881" i="20"/>
  <c r="AL859" i="20"/>
  <c r="AL849" i="20"/>
  <c r="AL833" i="20"/>
  <c r="AL820" i="20"/>
  <c r="AL801" i="20"/>
  <c r="AL784" i="20"/>
  <c r="AL770" i="20"/>
  <c r="AL753" i="20"/>
  <c r="AL737" i="20"/>
  <c r="AL721" i="20"/>
  <c r="AL705" i="20"/>
  <c r="AL665" i="20"/>
  <c r="AL681" i="20"/>
  <c r="AL657" i="20"/>
  <c r="AL634" i="20"/>
  <c r="AL624" i="20"/>
  <c r="AL606" i="20"/>
  <c r="AL599" i="20"/>
  <c r="AL572" i="20"/>
  <c r="AL553" i="20"/>
  <c r="AL545" i="20"/>
  <c r="AL532" i="20"/>
  <c r="AL511" i="20"/>
  <c r="AL499" i="20"/>
  <c r="AL479" i="20"/>
  <c r="AL708" i="20"/>
  <c r="AL659" i="20"/>
  <c r="AL687" i="20"/>
  <c r="AL676" i="20"/>
  <c r="AL644" i="20"/>
  <c r="AL625" i="20"/>
  <c r="AL608" i="20"/>
  <c r="AL245" i="20"/>
  <c r="AL227" i="20"/>
  <c r="AL212" i="20"/>
  <c r="AL195" i="20"/>
  <c r="AL180" i="20"/>
  <c r="AL92" i="20"/>
  <c r="AL81" i="20"/>
  <c r="AL79" i="20"/>
  <c r="AL903" i="20"/>
  <c r="AL890" i="20"/>
  <c r="AL907" i="20"/>
  <c r="AL872" i="20"/>
  <c r="AL842" i="20"/>
  <c r="AL810" i="20"/>
  <c r="AL780" i="20"/>
  <c r="AL745" i="20"/>
  <c r="AL714" i="20"/>
  <c r="AL904" i="20"/>
  <c r="AL874" i="20"/>
  <c r="AL844" i="20"/>
  <c r="AL808" i="20"/>
  <c r="AL765" i="20"/>
  <c r="AL744" i="20"/>
  <c r="AL664" i="20"/>
  <c r="AL691" i="20"/>
  <c r="AL633" i="20"/>
  <c r="AL622" i="20"/>
  <c r="AL612" i="20"/>
  <c r="AL233" i="20"/>
  <c r="AL213" i="20"/>
  <c r="AL194" i="20"/>
  <c r="AL126" i="20"/>
  <c r="AL87" i="20"/>
  <c r="AL76" i="20"/>
  <c r="AL893" i="20"/>
  <c r="AL873" i="20"/>
  <c r="AL853" i="20"/>
  <c r="AL829" i="20"/>
  <c r="AL809" i="20"/>
  <c r="AL787" i="20"/>
  <c r="AL764" i="20"/>
  <c r="AL746" i="20"/>
  <c r="AL724" i="20"/>
  <c r="AL702" i="20"/>
  <c r="AL695" i="20"/>
  <c r="AL672" i="20"/>
  <c r="AL643" i="20"/>
  <c r="AL617" i="20"/>
  <c r="AL593" i="20"/>
  <c r="AL576" i="20"/>
  <c r="AL552" i="20"/>
  <c r="AL530" i="20"/>
  <c r="AL514" i="20"/>
  <c r="AL488" i="20"/>
  <c r="AL712" i="20"/>
  <c r="AL660" i="20"/>
  <c r="AL666" i="20"/>
  <c r="AL647" i="20"/>
  <c r="AL628" i="20"/>
  <c r="AL607" i="20"/>
  <c r="AL234" i="20"/>
  <c r="AL208" i="20"/>
  <c r="AL189" i="20"/>
  <c r="AL103" i="20"/>
  <c r="AL46" i="20"/>
  <c r="AL912" i="20"/>
  <c r="AL891" i="20"/>
  <c r="AL871" i="20"/>
  <c r="AL855" i="20"/>
  <c r="AL839" i="20"/>
  <c r="AL823" i="20"/>
  <c r="AL806" i="20"/>
  <c r="AL791" i="20"/>
  <c r="AL774" i="20"/>
  <c r="AL767" i="20"/>
  <c r="AL743" i="20"/>
  <c r="AL727" i="20"/>
  <c r="AL711" i="20"/>
  <c r="AL683" i="20"/>
  <c r="AL670" i="20"/>
  <c r="AL662" i="20"/>
  <c r="AL648" i="20"/>
  <c r="AL641" i="20"/>
  <c r="AL615" i="20"/>
  <c r="AL600" i="20"/>
  <c r="AL581" i="20"/>
  <c r="AL566" i="20"/>
  <c r="AL561" i="20"/>
  <c r="AL531" i="20"/>
  <c r="AL512" i="20"/>
  <c r="AL498" i="20"/>
  <c r="AL487" i="20"/>
  <c r="AL595" i="20"/>
  <c r="AL592" i="20"/>
  <c r="AL564" i="20"/>
  <c r="AL548" i="20"/>
  <c r="AL534" i="20"/>
  <c r="AL513" i="20"/>
  <c r="AL495" i="20"/>
  <c r="AL483" i="20"/>
  <c r="AL469" i="20"/>
  <c r="AL450" i="20"/>
  <c r="AL435" i="20"/>
  <c r="AL404" i="20"/>
  <c r="AL418" i="20"/>
  <c r="AL367" i="20"/>
  <c r="AL410" i="20"/>
  <c r="AL395" i="20"/>
  <c r="AL337" i="20"/>
  <c r="AL324" i="20"/>
  <c r="AL308" i="20"/>
  <c r="AL290" i="20"/>
  <c r="AL272" i="20"/>
  <c r="AL601" i="20"/>
  <c r="AL574" i="20"/>
  <c r="AL563" i="20"/>
  <c r="AL547" i="20"/>
  <c r="AL535" i="20"/>
  <c r="AL515" i="20"/>
  <c r="AL494" i="20"/>
  <c r="AL480" i="20"/>
  <c r="AL465" i="20"/>
  <c r="AL449" i="20"/>
  <c r="AL431" i="20"/>
  <c r="AL417" i="20"/>
  <c r="AL412" i="20"/>
  <c r="AL415" i="20"/>
  <c r="AL352" i="20"/>
  <c r="AL355" i="20"/>
  <c r="AL338" i="20"/>
  <c r="AL321" i="20"/>
  <c r="AL304" i="20"/>
  <c r="AL287" i="20"/>
  <c r="AL271" i="20"/>
  <c r="AL255" i="20"/>
  <c r="AL460" i="20"/>
  <c r="AL445" i="20"/>
  <c r="AL428" i="20"/>
  <c r="AL349" i="20"/>
  <c r="AL379" i="20"/>
  <c r="AL406" i="20"/>
  <c r="AL416" i="20"/>
  <c r="AL345" i="20"/>
  <c r="AL331" i="20"/>
  <c r="AL317" i="20"/>
  <c r="AL296" i="20"/>
  <c r="AL279" i="20"/>
  <c r="AL264" i="20"/>
  <c r="AL244" i="20"/>
  <c r="AL228" i="20"/>
  <c r="AL214" i="20"/>
  <c r="AL197" i="20"/>
  <c r="AL181" i="20"/>
  <c r="AL89" i="20"/>
  <c r="AL82" i="20"/>
  <c r="AL43" i="20"/>
  <c r="AL458" i="20"/>
  <c r="AL444" i="20"/>
  <c r="AL429" i="20"/>
  <c r="AL389" i="20"/>
  <c r="AL421" i="20"/>
  <c r="AL357" i="20"/>
  <c r="AL376" i="20"/>
  <c r="AL348" i="20"/>
  <c r="AL332" i="20"/>
  <c r="AL316" i="20"/>
  <c r="AL300" i="20"/>
  <c r="AL283" i="20"/>
  <c r="AL267" i="20"/>
  <c r="AL243" i="20"/>
  <c r="AL229" i="20"/>
  <c r="AL211" i="20"/>
  <c r="AL196" i="20"/>
  <c r="AL182" i="20"/>
  <c r="AL94" i="20"/>
  <c r="AL75" i="20"/>
  <c r="AL80" i="20"/>
  <c r="AL900" i="20"/>
  <c r="AL870" i="20"/>
  <c r="AL838" i="20"/>
  <c r="AL807" i="20"/>
  <c r="AL775" i="20"/>
  <c r="AL742" i="20"/>
  <c r="AL710" i="20"/>
  <c r="AL901" i="20"/>
  <c r="AL856" i="20"/>
  <c r="AL836" i="20"/>
  <c r="AL804" i="20"/>
  <c r="AL776" i="20"/>
  <c r="AL741" i="20"/>
  <c r="AL658" i="20"/>
  <c r="AL679" i="20"/>
  <c r="AL635" i="20"/>
  <c r="AL621" i="20"/>
  <c r="AL251" i="20"/>
  <c r="AL231" i="20"/>
  <c r="AL210" i="20"/>
  <c r="AL187" i="20"/>
  <c r="AL98" i="20"/>
  <c r="AL78" i="20"/>
  <c r="AL908" i="20"/>
  <c r="AL889" i="20"/>
  <c r="AL869" i="20"/>
  <c r="AL846" i="20"/>
  <c r="AL822" i="20"/>
  <c r="AL805" i="20"/>
  <c r="AL783" i="20"/>
  <c r="AL763" i="20"/>
  <c r="AL740" i="20"/>
  <c r="AL717" i="20"/>
  <c r="AL696" i="20"/>
  <c r="AL689" i="20"/>
  <c r="AL653" i="20"/>
  <c r="AL630" i="20"/>
  <c r="AL614" i="20"/>
  <c r="AL580" i="20"/>
  <c r="AL569" i="20"/>
  <c r="AL550" i="20"/>
  <c r="AL525" i="20"/>
  <c r="AL506" i="20"/>
  <c r="AL484" i="20"/>
  <c r="AL704" i="20"/>
  <c r="AL682" i="20"/>
  <c r="AL677" i="20"/>
  <c r="AL631" i="20"/>
  <c r="AL618" i="20"/>
  <c r="AL594" i="20"/>
  <c r="AL226" i="20"/>
  <c r="AL205" i="20"/>
  <c r="AL183" i="20"/>
  <c r="AL97" i="20"/>
  <c r="AL73" i="20"/>
  <c r="AL905" i="20"/>
  <c r="AL883" i="20"/>
  <c r="AL857" i="20"/>
  <c r="AL850" i="20"/>
  <c r="AL835" i="20"/>
  <c r="AL819" i="20"/>
  <c r="AL803" i="20"/>
  <c r="AL789" i="20"/>
  <c r="AL773" i="20"/>
  <c r="AL755" i="20"/>
  <c r="AL739" i="20"/>
  <c r="AL722" i="20"/>
  <c r="AL707" i="20"/>
  <c r="AL663" i="20"/>
  <c r="AL688" i="20"/>
  <c r="AL693" i="20"/>
  <c r="AL632" i="20"/>
  <c r="AL626" i="20"/>
  <c r="AL603" i="20"/>
  <c r="AL596" i="20"/>
  <c r="AL578" i="20"/>
  <c r="AL562" i="20"/>
  <c r="AL546" i="20"/>
  <c r="AL536" i="20"/>
  <c r="AL517" i="20"/>
  <c r="AL493" i="20"/>
  <c r="AL482" i="20"/>
  <c r="AL587" i="20"/>
  <c r="AL575" i="20"/>
  <c r="AL555" i="20"/>
  <c r="AL544" i="20"/>
  <c r="AL528" i="20"/>
  <c r="AL518" i="20"/>
  <c r="AL500" i="20"/>
  <c r="AL481" i="20"/>
  <c r="AL463" i="20"/>
  <c r="AL448" i="20"/>
  <c r="AL433" i="20"/>
  <c r="AL387" i="20"/>
  <c r="AL384" i="20"/>
  <c r="AL396" i="20"/>
  <c r="AL407" i="20"/>
  <c r="AL360" i="20"/>
  <c r="AL334" i="20"/>
  <c r="AL319" i="20"/>
  <c r="AL302" i="20"/>
  <c r="AL286" i="20"/>
  <c r="AL269" i="20"/>
  <c r="AL583" i="20"/>
  <c r="AL579" i="20"/>
  <c r="AL559" i="20"/>
  <c r="AL542" i="20"/>
  <c r="AL526" i="20"/>
  <c r="AL508" i="20"/>
  <c r="AL497" i="20"/>
  <c r="AL478" i="20"/>
  <c r="AL459" i="20"/>
  <c r="AL443" i="20"/>
  <c r="AL430" i="20"/>
  <c r="AL353" i="20"/>
  <c r="AL381" i="20"/>
  <c r="AL419" i="20"/>
  <c r="AL408" i="20"/>
  <c r="AL411" i="20"/>
  <c r="AL333" i="20"/>
  <c r="AL314" i="20"/>
  <c r="AL298" i="20"/>
  <c r="AL284" i="20"/>
  <c r="AL266" i="20"/>
  <c r="AL468" i="20"/>
  <c r="AL453" i="20"/>
  <c r="AL439" i="20"/>
  <c r="AL422" i="20"/>
  <c r="AL383" i="20"/>
  <c r="AL388" i="20"/>
  <c r="AL356" i="20"/>
  <c r="AL414" i="20"/>
  <c r="AL344" i="20"/>
  <c r="AL327" i="20"/>
  <c r="AL310" i="20"/>
  <c r="AL294" i="20"/>
  <c r="AL276" i="20"/>
  <c r="AL260" i="20"/>
  <c r="AL238" i="20"/>
  <c r="AL225" i="20"/>
  <c r="AL209" i="20"/>
  <c r="AL193" i="20"/>
  <c r="AL178" i="20"/>
  <c r="AL88" i="20"/>
  <c r="AL74" i="20"/>
  <c r="AL77" i="20"/>
  <c r="AL461" i="20"/>
  <c r="AL440" i="20"/>
  <c r="AL424" i="20"/>
  <c r="AL375" i="20"/>
  <c r="AL398" i="20"/>
  <c r="AL372" i="20"/>
  <c r="AL382" i="20"/>
  <c r="AL342" i="20"/>
  <c r="AL326" i="20"/>
  <c r="AL312" i="20"/>
  <c r="AL295" i="20"/>
  <c r="AL278" i="20"/>
  <c r="AL262" i="20"/>
  <c r="AL239" i="20"/>
  <c r="AL223" i="20"/>
  <c r="AL206" i="20"/>
  <c r="AL192" i="20"/>
  <c r="AL175" i="20"/>
  <c r="AL104" i="20"/>
  <c r="AL48" i="20"/>
  <c r="AL887" i="20"/>
  <c r="AL865" i="20"/>
  <c r="AL826" i="20"/>
  <c r="AL794" i="20"/>
  <c r="AL884" i="20"/>
  <c r="AL759" i="20"/>
  <c r="AL699" i="20"/>
  <c r="AL866" i="20"/>
  <c r="AL792" i="20"/>
  <c r="AL728" i="20"/>
  <c r="AL654" i="20"/>
  <c r="AL602" i="20"/>
  <c r="AL224" i="20"/>
  <c r="AL179" i="20"/>
  <c r="AL57" i="20"/>
  <c r="AL886" i="20"/>
  <c r="AL843" i="20"/>
  <c r="AL797" i="20"/>
  <c r="AL756" i="20"/>
  <c r="AL713" i="20"/>
  <c r="AL685" i="20"/>
  <c r="AL629" i="20"/>
  <c r="AL586" i="20"/>
  <c r="AL541" i="20"/>
  <c r="AL492" i="20"/>
  <c r="AL700" i="20"/>
  <c r="AL656" i="20"/>
  <c r="AL616" i="20"/>
  <c r="AL217" i="20"/>
  <c r="AL176" i="20"/>
  <c r="AL52" i="20"/>
  <c r="AL879" i="20"/>
  <c r="AL848" i="20"/>
  <c r="AL815" i="20"/>
  <c r="AL778" i="20"/>
  <c r="AL750" i="20"/>
  <c r="AL719" i="20"/>
  <c r="AL680" i="20"/>
  <c r="AL655" i="20"/>
  <c r="AL620" i="20"/>
  <c r="AL588" i="20"/>
  <c r="AL558" i="20"/>
  <c r="AL527" i="20"/>
  <c r="AL496" i="20"/>
  <c r="AL589" i="20"/>
  <c r="AL557" i="20"/>
  <c r="AL523" i="20"/>
  <c r="AL501" i="20"/>
  <c r="AL456" i="20"/>
  <c r="AL425" i="20"/>
  <c r="AL386" i="20"/>
  <c r="AL393" i="20"/>
  <c r="AL330" i="20"/>
  <c r="AL303" i="20"/>
  <c r="AL265" i="20"/>
  <c r="AL570" i="20"/>
  <c r="AL538" i="20"/>
  <c r="AL504" i="20"/>
  <c r="AL475" i="20"/>
  <c r="AL441" i="20"/>
  <c r="AL351" i="20"/>
  <c r="AL399" i="20"/>
  <c r="AL346" i="20"/>
  <c r="AL313" i="20"/>
  <c r="AL281" i="20"/>
  <c r="AL467" i="20"/>
  <c r="AL434" i="20"/>
  <c r="AL400" i="20"/>
  <c r="AL350" i="20"/>
  <c r="AL339" i="20"/>
  <c r="AL305" i="20"/>
  <c r="AL273" i="20"/>
  <c r="AL235" i="20"/>
  <c r="AL204" i="20"/>
  <c r="AL167" i="20"/>
  <c r="AL45" i="20"/>
  <c r="AL452" i="20"/>
  <c r="AL397" i="20"/>
  <c r="AL385" i="20"/>
  <c r="AL377" i="20"/>
  <c r="AL322" i="20"/>
  <c r="AL291" i="20"/>
  <c r="AL261" i="20"/>
  <c r="AL215" i="20"/>
  <c r="AL186" i="20"/>
  <c r="AL102" i="20"/>
  <c r="AL854" i="20"/>
  <c r="AL768" i="20"/>
  <c r="AL671" i="20"/>
  <c r="AL852" i="20"/>
  <c r="AL785" i="20"/>
  <c r="AL725" i="20"/>
  <c r="AL650" i="20"/>
  <c r="AL609" i="20"/>
  <c r="AL219" i="20"/>
  <c r="AL177" i="20"/>
  <c r="AL49" i="20"/>
  <c r="AL877" i="20"/>
  <c r="AL837" i="20"/>
  <c r="AL793" i="20"/>
  <c r="AL752" i="20"/>
  <c r="AL709" i="20"/>
  <c r="AL684" i="20"/>
  <c r="AL623" i="20"/>
  <c r="AL584" i="20"/>
  <c r="AL539" i="20"/>
  <c r="AL491" i="20"/>
  <c r="AL697" i="20"/>
  <c r="AL652" i="20"/>
  <c r="AL605" i="20"/>
  <c r="AL216" i="20"/>
  <c r="AL128" i="20"/>
  <c r="AL915" i="20"/>
  <c r="AL875" i="20"/>
  <c r="AL841" i="20"/>
  <c r="AL811" i="20"/>
  <c r="AL779" i="20"/>
  <c r="AL748" i="20"/>
  <c r="AL715" i="20"/>
  <c r="AL667" i="20"/>
  <c r="AL651" i="20"/>
  <c r="AL619" i="20"/>
  <c r="AL591" i="20"/>
  <c r="AL556" i="20"/>
  <c r="AL522" i="20"/>
  <c r="AL502" i="20"/>
  <c r="AL582" i="20"/>
  <c r="AL560" i="20"/>
  <c r="AL519" i="20"/>
  <c r="AL486" i="20"/>
  <c r="AL455" i="20"/>
  <c r="AL423" i="20"/>
  <c r="AL409" i="20"/>
  <c r="AL365" i="20"/>
  <c r="AL329" i="20"/>
  <c r="AL293" i="20"/>
  <c r="AL259" i="20"/>
  <c r="AL567" i="20"/>
  <c r="AL533" i="20"/>
  <c r="AL503" i="20"/>
  <c r="AL470" i="20"/>
  <c r="AL437" i="20"/>
  <c r="AL370" i="20"/>
  <c r="AL394" i="20"/>
  <c r="AL341" i="20"/>
  <c r="AL306" i="20"/>
  <c r="AL275" i="20"/>
  <c r="AL462" i="20"/>
  <c r="AL427" i="20"/>
  <c r="AL368" i="20"/>
  <c r="AL363" i="20"/>
  <c r="AL335" i="20"/>
  <c r="AL299" i="20"/>
  <c r="AL270" i="20"/>
  <c r="AL230" i="20"/>
  <c r="AL200" i="20"/>
  <c r="AL125" i="20"/>
  <c r="AL55" i="20"/>
  <c r="AL447" i="20"/>
  <c r="AL420" i="20"/>
  <c r="AL354" i="20"/>
  <c r="AL320" i="20"/>
  <c r="AL285" i="20"/>
  <c r="AL247" i="20"/>
  <c r="AL220" i="20"/>
  <c r="AL96" i="20"/>
  <c r="AL824" i="20"/>
  <c r="AL730" i="20"/>
  <c r="AL888" i="20"/>
  <c r="AL825" i="20"/>
  <c r="AL772" i="20"/>
  <c r="AL692" i="20"/>
  <c r="AL637" i="20"/>
  <c r="AL246" i="20"/>
  <c r="AL202" i="20"/>
  <c r="AL90" i="20"/>
  <c r="AL906" i="20"/>
  <c r="AL862" i="20"/>
  <c r="AL821" i="20"/>
  <c r="AL766" i="20"/>
  <c r="AL733" i="20"/>
  <c r="AL669" i="20"/>
  <c r="AL649" i="20"/>
  <c r="AL611" i="20"/>
  <c r="AL565" i="20"/>
  <c r="AL521" i="20"/>
  <c r="AL474" i="20"/>
  <c r="AL668" i="20"/>
  <c r="AL642" i="20"/>
  <c r="AL240" i="20"/>
  <c r="AL201" i="20"/>
  <c r="AL91" i="20"/>
  <c r="AL899" i="20"/>
  <c r="AL860" i="20"/>
  <c r="AL832" i="20"/>
  <c r="AL800" i="20"/>
  <c r="AL762" i="20"/>
  <c r="AL734" i="20"/>
  <c r="AL703" i="20"/>
  <c r="AL675" i="20"/>
  <c r="AL639" i="20"/>
  <c r="AL604" i="20"/>
  <c r="AL577" i="20"/>
  <c r="AL543" i="20"/>
  <c r="AL516" i="20"/>
  <c r="AL477" i="20"/>
  <c r="AL573" i="20"/>
  <c r="AL540" i="20"/>
  <c r="AL507" i="20"/>
  <c r="AL472" i="20"/>
  <c r="AL442" i="20"/>
  <c r="AL358" i="20"/>
  <c r="AL390" i="20"/>
  <c r="AL347" i="20"/>
  <c r="AL315" i="20"/>
  <c r="AL280" i="20"/>
  <c r="AL590" i="20"/>
  <c r="AL554" i="20"/>
  <c r="AL520" i="20"/>
  <c r="AL489" i="20"/>
  <c r="AL457" i="20"/>
  <c r="AL426" i="20"/>
  <c r="AL401" i="20"/>
  <c r="AL371" i="20"/>
  <c r="AL328" i="20"/>
  <c r="AL297" i="20"/>
  <c r="AL263" i="20"/>
  <c r="AL451" i="20"/>
  <c r="AL392" i="20"/>
  <c r="AL364" i="20"/>
  <c r="AL402" i="20"/>
  <c r="AL323" i="20"/>
  <c r="AL288" i="20"/>
  <c r="AL254" i="20"/>
  <c r="AL221" i="20"/>
  <c r="AL188" i="20"/>
  <c r="AL106" i="20"/>
  <c r="AL466" i="20"/>
  <c r="AL436" i="20"/>
  <c r="AL405" i="20"/>
  <c r="AL361" i="20"/>
  <c r="AL340" i="20"/>
  <c r="AL307" i="20"/>
  <c r="AL274" i="20"/>
  <c r="AL237" i="20"/>
  <c r="AL203" i="20"/>
  <c r="AL127" i="20"/>
  <c r="AL71" i="20"/>
  <c r="AL790" i="20"/>
  <c r="AL726" i="20"/>
  <c r="AL885" i="20"/>
  <c r="AL818" i="20"/>
  <c r="AL757" i="20"/>
  <c r="AL690" i="20"/>
  <c r="AL627" i="20"/>
  <c r="AL242" i="20"/>
  <c r="AL198" i="20"/>
  <c r="AL101" i="20"/>
  <c r="AL902" i="20"/>
  <c r="AL867" i="20"/>
  <c r="AL812" i="20"/>
  <c r="AL769" i="20"/>
  <c r="AL729" i="20"/>
  <c r="AL661" i="20"/>
  <c r="AL645" i="20"/>
  <c r="AL598" i="20"/>
  <c r="AL551" i="20"/>
  <c r="AL510" i="20"/>
  <c r="AL473" i="20"/>
  <c r="AL674" i="20"/>
  <c r="AL638" i="20"/>
  <c r="AL236" i="20"/>
  <c r="AL191" i="20"/>
  <c r="AL95" i="20"/>
  <c r="AL894" i="20"/>
  <c r="AL868" i="20"/>
  <c r="AL827" i="20"/>
  <c r="AL795" i="20"/>
  <c r="AL761" i="20"/>
  <c r="AL731" i="20"/>
  <c r="AL698" i="20"/>
  <c r="AL686" i="20"/>
  <c r="AL636" i="20"/>
  <c r="AL610" i="20"/>
  <c r="AL571" i="20"/>
  <c r="AL537" i="20"/>
  <c r="AL505" i="20"/>
  <c r="AL476" i="20"/>
  <c r="AL568" i="20"/>
  <c r="AL529" i="20"/>
  <c r="AL490" i="20"/>
  <c r="AL471" i="20"/>
  <c r="AL438" i="20"/>
  <c r="AL391" i="20"/>
  <c r="AL359" i="20"/>
  <c r="AL343" i="20"/>
  <c r="AL309" i="20"/>
  <c r="AL277" i="20"/>
  <c r="AL585" i="20"/>
  <c r="AL549" i="20"/>
  <c r="AL509" i="20"/>
  <c r="AL485" i="20"/>
  <c r="AL454" i="20"/>
  <c r="AL369" i="20"/>
  <c r="AL374" i="20"/>
  <c r="AL413" i="20"/>
  <c r="AL325" i="20"/>
  <c r="AL292" i="20"/>
  <c r="AL258" i="20"/>
  <c r="AL446" i="20"/>
  <c r="AL366" i="20"/>
  <c r="AL378" i="20"/>
  <c r="AL362" i="20"/>
  <c r="AL318" i="20"/>
  <c r="AL282" i="20"/>
  <c r="AL248" i="20"/>
  <c r="AL218" i="20"/>
  <c r="AL185" i="20"/>
  <c r="AL107" i="20"/>
  <c r="AL464" i="20"/>
  <c r="AL432" i="20"/>
  <c r="AL380" i="20"/>
  <c r="AL403" i="20"/>
  <c r="AL336" i="20"/>
  <c r="AL301" i="20"/>
  <c r="AL268" i="20"/>
  <c r="AL232" i="20"/>
  <c r="AL199" i="20"/>
  <c r="AL93" i="20"/>
  <c r="AL53" i="20"/>
  <c r="AL373" i="20"/>
  <c r="AL184" i="20"/>
  <c r="AH51" i="14"/>
  <c r="AH58" i="14"/>
  <c r="AH49" i="14"/>
  <c r="AH76" i="14"/>
  <c r="AH153" i="14"/>
  <c r="AH48" i="14"/>
  <c r="AH57" i="14"/>
  <c r="AH162" i="14"/>
  <c r="AH16" i="14"/>
  <c r="AH94" i="14"/>
  <c r="AH112" i="14"/>
  <c r="AH106" i="14"/>
  <c r="AH46" i="14"/>
  <c r="AH28" i="14"/>
  <c r="AH170" i="14"/>
  <c r="AH50" i="14"/>
  <c r="AH56" i="14"/>
  <c r="AH47" i="14"/>
  <c r="AH63" i="14"/>
  <c r="AH234" i="14"/>
  <c r="AH74" i="14"/>
  <c r="AH45" i="14"/>
  <c r="AH176" i="14"/>
  <c r="AH142" i="14"/>
  <c r="AH107" i="14"/>
  <c r="AH73" i="14"/>
  <c r="AH224" i="14"/>
  <c r="AH196" i="14"/>
  <c r="AH236" i="14"/>
  <c r="AH137" i="14"/>
  <c r="AP719" i="20"/>
  <c r="AP913" i="20"/>
  <c r="X12" i="20"/>
  <c r="Z12" i="20"/>
  <c r="AB12" i="20"/>
  <c r="AD12" i="20"/>
  <c r="AF12" i="20"/>
  <c r="AH12" i="20"/>
  <c r="AJ12" i="20"/>
  <c r="W12" i="20"/>
  <c r="Y12" i="20"/>
  <c r="AA12" i="20"/>
  <c r="AC12" i="20"/>
  <c r="AE12" i="20"/>
  <c r="AG12" i="20"/>
  <c r="AI12" i="20"/>
  <c r="W10" i="20"/>
  <c r="Y10" i="20"/>
  <c r="AA10" i="20"/>
  <c r="AC10" i="20"/>
  <c r="AE10" i="20"/>
  <c r="AG10" i="20"/>
  <c r="AI10" i="20"/>
  <c r="X10" i="20"/>
  <c r="Z10" i="20"/>
  <c r="AB10" i="20"/>
  <c r="AD10" i="20"/>
  <c r="AF10" i="20"/>
  <c r="AH10" i="20"/>
  <c r="AJ10" i="20"/>
  <c r="AB9" i="20"/>
  <c r="AC9" i="20"/>
  <c r="AG9" i="20"/>
  <c r="AF9" i="20"/>
  <c r="W9" i="20"/>
  <c r="AJ9" i="20"/>
  <c r="Z9" i="20"/>
  <c r="AA9" i="20"/>
  <c r="X9" i="20"/>
  <c r="Y9" i="20"/>
  <c r="AH9" i="20"/>
  <c r="AI9" i="20"/>
  <c r="Z11" i="20"/>
  <c r="AD11" i="20"/>
  <c r="AH11" i="20"/>
  <c r="W11" i="20"/>
  <c r="AA11" i="20"/>
  <c r="AE11" i="20"/>
  <c r="AI11" i="20"/>
  <c r="X11" i="20"/>
  <c r="AB11" i="20"/>
  <c r="AF11" i="20"/>
  <c r="AJ11" i="20"/>
  <c r="Y11" i="20"/>
  <c r="AC11" i="20"/>
  <c r="AG11" i="20"/>
  <c r="J54" i="37"/>
  <c r="N54" i="37"/>
  <c r="X13" i="20"/>
  <c r="Z13" i="20"/>
  <c r="AB13" i="20"/>
  <c r="AD13" i="20"/>
  <c r="AF13" i="20"/>
  <c r="AH13" i="20"/>
  <c r="AJ13" i="20"/>
  <c r="W13" i="20"/>
  <c r="Y13" i="20"/>
  <c r="AA13" i="20"/>
  <c r="AC13" i="20"/>
  <c r="AE13" i="20"/>
  <c r="AG13" i="20"/>
  <c r="AI13" i="20"/>
  <c r="Z16" i="20"/>
  <c r="AD16" i="20"/>
  <c r="AH16" i="20"/>
  <c r="W16" i="20"/>
  <c r="AA16" i="20"/>
  <c r="AE16" i="20"/>
  <c r="AI16" i="20"/>
  <c r="X16" i="20"/>
  <c r="AB16" i="20"/>
  <c r="AF16" i="20"/>
  <c r="AJ16" i="20"/>
  <c r="Y16" i="20"/>
  <c r="AC16" i="20"/>
  <c r="AG16" i="20"/>
  <c r="Z14" i="20"/>
  <c r="AD14" i="20"/>
  <c r="AH14" i="20"/>
  <c r="W14" i="20"/>
  <c r="AA14" i="20"/>
  <c r="AE14" i="20"/>
  <c r="AI14" i="20"/>
  <c r="X14" i="20"/>
  <c r="AB14" i="20"/>
  <c r="AF14" i="20"/>
  <c r="AJ14" i="20"/>
  <c r="Y14" i="20"/>
  <c r="AC14" i="20"/>
  <c r="AG14" i="20"/>
  <c r="Z15" i="20"/>
  <c r="AD15" i="20"/>
  <c r="AH15" i="20"/>
  <c r="W15" i="20"/>
  <c r="AA15" i="20"/>
  <c r="AE15" i="20"/>
  <c r="AI15" i="20"/>
  <c r="X15" i="20"/>
  <c r="AB15" i="20"/>
  <c r="AF15" i="20"/>
  <c r="AJ15" i="20"/>
  <c r="Y15" i="20"/>
  <c r="AC15" i="20"/>
  <c r="AG15" i="20"/>
  <c r="W108" i="20"/>
  <c r="AB108" i="20"/>
  <c r="Z108" i="20"/>
  <c r="AI108" i="20"/>
  <c r="AJ108" i="20"/>
  <c r="AH108" i="20"/>
  <c r="X108" i="20"/>
  <c r="AE108" i="20"/>
  <c r="AD108" i="20"/>
  <c r="AF108" i="20"/>
  <c r="Y108" i="20"/>
  <c r="AA108" i="20"/>
  <c r="AG108" i="20"/>
  <c r="AC108" i="20"/>
  <c r="W289" i="20"/>
  <c r="Z289" i="20"/>
  <c r="Y289" i="20"/>
  <c r="X289" i="20"/>
  <c r="AG311" i="20"/>
  <c r="AI311" i="20"/>
  <c r="AC311" i="20"/>
  <c r="AF311" i="20"/>
  <c r="AH289" i="20"/>
  <c r="AG289" i="20"/>
  <c r="AF289" i="20"/>
  <c r="AE289" i="20"/>
  <c r="AE311" i="20"/>
  <c r="Y311" i="20"/>
  <c r="X311" i="20"/>
  <c r="AJ289" i="20"/>
  <c r="AI289" i="20"/>
  <c r="AA311" i="20"/>
  <c r="AD311" i="20"/>
  <c r="W311" i="20"/>
  <c r="AB311" i="20"/>
  <c r="AD289" i="20"/>
  <c r="AC289" i="20"/>
  <c r="AB289" i="20"/>
  <c r="AA289" i="20"/>
  <c r="Z311" i="20"/>
  <c r="AH311" i="20"/>
  <c r="AJ311" i="20"/>
  <c r="W18" i="20"/>
  <c r="AC51" i="20"/>
  <c r="AG51" i="20"/>
  <c r="AB51" i="20"/>
  <c r="AH18" i="20"/>
  <c r="AC18" i="20"/>
  <c r="AB18" i="20"/>
  <c r="AE18" i="20"/>
  <c r="W51" i="20"/>
  <c r="AD51" i="20"/>
  <c r="Y51" i="20"/>
  <c r="X51" i="20"/>
  <c r="AD18" i="20"/>
  <c r="Y18" i="20"/>
  <c r="X18" i="20"/>
  <c r="AA18" i="20"/>
  <c r="AJ51" i="20"/>
  <c r="AH51" i="20"/>
  <c r="AE51" i="20"/>
  <c r="Z18" i="20"/>
  <c r="AJ18" i="20"/>
  <c r="AI51" i="20"/>
  <c r="Z51" i="20"/>
  <c r="AF51" i="20"/>
  <c r="AA51" i="20"/>
  <c r="AG18" i="20"/>
  <c r="AF18" i="20"/>
  <c r="AI18" i="20"/>
  <c r="W22" i="20"/>
  <c r="AD40" i="20"/>
  <c r="X22" i="20"/>
  <c r="AB22" i="20"/>
  <c r="AD17" i="20"/>
  <c r="Z22" i="20"/>
  <c r="AJ17" i="20"/>
  <c r="AI17" i="20"/>
  <c r="AI22" i="20"/>
  <c r="AI40" i="20"/>
  <c r="AJ40" i="20"/>
  <c r="AA68" i="20"/>
  <c r="Y68" i="20"/>
  <c r="X68" i="20"/>
  <c r="AC22" i="20"/>
  <c r="AH40" i="20"/>
  <c r="AG22" i="20"/>
  <c r="AG68" i="20"/>
  <c r="Z17" i="20"/>
  <c r="AB17" i="20"/>
  <c r="AA17" i="20"/>
  <c r="AA22" i="20"/>
  <c r="AE40" i="20"/>
  <c r="AC40" i="20"/>
  <c r="AB40" i="20"/>
  <c r="AI68" i="20"/>
  <c r="AC68" i="20"/>
  <c r="AF68" i="20"/>
  <c r="X40" i="20"/>
  <c r="AD22" i="20"/>
  <c r="AH22" i="20"/>
  <c r="Y22" i="20"/>
  <c r="AF22" i="20"/>
  <c r="X17" i="20"/>
  <c r="AA40" i="20"/>
  <c r="W40" i="20"/>
  <c r="Y40" i="20"/>
  <c r="AE68" i="20"/>
  <c r="AD68" i="20"/>
  <c r="W68" i="20"/>
  <c r="AB68" i="20"/>
  <c r="W17" i="20"/>
  <c r="AJ22" i="20"/>
  <c r="Y17" i="20"/>
  <c r="AG17" i="20"/>
  <c r="AC17" i="20"/>
  <c r="AH17" i="20"/>
  <c r="AF17" i="20"/>
  <c r="AE17" i="20"/>
  <c r="AE22" i="20"/>
  <c r="Z40" i="20"/>
  <c r="AG40" i="20"/>
  <c r="AF40" i="20"/>
  <c r="Z68" i="20"/>
  <c r="AH68" i="20"/>
  <c r="AJ68" i="20"/>
  <c r="X21" i="20"/>
  <c r="AH21" i="20"/>
  <c r="Y21" i="20"/>
  <c r="AJ21" i="20"/>
  <c r="AG21" i="20"/>
  <c r="Z21" i="20"/>
  <c r="AC21" i="20"/>
  <c r="AF21" i="20"/>
  <c r="AE21" i="20"/>
  <c r="AI21" i="20"/>
  <c r="W21" i="20"/>
  <c r="AB21" i="20"/>
  <c r="AA21" i="20"/>
  <c r="AD21" i="20"/>
  <c r="W171" i="20"/>
  <c r="W174" i="20"/>
  <c r="Y171" i="20"/>
  <c r="AB173" i="20"/>
  <c r="AD173" i="20"/>
  <c r="X173" i="20"/>
  <c r="AF173" i="20"/>
  <c r="AD170" i="20"/>
  <c r="AD174" i="20"/>
  <c r="AB172" i="20"/>
  <c r="AJ169" i="20"/>
  <c r="Z172" i="20"/>
  <c r="Z171" i="20"/>
  <c r="AF172" i="20"/>
  <c r="Y172" i="20"/>
  <c r="AI169" i="20"/>
  <c r="AF171" i="20"/>
  <c r="AE171" i="20"/>
  <c r="AB174" i="20"/>
  <c r="AE174" i="20"/>
  <c r="AI171" i="20"/>
  <c r="AF174" i="20"/>
  <c r="AI174" i="20"/>
  <c r="W170" i="20"/>
  <c r="W173" i="20"/>
  <c r="AD172" i="20"/>
  <c r="AB170" i="20"/>
  <c r="Y173" i="20"/>
  <c r="AC170" i="20"/>
  <c r="Z173" i="20"/>
  <c r="X170" i="20"/>
  <c r="AF169" i="20"/>
  <c r="AC174" i="20"/>
  <c r="AD169" i="20"/>
  <c r="AH174" i="20"/>
  <c r="AH169" i="20"/>
  <c r="X172" i="20"/>
  <c r="AI170" i="20"/>
  <c r="AI173" i="20"/>
  <c r="AI172" i="20"/>
  <c r="AE169" i="20"/>
  <c r="AB171" i="20"/>
  <c r="AA171" i="20"/>
  <c r="X174" i="20"/>
  <c r="AA174" i="20"/>
  <c r="W172" i="20"/>
  <c r="AB169" i="20"/>
  <c r="AH170" i="20"/>
  <c r="AJ170" i="20"/>
  <c r="AH173" i="20"/>
  <c r="AG174" i="20"/>
  <c r="AG170" i="20"/>
  <c r="AG171" i="20"/>
  <c r="Z169" i="20"/>
  <c r="AJ171" i="20"/>
  <c r="Y169" i="20"/>
  <c r="Z174" i="20"/>
  <c r="AC169" i="20"/>
  <c r="AF170" i="20"/>
  <c r="AE170" i="20"/>
  <c r="AE173" i="20"/>
  <c r="AG172" i="20"/>
  <c r="AE172" i="20"/>
  <c r="AA169" i="20"/>
  <c r="X171" i="20"/>
  <c r="AJ174" i="20"/>
  <c r="W169" i="20"/>
  <c r="AG173" i="20"/>
  <c r="AD171" i="20"/>
  <c r="AJ173" i="20"/>
  <c r="AC173" i="20"/>
  <c r="Y174" i="20"/>
  <c r="Y170" i="20"/>
  <c r="AG169" i="20"/>
  <c r="AJ172" i="20"/>
  <c r="AC171" i="20"/>
  <c r="AH172" i="20"/>
  <c r="AH171" i="20"/>
  <c r="X169" i="20"/>
  <c r="Z170" i="20"/>
  <c r="AA170" i="20"/>
  <c r="AA173" i="20"/>
  <c r="AC172" i="20"/>
  <c r="AA172" i="20"/>
  <c r="F54" i="37"/>
  <c r="M54" i="37"/>
  <c r="E54" i="37"/>
  <c r="AI28" i="20"/>
  <c r="W27" i="20"/>
  <c r="W24" i="20"/>
  <c r="AC28" i="20"/>
  <c r="AH28" i="20"/>
  <c r="AD29" i="20"/>
  <c r="AA41" i="20"/>
  <c r="Y44" i="20"/>
  <c r="AH44" i="20"/>
  <c r="X44" i="20"/>
  <c r="AB41" i="20"/>
  <c r="AF27" i="20"/>
  <c r="Z26" i="20"/>
  <c r="X27" i="20"/>
  <c r="AE44" i="20"/>
  <c r="AH29" i="20"/>
  <c r="AB27" i="20"/>
  <c r="Y26" i="20"/>
  <c r="AH27" i="20"/>
  <c r="X26" i="20"/>
  <c r="X25" i="20"/>
  <c r="AI27" i="20"/>
  <c r="AB24" i="20"/>
  <c r="AB29" i="20"/>
  <c r="AF28" i="20"/>
  <c r="X28" i="20"/>
  <c r="W44" i="20"/>
  <c r="AG28" i="20"/>
  <c r="AD28" i="20"/>
  <c r="AD25" i="20"/>
  <c r="AH26" i="20"/>
  <c r="AI41" i="20"/>
  <c r="AF44" i="20"/>
  <c r="AJ41" i="20"/>
  <c r="Z41" i="20"/>
  <c r="AC26" i="20"/>
  <c r="AG41" i="20"/>
  <c r="AC29" i="20"/>
  <c r="AA44" i="20"/>
  <c r="Z29" i="20"/>
  <c r="AH25" i="20"/>
  <c r="AG29" i="20"/>
  <c r="Z27" i="20"/>
  <c r="AJ26" i="20"/>
  <c r="AI26" i="20"/>
  <c r="AJ25" i="20"/>
  <c r="AI25" i="20"/>
  <c r="AG27" i="20"/>
  <c r="AE27" i="20"/>
  <c r="X24" i="20"/>
  <c r="X29" i="20"/>
  <c r="AB28" i="20"/>
  <c r="W25" i="20"/>
  <c r="W29" i="20"/>
  <c r="Y28" i="20"/>
  <c r="AA28" i="20"/>
  <c r="AB44" i="20"/>
  <c r="AJ44" i="20"/>
  <c r="AD41" i="20"/>
  <c r="AC44" i="20"/>
  <c r="AH41" i="20"/>
  <c r="W41" i="20"/>
  <c r="AH24" i="20"/>
  <c r="AC41" i="20"/>
  <c r="AC25" i="20"/>
  <c r="AE28" i="20"/>
  <c r="AD24" i="20"/>
  <c r="Z25" i="20"/>
  <c r="Y29" i="20"/>
  <c r="AG25" i="20"/>
  <c r="AF26" i="20"/>
  <c r="AE26" i="20"/>
  <c r="AF25" i="20"/>
  <c r="AE25" i="20"/>
  <c r="AC27" i="20"/>
  <c r="AA27" i="20"/>
  <c r="AJ24" i="20"/>
  <c r="AI24" i="20"/>
  <c r="AJ29" i="20"/>
  <c r="AI29" i="20"/>
  <c r="Y41" i="20"/>
  <c r="W26" i="20"/>
  <c r="AG44" i="20"/>
  <c r="W28" i="20"/>
  <c r="AF41" i="20"/>
  <c r="AD44" i="20"/>
  <c r="X41" i="20"/>
  <c r="Z44" i="20"/>
  <c r="AE41" i="20"/>
  <c r="AD26" i="20"/>
  <c r="AD27" i="20"/>
  <c r="Z24" i="20"/>
  <c r="AI44" i="20"/>
  <c r="Z28" i="20"/>
  <c r="AJ27" i="20"/>
  <c r="AG26" i="20"/>
  <c r="AC24" i="20"/>
  <c r="Y25" i="20"/>
  <c r="AB26" i="20"/>
  <c r="AA26" i="20"/>
  <c r="AB25" i="20"/>
  <c r="AA25" i="20"/>
  <c r="Y27" i="20"/>
  <c r="AG24" i="20"/>
  <c r="AF24" i="20"/>
  <c r="AE24" i="20"/>
  <c r="AF29" i="20"/>
  <c r="AE29" i="20"/>
  <c r="AJ28" i="20"/>
  <c r="Y24" i="20"/>
  <c r="AA24" i="20"/>
  <c r="AA29" i="20"/>
  <c r="N13" i="43"/>
  <c r="E16" i="43"/>
  <c r="W164" i="20"/>
  <c r="AH164" i="20"/>
  <c r="AC164" i="20"/>
  <c r="AA164" i="20"/>
  <c r="AJ164" i="20"/>
  <c r="Z164" i="20"/>
  <c r="Y164" i="20"/>
  <c r="AD164" i="20"/>
  <c r="AF164" i="20"/>
  <c r="AI164" i="20"/>
  <c r="AB164" i="20"/>
  <c r="X164" i="20"/>
  <c r="AG164" i="20"/>
  <c r="AE164" i="20"/>
  <c r="AJ452" i="20"/>
  <c r="AP860" i="20"/>
  <c r="W135" i="20"/>
  <c r="W148" i="20"/>
  <c r="W149" i="20"/>
  <c r="W137" i="20"/>
  <c r="W165" i="20"/>
  <c r="X159" i="20"/>
  <c r="X142" i="20"/>
  <c r="X161" i="20"/>
  <c r="X144" i="20"/>
  <c r="Y140" i="20"/>
  <c r="Y133" i="20"/>
  <c r="Y131" i="20"/>
  <c r="Y146" i="20"/>
  <c r="Y158" i="20"/>
  <c r="Z130" i="20"/>
  <c r="Z133" i="20"/>
  <c r="Z142" i="20"/>
  <c r="Z149" i="20"/>
  <c r="Z166" i="20"/>
  <c r="Z158" i="20"/>
  <c r="AA140" i="20"/>
  <c r="AA133" i="20"/>
  <c r="AA131" i="20"/>
  <c r="AA146" i="20"/>
  <c r="AA158" i="20"/>
  <c r="AB130" i="20"/>
  <c r="AB141" i="20"/>
  <c r="AB163" i="20"/>
  <c r="AB166" i="20"/>
  <c r="AB153" i="20"/>
  <c r="AC135" i="20"/>
  <c r="AC148" i="20"/>
  <c r="AC149" i="20"/>
  <c r="AC137" i="20"/>
  <c r="AC165" i="20"/>
  <c r="AD138" i="20"/>
  <c r="AD132" i="20"/>
  <c r="AD150" i="20"/>
  <c r="AD147" i="20"/>
  <c r="AD156" i="20"/>
  <c r="AD157" i="20"/>
  <c r="AE135" i="20"/>
  <c r="AE148" i="20"/>
  <c r="AE149" i="20"/>
  <c r="AE137" i="20"/>
  <c r="AE165" i="20"/>
  <c r="AF159" i="20"/>
  <c r="AF142" i="20"/>
  <c r="AF161" i="20"/>
  <c r="AF144" i="20"/>
  <c r="AG140" i="20"/>
  <c r="AG133" i="20"/>
  <c r="AG131" i="20"/>
  <c r="AG146" i="20"/>
  <c r="AG158" i="20"/>
  <c r="AH130" i="20"/>
  <c r="AH133" i="20"/>
  <c r="AH142" i="20"/>
  <c r="AH149" i="20"/>
  <c r="AH166" i="20"/>
  <c r="AH158" i="20"/>
  <c r="AI140" i="20"/>
  <c r="AI133" i="20"/>
  <c r="AI131" i="20"/>
  <c r="AI146" i="20"/>
  <c r="AI158" i="20"/>
  <c r="AJ130" i="20"/>
  <c r="AJ141" i="20"/>
  <c r="AJ163" i="20"/>
  <c r="AJ166" i="20"/>
  <c r="AJ153" i="20"/>
  <c r="W130" i="20"/>
  <c r="W142" i="20"/>
  <c r="W146" i="20"/>
  <c r="W153" i="20"/>
  <c r="X133" i="20"/>
  <c r="X163" i="20"/>
  <c r="X137" i="20"/>
  <c r="Y130" i="20"/>
  <c r="Y148" i="20"/>
  <c r="Y161" i="20"/>
  <c r="Y153" i="20"/>
  <c r="Z138" i="20"/>
  <c r="Z148" i="20"/>
  <c r="Z161" i="20"/>
  <c r="Z156" i="20"/>
  <c r="Z165" i="20"/>
  <c r="AA141" i="20"/>
  <c r="AA149" i="20"/>
  <c r="AA144" i="20"/>
  <c r="AB135" i="20"/>
  <c r="AB142" i="20"/>
  <c r="AB146" i="20"/>
  <c r="AB165" i="20"/>
  <c r="AC133" i="20"/>
  <c r="AC163" i="20"/>
  <c r="AC144" i="20"/>
  <c r="AD130" i="20"/>
  <c r="AD141" i="20"/>
  <c r="AD163" i="20"/>
  <c r="AD166" i="20"/>
  <c r="AD153" i="20"/>
  <c r="AE159" i="20"/>
  <c r="AE131" i="20"/>
  <c r="AE166" i="20"/>
  <c r="AF140" i="20"/>
  <c r="AF141" i="20"/>
  <c r="AF149" i="20"/>
  <c r="AF158" i="20"/>
  <c r="AG135" i="20"/>
  <c r="AG142" i="20"/>
  <c r="AG166" i="20"/>
  <c r="AG165" i="20"/>
  <c r="AH159" i="20"/>
  <c r="AH131" i="20"/>
  <c r="AH147" i="20"/>
  <c r="AH144" i="20"/>
  <c r="AI130" i="20"/>
  <c r="AI148" i="20"/>
  <c r="AI161" i="20"/>
  <c r="AI153" i="20"/>
  <c r="AJ159" i="20"/>
  <c r="AJ131" i="20"/>
  <c r="AJ137" i="20"/>
  <c r="Z151" i="20"/>
  <c r="AJ152" i="20"/>
  <c r="Y159" i="20"/>
  <c r="W159" i="20"/>
  <c r="W131" i="20"/>
  <c r="W166" i="20"/>
  <c r="X140" i="20"/>
  <c r="X141" i="20"/>
  <c r="X149" i="20"/>
  <c r="X158" i="20"/>
  <c r="Y135" i="20"/>
  <c r="Y142" i="20"/>
  <c r="Y166" i="20"/>
  <c r="Y165" i="20"/>
  <c r="Z159" i="20"/>
  <c r="Z131" i="20"/>
  <c r="Z147" i="20"/>
  <c r="Z144" i="20"/>
  <c r="AA130" i="20"/>
  <c r="AA148" i="20"/>
  <c r="AA161" i="20"/>
  <c r="AA153" i="20"/>
  <c r="AB159" i="20"/>
  <c r="AB131" i="20"/>
  <c r="AB137" i="20"/>
  <c r="AC140" i="20"/>
  <c r="AC141" i="20"/>
  <c r="AC161" i="20"/>
  <c r="AC158" i="20"/>
  <c r="AD135" i="20"/>
  <c r="AD148" i="20"/>
  <c r="AD149" i="20"/>
  <c r="AD137" i="20"/>
  <c r="AD165" i="20"/>
  <c r="AE133" i="20"/>
  <c r="AE163" i="20"/>
  <c r="AE144" i="20"/>
  <c r="AF130" i="20"/>
  <c r="AF148" i="20"/>
  <c r="AF146" i="20"/>
  <c r="AF153" i="20"/>
  <c r="AG159" i="20"/>
  <c r="AG163" i="20"/>
  <c r="AG137" i="20"/>
  <c r="AH140" i="20"/>
  <c r="AH141" i="20"/>
  <c r="AH150" i="20"/>
  <c r="AH146" i="20"/>
  <c r="AH153" i="20"/>
  <c r="AI135" i="20"/>
  <c r="AI142" i="20"/>
  <c r="AI166" i="20"/>
  <c r="AI165" i="20"/>
  <c r="AJ133" i="20"/>
  <c r="AJ149" i="20"/>
  <c r="AJ144" i="20"/>
  <c r="W140" i="20"/>
  <c r="W141" i="20"/>
  <c r="W161" i="20"/>
  <c r="W158" i="20"/>
  <c r="X135" i="20"/>
  <c r="X131" i="20"/>
  <c r="X166" i="20"/>
  <c r="X165" i="20"/>
  <c r="Y141" i="20"/>
  <c r="Y149" i="20"/>
  <c r="Y144" i="20"/>
  <c r="Z135" i="20"/>
  <c r="Z132" i="20"/>
  <c r="Z163" i="20"/>
  <c r="Z137" i="20"/>
  <c r="Z157" i="20"/>
  <c r="AA159" i="20"/>
  <c r="AA163" i="20"/>
  <c r="AA137" i="20"/>
  <c r="AB140" i="20"/>
  <c r="AB148" i="20"/>
  <c r="AB161" i="20"/>
  <c r="AB158" i="20"/>
  <c r="AC159" i="20"/>
  <c r="AC131" i="20"/>
  <c r="AC166" i="20"/>
  <c r="AD140" i="20"/>
  <c r="AD133" i="20"/>
  <c r="AD131" i="20"/>
  <c r="AD146" i="20"/>
  <c r="AD158" i="20"/>
  <c r="AE130" i="20"/>
  <c r="AE142" i="20"/>
  <c r="AE146" i="20"/>
  <c r="AE153" i="20"/>
  <c r="AF133" i="20"/>
  <c r="AF163" i="20"/>
  <c r="AF137" i="20"/>
  <c r="AG130" i="20"/>
  <c r="AG148" i="20"/>
  <c r="AG161" i="20"/>
  <c r="AG153" i="20"/>
  <c r="AH138" i="20"/>
  <c r="AH148" i="20"/>
  <c r="AH161" i="20"/>
  <c r="AH156" i="20"/>
  <c r="AH165" i="20"/>
  <c r="AI141" i="20"/>
  <c r="AI149" i="20"/>
  <c r="AI144" i="20"/>
  <c r="AJ135" i="20"/>
  <c r="AJ142" i="20"/>
  <c r="AJ146" i="20"/>
  <c r="AJ165" i="20"/>
  <c r="AB134" i="20"/>
  <c r="AG134" i="20"/>
  <c r="AC152" i="20"/>
  <c r="AC155" i="20"/>
  <c r="X134" i="20"/>
  <c r="AC134" i="20"/>
  <c r="AH134" i="20"/>
  <c r="AH160" i="20"/>
  <c r="AH155" i="20"/>
  <c r="Y134" i="20"/>
  <c r="AD134" i="20"/>
  <c r="AJ134" i="20"/>
  <c r="AF151" i="20"/>
  <c r="AH162" i="20"/>
  <c r="W133" i="20"/>
  <c r="W163" i="20"/>
  <c r="W144" i="20"/>
  <c r="X130" i="20"/>
  <c r="X148" i="20"/>
  <c r="X146" i="20"/>
  <c r="X153" i="20"/>
  <c r="Y163" i="20"/>
  <c r="Y137" i="20"/>
  <c r="Z146" i="20"/>
  <c r="AA166" i="20"/>
  <c r="AB144" i="20"/>
  <c r="AC153" i="20"/>
  <c r="AD144" i="20"/>
  <c r="AE158" i="20"/>
  <c r="AF165" i="20"/>
  <c r="AH135" i="20"/>
  <c r="AH157" i="20"/>
  <c r="AJ140" i="20"/>
  <c r="AF134" i="20"/>
  <c r="Z155" i="20"/>
  <c r="Z140" i="20"/>
  <c r="Z153" i="20"/>
  <c r="AA165" i="20"/>
  <c r="AC130" i="20"/>
  <c r="AD159" i="20"/>
  <c r="AE140" i="20"/>
  <c r="AF135" i="20"/>
  <c r="AG141" i="20"/>
  <c r="AH132" i="20"/>
  <c r="AI159" i="20"/>
  <c r="AJ148" i="20"/>
  <c r="Z141" i="20"/>
  <c r="AA135" i="20"/>
  <c r="AB133" i="20"/>
  <c r="AC142" i="20"/>
  <c r="AD142" i="20"/>
  <c r="AE141" i="20"/>
  <c r="AF131" i="20"/>
  <c r="AG149" i="20"/>
  <c r="AH163" i="20"/>
  <c r="AI163" i="20"/>
  <c r="AJ161" i="20"/>
  <c r="Z150" i="20"/>
  <c r="AA142" i="20"/>
  <c r="AB149" i="20"/>
  <c r="AC146" i="20"/>
  <c r="AD161" i="20"/>
  <c r="AE161" i="20"/>
  <c r="AF166" i="20"/>
  <c r="AG144" i="20"/>
  <c r="AH137" i="20"/>
  <c r="AI137" i="20"/>
  <c r="AJ158" i="20"/>
  <c r="Z134" i="20"/>
  <c r="AI151" i="20"/>
  <c r="W152" i="20"/>
  <c r="W160" i="20"/>
  <c r="W143" i="20"/>
  <c r="W147" i="20"/>
  <c r="AG147" i="20"/>
  <c r="AC157" i="20"/>
  <c r="AC132" i="20"/>
  <c r="Y147" i="20"/>
  <c r="AJ157" i="20"/>
  <c r="AJ132" i="20"/>
  <c r="AF147" i="20"/>
  <c r="AB157" i="20"/>
  <c r="AB132" i="20"/>
  <c r="X147" i="20"/>
  <c r="AI157" i="20"/>
  <c r="AI132" i="20"/>
  <c r="AE147" i="20"/>
  <c r="AA157" i="20"/>
  <c r="AA132" i="20"/>
  <c r="AA134" i="20"/>
  <c r="AG129" i="20"/>
  <c r="AH152" i="20"/>
  <c r="X160" i="20"/>
  <c r="Y152" i="20"/>
  <c r="AC162" i="20"/>
  <c r="AC160" i="20"/>
  <c r="AD151" i="20"/>
  <c r="Y151" i="20"/>
  <c r="Z160" i="20"/>
  <c r="Z152" i="20"/>
  <c r="AG139" i="20"/>
  <c r="AH154" i="20"/>
  <c r="AC139" i="20"/>
  <c r="AB160" i="20"/>
  <c r="Z162" i="20"/>
  <c r="AH145" i="20"/>
  <c r="AD143" i="20"/>
  <c r="AF145" i="20"/>
  <c r="AE145" i="20"/>
  <c r="AF154" i="20"/>
  <c r="AI154" i="20"/>
  <c r="AB151" i="20"/>
  <c r="X139" i="20"/>
  <c r="AJ162" i="20"/>
  <c r="AI152" i="20"/>
  <c r="AJ129" i="20"/>
  <c r="AI129" i="20"/>
  <c r="AJ136" i="20"/>
  <c r="AI136" i="20"/>
  <c r="Y160" i="20"/>
  <c r="W154" i="20"/>
  <c r="W139" i="20"/>
  <c r="W155" i="20"/>
  <c r="W145" i="20"/>
  <c r="W150" i="20"/>
  <c r="AG150" i="20"/>
  <c r="AC156" i="20"/>
  <c r="AC138" i="20"/>
  <c r="Y150" i="20"/>
  <c r="AJ156" i="20"/>
  <c r="AJ138" i="20"/>
  <c r="AF150" i="20"/>
  <c r="AB156" i="20"/>
  <c r="AB138" i="20"/>
  <c r="X150" i="20"/>
  <c r="AI156" i="20"/>
  <c r="AI138" i="20"/>
  <c r="AE150" i="20"/>
  <c r="AA156" i="20"/>
  <c r="AA138" i="20"/>
  <c r="W162" i="20"/>
  <c r="AD129" i="20"/>
  <c r="AB152" i="20"/>
  <c r="AH129" i="20"/>
  <c r="AG162" i="20"/>
  <c r="AD154" i="20"/>
  <c r="AC129" i="20"/>
  <c r="AG154" i="20"/>
  <c r="Y154" i="20"/>
  <c r="AG136" i="20"/>
  <c r="AI162" i="20"/>
  <c r="Y139" i="20"/>
  <c r="Z154" i="20"/>
  <c r="AC145" i="20"/>
  <c r="AH136" i="20"/>
  <c r="AH139" i="20"/>
  <c r="Z145" i="20"/>
  <c r="AC143" i="20"/>
  <c r="AB145" i="20"/>
  <c r="AA145" i="20"/>
  <c r="AB154" i="20"/>
  <c r="AE154" i="20"/>
  <c r="X151" i="20"/>
  <c r="AJ139" i="20"/>
  <c r="AI139" i="20"/>
  <c r="AF162" i="20"/>
  <c r="AE152" i="20"/>
  <c r="AF129" i="20"/>
  <c r="AE129" i="20"/>
  <c r="AF136" i="20"/>
  <c r="AE136" i="20"/>
  <c r="AI160" i="20"/>
  <c r="AJ155" i="20"/>
  <c r="AI155" i="20"/>
  <c r="Y143" i="20"/>
  <c r="X143" i="20"/>
  <c r="W156" i="20"/>
  <c r="W138" i="20"/>
  <c r="W136" i="20"/>
  <c r="W151" i="20"/>
  <c r="W129" i="20"/>
  <c r="W157" i="20"/>
  <c r="W132" i="20"/>
  <c r="AG157" i="20"/>
  <c r="AG132" i="20"/>
  <c r="AC147" i="20"/>
  <c r="Y157" i="20"/>
  <c r="Y132" i="20"/>
  <c r="AJ147" i="20"/>
  <c r="AF157" i="20"/>
  <c r="AF132" i="20"/>
  <c r="AB147" i="20"/>
  <c r="X157" i="20"/>
  <c r="X132" i="20"/>
  <c r="AI147" i="20"/>
  <c r="AE157" i="20"/>
  <c r="AE132" i="20"/>
  <c r="AA147" i="20"/>
  <c r="AI134" i="20"/>
  <c r="AD155" i="20"/>
  <c r="AD136" i="20"/>
  <c r="AG155" i="20"/>
  <c r="Y129" i="20"/>
  <c r="AD152" i="20"/>
  <c r="AD160" i="20"/>
  <c r="AA162" i="20"/>
  <c r="AD145" i="20"/>
  <c r="AC136" i="20"/>
  <c r="Y136" i="20"/>
  <c r="AD162" i="20"/>
  <c r="AH151" i="20"/>
  <c r="AG145" i="20"/>
  <c r="AD139" i="20"/>
  <c r="Z136" i="20"/>
  <c r="Z139" i="20"/>
  <c r="AH143" i="20"/>
  <c r="X145" i="20"/>
  <c r="X154" i="20"/>
  <c r="AA154" i="20"/>
  <c r="AE151" i="20"/>
  <c r="AF139" i="20"/>
  <c r="AE139" i="20"/>
  <c r="AB162" i="20"/>
  <c r="AA152" i="20"/>
  <c r="AB129" i="20"/>
  <c r="AA129" i="20"/>
  <c r="AB136" i="20"/>
  <c r="AA136" i="20"/>
  <c r="AE160" i="20"/>
  <c r="AF155" i="20"/>
  <c r="AE155" i="20"/>
  <c r="AJ143" i="20"/>
  <c r="AI143" i="20"/>
  <c r="X162" i="20"/>
  <c r="W134" i="20"/>
  <c r="AG156" i="20"/>
  <c r="AG138" i="20"/>
  <c r="AC150" i="20"/>
  <c r="Y156" i="20"/>
  <c r="Y138" i="20"/>
  <c r="AJ150" i="20"/>
  <c r="AF156" i="20"/>
  <c r="AF138" i="20"/>
  <c r="AB150" i="20"/>
  <c r="X156" i="20"/>
  <c r="X138" i="20"/>
  <c r="AI150" i="20"/>
  <c r="AE156" i="20"/>
  <c r="AE138" i="20"/>
  <c r="AA150" i="20"/>
  <c r="AE134" i="20"/>
  <c r="AJ160" i="20"/>
  <c r="Z129" i="20"/>
  <c r="Y155" i="20"/>
  <c r="AG152" i="20"/>
  <c r="X152" i="20"/>
  <c r="Z143" i="20"/>
  <c r="AJ151" i="20"/>
  <c r="AG151" i="20"/>
  <c r="AF160" i="20"/>
  <c r="AF152" i="20"/>
  <c r="Y162" i="20"/>
  <c r="AC151" i="20"/>
  <c r="Y145" i="20"/>
  <c r="AG143" i="20"/>
  <c r="AA151" i="20"/>
  <c r="X136" i="20"/>
  <c r="AB155" i="20"/>
  <c r="AF143" i="20"/>
  <c r="AG160" i="20"/>
  <c r="AJ154" i="20"/>
  <c r="X155" i="20"/>
  <c r="AB143" i="20"/>
  <c r="AE162" i="20"/>
  <c r="AJ145" i="20"/>
  <c r="AB139" i="20"/>
  <c r="X129" i="20"/>
  <c r="AA160" i="20"/>
  <c r="AA155" i="20"/>
  <c r="AE143" i="20"/>
  <c r="AA143" i="20"/>
  <c r="AC154" i="20"/>
  <c r="AI145" i="20"/>
  <c r="AA139" i="20"/>
  <c r="AH32" i="20"/>
  <c r="Y32" i="20"/>
  <c r="AJ32" i="20"/>
  <c r="AD32" i="20"/>
  <c r="AF32" i="20"/>
  <c r="W32" i="20"/>
  <c r="AC32" i="20"/>
  <c r="AA32" i="20"/>
  <c r="W33" i="20"/>
  <c r="AI33" i="20"/>
  <c r="AD34" i="20"/>
  <c r="AB32" i="20"/>
  <c r="X32" i="20"/>
  <c r="AD31" i="20"/>
  <c r="AA33" i="20"/>
  <c r="AH34" i="20"/>
  <c r="AG32" i="20"/>
  <c r="AI32" i="20"/>
  <c r="AD33" i="20"/>
  <c r="AH33" i="20"/>
  <c r="Z32" i="20"/>
  <c r="AE32" i="20"/>
  <c r="AI30" i="20"/>
  <c r="AA34" i="20"/>
  <c r="W37" i="20"/>
  <c r="W35" i="20"/>
  <c r="W39" i="20"/>
  <c r="W34" i="20"/>
  <c r="AH39" i="20"/>
  <c r="AD36" i="20"/>
  <c r="AI39" i="20"/>
  <c r="Y34" i="20"/>
  <c r="AG35" i="20"/>
  <c r="Y30" i="20"/>
  <c r="AB35" i="20"/>
  <c r="AA39" i="20"/>
  <c r="AF35" i="20"/>
  <c r="AJ39" i="20"/>
  <c r="AG38" i="20"/>
  <c r="AJ35" i="20"/>
  <c r="Y31" i="20"/>
  <c r="AB30" i="20"/>
  <c r="X31" i="20"/>
  <c r="X36" i="20"/>
  <c r="AJ38" i="20"/>
  <c r="AG37" i="20"/>
  <c r="AE37" i="20"/>
  <c r="AB50" i="20"/>
  <c r="Y50" i="20"/>
  <c r="X33" i="20"/>
  <c r="W30" i="20"/>
  <c r="W31" i="20"/>
  <c r="Z37" i="20"/>
  <c r="AC34" i="20"/>
  <c r="AF30" i="20"/>
  <c r="X39" i="20"/>
  <c r="Z36" i="20"/>
  <c r="AD30" i="20"/>
  <c r="AE34" i="20"/>
  <c r="AC38" i="20"/>
  <c r="AH37" i="20"/>
  <c r="Z35" i="20"/>
  <c r="AE39" i="20"/>
  <c r="Y38" i="20"/>
  <c r="AD35" i="20"/>
  <c r="AH30" i="20"/>
  <c r="X30" i="20"/>
  <c r="AJ31" i="20"/>
  <c r="AI31" i="20"/>
  <c r="AI35" i="20"/>
  <c r="AJ33" i="20"/>
  <c r="AJ36" i="20"/>
  <c r="AI36" i="20"/>
  <c r="AF34" i="20"/>
  <c r="AF38" i="20"/>
  <c r="AE38" i="20"/>
  <c r="AC37" i="20"/>
  <c r="AB37" i="20"/>
  <c r="AA37" i="20"/>
  <c r="Y39" i="20"/>
  <c r="AD50" i="20"/>
  <c r="AI50" i="20"/>
  <c r="X38" i="20"/>
  <c r="Y36" i="20"/>
  <c r="AJ34" i="20"/>
  <c r="AI38" i="20"/>
  <c r="AF37" i="20"/>
  <c r="AC39" i="20"/>
  <c r="X50" i="20"/>
  <c r="W38" i="20"/>
  <c r="W50" i="20"/>
  <c r="Z30" i="20"/>
  <c r="X35" i="20"/>
  <c r="AC33" i="20"/>
  <c r="AD39" i="20"/>
  <c r="AD38" i="20"/>
  <c r="AG33" i="20"/>
  <c r="AC35" i="20"/>
  <c r="Z34" i="20"/>
  <c r="AC31" i="20"/>
  <c r="AH38" i="20"/>
  <c r="AH31" i="20"/>
  <c r="Z39" i="20"/>
  <c r="AE33" i="20"/>
  <c r="Y35" i="20"/>
  <c r="AC30" i="20"/>
  <c r="AE30" i="20"/>
  <c r="AF31" i="20"/>
  <c r="AE31" i="20"/>
  <c r="AE35" i="20"/>
  <c r="AF33" i="20"/>
  <c r="AG36" i="20"/>
  <c r="AF36" i="20"/>
  <c r="AE36" i="20"/>
  <c r="AB34" i="20"/>
  <c r="AB38" i="20"/>
  <c r="AA38" i="20"/>
  <c r="Y37" i="20"/>
  <c r="X37" i="20"/>
  <c r="AF50" i="20"/>
  <c r="AH50" i="20"/>
  <c r="AG50" i="20"/>
  <c r="AE50" i="20"/>
  <c r="AA30" i="20"/>
  <c r="AB31" i="20"/>
  <c r="AA31" i="20"/>
  <c r="AA35" i="20"/>
  <c r="AB33" i="20"/>
  <c r="AC36" i="20"/>
  <c r="AB36" i="20"/>
  <c r="AA36" i="20"/>
  <c r="X34" i="20"/>
  <c r="W36" i="20"/>
  <c r="AI34" i="20"/>
  <c r="AJ30" i="20"/>
  <c r="AH35" i="20"/>
  <c r="AB39" i="20"/>
  <c r="AG34" i="20"/>
  <c r="Y33" i="20"/>
  <c r="AG30" i="20"/>
  <c r="AH36" i="20"/>
  <c r="AF39" i="20"/>
  <c r="Z38" i="20"/>
  <c r="Z31" i="20"/>
  <c r="AD37" i="20"/>
  <c r="Z33" i="20"/>
  <c r="AG31" i="20"/>
  <c r="AJ37" i="20"/>
  <c r="AI37" i="20"/>
  <c r="AG39" i="20"/>
  <c r="AJ50" i="20"/>
  <c r="Z50" i="20"/>
  <c r="AC50" i="20"/>
  <c r="AA50" i="20"/>
  <c r="W113" i="20"/>
  <c r="X58" i="20"/>
  <c r="X113" i="20"/>
  <c r="X63" i="20"/>
  <c r="Y85" i="20"/>
  <c r="Z58" i="20"/>
  <c r="Z117" i="20"/>
  <c r="Z66" i="20"/>
  <c r="AA118" i="20"/>
  <c r="AB59" i="20"/>
  <c r="AB117" i="20"/>
  <c r="AB122" i="20"/>
  <c r="AC110" i="20"/>
  <c r="AC122" i="20"/>
  <c r="AD64" i="20"/>
  <c r="AE110" i="20"/>
  <c r="AE100" i="20"/>
  <c r="AF86" i="20"/>
  <c r="AF117" i="20"/>
  <c r="AF122" i="20"/>
  <c r="AG85" i="20"/>
  <c r="AG64" i="20"/>
  <c r="AH59" i="20"/>
  <c r="AH117" i="20"/>
  <c r="AH123" i="20"/>
  <c r="AI85" i="20"/>
  <c r="AI64" i="20"/>
  <c r="AJ109" i="20"/>
  <c r="AJ118" i="20"/>
  <c r="AJ123" i="20"/>
  <c r="W100" i="20"/>
  <c r="X86" i="20"/>
  <c r="X114" i="20"/>
  <c r="X123" i="20"/>
  <c r="Y113" i="20"/>
  <c r="Z59" i="20"/>
  <c r="Z118" i="20"/>
  <c r="Z61" i="20"/>
  <c r="AA121" i="20"/>
  <c r="AB109" i="20"/>
  <c r="AB118" i="20"/>
  <c r="AB123" i="20"/>
  <c r="AC113" i="20"/>
  <c r="AC123" i="20"/>
  <c r="AD123" i="20"/>
  <c r="AE113" i="20"/>
  <c r="AE123" i="20"/>
  <c r="AF85" i="20"/>
  <c r="AF121" i="20"/>
  <c r="AF123" i="20"/>
  <c r="AG113" i="20"/>
  <c r="AG122" i="20"/>
  <c r="AH109" i="20"/>
  <c r="AH118" i="20"/>
  <c r="AH66" i="20"/>
  <c r="AI110" i="20"/>
  <c r="AI122" i="20"/>
  <c r="AJ113" i="20"/>
  <c r="AJ100" i="20"/>
  <c r="AJ66" i="20"/>
  <c r="W59" i="20"/>
  <c r="W64" i="20"/>
  <c r="X85" i="20"/>
  <c r="X117" i="20"/>
  <c r="X66" i="20"/>
  <c r="Y118" i="20"/>
  <c r="Z109" i="20"/>
  <c r="Z63" i="20"/>
  <c r="AA86" i="20"/>
  <c r="AA122" i="20"/>
  <c r="AB113" i="20"/>
  <c r="AB83" i="20"/>
  <c r="AB66" i="20"/>
  <c r="AC121" i="20"/>
  <c r="AD99" i="20"/>
  <c r="AE59" i="20"/>
  <c r="AE114" i="20"/>
  <c r="AE61" i="20"/>
  <c r="AF109" i="20"/>
  <c r="AF100" i="20"/>
  <c r="AF66" i="20"/>
  <c r="AG118" i="20"/>
  <c r="AG61" i="20"/>
  <c r="AH110" i="20"/>
  <c r="AH100" i="20"/>
  <c r="AH61" i="20"/>
  <c r="AI114" i="20"/>
  <c r="AJ58" i="20"/>
  <c r="AJ114" i="20"/>
  <c r="AJ63" i="20"/>
  <c r="W110" i="20"/>
  <c r="W61" i="20"/>
  <c r="X109" i="20"/>
  <c r="X121" i="20"/>
  <c r="Y86" i="20"/>
  <c r="Y64" i="20"/>
  <c r="Z110" i="20"/>
  <c r="Z64" i="20"/>
  <c r="AA85" i="20"/>
  <c r="AB58" i="20"/>
  <c r="AB114" i="20"/>
  <c r="AB63" i="20"/>
  <c r="AC59" i="20"/>
  <c r="AC100" i="20"/>
  <c r="AD100" i="20"/>
  <c r="AE86" i="20"/>
  <c r="AE121" i="20"/>
  <c r="AF58" i="20"/>
  <c r="AF113" i="20"/>
  <c r="AF63" i="20"/>
  <c r="AG86" i="20"/>
  <c r="AG100" i="20"/>
  <c r="AH58" i="20"/>
  <c r="AH114" i="20"/>
  <c r="AH63" i="20"/>
  <c r="AI86" i="20"/>
  <c r="AI121" i="20"/>
  <c r="AJ59" i="20"/>
  <c r="AJ117" i="20"/>
  <c r="AJ122" i="20"/>
  <c r="W60" i="20"/>
  <c r="W116" i="20"/>
  <c r="AD124" i="20"/>
  <c r="AD115" i="20"/>
  <c r="W66" i="20"/>
  <c r="W117" i="20"/>
  <c r="W58" i="20"/>
  <c r="AD116" i="20"/>
  <c r="AB119" i="20"/>
  <c r="AD60" i="20"/>
  <c r="AB124" i="20"/>
  <c r="W115" i="20"/>
  <c r="AB111" i="20"/>
  <c r="AD62" i="20"/>
  <c r="AI61" i="20"/>
  <c r="W123" i="20"/>
  <c r="AC64" i="20"/>
  <c r="AA100" i="20"/>
  <c r="AB100" i="20"/>
  <c r="W118" i="20"/>
  <c r="AC114" i="20"/>
  <c r="X110" i="20"/>
  <c r="AG110" i="20"/>
  <c r="W85" i="20"/>
  <c r="AD85" i="20"/>
  <c r="AI59" i="20"/>
  <c r="AJ69" i="20"/>
  <c r="AI118" i="20"/>
  <c r="AG59" i="20"/>
  <c r="AD83" i="20"/>
  <c r="AA123" i="20"/>
  <c r="AJ121" i="20"/>
  <c r="AH121" i="20"/>
  <c r="AE122" i="20"/>
  <c r="AD121" i="20"/>
  <c r="AD86" i="20"/>
  <c r="AB86" i="20"/>
  <c r="Z86" i="20"/>
  <c r="AF116" i="20"/>
  <c r="X60" i="20"/>
  <c r="X116" i="20"/>
  <c r="AH60" i="20"/>
  <c r="AH116" i="20"/>
  <c r="AF124" i="20"/>
  <c r="AF115" i="20"/>
  <c r="Z60" i="20"/>
  <c r="Z116" i="20"/>
  <c r="X124" i="20"/>
  <c r="X115" i="20"/>
  <c r="AF60" i="20"/>
  <c r="AJ84" i="20"/>
  <c r="AJ67" i="20"/>
  <c r="AH83" i="20"/>
  <c r="AH99" i="20"/>
  <c r="AB84" i="20"/>
  <c r="AB67" i="20"/>
  <c r="Z83" i="20"/>
  <c r="Z99" i="20"/>
  <c r="AI66" i="20"/>
  <c r="AI58" i="20"/>
  <c r="AG109" i="20"/>
  <c r="AE117" i="20"/>
  <c r="AC63" i="20"/>
  <c r="AA66" i="20"/>
  <c r="AA58" i="20"/>
  <c r="Y109" i="20"/>
  <c r="AI84" i="20"/>
  <c r="AI67" i="20"/>
  <c r="AG84" i="20"/>
  <c r="AG67" i="20"/>
  <c r="AE84" i="20"/>
  <c r="AE67" i="20"/>
  <c r="AC84" i="20"/>
  <c r="AC67" i="20"/>
  <c r="AA84" i="20"/>
  <c r="AA67" i="20"/>
  <c r="Y84" i="20"/>
  <c r="Y67" i="20"/>
  <c r="W70" i="20"/>
  <c r="W112" i="20"/>
  <c r="AD69" i="20"/>
  <c r="AJ111" i="20"/>
  <c r="W122" i="20"/>
  <c r="Z113" i="20"/>
  <c r="AJ83" i="20"/>
  <c r="AD84" i="20"/>
  <c r="Y122" i="20"/>
  <c r="AD120" i="20"/>
  <c r="AJ124" i="20"/>
  <c r="AB115" i="20"/>
  <c r="AJ99" i="20"/>
  <c r="X61" i="20"/>
  <c r="Y61" i="20"/>
  <c r="Z123" i="20"/>
  <c r="AF64" i="20"/>
  <c r="AI100" i="20"/>
  <c r="X118" i="20"/>
  <c r="AC118" i="20"/>
  <c r="Z114" i="20"/>
  <c r="Y110" i="20"/>
  <c r="AJ110" i="20"/>
  <c r="Z85" i="20"/>
  <c r="X59" i="20"/>
  <c r="Y59" i="20"/>
  <c r="AJ119" i="20"/>
  <c r="AH64" i="20"/>
  <c r="AF114" i="20"/>
  <c r="AC61" i="20"/>
  <c r="AA110" i="20"/>
  <c r="AJ86" i="20"/>
  <c r="AH113" i="20"/>
  <c r="AD66" i="20"/>
  <c r="AD117" i="20"/>
  <c r="AD58" i="20"/>
  <c r="AA113" i="20"/>
  <c r="Y121" i="20"/>
  <c r="AF112" i="20"/>
  <c r="X70" i="20"/>
  <c r="X112" i="20"/>
  <c r="AH70" i="20"/>
  <c r="AH112" i="20"/>
  <c r="AF69" i="20"/>
  <c r="AF111" i="20"/>
  <c r="Z70" i="20"/>
  <c r="Z112" i="20"/>
  <c r="X69" i="20"/>
  <c r="X111" i="20"/>
  <c r="AF120" i="20"/>
  <c r="AJ120" i="20"/>
  <c r="AJ65" i="20"/>
  <c r="AH119" i="20"/>
  <c r="AH62" i="20"/>
  <c r="AB120" i="20"/>
  <c r="AB65" i="20"/>
  <c r="Z119" i="20"/>
  <c r="Z62" i="20"/>
  <c r="AI63" i="20"/>
  <c r="AG66" i="20"/>
  <c r="AG58" i="20"/>
  <c r="AE109" i="20"/>
  <c r="AC117" i="20"/>
  <c r="AA63" i="20"/>
  <c r="Y66" i="20"/>
  <c r="Y58" i="20"/>
  <c r="AI120" i="20"/>
  <c r="AI65" i="20"/>
  <c r="AG120" i="20"/>
  <c r="AG65" i="20"/>
  <c r="AE120" i="20"/>
  <c r="AE65" i="20"/>
  <c r="AC120" i="20"/>
  <c r="AC65" i="20"/>
  <c r="AA120" i="20"/>
  <c r="AA65" i="20"/>
  <c r="Y120" i="20"/>
  <c r="Y65" i="20"/>
  <c r="W84" i="20"/>
  <c r="W67" i="20"/>
  <c r="W83" i="20"/>
  <c r="W99" i="20"/>
  <c r="W63" i="20"/>
  <c r="W109" i="20"/>
  <c r="AJ62" i="20"/>
  <c r="AD70" i="20"/>
  <c r="X122" i="20"/>
  <c r="AD67" i="20"/>
  <c r="W69" i="20"/>
  <c r="AJ115" i="20"/>
  <c r="AD119" i="20"/>
  <c r="AA61" i="20"/>
  <c r="Y123" i="20"/>
  <c r="X64" i="20"/>
  <c r="AJ64" i="20"/>
  <c r="Y100" i="20"/>
  <c r="AE118" i="20"/>
  <c r="AD118" i="20"/>
  <c r="AA114" i="20"/>
  <c r="AB110" i="20"/>
  <c r="AD110" i="20"/>
  <c r="AB85" i="20"/>
  <c r="AA59" i="20"/>
  <c r="AD59" i="20"/>
  <c r="AJ85" i="20"/>
  <c r="AH85" i="20"/>
  <c r="AE64" i="20"/>
  <c r="AB61" i="20"/>
  <c r="Y114" i="20"/>
  <c r="AI113" i="20"/>
  <c r="AH86" i="20"/>
  <c r="AD122" i="20"/>
  <c r="AD113" i="20"/>
  <c r="AC86" i="20"/>
  <c r="Z122" i="20"/>
  <c r="AF70" i="20"/>
  <c r="AF67" i="20"/>
  <c r="X84" i="20"/>
  <c r="X67" i="20"/>
  <c r="AH84" i="20"/>
  <c r="AH67" i="20"/>
  <c r="AF83" i="20"/>
  <c r="AF99" i="20"/>
  <c r="Z84" i="20"/>
  <c r="Z67" i="20"/>
  <c r="X83" i="20"/>
  <c r="X99" i="20"/>
  <c r="AJ60" i="20"/>
  <c r="AJ116" i="20"/>
  <c r="AH124" i="20"/>
  <c r="AH115" i="20"/>
  <c r="AB60" i="20"/>
  <c r="AB116" i="20"/>
  <c r="Z124" i="20"/>
  <c r="Z115" i="20"/>
  <c r="AI117" i="20"/>
  <c r="AG63" i="20"/>
  <c r="AE66" i="20"/>
  <c r="AE58" i="20"/>
  <c r="AC109" i="20"/>
  <c r="AA117" i="20"/>
  <c r="Y63" i="20"/>
  <c r="AI60" i="20"/>
  <c r="AI116" i="20"/>
  <c r="AG60" i="20"/>
  <c r="AG116" i="20"/>
  <c r="AE60" i="20"/>
  <c r="AE116" i="20"/>
  <c r="AC60" i="20"/>
  <c r="AC116" i="20"/>
  <c r="AA60" i="20"/>
  <c r="AA116" i="20"/>
  <c r="Y60" i="20"/>
  <c r="Y116" i="20"/>
  <c r="AI124" i="20"/>
  <c r="AI115" i="20"/>
  <c r="AG124" i="20"/>
  <c r="AG115" i="20"/>
  <c r="AE124" i="20"/>
  <c r="AE115" i="20"/>
  <c r="AC124" i="20"/>
  <c r="AC115" i="20"/>
  <c r="AA124" i="20"/>
  <c r="AA115" i="20"/>
  <c r="Y124" i="20"/>
  <c r="Y115" i="20"/>
  <c r="W120" i="20"/>
  <c r="W65" i="20"/>
  <c r="W119" i="20"/>
  <c r="W62" i="20"/>
  <c r="W121" i="20"/>
  <c r="W86" i="20"/>
  <c r="AB62" i="20"/>
  <c r="AD112" i="20"/>
  <c r="AD65" i="20"/>
  <c r="W124" i="20"/>
  <c r="AB69" i="20"/>
  <c r="W111" i="20"/>
  <c r="AD111" i="20"/>
  <c r="AF61" i="20"/>
  <c r="AG123" i="20"/>
  <c r="AB64" i="20"/>
  <c r="AA64" i="20"/>
  <c r="Z100" i="20"/>
  <c r="AF118" i="20"/>
  <c r="W114" i="20"/>
  <c r="AD114" i="20"/>
  <c r="AF110" i="20"/>
  <c r="AE85" i="20"/>
  <c r="AC85" i="20"/>
  <c r="AF59" i="20"/>
  <c r="AJ61" i="20"/>
  <c r="AI123" i="20"/>
  <c r="AG114" i="20"/>
  <c r="AD61" i="20"/>
  <c r="AB99" i="20"/>
  <c r="X100" i="20"/>
  <c r="AH122" i="20"/>
  <c r="AG121" i="20"/>
  <c r="AD63" i="20"/>
  <c r="AD109" i="20"/>
  <c r="AB121" i="20"/>
  <c r="Z121" i="20"/>
  <c r="AF84" i="20"/>
  <c r="AF65" i="20"/>
  <c r="X120" i="20"/>
  <c r="X65" i="20"/>
  <c r="AH120" i="20"/>
  <c r="AH65" i="20"/>
  <c r="AF119" i="20"/>
  <c r="AF62" i="20"/>
  <c r="Z120" i="20"/>
  <c r="Z65" i="20"/>
  <c r="X119" i="20"/>
  <c r="X62" i="20"/>
  <c r="AJ70" i="20"/>
  <c r="AJ112" i="20"/>
  <c r="AH69" i="20"/>
  <c r="AH111" i="20"/>
  <c r="AB70" i="20"/>
  <c r="AB112" i="20"/>
  <c r="Z69" i="20"/>
  <c r="Z111" i="20"/>
  <c r="AI109" i="20"/>
  <c r="AG117" i="20"/>
  <c r="AE63" i="20"/>
  <c r="AC66" i="20"/>
  <c r="AC58" i="20"/>
  <c r="AA109" i="20"/>
  <c r="Y117" i="20"/>
  <c r="AI70" i="20"/>
  <c r="AI112" i="20"/>
  <c r="AG70" i="20"/>
  <c r="AG112" i="20"/>
  <c r="AE70" i="20"/>
  <c r="AE112" i="20"/>
  <c r="AC70" i="20"/>
  <c r="AC112" i="20"/>
  <c r="AA70" i="20"/>
  <c r="AA112" i="20"/>
  <c r="Y70" i="20"/>
  <c r="Y112" i="20"/>
  <c r="AI69" i="20"/>
  <c r="AI111" i="20"/>
  <c r="AG69" i="20"/>
  <c r="AG111" i="20"/>
  <c r="AE69" i="20"/>
  <c r="AE111" i="20"/>
  <c r="AC69" i="20"/>
  <c r="AC111" i="20"/>
  <c r="AA69" i="20"/>
  <c r="AA111" i="20"/>
  <c r="Y69" i="20"/>
  <c r="Y111" i="20"/>
  <c r="AI83" i="20"/>
  <c r="AI99" i="20"/>
  <c r="AG83" i="20"/>
  <c r="AG99" i="20"/>
  <c r="AE83" i="20"/>
  <c r="AE99" i="20"/>
  <c r="AC83" i="20"/>
  <c r="AC99" i="20"/>
  <c r="AA83" i="20"/>
  <c r="AA99" i="20"/>
  <c r="Y83" i="20"/>
  <c r="Y99" i="20"/>
  <c r="AI119" i="20"/>
  <c r="AI62" i="20"/>
  <c r="AG119" i="20"/>
  <c r="AG62" i="20"/>
  <c r="AE119" i="20"/>
  <c r="AE62" i="20"/>
  <c r="AC119" i="20"/>
  <c r="AC62" i="20"/>
  <c r="AA119" i="20"/>
  <c r="AA62" i="20"/>
  <c r="Y119" i="20"/>
  <c r="Y62" i="20"/>
  <c r="E19" i="43"/>
  <c r="AP793" i="20"/>
  <c r="Q1" i="86"/>
  <c r="AP536" i="20"/>
  <c r="AP721" i="20"/>
  <c r="P14" i="36"/>
  <c r="L14" i="36" s="1"/>
  <c r="P7" i="36"/>
  <c r="L7" i="36" s="1"/>
  <c r="O7" i="36" s="1"/>
  <c r="M26" i="36"/>
  <c r="P26" i="36"/>
  <c r="L26" i="36" s="1"/>
  <c r="P24" i="36"/>
  <c r="L24" i="36" s="1"/>
  <c r="P22" i="36"/>
  <c r="L22" i="36" s="1"/>
  <c r="P20" i="36"/>
  <c r="L20" i="36" s="1"/>
  <c r="P18" i="36"/>
  <c r="L18" i="36" s="1"/>
  <c r="M16" i="36"/>
  <c r="P16" i="36"/>
  <c r="L16" i="36" s="1"/>
  <c r="M13" i="36"/>
  <c r="P13" i="36"/>
  <c r="L13" i="36" s="1"/>
  <c r="M11" i="36"/>
  <c r="P11" i="36"/>
  <c r="L11" i="36" s="1"/>
  <c r="M9" i="36"/>
  <c r="P9" i="36"/>
  <c r="L9" i="36" s="1"/>
  <c r="P27" i="36"/>
  <c r="L27" i="36" s="1"/>
  <c r="P25" i="36"/>
  <c r="L25" i="36" s="1"/>
  <c r="P23" i="36"/>
  <c r="L23" i="36" s="1"/>
  <c r="P21" i="36"/>
  <c r="L21" i="36" s="1"/>
  <c r="P19" i="36"/>
  <c r="L19" i="36" s="1"/>
  <c r="P17" i="36"/>
  <c r="L17" i="36" s="1"/>
  <c r="P15" i="36"/>
  <c r="L15" i="36" s="1"/>
  <c r="P12" i="36"/>
  <c r="L12" i="36" s="1"/>
  <c r="M12" i="36"/>
  <c r="M10" i="36"/>
  <c r="P10" i="36"/>
  <c r="L10" i="36" s="1"/>
  <c r="P8" i="36"/>
  <c r="L8" i="36" s="1"/>
  <c r="M8" i="36"/>
  <c r="AP610" i="20"/>
  <c r="E15" i="43"/>
  <c r="Z902" i="20"/>
  <c r="AH249" i="20"/>
  <c r="AD249" i="20"/>
  <c r="Z249" i="20"/>
  <c r="AI252" i="20"/>
  <c r="AE252" i="20"/>
  <c r="AA252" i="20"/>
  <c r="W252" i="20"/>
  <c r="AJ256" i="20"/>
  <c r="AF256" i="20"/>
  <c r="AB256" i="20"/>
  <c r="X256" i="20"/>
  <c r="AH256" i="20"/>
  <c r="AG256" i="20"/>
  <c r="AC256" i="20"/>
  <c r="Y256" i="20"/>
  <c r="AG249" i="20"/>
  <c r="AC249" i="20"/>
  <c r="Y249" i="20"/>
  <c r="AH252" i="20"/>
  <c r="AD252" i="20"/>
  <c r="Z252" i="20"/>
  <c r="AI256" i="20"/>
  <c r="AE256" i="20"/>
  <c r="W256" i="20"/>
  <c r="AJ249" i="20"/>
  <c r="AF249" i="20"/>
  <c r="AB249" i="20"/>
  <c r="X249" i="20"/>
  <c r="AG252" i="20"/>
  <c r="AC252" i="20"/>
  <c r="Y252" i="20"/>
  <c r="AD256" i="20"/>
  <c r="Z256" i="20"/>
  <c r="AI249" i="20"/>
  <c r="AE249" i="20"/>
  <c r="AA249" i="20"/>
  <c r="W249" i="20"/>
  <c r="AJ252" i="20"/>
  <c r="AF252" i="20"/>
  <c r="AB252" i="20"/>
  <c r="X252" i="20"/>
  <c r="AB899" i="20"/>
  <c r="E14" i="43"/>
  <c r="AE881" i="20"/>
  <c r="AC635" i="20"/>
  <c r="Z545" i="20"/>
  <c r="X361" i="20"/>
  <c r="X710" i="20"/>
  <c r="W647" i="20"/>
  <c r="AI652" i="20"/>
  <c r="W474" i="20"/>
  <c r="X382" i="20"/>
  <c r="AA856" i="20"/>
  <c r="X388" i="20"/>
  <c r="Z542" i="20"/>
  <c r="AC488" i="20"/>
  <c r="AD624" i="20"/>
  <c r="AA469" i="20"/>
  <c r="AB782" i="20"/>
  <c r="AC730" i="20"/>
  <c r="AI834" i="20"/>
  <c r="AD365" i="20"/>
  <c r="AI819" i="20"/>
  <c r="AD826" i="20"/>
  <c r="W677" i="20"/>
  <c r="Z678" i="20"/>
  <c r="AD616" i="20"/>
  <c r="Z911" i="20"/>
  <c r="Z870" i="20"/>
  <c r="AB421" i="20"/>
  <c r="AC628" i="20"/>
  <c r="X685" i="20"/>
  <c r="X595" i="20"/>
  <c r="Z391" i="20"/>
  <c r="AB866" i="20"/>
  <c r="Y513" i="20"/>
  <c r="AA799" i="20"/>
  <c r="Z587" i="20"/>
  <c r="Y367" i="20"/>
  <c r="X604" i="20"/>
  <c r="AB388" i="20"/>
  <c r="AI565" i="20"/>
  <c r="AA786" i="20"/>
  <c r="Y639" i="20"/>
  <c r="AE773" i="20"/>
  <c r="X713" i="20"/>
  <c r="AI616" i="20"/>
  <c r="AA733" i="20"/>
  <c r="AD915" i="20"/>
  <c r="Y774" i="20"/>
  <c r="AC910" i="20"/>
  <c r="Z572" i="20"/>
  <c r="AI826" i="20"/>
  <c r="Y776" i="20"/>
  <c r="AC764" i="20"/>
  <c r="X579" i="20"/>
  <c r="AA765" i="20"/>
  <c r="AB576" i="20"/>
  <c r="AI315" i="20"/>
  <c r="AB665" i="20"/>
  <c r="AB891" i="20"/>
  <c r="AD733" i="20"/>
  <c r="X658" i="20"/>
  <c r="Z444" i="20"/>
  <c r="W576" i="20"/>
  <c r="Y899" i="20"/>
  <c r="AC497" i="20"/>
  <c r="AB777" i="20"/>
  <c r="AB365" i="20"/>
  <c r="AI842" i="20"/>
  <c r="AD360" i="20"/>
  <c r="AB397" i="20"/>
  <c r="X566" i="20"/>
  <c r="AA487" i="20"/>
  <c r="W912" i="20"/>
  <c r="Z895" i="20"/>
  <c r="Y887" i="20"/>
  <c r="AB545" i="20"/>
  <c r="AD405" i="20"/>
  <c r="AD693" i="20"/>
  <c r="Y910" i="20"/>
  <c r="AI850" i="20"/>
  <c r="AA782" i="20"/>
  <c r="AA589" i="20"/>
  <c r="AI351" i="20"/>
  <c r="AE566" i="20"/>
  <c r="Y727" i="20"/>
  <c r="X539" i="20"/>
  <c r="AB502" i="20"/>
  <c r="AC405" i="20"/>
  <c r="AE472" i="20"/>
  <c r="W839" i="20"/>
  <c r="W711" i="20"/>
  <c r="AE351" i="20"/>
  <c r="AE857" i="20"/>
  <c r="Y480" i="20"/>
  <c r="W609" i="20"/>
  <c r="AD665" i="20"/>
  <c r="AE909" i="20"/>
  <c r="AD786" i="20"/>
  <c r="W530" i="20"/>
  <c r="AE390" i="20"/>
  <c r="X794" i="20"/>
  <c r="W356" i="20"/>
  <c r="W701" i="20"/>
  <c r="AE415" i="20"/>
  <c r="AC722" i="20"/>
  <c r="AI543" i="20"/>
  <c r="AD506" i="20"/>
  <c r="AE719" i="20"/>
  <c r="X590" i="20"/>
  <c r="AB550" i="20"/>
  <c r="AC450" i="20"/>
  <c r="AI756" i="20"/>
  <c r="AI261" i="20"/>
  <c r="W334" i="20"/>
  <c r="Y661" i="20"/>
  <c r="AC578" i="20"/>
  <c r="X899" i="20"/>
  <c r="Z828" i="20"/>
  <c r="AE748" i="20"/>
  <c r="W497" i="20"/>
  <c r="X410" i="20"/>
  <c r="X851" i="20"/>
  <c r="AA536" i="20"/>
  <c r="Z908" i="20"/>
  <c r="X827" i="20"/>
  <c r="Z665" i="20"/>
  <c r="X914" i="20"/>
  <c r="X786" i="20"/>
  <c r="X549" i="20"/>
  <c r="AD666" i="20"/>
  <c r="AB779" i="20"/>
  <c r="AD667" i="20"/>
  <c r="AA818" i="20"/>
  <c r="AI625" i="20"/>
  <c r="AE856" i="20"/>
  <c r="AE742" i="20"/>
  <c r="AE442" i="20"/>
  <c r="W622" i="20"/>
  <c r="AD465" i="20"/>
  <c r="Z646" i="20"/>
  <c r="W390" i="20"/>
  <c r="AC511" i="20"/>
  <c r="X512" i="20"/>
  <c r="AC900" i="20"/>
  <c r="AE687" i="20"/>
  <c r="Y392" i="20"/>
  <c r="AA755" i="20"/>
  <c r="Z679" i="20"/>
  <c r="Z387" i="20"/>
  <c r="AB20" i="43"/>
  <c r="AB16" i="43"/>
  <c r="AB21" i="43"/>
  <c r="AB17" i="43"/>
  <c r="AB22" i="43"/>
  <c r="AB13" i="43"/>
  <c r="AB14" i="43"/>
  <c r="AB15" i="43"/>
  <c r="AB19" i="43"/>
  <c r="AB18" i="43"/>
  <c r="AE286" i="20" l="1"/>
  <c r="AI259" i="20"/>
  <c r="AI318" i="20"/>
  <c r="AC529" i="20"/>
  <c r="AI495" i="20"/>
  <c r="AD605" i="20"/>
  <c r="Z755" i="20"/>
  <c r="AB596" i="20"/>
  <c r="Y869" i="20"/>
  <c r="AA636" i="20"/>
  <c r="Z745" i="20"/>
  <c r="AA416" i="20"/>
  <c r="Z344" i="20"/>
  <c r="AI915" i="20"/>
  <c r="AC439" i="20"/>
  <c r="Y562" i="20"/>
  <c r="Y849" i="20"/>
  <c r="AE385" i="20"/>
  <c r="AD604" i="20"/>
  <c r="Z871" i="20"/>
  <c r="Y674" i="20"/>
  <c r="W635" i="20"/>
  <c r="W558" i="20"/>
  <c r="AB748" i="20"/>
  <c r="AB848" i="20"/>
  <c r="AD822" i="20"/>
  <c r="AI608" i="20"/>
  <c r="Z690" i="20"/>
  <c r="AB554" i="20"/>
  <c r="AA824" i="20"/>
  <c r="X616" i="20"/>
  <c r="AD892" i="20"/>
  <c r="AA399" i="20"/>
  <c r="Z696" i="20"/>
  <c r="AC867" i="20"/>
  <c r="W709" i="20"/>
  <c r="AC421" i="20"/>
  <c r="Z369" i="20"/>
  <c r="W479" i="20"/>
  <c r="AE554" i="20"/>
  <c r="Z701" i="20"/>
  <c r="AA768" i="20"/>
  <c r="AI806" i="20"/>
  <c r="AA850" i="20"/>
  <c r="AA904" i="20"/>
  <c r="X705" i="20"/>
  <c r="AA689" i="20"/>
  <c r="AC537" i="20"/>
  <c r="X380" i="20"/>
  <c r="AA641" i="20"/>
  <c r="AB821" i="20"/>
  <c r="AI614" i="20"/>
  <c r="AE348" i="20"/>
  <c r="AA604" i="20"/>
  <c r="AB802" i="20"/>
  <c r="X882" i="20"/>
  <c r="X626" i="20"/>
  <c r="W378" i="20"/>
  <c r="AE411" i="20"/>
  <c r="Z528" i="20"/>
  <c r="X603" i="20"/>
  <c r="W776" i="20"/>
  <c r="AD799" i="20"/>
  <c r="X850" i="20"/>
  <c r="Z890" i="20"/>
  <c r="AC650" i="20"/>
  <c r="Y625" i="20"/>
  <c r="AB669" i="20"/>
  <c r="Z352" i="20"/>
  <c r="AC380" i="20"/>
  <c r="AC656" i="20"/>
  <c r="Y552" i="20"/>
  <c r="Z820" i="20"/>
  <c r="X623" i="20"/>
  <c r="AA359" i="20"/>
  <c r="Y501" i="20"/>
  <c r="AC706" i="20"/>
  <c r="AE794" i="20"/>
  <c r="AC857" i="20"/>
  <c r="AB653" i="20"/>
  <c r="AE670" i="20"/>
  <c r="AE382" i="20"/>
  <c r="AD631" i="20"/>
  <c r="AI487" i="20"/>
  <c r="Y558" i="20"/>
  <c r="AC711" i="20"/>
  <c r="AI452" i="20"/>
  <c r="W545" i="20"/>
  <c r="AE380" i="20"/>
  <c r="AE352" i="20"/>
  <c r="Z673" i="20"/>
  <c r="AB625" i="20"/>
  <c r="AE654" i="20"/>
  <c r="W909" i="20"/>
  <c r="AB879" i="20"/>
  <c r="AE842" i="20"/>
  <c r="AC811" i="20"/>
  <c r="AE768" i="20"/>
  <c r="W719" i="20"/>
  <c r="Y535" i="20"/>
  <c r="X428" i="20"/>
  <c r="X414" i="20"/>
  <c r="AC682" i="20"/>
  <c r="AC896" i="20"/>
  <c r="X812" i="20"/>
  <c r="X582" i="20"/>
  <c r="AA632" i="20"/>
  <c r="W687" i="20"/>
  <c r="AI784" i="20"/>
  <c r="Z637" i="20"/>
  <c r="AA381" i="20"/>
  <c r="X542" i="20"/>
  <c r="X681" i="20"/>
  <c r="AB705" i="20"/>
  <c r="AI879" i="20"/>
  <c r="X824" i="20"/>
  <c r="AE764" i="20"/>
  <c r="AD595" i="20"/>
  <c r="Y487" i="20"/>
  <c r="Z368" i="20"/>
  <c r="AA474" i="20"/>
  <c r="Y845" i="20"/>
  <c r="X723" i="20"/>
  <c r="Y397" i="20"/>
  <c r="AI893" i="20"/>
  <c r="Y526" i="20"/>
  <c r="AB377" i="20"/>
  <c r="AI673" i="20"/>
  <c r="Y472" i="20"/>
  <c r="AE891" i="20"/>
  <c r="W835" i="20"/>
  <c r="X782" i="20"/>
  <c r="W603" i="20"/>
  <c r="Z512" i="20"/>
  <c r="X631" i="20"/>
  <c r="AA666" i="20"/>
  <c r="Y900" i="20"/>
  <c r="Y773" i="20"/>
  <c r="AE623" i="20"/>
  <c r="AA531" i="20"/>
  <c r="AB856" i="20"/>
  <c r="AD487" i="20"/>
  <c r="AB854" i="20"/>
  <c r="AC623" i="20"/>
  <c r="Y824" i="20"/>
  <c r="Z619" i="20"/>
  <c r="AI360" i="20"/>
  <c r="AA626" i="20"/>
  <c r="Y794" i="20"/>
  <c r="AI429" i="20"/>
  <c r="AI780" i="20"/>
  <c r="W581" i="20"/>
  <c r="AC626" i="20"/>
  <c r="AA541" i="20"/>
  <c r="AB851" i="20"/>
  <c r="AB482" i="20"/>
  <c r="AB780" i="20"/>
  <c r="AB412" i="20"/>
  <c r="AA784" i="20"/>
  <c r="AI615" i="20"/>
  <c r="X789" i="20"/>
  <c r="AA232" i="20"/>
  <c r="AD452" i="20"/>
  <c r="AD334" i="20"/>
  <c r="AA377" i="20"/>
  <c r="AD537" i="20"/>
  <c r="Y677" i="20"/>
  <c r="Z616" i="20"/>
  <c r="AI650" i="20"/>
  <c r="AI904" i="20"/>
  <c r="AC870" i="20"/>
  <c r="Y835" i="20"/>
  <c r="Z804" i="20"/>
  <c r="AE776" i="20"/>
  <c r="Y619" i="20"/>
  <c r="AI505" i="20"/>
  <c r="AD313" i="20"/>
  <c r="AC378" i="20"/>
  <c r="AB694" i="20"/>
  <c r="Z882" i="20"/>
  <c r="AD779" i="20"/>
  <c r="Y551" i="20"/>
  <c r="AA397" i="20"/>
  <c r="AI647" i="20"/>
  <c r="AC755" i="20"/>
  <c r="AA376" i="20"/>
  <c r="X356" i="20"/>
  <c r="AE531" i="20"/>
  <c r="AI689" i="20"/>
  <c r="AD910" i="20"/>
  <c r="AC861" i="20"/>
  <c r="X815" i="20"/>
  <c r="W748" i="20"/>
  <c r="AC585" i="20"/>
  <c r="X442" i="20"/>
  <c r="AA421" i="20"/>
  <c r="AI645" i="20"/>
  <c r="Z825" i="20"/>
  <c r="AI551" i="20"/>
  <c r="AA401" i="20"/>
  <c r="AC858" i="20"/>
  <c r="W672" i="20"/>
  <c r="AD394" i="20"/>
  <c r="AI681" i="20"/>
  <c r="AE650" i="20"/>
  <c r="AD872" i="20"/>
  <c r="Z815" i="20"/>
  <c r="AC750" i="20"/>
  <c r="Y595" i="20"/>
  <c r="AA500" i="20"/>
  <c r="AI407" i="20"/>
  <c r="Z686" i="20"/>
  <c r="AE882" i="20"/>
  <c r="AC559" i="20"/>
  <c r="W843" i="20"/>
  <c r="AC677" i="20"/>
  <c r="X791" i="20"/>
  <c r="AD643" i="20"/>
  <c r="AD794" i="20"/>
  <c r="AE510" i="20"/>
  <c r="X799" i="20"/>
  <c r="W589" i="20"/>
  <c r="AB407" i="20"/>
  <c r="AA653" i="20"/>
  <c r="AC739" i="20"/>
  <c r="X412" i="20"/>
  <c r="AB568" i="20"/>
  <c r="Y508" i="20"/>
  <c r="Z840" i="20"/>
  <c r="AD898" i="20"/>
  <c r="X800" i="20"/>
  <c r="AD370" i="20"/>
  <c r="X485" i="20"/>
  <c r="AC905" i="20"/>
  <c r="X483" i="20"/>
  <c r="X423" i="20"/>
  <c r="AA789" i="20"/>
  <c r="Z452" i="20"/>
  <c r="AE452" i="20"/>
  <c r="AC545" i="20"/>
  <c r="AD545" i="20"/>
  <c r="X545" i="20"/>
  <c r="Y334" i="20"/>
  <c r="AB334" i="20"/>
  <c r="AE365" i="20"/>
  <c r="Y380" i="20"/>
  <c r="AE377" i="20"/>
  <c r="Z388" i="20"/>
  <c r="X394" i="20"/>
  <c r="X352" i="20"/>
  <c r="AB542" i="20"/>
  <c r="W531" i="20"/>
  <c r="AC665" i="20"/>
  <c r="W673" i="20"/>
  <c r="AD677" i="20"/>
  <c r="AE685" i="20"/>
  <c r="Z689" i="20"/>
  <c r="AD625" i="20"/>
  <c r="X620" i="20"/>
  <c r="AB578" i="20"/>
  <c r="AB472" i="20"/>
  <c r="AA705" i="20"/>
  <c r="X654" i="20"/>
  <c r="AB646" i="20"/>
  <c r="Z910" i="20"/>
  <c r="AB914" i="20"/>
  <c r="AC904" i="20"/>
  <c r="AC899" i="20"/>
  <c r="AC891" i="20"/>
  <c r="AE879" i="20"/>
  <c r="Y870" i="20"/>
  <c r="AI861" i="20"/>
  <c r="AB855" i="20"/>
  <c r="AD848" i="20"/>
  <c r="Y839" i="20"/>
  <c r="Z832" i="20"/>
  <c r="W824" i="20"/>
  <c r="AB815" i="20"/>
  <c r="AA804" i="20"/>
  <c r="AA795" i="20"/>
  <c r="AC782" i="20"/>
  <c r="X764" i="20"/>
  <c r="Y772" i="20"/>
  <c r="Z750" i="20"/>
  <c r="X742" i="20"/>
  <c r="Y731" i="20"/>
  <c r="X711" i="20"/>
  <c r="AA619" i="20"/>
  <c r="W611" i="20"/>
  <c r="Z585" i="20"/>
  <c r="AD554" i="20"/>
  <c r="AA535" i="20"/>
  <c r="X516" i="20"/>
  <c r="X497" i="20"/>
  <c r="AB489" i="20"/>
  <c r="AC469" i="20"/>
  <c r="AE428" i="20"/>
  <c r="W343" i="20"/>
  <c r="AC292" i="20"/>
  <c r="AD639" i="20"/>
  <c r="Z392" i="20"/>
  <c r="Z407" i="20"/>
  <c r="Y357" i="20"/>
  <c r="AI378" i="20"/>
  <c r="AE410" i="20"/>
  <c r="W538" i="20"/>
  <c r="AB666" i="20"/>
  <c r="X674" i="20"/>
  <c r="AC690" i="20"/>
  <c r="Y613" i="20"/>
  <c r="AI653" i="20"/>
  <c r="Z645" i="20"/>
  <c r="AE900" i="20"/>
  <c r="AC883" i="20"/>
  <c r="AE862" i="20"/>
  <c r="AE851" i="20"/>
  <c r="AA830" i="20"/>
  <c r="AE812" i="20"/>
  <c r="AI800" i="20"/>
  <c r="AB787" i="20"/>
  <c r="AA761" i="20"/>
  <c r="Y734" i="20"/>
  <c r="AD714" i="20"/>
  <c r="AC600" i="20"/>
  <c r="AE579" i="20"/>
  <c r="AB532" i="20"/>
  <c r="Y490" i="20"/>
  <c r="AA465" i="20"/>
  <c r="AI288" i="20"/>
  <c r="Z375" i="20"/>
  <c r="AA415" i="20"/>
  <c r="X379" i="20"/>
  <c r="AD541" i="20"/>
  <c r="AE679" i="20"/>
  <c r="AI627" i="20"/>
  <c r="AC655" i="20"/>
  <c r="AE912" i="20"/>
  <c r="AC887" i="20"/>
  <c r="Z849" i="20"/>
  <c r="AD797" i="20"/>
  <c r="AE774" i="20"/>
  <c r="AD721" i="20"/>
  <c r="Y591" i="20"/>
  <c r="Y491" i="20"/>
  <c r="AA304" i="20"/>
  <c r="AI364" i="20"/>
  <c r="Y615" i="20"/>
  <c r="AC868" i="20"/>
  <c r="Y717" i="20"/>
  <c r="Z365" i="20"/>
  <c r="Y381" i="20"/>
  <c r="AE356" i="20"/>
  <c r="Y388" i="20"/>
  <c r="AC394" i="20"/>
  <c r="W352" i="20"/>
  <c r="AC542" i="20"/>
  <c r="AI531" i="20"/>
  <c r="AI661" i="20"/>
  <c r="AD669" i="20"/>
  <c r="X673" i="20"/>
  <c r="Y681" i="20"/>
  <c r="AC685" i="20"/>
  <c r="AI693" i="20"/>
  <c r="AC620" i="20"/>
  <c r="X578" i="20"/>
  <c r="AC705" i="20"/>
  <c r="AA650" i="20"/>
  <c r="AA565" i="20"/>
  <c r="AC914" i="20"/>
  <c r="AE899" i="20"/>
  <c r="X891" i="20"/>
  <c r="AC879" i="20"/>
  <c r="W870" i="20"/>
  <c r="AC856" i="20"/>
  <c r="AD850" i="20"/>
  <c r="Y842" i="20"/>
  <c r="AC832" i="20"/>
  <c r="AA819" i="20"/>
  <c r="AI799" i="20"/>
  <c r="AA791" i="20"/>
  <c r="AI778" i="20"/>
  <c r="W764" i="20"/>
  <c r="AD772" i="20"/>
  <c r="AB750" i="20"/>
  <c r="AC733" i="20"/>
  <c r="AE722" i="20"/>
  <c r="X619" i="20"/>
  <c r="AD611" i="20"/>
  <c r="AD581" i="20"/>
  <c r="AD558" i="20"/>
  <c r="W528" i="20"/>
  <c r="AI493" i="20"/>
  <c r="AE487" i="20"/>
  <c r="Z442" i="20"/>
  <c r="AB360" i="20"/>
  <c r="AI631" i="20"/>
  <c r="X392" i="20"/>
  <c r="X357" i="20"/>
  <c r="Z367" i="20"/>
  <c r="AE421" i="20"/>
  <c r="AE658" i="20"/>
  <c r="AB678" i="20"/>
  <c r="Z626" i="20"/>
  <c r="X570" i="20"/>
  <c r="AC649" i="20"/>
  <c r="Y911" i="20"/>
  <c r="W888" i="20"/>
  <c r="AD862" i="20"/>
  <c r="AA851" i="20"/>
  <c r="AE826" i="20"/>
  <c r="W810" i="20"/>
  <c r="Z787" i="20"/>
  <c r="Y769" i="20"/>
  <c r="AC726" i="20"/>
  <c r="AC621" i="20"/>
  <c r="AI573" i="20"/>
  <c r="AC525" i="20"/>
  <c r="Z482" i="20"/>
  <c r="X440" i="20"/>
  <c r="W375" i="20"/>
  <c r="AD359" i="20"/>
  <c r="AI541" i="20"/>
  <c r="AA687" i="20"/>
  <c r="AD652" i="20"/>
  <c r="AE908" i="20"/>
  <c r="AC863" i="20"/>
  <c r="AB829" i="20"/>
  <c r="Z784" i="20"/>
  <c r="Y700" i="20"/>
  <c r="AB546" i="20"/>
  <c r="AD373" i="20"/>
  <c r="X540" i="20"/>
  <c r="Z876" i="20"/>
  <c r="AE557" i="20"/>
  <c r="Z380" i="20"/>
  <c r="AA356" i="20"/>
  <c r="W394" i="20"/>
  <c r="AB352" i="20"/>
  <c r="AA537" i="20"/>
  <c r="AC661" i="20"/>
  <c r="W669" i="20"/>
  <c r="AD681" i="20"/>
  <c r="Y685" i="20"/>
  <c r="Z625" i="20"/>
  <c r="Y620" i="20"/>
  <c r="Z472" i="20"/>
  <c r="Y710" i="20"/>
  <c r="Z654" i="20"/>
  <c r="Y646" i="20"/>
  <c r="Y914" i="20"/>
  <c r="AB904" i="20"/>
  <c r="X894" i="20"/>
  <c r="AD879" i="20"/>
  <c r="W861" i="20"/>
  <c r="Y855" i="20"/>
  <c r="AC848" i="20"/>
  <c r="AB839" i="20"/>
  <c r="X828" i="20"/>
  <c r="AB811" i="20"/>
  <c r="Y804" i="20"/>
  <c r="W791" i="20"/>
  <c r="Z782" i="20"/>
  <c r="Z764" i="20"/>
  <c r="Z753" i="20"/>
  <c r="AB738" i="20"/>
  <c r="AI730" i="20"/>
  <c r="AE715" i="20"/>
  <c r="AD619" i="20"/>
  <c r="AA611" i="20"/>
  <c r="AE589" i="20"/>
  <c r="Z563" i="20"/>
  <c r="AE549" i="20"/>
  <c r="AC528" i="20"/>
  <c r="AD497" i="20"/>
  <c r="AB487" i="20"/>
  <c r="AB469" i="20"/>
  <c r="AC360" i="20"/>
  <c r="X313" i="20"/>
  <c r="AA643" i="20"/>
  <c r="AB384" i="20"/>
  <c r="AC368" i="20"/>
  <c r="X367" i="20"/>
  <c r="AD421" i="20"/>
  <c r="W658" i="20"/>
  <c r="AC678" i="20"/>
  <c r="AE626" i="20"/>
  <c r="Z474" i="20"/>
  <c r="AI566" i="20"/>
  <c r="Y907" i="20"/>
  <c r="X883" i="20"/>
  <c r="AI857" i="20"/>
  <c r="W834" i="20"/>
  <c r="AE802" i="20"/>
  <c r="X765" i="20"/>
  <c r="AB726" i="20"/>
  <c r="AE590" i="20"/>
  <c r="Z501" i="20"/>
  <c r="X632" i="20"/>
  <c r="AB370" i="20"/>
  <c r="AD687" i="20"/>
  <c r="Y863" i="20"/>
  <c r="W716" i="20"/>
  <c r="X393" i="20"/>
  <c r="AD380" i="20"/>
  <c r="AI542" i="20"/>
  <c r="AA673" i="20"/>
  <c r="AB620" i="20"/>
  <c r="AD650" i="20"/>
  <c r="AD904" i="20"/>
  <c r="Z872" i="20"/>
  <c r="AD832" i="20"/>
  <c r="W799" i="20"/>
  <c r="AD768" i="20"/>
  <c r="AD722" i="20"/>
  <c r="AI577" i="20"/>
  <c r="Y493" i="20"/>
  <c r="W631" i="20"/>
  <c r="AA398" i="20"/>
  <c r="Y682" i="20"/>
  <c r="AE653" i="20"/>
  <c r="AA878" i="20"/>
  <c r="AB810" i="20"/>
  <c r="AA726" i="20"/>
  <c r="AI513" i="20"/>
  <c r="AC640" i="20"/>
  <c r="Z683" i="20"/>
  <c r="Z859" i="20"/>
  <c r="Y593" i="20"/>
  <c r="AE913" i="20"/>
  <c r="AA872" i="20"/>
  <c r="W855" i="20"/>
  <c r="AA828" i="20"/>
  <c r="X806" i="20"/>
  <c r="AI782" i="20"/>
  <c r="AB753" i="20"/>
  <c r="AA730" i="20"/>
  <c r="AA701" i="20"/>
  <c r="AA581" i="20"/>
  <c r="W554" i="20"/>
  <c r="Z508" i="20"/>
  <c r="W500" i="20"/>
  <c r="Z439" i="20"/>
  <c r="Y292" i="20"/>
  <c r="AA351" i="20"/>
  <c r="AD398" i="20"/>
  <c r="Y410" i="20"/>
  <c r="AC666" i="20"/>
  <c r="AE694" i="20"/>
  <c r="X709" i="20"/>
  <c r="AE915" i="20"/>
  <c r="AI873" i="20"/>
  <c r="AC840" i="20"/>
  <c r="Y802" i="20"/>
  <c r="AB773" i="20"/>
  <c r="AE702" i="20"/>
  <c r="AB590" i="20"/>
  <c r="Y509" i="20"/>
  <c r="Z450" i="20"/>
  <c r="Y353" i="20"/>
  <c r="AD379" i="20"/>
  <c r="AB671" i="20"/>
  <c r="AC652" i="20"/>
  <c r="W858" i="20"/>
  <c r="AC797" i="20"/>
  <c r="AB605" i="20"/>
  <c r="AC346" i="20"/>
  <c r="Z823" i="20"/>
  <c r="X730" i="20"/>
  <c r="AC611" i="20"/>
  <c r="AE530" i="20"/>
  <c r="Y475" i="20"/>
  <c r="AI643" i="20"/>
  <c r="Y390" i="20"/>
  <c r="AB686" i="20"/>
  <c r="AA645" i="20"/>
  <c r="AD857" i="20"/>
  <c r="AB790" i="20"/>
  <c r="AA621" i="20"/>
  <c r="W450" i="20"/>
  <c r="Y370" i="20"/>
  <c r="X652" i="20"/>
  <c r="AC801" i="20"/>
  <c r="AE451" i="20"/>
  <c r="W588" i="20"/>
  <c r="Z857" i="20"/>
  <c r="AI810" i="20"/>
  <c r="AC777" i="20"/>
  <c r="AC702" i="20"/>
  <c r="AB579" i="20"/>
  <c r="AD490" i="20"/>
  <c r="Z308" i="20"/>
  <c r="Z359" i="20"/>
  <c r="AE667" i="20"/>
  <c r="AE477" i="20"/>
  <c r="AE884" i="20"/>
  <c r="AD813" i="20"/>
  <c r="AC560" i="20"/>
  <c r="Z880" i="20"/>
  <c r="Y702" i="20"/>
  <c r="X490" i="20"/>
  <c r="Z371" i="20"/>
  <c r="AB655" i="20"/>
  <c r="AC805" i="20"/>
  <c r="AB481" i="20"/>
  <c r="Y749" i="20"/>
  <c r="AC820" i="20"/>
  <c r="AB721" i="20"/>
  <c r="X514" i="20"/>
  <c r="X400" i="20"/>
  <c r="AE503" i="20"/>
  <c r="X556" i="20"/>
  <c r="W386" i="20"/>
  <c r="AB511" i="20"/>
  <c r="AC624" i="20"/>
  <c r="X461" i="20"/>
  <c r="AB814" i="20"/>
  <c r="AC838" i="20"/>
  <c r="AB503" i="20"/>
  <c r="AE584" i="20"/>
  <c r="Y337" i="20"/>
  <c r="AB264" i="20"/>
  <c r="AA453" i="20"/>
  <c r="AB257" i="20"/>
  <c r="AJ829" i="20"/>
  <c r="AJ505" i="20"/>
  <c r="AJ105" i="20"/>
  <c r="AJ624" i="20"/>
  <c r="AJ864" i="20"/>
  <c r="AJ668" i="20"/>
  <c r="AJ241" i="20"/>
  <c r="AJ211" i="20"/>
  <c r="AJ717" i="20"/>
  <c r="AJ223" i="20"/>
  <c r="AJ228" i="20"/>
  <c r="AJ474" i="20"/>
  <c r="AJ306" i="20"/>
  <c r="AJ547" i="20"/>
  <c r="AJ843" i="20"/>
  <c r="AJ646" i="20"/>
  <c r="AJ497" i="20"/>
  <c r="AJ739" i="20"/>
  <c r="AJ214" i="20"/>
  <c r="AJ481" i="20"/>
  <c r="AJ732" i="20"/>
  <c r="AJ855" i="20"/>
  <c r="AJ187" i="20"/>
  <c r="AJ326" i="20"/>
  <c r="AJ488" i="20"/>
  <c r="AJ784" i="20"/>
  <c r="AJ231" i="20"/>
  <c r="AJ203" i="20"/>
  <c r="AJ321" i="20"/>
  <c r="AJ502" i="20"/>
  <c r="AJ590" i="20"/>
  <c r="AJ662" i="20"/>
  <c r="AJ752" i="20"/>
  <c r="AJ873" i="20"/>
  <c r="AH840" i="20"/>
  <c r="AH498" i="20"/>
  <c r="AH744" i="20"/>
  <c r="AH505" i="20"/>
  <c r="AH633" i="20"/>
  <c r="AH89" i="20"/>
  <c r="AH405" i="20"/>
  <c r="AH539" i="20"/>
  <c r="AH626" i="20"/>
  <c r="AH860" i="20"/>
  <c r="AH82" i="20"/>
  <c r="AH101" i="20"/>
  <c r="AH453" i="20"/>
  <c r="AH714" i="20"/>
  <c r="AH384" i="20"/>
  <c r="AH280" i="20"/>
  <c r="AH575" i="20"/>
  <c r="AH176" i="20"/>
  <c r="AH465" i="20"/>
  <c r="AH717" i="20"/>
  <c r="AH828" i="20"/>
  <c r="AH409" i="20"/>
  <c r="AH604" i="20"/>
  <c r="AH228" i="20"/>
  <c r="AH900" i="20"/>
  <c r="AH422" i="20"/>
  <c r="AH876" i="20"/>
  <c r="AH340" i="20"/>
  <c r="AH390" i="20"/>
  <c r="AH518" i="20"/>
  <c r="AH789" i="20"/>
  <c r="AH845" i="20"/>
  <c r="AJ423" i="20"/>
  <c r="AJ724" i="20"/>
  <c r="AJ549" i="20"/>
  <c r="AJ493" i="20"/>
  <c r="AJ380" i="20"/>
  <c r="AJ368" i="20"/>
  <c r="AJ575" i="20"/>
  <c r="AJ446" i="20"/>
  <c r="AJ849" i="20"/>
  <c r="AJ577" i="20"/>
  <c r="AJ773" i="20"/>
  <c r="AJ190" i="20"/>
  <c r="AJ389" i="20"/>
  <c r="AJ725" i="20"/>
  <c r="AJ335" i="20"/>
  <c r="AJ807" i="20"/>
  <c r="AJ310" i="20"/>
  <c r="AJ410" i="20"/>
  <c r="AJ636" i="20"/>
  <c r="AJ812" i="20"/>
  <c r="AJ909" i="20"/>
  <c r="AJ222" i="20"/>
  <c r="AJ416" i="20"/>
  <c r="AJ686" i="20"/>
  <c r="AJ824" i="20"/>
  <c r="AJ188" i="20"/>
  <c r="AJ273" i="20"/>
  <c r="AJ436" i="20"/>
  <c r="AJ552" i="20"/>
  <c r="AJ596" i="20"/>
  <c r="AJ693" i="20"/>
  <c r="AJ799" i="20"/>
  <c r="AH179" i="20"/>
  <c r="AH859" i="20"/>
  <c r="AH471" i="20"/>
  <c r="AH587" i="20"/>
  <c r="AH632" i="20"/>
  <c r="AH427" i="20"/>
  <c r="AH105" i="20"/>
  <c r="H145" i="86" s="1"/>
  <c r="K145" i="86" s="1"/>
  <c r="AH468" i="20"/>
  <c r="AH580" i="20"/>
  <c r="AH665" i="20"/>
  <c r="AH493" i="20"/>
  <c r="H43" i="86" s="1"/>
  <c r="K43" i="86" s="1"/>
  <c r="AH701" i="20"/>
  <c r="AH337" i="20"/>
  <c r="AH564" i="20"/>
  <c r="AH756" i="20"/>
  <c r="AH798" i="20"/>
  <c r="AH314" i="20"/>
  <c r="AH745" i="20"/>
  <c r="AH338" i="20"/>
  <c r="AH525" i="20"/>
  <c r="AH774" i="20"/>
  <c r="AH613" i="20"/>
  <c r="AH432" i="20"/>
  <c r="AH787" i="20"/>
  <c r="AH751" i="20"/>
  <c r="AH268" i="20"/>
  <c r="AH611" i="20"/>
  <c r="H45" i="86" s="1"/>
  <c r="K45" i="86" s="1"/>
  <c r="AH295" i="20"/>
  <c r="AH354" i="20"/>
  <c r="AH472" i="20"/>
  <c r="AH650" i="20"/>
  <c r="AH815" i="20"/>
  <c r="AH270" i="20"/>
  <c r="AH360" i="20"/>
  <c r="AH734" i="20"/>
  <c r="AH342" i="20"/>
  <c r="AH202" i="20"/>
  <c r="AH616" i="20"/>
  <c r="AH877" i="20"/>
  <c r="AH207" i="20"/>
  <c r="AH411" i="20"/>
  <c r="AH571" i="20"/>
  <c r="AH702" i="20"/>
  <c r="AH808" i="20"/>
  <c r="AH892" i="20"/>
  <c r="AH184" i="20"/>
  <c r="AH237" i="20"/>
  <c r="AH363" i="20"/>
  <c r="AH487" i="20"/>
  <c r="AH686" i="20"/>
  <c r="AH803" i="20"/>
  <c r="AH910" i="20"/>
  <c r="Z250" i="20"/>
  <c r="AJ298" i="20"/>
  <c r="N15" i="37" s="1"/>
  <c r="AJ583" i="20"/>
  <c r="AJ678" i="20"/>
  <c r="AJ670" i="20"/>
  <c r="AJ613" i="20"/>
  <c r="AJ323" i="20"/>
  <c r="AJ437" i="20"/>
  <c r="AJ359" i="20"/>
  <c r="AJ623" i="20"/>
  <c r="AJ351" i="20"/>
  <c r="AJ831" i="20"/>
  <c r="AJ265" i="20"/>
  <c r="AJ709" i="20"/>
  <c r="AJ193" i="20"/>
  <c r="AJ458" i="20"/>
  <c r="AJ614" i="20"/>
  <c r="AJ866" i="20"/>
  <c r="AH250" i="20"/>
  <c r="H119" i="86" s="1"/>
  <c r="K119" i="86" s="1"/>
  <c r="AH217" i="20"/>
  <c r="AH456" i="20"/>
  <c r="AH533" i="20"/>
  <c r="AH660" i="20"/>
  <c r="AH712" i="20"/>
  <c r="AH668" i="20"/>
  <c r="AH125" i="20"/>
  <c r="AH167" i="20"/>
  <c r="AH566" i="20"/>
  <c r="AH223" i="20"/>
  <c r="AH826" i="20"/>
  <c r="AH364" i="20"/>
  <c r="AH301" i="20"/>
  <c r="AH482" i="20"/>
  <c r="AH843" i="20"/>
  <c r="AH372" i="20"/>
  <c r="AH771" i="20"/>
  <c r="AH479" i="20"/>
  <c r="AH506" i="20"/>
  <c r="AH889" i="20"/>
  <c r="AH313" i="20"/>
  <c r="AH451" i="20"/>
  <c r="AH732" i="20"/>
  <c r="AH847" i="20"/>
  <c r="AH45" i="20"/>
  <c r="AH261" i="20"/>
  <c r="AH393" i="20"/>
  <c r="AH654" i="20"/>
  <c r="AH814" i="20"/>
  <c r="AH74" i="20"/>
  <c r="AH197" i="20"/>
  <c r="AH273" i="20"/>
  <c r="AH321" i="20"/>
  <c r="AH435" i="20"/>
  <c r="AH501" i="20"/>
  <c r="AH554" i="20"/>
  <c r="AH586" i="20"/>
  <c r="AH601" i="20"/>
  <c r="AH662" i="20"/>
  <c r="AH720" i="20"/>
  <c r="AH810" i="20"/>
  <c r="AG282" i="20"/>
  <c r="AG850" i="20"/>
  <c r="AG257" i="20"/>
  <c r="G123" i="86" s="1"/>
  <c r="AG461" i="20"/>
  <c r="AG538" i="20"/>
  <c r="AG505" i="20"/>
  <c r="AG620" i="20"/>
  <c r="AG397" i="20"/>
  <c r="AG90" i="20"/>
  <c r="AG392" i="20"/>
  <c r="AG533" i="20"/>
  <c r="AG583" i="20"/>
  <c r="AG663" i="20"/>
  <c r="AG860" i="20"/>
  <c r="AG603" i="20"/>
  <c r="G42" i="86" s="1"/>
  <c r="AG701" i="20"/>
  <c r="AG266" i="20"/>
  <c r="AG453" i="20"/>
  <c r="AG668" i="20"/>
  <c r="AG756" i="20"/>
  <c r="AG562" i="20"/>
  <c r="AG267" i="20"/>
  <c r="AG386" i="20"/>
  <c r="AG747" i="20"/>
  <c r="AG339" i="20"/>
  <c r="AJ98" i="20"/>
  <c r="AJ337" i="20"/>
  <c r="AJ338" i="20"/>
  <c r="AJ716" i="20"/>
  <c r="AJ355" i="20"/>
  <c r="AJ740" i="20"/>
  <c r="AJ205" i="20"/>
  <c r="AJ738" i="20"/>
  <c r="AJ407" i="20"/>
  <c r="AJ906" i="20"/>
  <c r="AJ413" i="20"/>
  <c r="AJ673" i="20"/>
  <c r="AH452" i="20"/>
  <c r="AH512" i="20"/>
  <c r="AH90" i="20"/>
  <c r="AH600" i="20"/>
  <c r="AH239" i="20"/>
  <c r="AH731" i="20"/>
  <c r="AH386" i="20"/>
  <c r="AH489" i="20"/>
  <c r="AH388" i="20"/>
  <c r="AH753" i="20"/>
  <c r="AH244" i="20"/>
  <c r="AH643" i="20"/>
  <c r="AH296" i="20"/>
  <c r="AH705" i="20"/>
  <c r="AH198" i="20"/>
  <c r="AH762" i="20"/>
  <c r="AH248" i="20"/>
  <c r="AH617" i="20"/>
  <c r="AH791" i="20"/>
  <c r="AH909" i="20"/>
  <c r="AH305" i="20"/>
  <c r="AH514" i="20"/>
  <c r="AH763" i="20"/>
  <c r="AH96" i="20"/>
  <c r="H77" i="86" s="1"/>
  <c r="K77" i="86" s="1"/>
  <c r="AH229" i="20"/>
  <c r="AH303" i="20"/>
  <c r="AH439" i="20"/>
  <c r="AH524" i="20"/>
  <c r="AH590" i="20"/>
  <c r="AH612" i="20"/>
  <c r="AH676" i="20"/>
  <c r="AH788" i="20"/>
  <c r="AG530" i="20"/>
  <c r="AG859" i="20"/>
  <c r="AG391" i="20"/>
  <c r="AG553" i="20"/>
  <c r="AG632" i="20"/>
  <c r="AG369" i="20"/>
  <c r="AG105" i="20"/>
  <c r="G145" i="86" s="1"/>
  <c r="J145" i="86" s="1"/>
  <c r="AG469" i="20"/>
  <c r="AG551" i="20"/>
  <c r="AG665" i="20"/>
  <c r="AG493" i="20"/>
  <c r="G43" i="86" s="1"/>
  <c r="AG278" i="20"/>
  <c r="AG417" i="20"/>
  <c r="AG589" i="20"/>
  <c r="AG868" i="20"/>
  <c r="AG798" i="20"/>
  <c r="AG314" i="20"/>
  <c r="AG719" i="20"/>
  <c r="AG379" i="20"/>
  <c r="AG489" i="20"/>
  <c r="AG729" i="20"/>
  <c r="AG796" i="20"/>
  <c r="AG613" i="20"/>
  <c r="AG388" i="20"/>
  <c r="AG531" i="20"/>
  <c r="AG687" i="20"/>
  <c r="AG854" i="20"/>
  <c r="AG706" i="20"/>
  <c r="AG813" i="20"/>
  <c r="AG385" i="20"/>
  <c r="AG480" i="20"/>
  <c r="AG653" i="20"/>
  <c r="AG244" i="20"/>
  <c r="AG307" i="20"/>
  <c r="AG415" i="20"/>
  <c r="AG389" i="20"/>
  <c r="AG448" i="20"/>
  <c r="AG541" i="20"/>
  <c r="AG692" i="20"/>
  <c r="AG797" i="20"/>
  <c r="AG841" i="20"/>
  <c r="AG218" i="20"/>
  <c r="AG336" i="20"/>
  <c r="AG358" i="20"/>
  <c r="AG681" i="20"/>
  <c r="AG740" i="20"/>
  <c r="AG834" i="20"/>
  <c r="AG438" i="20"/>
  <c r="AG607" i="20"/>
  <c r="AG309" i="20"/>
  <c r="AG616" i="20"/>
  <c r="AG750" i="20"/>
  <c r="AG833" i="20"/>
  <c r="AG81" i="20"/>
  <c r="AG225" i="20"/>
  <c r="AG344" i="20"/>
  <c r="AG403" i="20"/>
  <c r="AG535" i="20"/>
  <c r="AG636" i="20"/>
  <c r="AG702" i="20"/>
  <c r="AG777" i="20"/>
  <c r="AG812" i="20"/>
  <c r="AG870" i="20"/>
  <c r="AG897" i="20"/>
  <c r="AG47" i="20"/>
  <c r="AG200" i="20"/>
  <c r="AG226" i="20"/>
  <c r="AG265" i="20"/>
  <c r="AG363" i="20"/>
  <c r="AG382" i="20"/>
  <c r="AG488" i="20"/>
  <c r="AG651" i="20"/>
  <c r="AG710" i="20"/>
  <c r="AG784" i="20"/>
  <c r="AG881" i="20"/>
  <c r="AG911" i="20"/>
  <c r="AG891" i="20"/>
  <c r="AG189" i="20"/>
  <c r="AG209" i="20"/>
  <c r="G133" i="86" s="1"/>
  <c r="AG259" i="20"/>
  <c r="AG288" i="20"/>
  <c r="AG327" i="20"/>
  <c r="AG436" i="20"/>
  <c r="AG491" i="20"/>
  <c r="AG523" i="20"/>
  <c r="AG552" i="20"/>
  <c r="AG586" i="20"/>
  <c r="AG593" i="20"/>
  <c r="AG614" i="20"/>
  <c r="AG673" i="20"/>
  <c r="AG720" i="20"/>
  <c r="AG768" i="20"/>
  <c r="AG873" i="20"/>
  <c r="W48" i="20"/>
  <c r="AC47" i="20"/>
  <c r="Z45" i="20"/>
  <c r="AE46" i="20"/>
  <c r="Y48" i="20"/>
  <c r="AI45" i="20"/>
  <c r="AJ498" i="20"/>
  <c r="AJ682" i="20"/>
  <c r="AJ707" i="20"/>
  <c r="AJ754" i="20"/>
  <c r="AJ500" i="20"/>
  <c r="AJ821" i="20"/>
  <c r="AJ202" i="20"/>
  <c r="AJ571" i="20"/>
  <c r="AJ47" i="20"/>
  <c r="AJ638" i="20"/>
  <c r="AJ259" i="20"/>
  <c r="AJ565" i="20"/>
  <c r="AJ768" i="20"/>
  <c r="AH275" i="20"/>
  <c r="AH544" i="20"/>
  <c r="AH450" i="20"/>
  <c r="AH862" i="20"/>
  <c r="AH412" i="20"/>
  <c r="AH578" i="20"/>
  <c r="AH339" i="20"/>
  <c r="AH804" i="20"/>
  <c r="AH622" i="20"/>
  <c r="AH499" i="20"/>
  <c r="AH419" i="20"/>
  <c r="AH802" i="20"/>
  <c r="AH457" i="20"/>
  <c r="AH835" i="20"/>
  <c r="AH394" i="20"/>
  <c r="AH914" i="20"/>
  <c r="AH403" i="20"/>
  <c r="AH699" i="20"/>
  <c r="AH872" i="20"/>
  <c r="AH212" i="20"/>
  <c r="AH376" i="20"/>
  <c r="AH761" i="20"/>
  <c r="AH907" i="20"/>
  <c r="AH193" i="20"/>
  <c r="AH286" i="20"/>
  <c r="H7" i="86" s="1"/>
  <c r="K7" i="86" s="1"/>
  <c r="AH413" i="20"/>
  <c r="AH491" i="20"/>
  <c r="AH561" i="20"/>
  <c r="AH597" i="20"/>
  <c r="AH629" i="20"/>
  <c r="AH752" i="20"/>
  <c r="AH873" i="20"/>
  <c r="AG829" i="20"/>
  <c r="AG608" i="20"/>
  <c r="AG744" i="20"/>
  <c r="AG235" i="20"/>
  <c r="AG633" i="20"/>
  <c r="AG98" i="20"/>
  <c r="AG102" i="20"/>
  <c r="AG539" i="20"/>
  <c r="AG625" i="20"/>
  <c r="AG863" i="20"/>
  <c r="AG721" i="20"/>
  <c r="AG864" i="20"/>
  <c r="AG449" i="20"/>
  <c r="AG700" i="20"/>
  <c r="AG368" i="20"/>
  <c r="AG224" i="20"/>
  <c r="AG504" i="20"/>
  <c r="AG176" i="20"/>
  <c r="AG454" i="20"/>
  <c r="AG528" i="20"/>
  <c r="AG743" i="20"/>
  <c r="AG895" i="20"/>
  <c r="AG262" i="20"/>
  <c r="AG432" i="20"/>
  <c r="AG622" i="20"/>
  <c r="AG801" i="20"/>
  <c r="AG240" i="20"/>
  <c r="AG776" i="20"/>
  <c r="AG236" i="20"/>
  <c r="AG367" i="20"/>
  <c r="AG609" i="20"/>
  <c r="AG78" i="20"/>
  <c r="AG295" i="20"/>
  <c r="AG345" i="20"/>
  <c r="AG396" i="20"/>
  <c r="AG424" i="20"/>
  <c r="AG518" i="20"/>
  <c r="AG642" i="20"/>
  <c r="AG728" i="20"/>
  <c r="AG816" i="20"/>
  <c r="AG875" i="20"/>
  <c r="AG270" i="20"/>
  <c r="AG372" i="20"/>
  <c r="AG475" i="20"/>
  <c r="AG705" i="20"/>
  <c r="AG806" i="20"/>
  <c r="AG904" i="20"/>
  <c r="AG466" i="20"/>
  <c r="AG234" i="20"/>
  <c r="AG361" i="20"/>
  <c r="AG690" i="20"/>
  <c r="AG805" i="20"/>
  <c r="AG902" i="20"/>
  <c r="AG205" i="20"/>
  <c r="AG313" i="20"/>
  <c r="AG349" i="20"/>
  <c r="AG441" i="20"/>
  <c r="AG615" i="20"/>
  <c r="AG685" i="20"/>
  <c r="AG732" i="20"/>
  <c r="AG808" i="20"/>
  <c r="AG832" i="20"/>
  <c r="AG882" i="20"/>
  <c r="AG905" i="20"/>
  <c r="AG185" i="20"/>
  <c r="AG199" i="20"/>
  <c r="AG247" i="20"/>
  <c r="AG329" i="20"/>
  <c r="AG376" i="20"/>
  <c r="AG487" i="20"/>
  <c r="AG574" i="20"/>
  <c r="AG686" i="20"/>
  <c r="AG763" i="20"/>
  <c r="AG809" i="20"/>
  <c r="AG883" i="20"/>
  <c r="AG507" i="20"/>
  <c r="AG126" i="20"/>
  <c r="AG193" i="20"/>
  <c r="AG229" i="20"/>
  <c r="AG276" i="20"/>
  <c r="AG312" i="20"/>
  <c r="AG377" i="20"/>
  <c r="AG442" i="20"/>
  <c r="AG502" i="20"/>
  <c r="AG548" i="20"/>
  <c r="AG579" i="20"/>
  <c r="AG585" i="20"/>
  <c r="AG599" i="20"/>
  <c r="AG691" i="20"/>
  <c r="AG693" i="20"/>
  <c r="AG757" i="20"/>
  <c r="AG848" i="20"/>
  <c r="AG890" i="20"/>
  <c r="Y47" i="20"/>
  <c r="AI47" i="20"/>
  <c r="AD46" i="20"/>
  <c r="AB46" i="20"/>
  <c r="AA45" i="20"/>
  <c r="AD75" i="20"/>
  <c r="AC87" i="20"/>
  <c r="W87" i="20"/>
  <c r="AA75" i="20"/>
  <c r="AC81" i="20"/>
  <c r="AA87" i="20"/>
  <c r="AB78" i="20"/>
  <c r="X81" i="20"/>
  <c r="W82" i="20"/>
  <c r="Z82" i="20"/>
  <c r="Y82" i="20"/>
  <c r="AI74" i="20"/>
  <c r="Z74" i="20"/>
  <c r="X167" i="20"/>
  <c r="AC127" i="20"/>
  <c r="X126" i="20"/>
  <c r="AE168" i="20"/>
  <c r="AD128" i="20"/>
  <c r="Z167" i="20"/>
  <c r="Y126" i="20"/>
  <c r="AA128" i="20"/>
  <c r="AD168" i="20"/>
  <c r="AE127" i="20"/>
  <c r="AJ628" i="20"/>
  <c r="AJ463" i="20"/>
  <c r="AJ218" i="20"/>
  <c r="AJ696" i="20"/>
  <c r="AJ794" i="20"/>
  <c r="AJ592" i="20"/>
  <c r="AH657" i="20"/>
  <c r="AH558" i="20"/>
  <c r="AH557" i="20"/>
  <c r="AH402" i="20"/>
  <c r="AH543" i="20"/>
  <c r="AH424" i="20"/>
  <c r="AH674" i="20"/>
  <c r="AH723" i="20"/>
  <c r="AH444" i="20"/>
  <c r="AH903" i="20"/>
  <c r="AH443" i="20"/>
  <c r="AH231" i="20"/>
  <c r="AH294" i="20"/>
  <c r="AH522" i="20"/>
  <c r="AH593" i="20"/>
  <c r="AH767" i="20"/>
  <c r="AG851" i="20"/>
  <c r="AG300" i="20"/>
  <c r="G39" i="86" s="1"/>
  <c r="AG724" i="20"/>
  <c r="AG440" i="20"/>
  <c r="AG624" i="20"/>
  <c r="AG277" i="20"/>
  <c r="AG557" i="20"/>
  <c r="AG486" i="20"/>
  <c r="AG670" i="20"/>
  <c r="AG464" i="20"/>
  <c r="AG774" i="20"/>
  <c r="AG324" i="20"/>
  <c r="AG639" i="20"/>
  <c r="AG688" i="20"/>
  <c r="AG268" i="20"/>
  <c r="AG635" i="20"/>
  <c r="AG302" i="20"/>
  <c r="AG419" i="20"/>
  <c r="AG527" i="20"/>
  <c r="AG792" i="20"/>
  <c r="AG886" i="20"/>
  <c r="AG373" i="20"/>
  <c r="AG735" i="20"/>
  <c r="AG342" i="20"/>
  <c r="AG292" i="20"/>
  <c r="AG733" i="20"/>
  <c r="AG914" i="20"/>
  <c r="AG320" i="20"/>
  <c r="AG481" i="20"/>
  <c r="AG698" i="20"/>
  <c r="AG811" i="20"/>
  <c r="AG893" i="20"/>
  <c r="AG186" i="20"/>
  <c r="AG264" i="20"/>
  <c r="AG416" i="20"/>
  <c r="AG630" i="20"/>
  <c r="AG783" i="20"/>
  <c r="AG906" i="20"/>
  <c r="AG175" i="20"/>
  <c r="AG242" i="20"/>
  <c r="AG321" i="20"/>
  <c r="AG445" i="20"/>
  <c r="AG554" i="20"/>
  <c r="AG592" i="20"/>
  <c r="AG677" i="20"/>
  <c r="AG772" i="20"/>
  <c r="Z46" i="20"/>
  <c r="AE45" i="20"/>
  <c r="AD78" i="20"/>
  <c r="AE75" i="20"/>
  <c r="AE87" i="20"/>
  <c r="W75" i="20"/>
  <c r="AC78" i="20"/>
  <c r="AB87" i="20"/>
  <c r="Z87" i="20"/>
  <c r="AD81" i="20"/>
  <c r="AE82" i="20"/>
  <c r="AA82" i="20"/>
  <c r="AA74" i="20"/>
  <c r="AB74" i="20"/>
  <c r="AA127" i="20"/>
  <c r="AB127" i="20"/>
  <c r="Z126" i="20"/>
  <c r="AI128" i="20"/>
  <c r="AI127" i="20"/>
  <c r="AE126" i="20"/>
  <c r="AA168" i="20"/>
  <c r="AD167" i="20"/>
  <c r="W128" i="20"/>
  <c r="AI167" i="20"/>
  <c r="AB125" i="20"/>
  <c r="AA125" i="20"/>
  <c r="AE125" i="20"/>
  <c r="X106" i="20"/>
  <c r="Z92" i="20"/>
  <c r="AA94" i="20"/>
  <c r="AC92" i="20"/>
  <c r="AD95" i="20"/>
  <c r="AE102" i="20"/>
  <c r="W90" i="20"/>
  <c r="Y90" i="20"/>
  <c r="Z93" i="20"/>
  <c r="AA95" i="20"/>
  <c r="AC94" i="20"/>
  <c r="AD97" i="20"/>
  <c r="AE105" i="20"/>
  <c r="W91" i="20"/>
  <c r="Y91" i="20"/>
  <c r="Z94" i="20"/>
  <c r="AA101" i="20"/>
  <c r="AC95" i="20"/>
  <c r="AD98" i="20"/>
  <c r="AE106" i="20"/>
  <c r="W94" i="20"/>
  <c r="Y92" i="20"/>
  <c r="Z95" i="20"/>
  <c r="AA102" i="20"/>
  <c r="AC97" i="20"/>
  <c r="AD101" i="20"/>
  <c r="AI94" i="20"/>
  <c r="W88" i="20"/>
  <c r="AA96" i="20"/>
  <c r="AB96" i="20"/>
  <c r="W97" i="20"/>
  <c r="AA88" i="20"/>
  <c r="X177" i="20"/>
  <c r="Z177" i="20"/>
  <c r="AB177" i="20"/>
  <c r="AD177" i="20"/>
  <c r="AI177" i="20"/>
  <c r="AI93" i="20"/>
  <c r="W89" i="20"/>
  <c r="X96" i="20"/>
  <c r="AB103" i="20"/>
  <c r="AI89" i="20"/>
  <c r="AE97" i="20"/>
  <c r="W107" i="20"/>
  <c r="X88" i="20"/>
  <c r="X218" i="20"/>
  <c r="Z218" i="20"/>
  <c r="AB218" i="20"/>
  <c r="AD218" i="20"/>
  <c r="AI218" i="20"/>
  <c r="AI104" i="20"/>
  <c r="W98" i="20"/>
  <c r="X98" i="20"/>
  <c r="AB92" i="20"/>
  <c r="X219" i="20"/>
  <c r="Z219" i="20"/>
  <c r="AB219" i="20"/>
  <c r="AA216" i="20"/>
  <c r="AI217" i="20"/>
  <c r="Z217" i="20"/>
  <c r="AE219" i="20"/>
  <c r="AA217" i="20"/>
  <c r="AE178" i="20"/>
  <c r="AB216" i="20"/>
  <c r="AI216" i="20"/>
  <c r="AI182" i="20"/>
  <c r="Z176" i="20"/>
  <c r="Z182" i="20"/>
  <c r="AA179" i="20"/>
  <c r="Y182" i="20"/>
  <c r="Y179" i="20"/>
  <c r="AB176" i="20"/>
  <c r="Y181" i="20"/>
  <c r="AB175" i="20"/>
  <c r="AJ404" i="20"/>
  <c r="AJ706" i="20"/>
  <c r="AJ827" i="20"/>
  <c r="AJ428" i="20"/>
  <c r="AJ727" i="20"/>
  <c r="AH818" i="20"/>
  <c r="AH284" i="20"/>
  <c r="AH736" i="20"/>
  <c r="AH865" i="20"/>
  <c r="AH334" i="20"/>
  <c r="AH795" i="20"/>
  <c r="AH764" i="20"/>
  <c r="AH326" i="20"/>
  <c r="AH182" i="20"/>
  <c r="AH426" i="20"/>
  <c r="AH581" i="20"/>
  <c r="AH869" i="20"/>
  <c r="AG260" i="20"/>
  <c r="AG822" i="20"/>
  <c r="AG484" i="20"/>
  <c r="AG861" i="20"/>
  <c r="AG400" i="20"/>
  <c r="AG884" i="20"/>
  <c r="AG181" i="20"/>
  <c r="AG736" i="20"/>
  <c r="AG374" i="20"/>
  <c r="AG826" i="20"/>
  <c r="AG915" i="20"/>
  <c r="AG876" i="20"/>
  <c r="AG347" i="20"/>
  <c r="AG460" i="20"/>
  <c r="AG802" i="20"/>
  <c r="AG304" i="20"/>
  <c r="AG675" i="20"/>
  <c r="AG455" i="20"/>
  <c r="AG362" i="20"/>
  <c r="AG889" i="20"/>
  <c r="AG410" i="20"/>
  <c r="AG618" i="20"/>
  <c r="AG764" i="20"/>
  <c r="AG898" i="20"/>
  <c r="AG222" i="20"/>
  <c r="AG408" i="20"/>
  <c r="AG666" i="20"/>
  <c r="AG814" i="20"/>
  <c r="AG96" i="20"/>
  <c r="G77" i="86" s="1"/>
  <c r="J77" i="86" s="1"/>
  <c r="AG273" i="20"/>
  <c r="AG395" i="20"/>
  <c r="AG526" i="20"/>
  <c r="AG595" i="20"/>
  <c r="AG718" i="20"/>
  <c r="AG874" i="20"/>
  <c r="W46" i="20"/>
  <c r="AD47" i="20"/>
  <c r="AC45" i="20"/>
  <c r="W81" i="20"/>
  <c r="AE81" i="20"/>
  <c r="AC75" i="20"/>
  <c r="AB81" i="20"/>
  <c r="AD87" i="20"/>
  <c r="Y81" i="20"/>
  <c r="Z81" i="20"/>
  <c r="AC82" i="20"/>
  <c r="AC74" i="20"/>
  <c r="Y74" i="20"/>
  <c r="AE128" i="20"/>
  <c r="AD127" i="20"/>
  <c r="AI168" i="20"/>
  <c r="AC128" i="20"/>
  <c r="W168" i="20"/>
  <c r="Z168" i="20"/>
  <c r="X128" i="20"/>
  <c r="AD125" i="20"/>
  <c r="AI125" i="20"/>
  <c r="X95" i="20"/>
  <c r="Z97" i="20"/>
  <c r="AB94" i="20"/>
  <c r="AD91" i="20"/>
  <c r="AI90" i="20"/>
  <c r="X90" i="20"/>
  <c r="Z89" i="20"/>
  <c r="AA106" i="20"/>
  <c r="AC107" i="20"/>
  <c r="AE94" i="20"/>
  <c r="W102" i="20"/>
  <c r="AJ838" i="20"/>
  <c r="AJ258" i="20"/>
  <c r="AJ344" i="20"/>
  <c r="AJ891" i="20"/>
  <c r="AH282" i="20"/>
  <c r="AH106" i="20"/>
  <c r="AH46" i="20"/>
  <c r="AH316" i="20"/>
  <c r="AH345" i="20"/>
  <c r="AH806" i="20"/>
  <c r="AH205" i="20"/>
  <c r="AH831" i="20"/>
  <c r="AH630" i="20"/>
  <c r="AH210" i="20"/>
  <c r="AH467" i="20"/>
  <c r="AH640" i="20"/>
  <c r="AH874" i="20"/>
  <c r="AG657" i="20"/>
  <c r="AG456" i="20"/>
  <c r="AG558" i="20"/>
  <c r="AG545" i="20"/>
  <c r="AG591" i="20"/>
  <c r="AG291" i="20"/>
  <c r="AG401" i="20"/>
  <c r="AG828" i="20"/>
  <c r="AG463" i="20"/>
  <c r="AG230" i="20"/>
  <c r="AG366" i="20"/>
  <c r="AG180" i="20"/>
  <c r="AG355" i="20"/>
  <c r="AG567" i="20"/>
  <c r="AG830" i="20"/>
  <c r="AG334" i="20"/>
  <c r="AG741" i="20"/>
  <c r="AG497" i="20"/>
  <c r="AG623" i="20"/>
  <c r="AG204" i="20"/>
  <c r="AG350" i="20"/>
  <c r="AG649" i="20"/>
  <c r="AG831" i="20"/>
  <c r="AG913" i="20"/>
  <c r="AG237" i="20"/>
  <c r="AG365" i="20"/>
  <c r="AG709" i="20"/>
  <c r="AG885" i="20"/>
  <c r="AG191" i="20"/>
  <c r="AG285" i="20"/>
  <c r="AG434" i="20"/>
  <c r="AG565" i="20"/>
  <c r="AG612" i="20"/>
  <c r="AG727" i="20"/>
  <c r="Y46" i="20"/>
  <c r="AJ420" i="20"/>
  <c r="AJ893" i="20"/>
  <c r="AH851" i="20"/>
  <c r="AH279" i="20"/>
  <c r="AH692" i="20"/>
  <c r="AH348" i="20"/>
  <c r="AH759" i="20"/>
  <c r="AH532" i="20"/>
  <c r="AG452" i="20"/>
  <c r="AG94" i="20"/>
  <c r="AG712" i="20"/>
  <c r="AG421" i="20"/>
  <c r="AG315" i="20"/>
  <c r="AG742" i="20"/>
  <c r="AG258" i="20"/>
  <c r="AG650" i="20"/>
  <c r="AG457" i="20"/>
  <c r="AG198" i="20"/>
  <c r="AG214" i="20"/>
  <c r="AG704" i="20"/>
  <c r="AG87" i="20"/>
  <c r="AG485" i="20"/>
  <c r="AG910" i="20"/>
  <c r="AG303" i="20"/>
  <c r="AG576" i="20"/>
  <c r="AG799" i="20"/>
  <c r="X46" i="20"/>
  <c r="W78" i="20"/>
  <c r="AI81" i="20"/>
  <c r="Y87" i="20"/>
  <c r="AB82" i="20"/>
  <c r="X74" i="20"/>
  <c r="W126" i="20"/>
  <c r="W167" i="20"/>
  <c r="AB126" i="20"/>
  <c r="AA167" i="20"/>
  <c r="AA126" i="20"/>
  <c r="Z128" i="20"/>
  <c r="W125" i="20"/>
  <c r="W95" i="20"/>
  <c r="Y107" i="20"/>
  <c r="AB105" i="20"/>
  <c r="AD106" i="20"/>
  <c r="W101" i="20"/>
  <c r="Z98" i="20"/>
  <c r="AB106" i="20"/>
  <c r="AD107" i="20"/>
  <c r="X91" i="20"/>
  <c r="Z90" i="20"/>
  <c r="AB90" i="20"/>
  <c r="AD89" i="20"/>
  <c r="AE95" i="20"/>
  <c r="W105" i="20"/>
  <c r="Y106" i="20"/>
  <c r="AA91" i="20"/>
  <c r="AC105" i="20"/>
  <c r="AE90" i="20"/>
  <c r="X107" i="20"/>
  <c r="AA89" i="20"/>
  <c r="AA92" i="20"/>
  <c r="AD88" i="20"/>
  <c r="Y220" i="20"/>
  <c r="AA177" i="20"/>
  <c r="AD220" i="20"/>
  <c r="X103" i="20"/>
  <c r="AA104" i="20"/>
  <c r="AA107" i="20"/>
  <c r="X97" i="20"/>
  <c r="AA98" i="20"/>
  <c r="X104" i="20"/>
  <c r="AI88" i="20"/>
  <c r="Y218" i="20"/>
  <c r="AA215" i="20"/>
  <c r="AD215" i="20"/>
  <c r="X92" i="20"/>
  <c r="AA93" i="20"/>
  <c r="W103" i="20"/>
  <c r="W219" i="20"/>
  <c r="Y178" i="20"/>
  <c r="AC88" i="20"/>
  <c r="AD217" i="20"/>
  <c r="X217" i="20"/>
  <c r="AI219" i="20"/>
  <c r="AC178" i="20"/>
  <c r="Z216" i="20"/>
  <c r="AB179" i="20"/>
  <c r="AD176" i="20"/>
  <c r="AB180" i="20"/>
  <c r="Z181" i="20"/>
  <c r="AE176" i="20"/>
  <c r="AI175" i="20"/>
  <c r="X182" i="20"/>
  <c r="AD175" i="20"/>
  <c r="AA175" i="20"/>
  <c r="AC181" i="20"/>
  <c r="X180" i="20"/>
  <c r="AC182" i="20"/>
  <c r="AB182" i="20"/>
  <c r="W183" i="20"/>
  <c r="AI183" i="20"/>
  <c r="W259" i="20"/>
  <c r="AB184" i="20"/>
  <c r="Y183" i="20"/>
  <c r="AA183" i="20"/>
  <c r="AC263" i="20"/>
  <c r="Z259" i="20"/>
  <c r="AI257" i="20"/>
  <c r="I123" i="86" s="1"/>
  <c r="L123" i="86" s="1"/>
  <c r="Y259" i="20"/>
  <c r="X262" i="20"/>
  <c r="AE263" i="20"/>
  <c r="Y253" i="20"/>
  <c r="AA262" i="20"/>
  <c r="Y250" i="20"/>
  <c r="AD262" i="20"/>
  <c r="AE203" i="20"/>
  <c r="W203" i="20"/>
  <c r="AE185" i="20"/>
  <c r="Y203" i="20"/>
  <c r="W186" i="20"/>
  <c r="Z188" i="20"/>
  <c r="Z191" i="20"/>
  <c r="AD185" i="20"/>
  <c r="AC192" i="20"/>
  <c r="AD189" i="20"/>
  <c r="AA192" i="20"/>
  <c r="AE188" i="20"/>
  <c r="AD191" i="20"/>
  <c r="AD187" i="20"/>
  <c r="AD186" i="20"/>
  <c r="AI187" i="20"/>
  <c r="X186" i="20"/>
  <c r="AC186" i="20"/>
  <c r="X191" i="20"/>
  <c r="AD203" i="20"/>
  <c r="AB192" i="20"/>
  <c r="AI193" i="20"/>
  <c r="Y208" i="20"/>
  <c r="AE208" i="20"/>
  <c r="X208" i="20"/>
  <c r="W238" i="20"/>
  <c r="W282" i="20"/>
  <c r="X213" i="20"/>
  <c r="X267" i="20"/>
  <c r="Y201" i="20"/>
  <c r="Y271" i="20"/>
  <c r="Z195" i="20"/>
  <c r="Z223" i="20"/>
  <c r="Z267" i="20"/>
  <c r="AA212" i="20"/>
  <c r="AA209" i="20"/>
  <c r="AB231" i="20"/>
  <c r="W255" i="20"/>
  <c r="W235" i="20"/>
  <c r="W286" i="20"/>
  <c r="X238" i="20"/>
  <c r="X282" i="20"/>
  <c r="Y213" i="20"/>
  <c r="Y267" i="20"/>
  <c r="Z196" i="20"/>
  <c r="Z221" i="20"/>
  <c r="Z282" i="20"/>
  <c r="AA211" i="20"/>
  <c r="AA269" i="20"/>
  <c r="AB230" i="20"/>
  <c r="AB280" i="20"/>
  <c r="AC231" i="20"/>
  <c r="AC279" i="20"/>
  <c r="AD207" i="20"/>
  <c r="AJ525" i="20"/>
  <c r="AJ199" i="20"/>
  <c r="AH619" i="20"/>
  <c r="AH647" i="20"/>
  <c r="AH195" i="20"/>
  <c r="AH645" i="20"/>
  <c r="AH881" i="20"/>
  <c r="AH565" i="20"/>
  <c r="AG887" i="20"/>
  <c r="AG106" i="20"/>
  <c r="AG128" i="20"/>
  <c r="AG127" i="20"/>
  <c r="AG223" i="20"/>
  <c r="AG773" i="20"/>
  <c r="AG318" i="20"/>
  <c r="AG725" i="20"/>
  <c r="AG621" i="20"/>
  <c r="AG394" i="20"/>
  <c r="AG251" i="20"/>
  <c r="AG738" i="20"/>
  <c r="AG201" i="20"/>
  <c r="AG570" i="20"/>
  <c r="AG780" i="20"/>
  <c r="AG331" i="20"/>
  <c r="AG582" i="20"/>
  <c r="AG867" i="20"/>
  <c r="AD45" i="20"/>
  <c r="Z75" i="20"/>
  <c r="AI75" i="20"/>
  <c r="AA78" i="20"/>
  <c r="Y75" i="20"/>
  <c r="X87" i="20"/>
  <c r="AI82" i="20"/>
  <c r="AE74" i="20"/>
  <c r="AD126" i="20"/>
  <c r="X168" i="20"/>
  <c r="X127" i="20"/>
  <c r="AC167" i="20"/>
  <c r="Y167" i="20"/>
  <c r="AB167" i="20"/>
  <c r="AC125" i="20"/>
  <c r="W106" i="20"/>
  <c r="Z103" i="20"/>
  <c r="AC101" i="20"/>
  <c r="AE91" i="20"/>
  <c r="X101" i="20"/>
  <c r="Z104" i="20"/>
  <c r="AC102" i="20"/>
  <c r="AI91" i="20"/>
  <c r="X102" i="20"/>
  <c r="Z101" i="20"/>
  <c r="AB101" i="20"/>
  <c r="AD93" i="20"/>
  <c r="AI92" i="20"/>
  <c r="X94" i="20"/>
  <c r="Z91" i="20"/>
  <c r="AB91" i="20"/>
  <c r="AD90" i="20"/>
  <c r="AE101" i="20"/>
  <c r="Y93" i="20"/>
  <c r="W93" i="20"/>
  <c r="X93" i="20"/>
  <c r="W220" i="20"/>
  <c r="Y177" i="20"/>
  <c r="AB220" i="20"/>
  <c r="AE220" i="20"/>
  <c r="Y96" i="20"/>
  <c r="W96" i="20"/>
  <c r="X89" i="20"/>
  <c r="Y104" i="20"/>
  <c r="W104" i="20"/>
  <c r="AC93" i="20"/>
  <c r="W218" i="20"/>
  <c r="Y215" i="20"/>
  <c r="AB215" i="20"/>
  <c r="AE218" i="20"/>
  <c r="Y98" i="20"/>
  <c r="AE92" i="20"/>
  <c r="AC96" i="20"/>
  <c r="W178" i="20"/>
  <c r="Z178" i="20"/>
  <c r="W216" i="20"/>
  <c r="AE217" i="20"/>
  <c r="AB217" i="20"/>
  <c r="W217" i="20"/>
  <c r="AD178" i="20"/>
  <c r="AC216" i="20"/>
  <c r="X181" i="20"/>
  <c r="AC179" i="20"/>
  <c r="Z175" i="20"/>
  <c r="AB181" i="20"/>
  <c r="AC176" i="20"/>
  <c r="AI180" i="20"/>
  <c r="W175" i="20"/>
  <c r="AD180" i="20"/>
  <c r="AC180" i="20"/>
  <c r="W179" i="20"/>
  <c r="AD179" i="20"/>
  <c r="X175" i="20"/>
  <c r="AD181" i="20"/>
  <c r="Z183" i="20"/>
  <c r="AB183" i="20"/>
  <c r="AD263" i="20"/>
  <c r="Y184" i="20"/>
  <c r="AD184" i="20"/>
  <c r="Z184" i="20"/>
  <c r="W253" i="20"/>
  <c r="Y262" i="20"/>
  <c r="AB262" i="20"/>
  <c r="X257" i="20"/>
  <c r="AA259" i="20"/>
  <c r="AD259" i="20"/>
  <c r="AE259" i="20"/>
  <c r="Y263" i="20"/>
  <c r="AA263" i="20"/>
  <c r="W185" i="20"/>
  <c r="W188" i="20"/>
  <c r="X188" i="20"/>
  <c r="AI203" i="20"/>
  <c r="Z185" i="20"/>
  <c r="W193" i="20"/>
  <c r="Z193" i="20"/>
  <c r="AB186" i="20"/>
  <c r="Y193" i="20"/>
  <c r="X192" i="20"/>
  <c r="Y187" i="20"/>
  <c r="AC188" i="20"/>
  <c r="AA193" i="20"/>
  <c r="W187" i="20"/>
  <c r="Y185" i="20"/>
  <c r="Y186" i="20"/>
  <c r="W189" i="20"/>
  <c r="AC193" i="20"/>
  <c r="AB188" i="20"/>
  <c r="AA191" i="20"/>
  <c r="AE193" i="20"/>
  <c r="AI192" i="20"/>
  <c r="AC189" i="20"/>
  <c r="AD208" i="20"/>
  <c r="W208" i="20"/>
  <c r="W206" i="20"/>
  <c r="W226" i="20"/>
  <c r="X255" i="20"/>
  <c r="X224" i="20"/>
  <c r="X277" i="20"/>
  <c r="Y233" i="20"/>
  <c r="Y284" i="20"/>
  <c r="Z247" i="20"/>
  <c r="Z279" i="20"/>
  <c r="Z284" i="20"/>
  <c r="AA201" i="20"/>
  <c r="AA274" i="20"/>
  <c r="AB212" i="20"/>
  <c r="W207" i="20"/>
  <c r="W221" i="20"/>
  <c r="X254" i="20"/>
  <c r="X226" i="20"/>
  <c r="Y255" i="20"/>
  <c r="Y224" i="20"/>
  <c r="Y277" i="20"/>
  <c r="Z200" i="20"/>
  <c r="Z280" i="20"/>
  <c r="Z287" i="20"/>
  <c r="AA213" i="20"/>
  <c r="AA272" i="20"/>
  <c r="AB211" i="20"/>
  <c r="AB275" i="20"/>
  <c r="AC212" i="20"/>
  <c r="AC194" i="20"/>
  <c r="AD195" i="20"/>
  <c r="AD269" i="20"/>
  <c r="AE227" i="20"/>
  <c r="AE279" i="20"/>
  <c r="W231" i="20"/>
  <c r="X207" i="20"/>
  <c r="Y206" i="20"/>
  <c r="Z254" i="20"/>
  <c r="Z209" i="20"/>
  <c r="AA235" i="20"/>
  <c r="AB201" i="20"/>
  <c r="AC206" i="20"/>
  <c r="AC269" i="20"/>
  <c r="AD213" i="20"/>
  <c r="AE255" i="20"/>
  <c r="AE190" i="20"/>
  <c r="AI232" i="20"/>
  <c r="AI190" i="20"/>
  <c r="AI284" i="20"/>
  <c r="W269" i="20"/>
  <c r="X209" i="20"/>
  <c r="Y280" i="20"/>
  <c r="Z236" i="20"/>
  <c r="AA207" i="20"/>
  <c r="AA284" i="20"/>
  <c r="AB272" i="20"/>
  <c r="AC235" i="20"/>
  <c r="AD206" i="20"/>
  <c r="AD194" i="20"/>
  <c r="AE201" i="20"/>
  <c r="AE282" i="20"/>
  <c r="AI200" i="20"/>
  <c r="AI209" i="20"/>
  <c r="I133" i="86" s="1"/>
  <c r="L133" i="86" s="1"/>
  <c r="W201" i="20"/>
  <c r="Y211" i="20"/>
  <c r="Z271" i="20"/>
  <c r="AB221" i="20"/>
  <c r="AC271" i="20"/>
  <c r="AE231" i="20"/>
  <c r="AI206" i="20"/>
  <c r="AI268" i="20"/>
  <c r="X221" i="20"/>
  <c r="Z201" i="20"/>
  <c r="AA271" i="20"/>
  <c r="AC201" i="20"/>
  <c r="AD280" i="20"/>
  <c r="AE268" i="20"/>
  <c r="AI194" i="20"/>
  <c r="X195" i="20"/>
  <c r="Z240" i="20"/>
  <c r="AA221" i="20"/>
  <c r="AC230" i="20"/>
  <c r="AD235" i="20"/>
  <c r="AC200" i="20"/>
  <c r="AI231" i="20"/>
  <c r="Y235" i="20"/>
  <c r="AD286" i="20"/>
  <c r="W277" i="20"/>
  <c r="W248" i="20"/>
  <c r="AC280" i="20"/>
  <c r="AI195" i="20"/>
  <c r="AE207" i="20"/>
  <c r="AI214" i="20"/>
  <c r="AD276" i="20"/>
  <c r="AA268" i="20"/>
  <c r="AD268" i="20"/>
  <c r="Z276" i="20"/>
  <c r="W205" i="20"/>
  <c r="AC285" i="20"/>
  <c r="AB210" i="20"/>
  <c r="W214" i="20"/>
  <c r="X199" i="20"/>
  <c r="Y273" i="20"/>
  <c r="X198" i="20"/>
  <c r="AB202" i="20"/>
  <c r="Y283" i="20"/>
  <c r="Y281" i="20"/>
  <c r="Y236" i="20"/>
  <c r="Y240" i="20"/>
  <c r="Y266" i="20"/>
  <c r="AA222" i="20"/>
  <c r="AB251" i="20"/>
  <c r="AE266" i="20"/>
  <c r="X287" i="20"/>
  <c r="X229" i="20"/>
  <c r="Y197" i="20"/>
  <c r="AD251" i="20"/>
  <c r="AA248" i="20"/>
  <c r="AI210" i="20"/>
  <c r="W281" i="20"/>
  <c r="AD210" i="20"/>
  <c r="AI274" i="20"/>
  <c r="AD247" i="20"/>
  <c r="Z237" i="20"/>
  <c r="AI225" i="20"/>
  <c r="AA210" i="20"/>
  <c r="AE197" i="20"/>
  <c r="X251" i="20"/>
  <c r="AC222" i="20"/>
  <c r="AA266" i="20"/>
  <c r="AE225" i="20"/>
  <c r="AC276" i="20"/>
  <c r="AC268" i="20"/>
  <c r="AC205" i="20"/>
  <c r="Y247" i="20"/>
  <c r="Y248" i="20"/>
  <c r="Y204" i="20"/>
  <c r="AE223" i="20"/>
  <c r="AD234" i="20"/>
  <c r="AD270" i="20"/>
  <c r="Z266" i="20"/>
  <c r="W274" i="20"/>
  <c r="AB285" i="20"/>
  <c r="AA228" i="20"/>
  <c r="X276" i="20"/>
  <c r="AC225" i="20"/>
  <c r="X223" i="20"/>
  <c r="AB240" i="20"/>
  <c r="W229" i="20"/>
  <c r="AJ671" i="20"/>
  <c r="AJ836" i="20"/>
  <c r="AJ522" i="20"/>
  <c r="AH603" i="20"/>
  <c r="H42" i="86" s="1"/>
  <c r="K42" i="86" s="1"/>
  <c r="AH75" i="20"/>
  <c r="AH255" i="20"/>
  <c r="AH216" i="20"/>
  <c r="AH327" i="20"/>
  <c r="AH718" i="20"/>
  <c r="AG568" i="20"/>
  <c r="AG680" i="20"/>
  <c r="AG183" i="20"/>
  <c r="AG605" i="20"/>
  <c r="AG787" i="20"/>
  <c r="AG499" i="20"/>
  <c r="AG447" i="20"/>
  <c r="AG227" i="20"/>
  <c r="AG836" i="20"/>
  <c r="AG827" i="20"/>
  <c r="AG563" i="20"/>
  <c r="AG879" i="20"/>
  <c r="AG330" i="20"/>
  <c r="AG794" i="20"/>
  <c r="AG210" i="20"/>
  <c r="AG522" i="20"/>
  <c r="AG676" i="20"/>
  <c r="AB48" i="20"/>
  <c r="Z47" i="20"/>
  <c r="AE48" i="20"/>
  <c r="AJ286" i="20"/>
  <c r="AH186" i="20"/>
  <c r="AG600" i="20"/>
  <c r="AG474" i="20"/>
  <c r="AG762" i="20"/>
  <c r="AG760" i="20"/>
  <c r="AH664" i="20"/>
  <c r="AH272" i="20"/>
  <c r="AG731" i="20"/>
  <c r="AG406" i="20"/>
  <c r="AG430" i="20"/>
  <c r="AG203" i="20"/>
  <c r="AA81" i="20"/>
  <c r="AI78" i="20"/>
  <c r="W74" i="20"/>
  <c r="AC126" i="20"/>
  <c r="AC168" i="20"/>
  <c r="AB168" i="20"/>
  <c r="Y94" i="20"/>
  <c r="AC106" i="20"/>
  <c r="Y95" i="20"/>
  <c r="AD92" i="20"/>
  <c r="Y97" i="20"/>
  <c r="AC90" i="20"/>
  <c r="AI101" i="20"/>
  <c r="Z102" i="20"/>
  <c r="AD94" i="20"/>
  <c r="AI98" i="20"/>
  <c r="AC104" i="20"/>
  <c r="Z220" i="20"/>
  <c r="AE177" i="20"/>
  <c r="AE103" i="20"/>
  <c r="AI96" i="20"/>
  <c r="I77" i="86" s="1"/>
  <c r="L77" i="86" s="1"/>
  <c r="AB97" i="20"/>
  <c r="Z215" i="20"/>
  <c r="AE215" i="20"/>
  <c r="AB93" i="20"/>
  <c r="X178" i="20"/>
  <c r="Y216" i="20"/>
  <c r="AC219" i="20"/>
  <c r="Z88" i="20"/>
  <c r="X176" i="20"/>
  <c r="AE175" i="20"/>
  <c r="AE182" i="20"/>
  <c r="AA182" i="20"/>
  <c r="AA180" i="20"/>
  <c r="AA181" i="20"/>
  <c r="W181" i="20"/>
  <c r="AC184" i="20"/>
  <c r="AC259" i="20"/>
  <c r="AE184" i="20"/>
  <c r="AI250" i="20"/>
  <c r="I119" i="86" s="1"/>
  <c r="L119" i="86" s="1"/>
  <c r="X263" i="20"/>
  <c r="AB263" i="20"/>
  <c r="Y257" i="20"/>
  <c r="Y189" i="20"/>
  <c r="Z203" i="20"/>
  <c r="AC203" i="20"/>
  <c r="Z187" i="20"/>
  <c r="AB189" i="20"/>
  <c r="AB187" i="20"/>
  <c r="AC187" i="20"/>
  <c r="AI186" i="20"/>
  <c r="AA188" i="20"/>
  <c r="X185" i="20"/>
  <c r="AD193" i="20"/>
  <c r="AE187" i="20"/>
  <c r="AC208" i="20"/>
  <c r="W280" i="20"/>
  <c r="X279" i="20"/>
  <c r="Y190" i="20"/>
  <c r="Z213" i="20"/>
  <c r="AA254" i="20"/>
  <c r="AA282" i="20"/>
  <c r="W227" i="20"/>
  <c r="X230" i="20"/>
  <c r="Y231" i="20"/>
  <c r="Z206" i="20"/>
  <c r="Z270" i="20"/>
  <c r="AA224" i="20"/>
  <c r="AB238" i="20"/>
  <c r="AC213" i="20"/>
  <c r="AD201" i="20"/>
  <c r="AD284" i="20"/>
  <c r="AE224" i="20"/>
  <c r="W213" i="20"/>
  <c r="X190" i="20"/>
  <c r="Y272" i="20"/>
  <c r="Z268" i="20"/>
  <c r="AA267" i="20"/>
  <c r="AB286" i="20"/>
  <c r="AC282" i="20"/>
  <c r="AD209" i="20"/>
  <c r="AE235" i="20"/>
  <c r="AI211" i="20"/>
  <c r="AI275" i="20"/>
  <c r="W233" i="20"/>
  <c r="X286" i="20"/>
  <c r="Z207" i="20"/>
  <c r="Z283" i="20"/>
  <c r="AB227" i="20"/>
  <c r="AC207" i="20"/>
  <c r="AC286" i="20"/>
  <c r="AD282" i="20"/>
  <c r="AE280" i="20"/>
  <c r="AI227" i="20"/>
  <c r="AI272" i="20"/>
  <c r="X200" i="20"/>
  <c r="Z224" i="20"/>
  <c r="AB267" i="20"/>
  <c r="AD224" i="20"/>
  <c r="AE277" i="20"/>
  <c r="W240" i="20"/>
  <c r="Y226" i="20"/>
  <c r="AA238" i="20"/>
  <c r="AC209" i="20"/>
  <c r="AE211" i="20"/>
  <c r="AI221" i="20"/>
  <c r="I132" i="86" s="1"/>
  <c r="L132" i="86" s="1"/>
  <c r="X269" i="20"/>
  <c r="Z275" i="20"/>
  <c r="AB271" i="20"/>
  <c r="X233" i="20"/>
  <c r="AE212" i="20"/>
  <c r="W224" i="20"/>
  <c r="AE226" i="20"/>
  <c r="AD211" i="20"/>
  <c r="AB195" i="20"/>
  <c r="AI279" i="20"/>
  <c r="AI254" i="20"/>
  <c r="AI287" i="20"/>
  <c r="AC210" i="20"/>
  <c r="AD199" i="20"/>
  <c r="Z214" i="20"/>
  <c r="AE285" i="20"/>
  <c r="AE237" i="20"/>
  <c r="AE251" i="20"/>
  <c r="AA276" i="20"/>
  <c r="AA225" i="20"/>
  <c r="Y287" i="20"/>
  <c r="Y205" i="20"/>
  <c r="X232" i="20"/>
  <c r="AA287" i="20"/>
  <c r="AB237" i="20"/>
  <c r="AC202" i="20"/>
  <c r="AA234" i="20"/>
  <c r="X247" i="20"/>
  <c r="AE248" i="20"/>
  <c r="AD236" i="20"/>
  <c r="AI237" i="20"/>
  <c r="AI270" i="20"/>
  <c r="AA199" i="20"/>
  <c r="AD248" i="20"/>
  <c r="Y228" i="20"/>
  <c r="AE273" i="20"/>
  <c r="AA214" i="20"/>
  <c r="AB199" i="20"/>
  <c r="AE276" i="20"/>
  <c r="AA202" i="20"/>
  <c r="AC287" i="20"/>
  <c r="AC281" i="20"/>
  <c r="AB232" i="20"/>
  <c r="AC204" i="20"/>
  <c r="AI229" i="20"/>
  <c r="Y210" i="20"/>
  <c r="AD196" i="20"/>
  <c r="AC237" i="20"/>
  <c r="AE210" i="20"/>
  <c r="AE236" i="20"/>
  <c r="AE202" i="20"/>
  <c r="X236" i="20"/>
  <c r="AE229" i="20"/>
  <c r="AI251" i="20"/>
  <c r="W223" i="20"/>
  <c r="Z202" i="20"/>
  <c r="X214" i="20"/>
  <c r="AB283" i="20"/>
  <c r="AC234" i="20"/>
  <c r="W273" i="20"/>
  <c r="X266" i="20"/>
  <c r="AB247" i="20"/>
  <c r="W197" i="20"/>
  <c r="AE198" i="20"/>
  <c r="AB223" i="20"/>
  <c r="AI234" i="20"/>
  <c r="W276" i="20"/>
  <c r="AB270" i="20"/>
  <c r="AA522" i="20"/>
  <c r="X520" i="20"/>
  <c r="AC523" i="20"/>
  <c r="Y521" i="20"/>
  <c r="Y522" i="20"/>
  <c r="W524" i="20"/>
  <c r="AD521" i="20"/>
  <c r="AE522" i="20"/>
  <c r="AI524" i="20"/>
  <c r="Z521" i="20"/>
  <c r="AB522" i="20"/>
  <c r="AA521" i="20"/>
  <c r="AD524" i="20"/>
  <c r="W300" i="20"/>
  <c r="Y300" i="20"/>
  <c r="AB303" i="20"/>
  <c r="X303" i="20"/>
  <c r="W298" i="20"/>
  <c r="AI298" i="20"/>
  <c r="M15" i="37" s="1"/>
  <c r="W303" i="20"/>
  <c r="W323" i="20"/>
  <c r="X324" i="20"/>
  <c r="X456" i="20"/>
  <c r="Y422" i="20"/>
  <c r="Z330" i="20"/>
  <c r="Z464" i="20"/>
  <c r="AA329" i="20"/>
  <c r="AA435" i="20"/>
  <c r="AB453" i="20"/>
  <c r="AC470" i="20"/>
  <c r="AC427" i="20"/>
  <c r="AD345" i="20"/>
  <c r="AD434" i="20"/>
  <c r="AE453" i="20"/>
  <c r="AI341" i="20"/>
  <c r="W441" i="20"/>
  <c r="X329" i="20"/>
  <c r="X435" i="20"/>
  <c r="Y443" i="20"/>
  <c r="Z324" i="20"/>
  <c r="Z457" i="20"/>
  <c r="AA322" i="20"/>
  <c r="AA434" i="20"/>
  <c r="AB436" i="20"/>
  <c r="AC333" i="20"/>
  <c r="AC435" i="20"/>
  <c r="AD422" i="20"/>
  <c r="AD312" i="20"/>
  <c r="AE436" i="20"/>
  <c r="AI464" i="20"/>
  <c r="W470" i="20"/>
  <c r="X322" i="20"/>
  <c r="X434" i="20"/>
  <c r="Y341" i="20"/>
  <c r="Z328" i="20"/>
  <c r="Z460" i="20"/>
  <c r="AA332" i="20"/>
  <c r="AB330" i="20"/>
  <c r="AB466" i="20"/>
  <c r="AC345" i="20"/>
  <c r="AC434" i="20"/>
  <c r="AD443" i="20"/>
  <c r="AE330" i="20"/>
  <c r="AE466" i="20"/>
  <c r="AI460" i="20"/>
  <c r="W345" i="20"/>
  <c r="X332" i="20"/>
  <c r="Y330" i="20"/>
  <c r="Y464" i="20"/>
  <c r="Z329" i="20"/>
  <c r="Z433" i="20"/>
  <c r="AA323" i="20"/>
  <c r="AB324" i="20"/>
  <c r="AB456" i="20"/>
  <c r="AC422" i="20"/>
  <c r="AC312" i="20"/>
  <c r="AD341" i="20"/>
  <c r="AE324" i="20"/>
  <c r="AE456" i="20"/>
  <c r="AI433" i="20"/>
  <c r="AD321" i="20"/>
  <c r="X325" i="20"/>
  <c r="Y432" i="20"/>
  <c r="AI331" i="20"/>
  <c r="AD424" i="20"/>
  <c r="AE454" i="20"/>
  <c r="X321" i="20"/>
  <c r="AI312" i="20"/>
  <c r="AE333" i="20"/>
  <c r="W347" i="20"/>
  <c r="AA431" i="20"/>
  <c r="X432" i="20"/>
  <c r="AC331" i="20"/>
  <c r="AI319" i="20"/>
  <c r="I26" i="86" s="1"/>
  <c r="L26" i="86" s="1"/>
  <c r="AI454" i="20"/>
  <c r="AB321" i="20"/>
  <c r="AI427" i="20"/>
  <c r="AE325" i="20"/>
  <c r="W463" i="20"/>
  <c r="AC431" i="20"/>
  <c r="X312" i="20"/>
  <c r="X320" i="20"/>
  <c r="Y424" i="20"/>
  <c r="Y326" i="20"/>
  <c r="AD326" i="20"/>
  <c r="Y430" i="20"/>
  <c r="AI347" i="20"/>
  <c r="AE320" i="20"/>
  <c r="W457" i="20"/>
  <c r="AB320" i="20"/>
  <c r="AE319" i="20"/>
  <c r="AB424" i="20"/>
  <c r="X326" i="20"/>
  <c r="X468" i="20"/>
  <c r="AI430" i="20"/>
  <c r="Z319" i="20"/>
  <c r="AI325" i="20"/>
  <c r="AA463" i="20"/>
  <c r="W328" i="20"/>
  <c r="AI431" i="20"/>
  <c r="AC245" i="20"/>
  <c r="AE244" i="20"/>
  <c r="W244" i="20"/>
  <c r="X258" i="20"/>
  <c r="AC239" i="20"/>
  <c r="X246" i="20"/>
  <c r="X264" i="20"/>
  <c r="X242" i="20"/>
  <c r="X265" i="20"/>
  <c r="AD239" i="20"/>
  <c r="AB241" i="20"/>
  <c r="AA260" i="20"/>
  <c r="AI243" i="20"/>
  <c r="AA246" i="20"/>
  <c r="AI264" i="20"/>
  <c r="W310" i="20"/>
  <c r="AA310" i="20"/>
  <c r="AE310" i="20"/>
  <c r="AB246" i="20"/>
  <c r="AI241" i="20"/>
  <c r="AA241" i="20"/>
  <c r="AE265" i="20"/>
  <c r="AI242" i="20"/>
  <c r="AA261" i="20"/>
  <c r="W299" i="20"/>
  <c r="AA299" i="20"/>
  <c r="AE299" i="20"/>
  <c r="AD242" i="20"/>
  <c r="W241" i="20"/>
  <c r="AI260" i="20"/>
  <c r="AC246" i="20"/>
  <c r="AC264" i="20"/>
  <c r="W302" i="20"/>
  <c r="AA302" i="20"/>
  <c r="AE302" i="20"/>
  <c r="AI239" i="20"/>
  <c r="Y241" i="20"/>
  <c r="AD260" i="20"/>
  <c r="AJ652" i="20"/>
  <c r="AH438" i="20"/>
  <c r="AG217" i="20"/>
  <c r="AG569" i="20"/>
  <c r="AG807" i="20"/>
  <c r="AG326" i="20"/>
  <c r="AG629" i="20"/>
  <c r="W47" i="20"/>
  <c r="Z78" i="20"/>
  <c r="X75" i="20"/>
  <c r="AD82" i="20"/>
  <c r="AB128" i="20"/>
  <c r="AI126" i="20"/>
  <c r="Y168" i="20"/>
  <c r="X125" i="20"/>
  <c r="Z107" i="20"/>
  <c r="AI95" i="20"/>
  <c r="Z96" i="20"/>
  <c r="AI97" i="20"/>
  <c r="Z105" i="20"/>
  <c r="AD104" i="20"/>
  <c r="X105" i="20"/>
  <c r="AB102" i="20"/>
  <c r="AI102" i="20"/>
  <c r="AE107" i="20"/>
  <c r="W177" i="20"/>
  <c r="AC220" i="20"/>
  <c r="Y89" i="20"/>
  <c r="W92" i="20"/>
  <c r="AB98" i="20"/>
  <c r="W215" i="20"/>
  <c r="AC218" i="20"/>
  <c r="AE96" i="20"/>
  <c r="AC89" i="20"/>
  <c r="AA219" i="20"/>
  <c r="AI178" i="20"/>
  <c r="Y217" i="20"/>
  <c r="AD216" i="20"/>
  <c r="Z179" i="20"/>
  <c r="W180" i="20"/>
  <c r="AE179" i="20"/>
  <c r="Y175" i="20"/>
  <c r="AI176" i="20"/>
  <c r="Y180" i="20"/>
  <c r="AC183" i="20"/>
  <c r="X183" i="20"/>
  <c r="X184" i="20"/>
  <c r="W263" i="20"/>
  <c r="AI263" i="20"/>
  <c r="AC262" i="20"/>
  <c r="X253" i="20"/>
  <c r="W262" i="20"/>
  <c r="Y188" i="20"/>
  <c r="AC185" i="20"/>
  <c r="X203" i="20"/>
  <c r="AI191" i="20"/>
  <c r="AE192" i="20"/>
  <c r="AB191" i="20"/>
  <c r="Z192" i="20"/>
  <c r="AB193" i="20"/>
  <c r="W192" i="20"/>
  <c r="AA189" i="20"/>
  <c r="AA186" i="20"/>
  <c r="AI208" i="20"/>
  <c r="W230" i="20"/>
  <c r="X231" i="20"/>
  <c r="Y207" i="20"/>
  <c r="Z248" i="20"/>
  <c r="Z269" i="20"/>
  <c r="AA233" i="20"/>
  <c r="AB213" i="20"/>
  <c r="W209" i="20"/>
  <c r="X280" i="20"/>
  <c r="Y279" i="20"/>
  <c r="Z238" i="20"/>
  <c r="AA206" i="20"/>
  <c r="AA286" i="20"/>
  <c r="AB282" i="20"/>
  <c r="AC267" i="20"/>
  <c r="AD190" i="20"/>
  <c r="AE247" i="20"/>
  <c r="AE271" i="20"/>
  <c r="W267" i="20"/>
  <c r="Y200" i="20"/>
  <c r="Z199" i="20"/>
  <c r="AA195" i="20"/>
  <c r="AB190" i="20"/>
  <c r="AC238" i="20"/>
  <c r="AD227" i="20"/>
  <c r="AE230" i="20"/>
  <c r="AE267" i="20"/>
  <c r="AI233" i="20"/>
  <c r="W254" i="20"/>
  <c r="X227" i="20"/>
  <c r="Y238" i="20"/>
  <c r="Z190" i="20"/>
  <c r="AA226" i="20"/>
  <c r="AB279" i="20"/>
  <c r="AC190" i="20"/>
  <c r="AD238" i="20"/>
  <c r="AE195" i="20"/>
  <c r="AI255" i="20"/>
  <c r="AI224" i="20"/>
  <c r="AI277" i="20"/>
  <c r="Y275" i="20"/>
  <c r="AA279" i="20"/>
  <c r="AC226" i="20"/>
  <c r="AE238" i="20"/>
  <c r="AI235" i="20"/>
  <c r="X206" i="20"/>
  <c r="Z281" i="20"/>
  <c r="AB269" i="20"/>
  <c r="AD200" i="20"/>
  <c r="AI230" i="20"/>
  <c r="W212" i="20"/>
  <c r="Y209" i="20"/>
  <c r="AA277" i="20"/>
  <c r="AC272" i="20"/>
  <c r="AA275" i="20"/>
  <c r="AI226" i="20"/>
  <c r="AB209" i="20"/>
  <c r="AI269" i="20"/>
  <c r="I110" i="86" s="1"/>
  <c r="L110" i="86" s="1"/>
  <c r="X284" i="20"/>
  <c r="AE199" i="20"/>
  <c r="AB277" i="20"/>
  <c r="W236" i="20"/>
  <c r="AD225" i="20"/>
  <c r="AE205" i="20"/>
  <c r="Z198" i="20"/>
  <c r="AI276" i="20"/>
  <c r="W210" i="20"/>
  <c r="AB214" i="20"/>
  <c r="AC273" i="20"/>
  <c r="AB266" i="20"/>
  <c r="X234" i="20"/>
  <c r="Y274" i="20"/>
  <c r="Y229" i="20"/>
  <c r="AE287" i="20"/>
  <c r="Z204" i="20"/>
  <c r="W251" i="20"/>
  <c r="W204" i="20"/>
  <c r="X270" i="20"/>
  <c r="AC197" i="20"/>
  <c r="AI247" i="20"/>
  <c r="Z251" i="20"/>
  <c r="W283" i="20"/>
  <c r="AD237" i="20"/>
  <c r="AD274" i="20"/>
  <c r="Z210" i="20"/>
  <c r="W268" i="20"/>
  <c r="AB222" i="20"/>
  <c r="AB228" i="20"/>
  <c r="AA281" i="20"/>
  <c r="AB198" i="20"/>
  <c r="AB234" i="20"/>
  <c r="AC274" i="20"/>
  <c r="AC229" i="20"/>
  <c r="AC240" i="20"/>
  <c r="W270" i="20"/>
  <c r="AD204" i="20"/>
  <c r="AD287" i="20"/>
  <c r="Z197" i="20"/>
  <c r="AI202" i="20"/>
  <c r="X197" i="20"/>
  <c r="AA198" i="20"/>
  <c r="X274" i="20"/>
  <c r="Y196" i="20"/>
  <c r="AI273" i="20"/>
  <c r="AD273" i="20"/>
  <c r="AD232" i="20"/>
  <c r="AA285" i="20"/>
  <c r="AB276" i="20"/>
  <c r="AB236" i="20"/>
  <c r="W196" i="20"/>
  <c r="AE228" i="20"/>
  <c r="AB268" i="20"/>
  <c r="AI198" i="20"/>
  <c r="Y198" i="20"/>
  <c r="Y276" i="20"/>
  <c r="AB248" i="20"/>
  <c r="AB197" i="20"/>
  <c r="AE234" i="20"/>
  <c r="AE196" i="20"/>
  <c r="AB523" i="20"/>
  <c r="Y520" i="20"/>
  <c r="AB521" i="20"/>
  <c r="AI522" i="20"/>
  <c r="AD523" i="20"/>
  <c r="Z524" i="20"/>
  <c r="Z520" i="20"/>
  <c r="AE523" i="20"/>
  <c r="W521" i="20"/>
  <c r="AD520" i="20"/>
  <c r="X523" i="20"/>
  <c r="AC522" i="20"/>
  <c r="Y303" i="20"/>
  <c r="Y298" i="20"/>
  <c r="AI300" i="20"/>
  <c r="I39" i="86" s="1"/>
  <c r="L39" i="86" s="1"/>
  <c r="AE300" i="20"/>
  <c r="AA300" i="20"/>
  <c r="AI303" i="20"/>
  <c r="AB298" i="20"/>
  <c r="F15" i="37" s="1"/>
  <c r="AA303" i="20"/>
  <c r="W433" i="20"/>
  <c r="X422" i="20"/>
  <c r="Y320" i="20"/>
  <c r="Y453" i="20"/>
  <c r="Z325" i="20"/>
  <c r="Z466" i="20"/>
  <c r="AA341" i="20"/>
  <c r="AB441" i="20"/>
  <c r="AC328" i="20"/>
  <c r="AC460" i="20"/>
  <c r="AD322" i="20"/>
  <c r="AD463" i="20"/>
  <c r="AE441" i="20"/>
  <c r="AI329" i="20"/>
  <c r="AI435" i="20"/>
  <c r="W453" i="20"/>
  <c r="X341" i="20"/>
  <c r="Y332" i="20"/>
  <c r="Y436" i="20"/>
  <c r="Z441" i="20"/>
  <c r="Z456" i="20"/>
  <c r="AA464" i="20"/>
  <c r="AB470" i="20"/>
  <c r="AC329" i="20"/>
  <c r="AC433" i="20"/>
  <c r="AD320" i="20"/>
  <c r="AD453" i="20"/>
  <c r="AE470" i="20"/>
  <c r="AI322" i="20"/>
  <c r="AI434" i="20"/>
  <c r="W436" i="20"/>
  <c r="X464" i="20"/>
  <c r="Y323" i="20"/>
  <c r="Y347" i="20"/>
  <c r="Z470" i="20"/>
  <c r="Z427" i="20"/>
  <c r="AA460" i="20"/>
  <c r="AB345" i="20"/>
  <c r="AC322" i="20"/>
  <c r="AC463" i="20"/>
  <c r="AD332" i="20"/>
  <c r="AD436" i="20"/>
  <c r="AE345" i="20"/>
  <c r="AI332" i="20"/>
  <c r="W330" i="20"/>
  <c r="W466" i="20"/>
  <c r="X460" i="20"/>
  <c r="Y325" i="20"/>
  <c r="Y466" i="20"/>
  <c r="Z333" i="20"/>
  <c r="Z435" i="20"/>
  <c r="AA433" i="20"/>
  <c r="AB422" i="20"/>
  <c r="AC320" i="20"/>
  <c r="AC453" i="20"/>
  <c r="AD323" i="20"/>
  <c r="AD347" i="20"/>
  <c r="AE422" i="20"/>
  <c r="AI323" i="20"/>
  <c r="X431" i="20"/>
  <c r="X463" i="20"/>
  <c r="AC319" i="20"/>
  <c r="W432" i="20"/>
  <c r="AB326" i="20"/>
  <c r="AB468" i="20"/>
  <c r="X430" i="20"/>
  <c r="Z468" i="20"/>
  <c r="AI320" i="20"/>
  <c r="AA457" i="20"/>
  <c r="AB347" i="20"/>
  <c r="AB319" i="20"/>
  <c r="AE424" i="20"/>
  <c r="AE331" i="20"/>
  <c r="AC454" i="20"/>
  <c r="AB430" i="20"/>
  <c r="Z432" i="20"/>
  <c r="AI328" i="20"/>
  <c r="AA443" i="20"/>
  <c r="AB463" i="20"/>
  <c r="AD468" i="20"/>
  <c r="X457" i="20"/>
  <c r="AA319" i="20"/>
  <c r="AA424" i="20"/>
  <c r="AA326" i="20"/>
  <c r="AA468" i="20"/>
  <c r="Z454" i="20"/>
  <c r="AE312" i="20"/>
  <c r="AA333" i="20"/>
  <c r="AB312" i="20"/>
  <c r="Z431" i="20"/>
  <c r="AA432" i="20"/>
  <c r="AA331" i="20"/>
  <c r="AD432" i="20"/>
  <c r="W454" i="20"/>
  <c r="AE321" i="20"/>
  <c r="Z326" i="20"/>
  <c r="AE443" i="20"/>
  <c r="W427" i="20"/>
  <c r="AB443" i="20"/>
  <c r="AE431" i="20"/>
  <c r="X245" i="20"/>
  <c r="W239" i="20"/>
  <c r="AB244" i="20"/>
  <c r="W264" i="20"/>
  <c r="W246" i="20"/>
  <c r="AI246" i="20"/>
  <c r="W242" i="20"/>
  <c r="AE245" i="20"/>
  <c r="AD246" i="20"/>
  <c r="Z264" i="20"/>
  <c r="Z245" i="20"/>
  <c r="Y260" i="20"/>
  <c r="AA243" i="20"/>
  <c r="Y258" i="20"/>
  <c r="AB278" i="20"/>
  <c r="Y310" i="20"/>
  <c r="AC310" i="20"/>
  <c r="Z246" i="20"/>
  <c r="AA239" i="20"/>
  <c r="W260" i="20"/>
  <c r="AI245" i="20"/>
  <c r="X239" i="20"/>
  <c r="AA242" i="20"/>
  <c r="AE264" i="20"/>
  <c r="Y299" i="20"/>
  <c r="AC299" i="20"/>
  <c r="AD278" i="20"/>
  <c r="AC260" i="20"/>
  <c r="Z260" i="20"/>
  <c r="AC243" i="20"/>
  <c r="AI258" i="20"/>
  <c r="AC278" i="20"/>
  <c r="Y302" i="20"/>
  <c r="AC302" i="20"/>
  <c r="Z239" i="20"/>
  <c r="AC244" i="20"/>
  <c r="AD245" i="20"/>
  <c r="AH672" i="20"/>
  <c r="AG501" i="20"/>
  <c r="AE78" i="20"/>
  <c r="AI87" i="20"/>
  <c r="Z127" i="20"/>
  <c r="Z125" i="20"/>
  <c r="AD102" i="20"/>
  <c r="AD103" i="20"/>
  <c r="AC103" i="20"/>
  <c r="Z106" i="20"/>
  <c r="AE104" i="20"/>
  <c r="AA220" i="20"/>
  <c r="AB104" i="20"/>
  <c r="Y88" i="20"/>
  <c r="AI215" i="20"/>
  <c r="Y219" i="20"/>
  <c r="AD219" i="20"/>
  <c r="AD182" i="20"/>
  <c r="W182" i="20"/>
  <c r="AI181" i="20"/>
  <c r="AE183" i="20"/>
  <c r="Z263" i="20"/>
  <c r="AB259" i="20"/>
  <c r="X259" i="20"/>
  <c r="AA185" i="20"/>
  <c r="AI188" i="20"/>
  <c r="X193" i="20"/>
  <c r="X187" i="20"/>
  <c r="AE191" i="20"/>
  <c r="Y192" i="20"/>
  <c r="AB208" i="20"/>
  <c r="X194" i="20"/>
  <c r="Z233" i="20"/>
  <c r="AB255" i="20"/>
  <c r="X211" i="20"/>
  <c r="Z230" i="20"/>
  <c r="AA205" i="20"/>
  <c r="AC224" i="20"/>
  <c r="AE206" i="20"/>
  <c r="W279" i="20"/>
  <c r="Z227" i="20"/>
  <c r="AB207" i="20"/>
  <c r="AD254" i="20"/>
  <c r="AE275" i="20"/>
  <c r="AI267" i="20"/>
  <c r="Y230" i="20"/>
  <c r="AA247" i="20"/>
  <c r="AC211" i="20"/>
  <c r="AE254" i="20"/>
  <c r="AI238" i="20"/>
  <c r="X272" i="20"/>
  <c r="AC227" i="20"/>
  <c r="AI212" i="20"/>
  <c r="Z255" i="20"/>
  <c r="AD255" i="20"/>
  <c r="AI286" i="20"/>
  <c r="I7" i="86" s="1"/>
  <c r="L7" i="86" s="1"/>
  <c r="AA240" i="20"/>
  <c r="Z211" i="20"/>
  <c r="Z286" i="20"/>
  <c r="AI236" i="20"/>
  <c r="Y286" i="20"/>
  <c r="AD198" i="20"/>
  <c r="AD240" i="20"/>
  <c r="AA273" i="20"/>
  <c r="AE283" i="20"/>
  <c r="W202" i="20"/>
  <c r="Y223" i="20"/>
  <c r="W287" i="20"/>
  <c r="Y251" i="20"/>
  <c r="X248" i="20"/>
  <c r="Z222" i="20"/>
  <c r="AD285" i="20"/>
  <c r="Z285" i="20"/>
  <c r="W222" i="20"/>
  <c r="AE281" i="20"/>
  <c r="W234" i="20"/>
  <c r="AC223" i="20"/>
  <c r="AA270" i="20"/>
  <c r="AI223" i="20"/>
  <c r="AI266" i="20"/>
  <c r="AA236" i="20"/>
  <c r="AC247" i="20"/>
  <c r="AI196" i="20"/>
  <c r="Y237" i="20"/>
  <c r="AB281" i="20"/>
  <c r="AA237" i="20"/>
  <c r="AA196" i="20"/>
  <c r="X202" i="20"/>
  <c r="X210" i="20"/>
  <c r="AB229" i="20"/>
  <c r="AC521" i="20"/>
  <c r="AI520" i="20"/>
  <c r="AC524" i="20"/>
  <c r="Z522" i="20"/>
  <c r="AE521" i="20"/>
  <c r="W522" i="20"/>
  <c r="AC300" i="20"/>
  <c r="Z300" i="20"/>
  <c r="X298" i="20"/>
  <c r="AE298" i="20"/>
  <c r="I15" i="37" s="1"/>
  <c r="X323" i="20"/>
  <c r="Y457" i="20"/>
  <c r="Z463" i="20"/>
  <c r="AB329" i="20"/>
  <c r="AC443" i="20"/>
  <c r="AD464" i="20"/>
  <c r="AE435" i="20"/>
  <c r="W341" i="20"/>
  <c r="Y328" i="20"/>
  <c r="Z320" i="20"/>
  <c r="AA470" i="20"/>
  <c r="AB434" i="20"/>
  <c r="AD324" i="20"/>
  <c r="AE322" i="20"/>
  <c r="AI436" i="20"/>
  <c r="X470" i="20"/>
  <c r="Y433" i="20"/>
  <c r="Z436" i="20"/>
  <c r="AB332" i="20"/>
  <c r="AC464" i="20"/>
  <c r="AD460" i="20"/>
  <c r="AI330" i="20"/>
  <c r="W460" i="20"/>
  <c r="Y322" i="20"/>
  <c r="Z323" i="20"/>
  <c r="AA422" i="20"/>
  <c r="AC324" i="20"/>
  <c r="AD329" i="20"/>
  <c r="AE323" i="20"/>
  <c r="AI456" i="20"/>
  <c r="X328" i="20"/>
  <c r="W331" i="20"/>
  <c r="AA454" i="20"/>
  <c r="AI457" i="20"/>
  <c r="W333" i="20"/>
  <c r="AE432" i="20"/>
  <c r="AD331" i="20"/>
  <c r="AI321" i="20"/>
  <c r="AA427" i="20"/>
  <c r="Y431" i="20"/>
  <c r="Y312" i="20"/>
  <c r="AI326" i="20"/>
  <c r="AA430" i="20"/>
  <c r="AA347" i="20"/>
  <c r="W431" i="20"/>
  <c r="AI424" i="20"/>
  <c r="AE468" i="20"/>
  <c r="Z430" i="20"/>
  <c r="AA325" i="20"/>
  <c r="AB431" i="20"/>
  <c r="W265" i="20"/>
  <c r="X260" i="20"/>
  <c r="AD261" i="20"/>
  <c r="Z261" i="20"/>
  <c r="AA244" i="20"/>
  <c r="AD265" i="20"/>
  <c r="AE258" i="20"/>
  <c r="X310" i="20"/>
  <c r="AI310" i="20"/>
  <c r="Y244" i="20"/>
  <c r="Y265" i="20"/>
  <c r="Z258" i="20"/>
  <c r="AB299" i="20"/>
  <c r="Y239" i="20"/>
  <c r="X243" i="20"/>
  <c r="AA264" i="20"/>
  <c r="AB302" i="20"/>
  <c r="AI244" i="20"/>
  <c r="AD243" i="20"/>
  <c r="Y261" i="20"/>
  <c r="AE278" i="20"/>
  <c r="Z307" i="20"/>
  <c r="AE307" i="20"/>
  <c r="AB309" i="20"/>
  <c r="Z309" i="20"/>
  <c r="AA305" i="20"/>
  <c r="AE309" i="20"/>
  <c r="AE340" i="20"/>
  <c r="W306" i="20"/>
  <c r="AA340" i="20"/>
  <c r="AE305" i="20"/>
  <c r="W459" i="20"/>
  <c r="AB306" i="20"/>
  <c r="Z305" i="20"/>
  <c r="AB301" i="20"/>
  <c r="AE459" i="20"/>
  <c r="AI305" i="20"/>
  <c r="Y306" i="20"/>
  <c r="AB296" i="20"/>
  <c r="AB459" i="20"/>
  <c r="Y296" i="20"/>
  <c r="AD447" i="20"/>
  <c r="AA449" i="20"/>
  <c r="AB449" i="20"/>
  <c r="AB446" i="20"/>
  <c r="W446" i="20"/>
  <c r="AC458" i="20"/>
  <c r="Y447" i="20"/>
  <c r="AI449" i="20"/>
  <c r="Y458" i="20"/>
  <c r="AI446" i="20"/>
  <c r="Z458" i="20"/>
  <c r="AA437" i="20"/>
  <c r="AA447" i="20"/>
  <c r="AE462" i="20"/>
  <c r="X446" i="20"/>
  <c r="AE316" i="20"/>
  <c r="Y317" i="20"/>
  <c r="AA315" i="20"/>
  <c r="AI317" i="20"/>
  <c r="AB316" i="20"/>
  <c r="Y314" i="20"/>
  <c r="Z315" i="20"/>
  <c r="X316" i="20"/>
  <c r="Y315" i="20"/>
  <c r="X317" i="20"/>
  <c r="AA294" i="20"/>
  <c r="AB293" i="20"/>
  <c r="AC291" i="20"/>
  <c r="AI294" i="20"/>
  <c r="AI290" i="20"/>
  <c r="X295" i="20"/>
  <c r="Z294" i="20"/>
  <c r="Y293" i="20"/>
  <c r="Z295" i="20"/>
  <c r="Y294" i="20"/>
  <c r="AC293" i="20"/>
  <c r="AA295" i="20"/>
  <c r="Y339" i="20"/>
  <c r="Z336" i="20"/>
  <c r="Y335" i="20"/>
  <c r="AC339" i="20"/>
  <c r="AA336" i="20"/>
  <c r="AA337" i="20"/>
  <c r="AI336" i="20"/>
  <c r="AC338" i="20"/>
  <c r="AE337" i="20"/>
  <c r="AI339" i="20"/>
  <c r="AB338" i="20"/>
  <c r="AI335" i="20"/>
  <c r="AA335" i="20"/>
  <c r="AC419" i="20"/>
  <c r="AE413" i="20"/>
  <c r="AI406" i="20"/>
  <c r="W349" i="20"/>
  <c r="AB389" i="20"/>
  <c r="AA642" i="20"/>
  <c r="Y634" i="20"/>
  <c r="AE630" i="20"/>
  <c r="W342" i="20"/>
  <c r="Z355" i="20"/>
  <c r="AC426" i="20"/>
  <c r="AI448" i="20"/>
  <c r="AI461" i="20"/>
  <c r="AB473" i="20"/>
  <c r="AD484" i="20"/>
  <c r="X503" i="20"/>
  <c r="Z419" i="20"/>
  <c r="AE406" i="20"/>
  <c r="AI349" i="20"/>
  <c r="X366" i="20"/>
  <c r="Y638" i="20"/>
  <c r="W634" i="20"/>
  <c r="AI297" i="20"/>
  <c r="AE402" i="20"/>
  <c r="AB438" i="20"/>
  <c r="AC461" i="20"/>
  <c r="AD467" i="20"/>
  <c r="AC484" i="20"/>
  <c r="AI503" i="20"/>
  <c r="AA496" i="20"/>
  <c r="AC492" i="20"/>
  <c r="AI504" i="20"/>
  <c r="AA363" i="20"/>
  <c r="AC406" i="20"/>
  <c r="X389" i="20"/>
  <c r="X642" i="20"/>
  <c r="Z634" i="20"/>
  <c r="W297" i="20"/>
  <c r="Z342" i="20"/>
  <c r="AA355" i="20"/>
  <c r="Z438" i="20"/>
  <c r="AC467" i="20"/>
  <c r="Y486" i="20"/>
  <c r="AI499" i="20"/>
  <c r="AC496" i="20"/>
  <c r="AB504" i="20"/>
  <c r="AD511" i="20"/>
  <c r="AD507" i="20"/>
  <c r="AI534" i="20"/>
  <c r="X547" i="20"/>
  <c r="X557" i="20"/>
  <c r="AE562" i="20"/>
  <c r="AE576" i="20"/>
  <c r="X588" i="20"/>
  <c r="AI580" i="20"/>
  <c r="AB594" i="20"/>
  <c r="W610" i="20"/>
  <c r="AD602" i="20"/>
  <c r="X698" i="20"/>
  <c r="AI703" i="20"/>
  <c r="AC712" i="20"/>
  <c r="AC720" i="20"/>
  <c r="AE725" i="20"/>
  <c r="AC363" i="20"/>
  <c r="X406" i="20"/>
  <c r="AE642" i="20"/>
  <c r="AB342" i="20"/>
  <c r="W448" i="20"/>
  <c r="AA484" i="20"/>
  <c r="AD499" i="20"/>
  <c r="W511" i="20"/>
  <c r="Z527" i="20"/>
  <c r="Z547" i="20"/>
  <c r="AD557" i="20"/>
  <c r="AA576" i="20"/>
  <c r="Z588" i="20"/>
  <c r="X584" i="20"/>
  <c r="Z598" i="20"/>
  <c r="X606" i="20"/>
  <c r="W628" i="20"/>
  <c r="AC703" i="20"/>
  <c r="AA725" i="20"/>
  <c r="AI736" i="20"/>
  <c r="W741" i="20"/>
  <c r="AC747" i="20"/>
  <c r="AA749" i="20"/>
  <c r="AD757" i="20"/>
  <c r="Y767" i="20"/>
  <c r="Z763" i="20"/>
  <c r="Y759" i="20"/>
  <c r="Y789" i="20"/>
  <c r="AA785" i="20"/>
  <c r="AA796" i="20"/>
  <c r="AI798" i="20"/>
  <c r="AD808" i="20"/>
  <c r="Y406" i="20"/>
  <c r="AA389" i="20"/>
  <c r="AB634" i="20"/>
  <c r="AI342" i="20"/>
  <c r="AD426" i="20"/>
  <c r="AG519" i="20"/>
  <c r="AB75" i="20"/>
  <c r="X82" i="20"/>
  <c r="W127" i="20"/>
  <c r="Y125" i="20"/>
  <c r="AI103" i="20"/>
  <c r="AI105" i="20"/>
  <c r="I145" i="86" s="1"/>
  <c r="L145" i="86" s="1"/>
  <c r="AD96" i="20"/>
  <c r="AC91" i="20"/>
  <c r="AB89" i="20"/>
  <c r="AC177" i="20"/>
  <c r="AC98" i="20"/>
  <c r="X215" i="20"/>
  <c r="AE89" i="20"/>
  <c r="AA178" i="20"/>
  <c r="AB178" i="20"/>
  <c r="W176" i="20"/>
  <c r="AE181" i="20"/>
  <c r="AA176" i="20"/>
  <c r="W184" i="20"/>
  <c r="AI184" i="20"/>
  <c r="AE262" i="20"/>
  <c r="AA203" i="20"/>
  <c r="Z189" i="20"/>
  <c r="AD188" i="20"/>
  <c r="AI185" i="20"/>
  <c r="AB185" i="20"/>
  <c r="AD192" i="20"/>
  <c r="W211" i="20"/>
  <c r="Y195" i="20"/>
  <c r="Z274" i="20"/>
  <c r="AB224" i="20"/>
  <c r="X275" i="20"/>
  <c r="Z229" i="20"/>
  <c r="AB254" i="20"/>
  <c r="AC277" i="20"/>
  <c r="AE213" i="20"/>
  <c r="X201" i="20"/>
  <c r="Z226" i="20"/>
  <c r="AB194" i="20"/>
  <c r="AD226" i="20"/>
  <c r="AI207" i="20"/>
  <c r="W195" i="20"/>
  <c r="Y282" i="20"/>
  <c r="AA194" i="20"/>
  <c r="AC275" i="20"/>
  <c r="AE233" i="20"/>
  <c r="AI205" i="20"/>
  <c r="Z232" i="20"/>
  <c r="AD230" i="20"/>
  <c r="AI280" i="20"/>
  <c r="Z277" i="20"/>
  <c r="AD277" i="20"/>
  <c r="W194" i="20"/>
  <c r="AB233" i="20"/>
  <c r="AD279" i="20"/>
  <c r="AC284" i="20"/>
  <c r="Z205" i="20"/>
  <c r="AE209" i="20"/>
  <c r="AD214" i="20"/>
  <c r="Z225" i="20"/>
  <c r="X222" i="20"/>
  <c r="AA283" i="20"/>
  <c r="Y225" i="20"/>
  <c r="AB196" i="20"/>
  <c r="X273" i="20"/>
  <c r="X225" i="20"/>
  <c r="AI222" i="20"/>
  <c r="Y285" i="20"/>
  <c r="AD228" i="20"/>
  <c r="Z228" i="20"/>
  <c r="X237" i="20"/>
  <c r="Y222" i="20"/>
  <c r="Y214" i="20"/>
  <c r="AC236" i="20"/>
  <c r="AI197" i="20"/>
  <c r="AD229" i="20"/>
  <c r="W285" i="20"/>
  <c r="AB204" i="20"/>
  <c r="AC248" i="20"/>
  <c r="AD202" i="20"/>
  <c r="AE222" i="20"/>
  <c r="Y232" i="20"/>
  <c r="AC251" i="20"/>
  <c r="AB273" i="20"/>
  <c r="AB274" i="20"/>
  <c r="AC199" i="20"/>
  <c r="X524" i="20"/>
  <c r="W523" i="20"/>
  <c r="AD522" i="20"/>
  <c r="W520" i="20"/>
  <c r="Z523" i="20"/>
  <c r="AA520" i="20"/>
  <c r="AE524" i="20"/>
  <c r="Z303" i="20"/>
  <c r="AC298" i="20"/>
  <c r="G15" i="37" s="1"/>
  <c r="AB300" i="20"/>
  <c r="W324" i="20"/>
  <c r="X433" i="20"/>
  <c r="Y456" i="20"/>
  <c r="Z434" i="20"/>
  <c r="AB341" i="20"/>
  <c r="AC436" i="20"/>
  <c r="AD466" i="20"/>
  <c r="AI441" i="20"/>
  <c r="W435" i="20"/>
  <c r="Y470" i="20"/>
  <c r="Z422" i="20"/>
  <c r="AA436" i="20"/>
  <c r="AC323" i="20"/>
  <c r="AD441" i="20"/>
  <c r="AE464" i="20"/>
  <c r="W322" i="20"/>
  <c r="X436" i="20"/>
  <c r="Y435" i="20"/>
  <c r="AA330" i="20"/>
  <c r="AB460" i="20"/>
  <c r="AC466" i="20"/>
  <c r="AD427" i="20"/>
  <c r="AI345" i="20"/>
  <c r="X330" i="20"/>
  <c r="Y345" i="20"/>
  <c r="Z341" i="20"/>
  <c r="AA456" i="20"/>
  <c r="AC441" i="20"/>
  <c r="AD333" i="20"/>
  <c r="AE433" i="20"/>
  <c r="AD454" i="20"/>
  <c r="X319" i="20"/>
  <c r="AI468" i="20"/>
  <c r="Y321" i="20"/>
  <c r="AE347" i="20"/>
  <c r="AB333" i="20"/>
  <c r="W424" i="20"/>
  <c r="X454" i="20"/>
  <c r="Z331" i="20"/>
  <c r="AA328" i="20"/>
  <c r="AD430" i="20"/>
  <c r="AB432" i="20"/>
  <c r="AD319" i="20"/>
  <c r="Z321" i="20"/>
  <c r="W312" i="20"/>
  <c r="Y319" i="20"/>
  <c r="AC326" i="20"/>
  <c r="AC430" i="20"/>
  <c r="AI463" i="20"/>
  <c r="W443" i="20"/>
  <c r="X241" i="20"/>
  <c r="AD244" i="20"/>
  <c r="AA265" i="20"/>
  <c r="W258" i="20"/>
  <c r="AC258" i="20"/>
  <c r="AD241" i="20"/>
  <c r="AB243" i="20"/>
  <c r="AB260" i="20"/>
  <c r="Z310" i="20"/>
  <c r="AD264" i="20"/>
  <c r="Z241" i="20"/>
  <c r="Z243" i="20"/>
  <c r="X278" i="20"/>
  <c r="AD299" i="20"/>
  <c r="AA258" i="20"/>
  <c r="Y243" i="20"/>
  <c r="AI278" i="20"/>
  <c r="AD302" i="20"/>
  <c r="AE241" i="20"/>
  <c r="AC242" i="20"/>
  <c r="AD258" i="20"/>
  <c r="Y307" i="20"/>
  <c r="AD307" i="20"/>
  <c r="X307" i="20"/>
  <c r="AA301" i="20"/>
  <c r="X301" i="20"/>
  <c r="Z301" i="20"/>
  <c r="AA306" i="20"/>
  <c r="Y340" i="20"/>
  <c r="X305" i="20"/>
  <c r="Z306" i="20"/>
  <c r="AC309" i="20"/>
  <c r="X459" i="20"/>
  <c r="AD305" i="20"/>
  <c r="AD306" i="20"/>
  <c r="Z296" i="20"/>
  <c r="Y459" i="20"/>
  <c r="W305" i="20"/>
  <c r="AI309" i="20"/>
  <c r="AD340" i="20"/>
  <c r="W301" i="20"/>
  <c r="AD459" i="20"/>
  <c r="W462" i="20"/>
  <c r="Z446" i="20"/>
  <c r="AB458" i="20"/>
  <c r="AA446" i="20"/>
  <c r="W437" i="20"/>
  <c r="Y437" i="20"/>
  <c r="AC446" i="20"/>
  <c r="AE449" i="20"/>
  <c r="AI458" i="20"/>
  <c r="AD462" i="20"/>
  <c r="AD446" i="20"/>
  <c r="AE458" i="20"/>
  <c r="AE446" i="20"/>
  <c r="AI437" i="20"/>
  <c r="X462" i="20"/>
  <c r="AA316" i="20"/>
  <c r="X314" i="20"/>
  <c r="AC316" i="20"/>
  <c r="Z314" i="20"/>
  <c r="AB317" i="20"/>
  <c r="AD314" i="20"/>
  <c r="W315" i="20"/>
  <c r="AD317" i="20"/>
  <c r="AD315" i="20"/>
  <c r="X315" i="20"/>
  <c r="AD294" i="20"/>
  <c r="AC295" i="20"/>
  <c r="AA291" i="20"/>
  <c r="Y290" i="20"/>
  <c r="Z293" i="20"/>
  <c r="AB295" i="20"/>
  <c r="W294" i="20"/>
  <c r="AD293" i="20"/>
  <c r="W295" i="20"/>
  <c r="AE294" i="20"/>
  <c r="AI293" i="20"/>
  <c r="AE295" i="20"/>
  <c r="AD339" i="20"/>
  <c r="AB336" i="20"/>
  <c r="W337" i="20"/>
  <c r="X339" i="20"/>
  <c r="AE336" i="20"/>
  <c r="Z337" i="20"/>
  <c r="W338" i="20"/>
  <c r="W335" i="20"/>
  <c r="AD337" i="20"/>
  <c r="X336" i="20"/>
  <c r="Y338" i="20"/>
  <c r="AI337" i="20"/>
  <c r="AB337" i="20"/>
  <c r="AI419" i="20"/>
  <c r="AA413" i="20"/>
  <c r="AA383" i="20"/>
  <c r="Y389" i="20"/>
  <c r="W366" i="20"/>
  <c r="AC638" i="20"/>
  <c r="AI634" i="20"/>
  <c r="AB297" i="20"/>
  <c r="AE342" i="20"/>
  <c r="W355" i="20"/>
  <c r="X438" i="20"/>
  <c r="Z448" i="20"/>
  <c r="AA467" i="20"/>
  <c r="AI473" i="20"/>
  <c r="AB486" i="20"/>
  <c r="X499" i="20"/>
  <c r="AA419" i="20"/>
  <c r="AC383" i="20"/>
  <c r="AE349" i="20"/>
  <c r="AA366" i="20"/>
  <c r="Z638" i="20"/>
  <c r="AC630" i="20"/>
  <c r="W318" i="20"/>
  <c r="X355" i="20"/>
  <c r="AA438" i="20"/>
  <c r="W461" i="20"/>
  <c r="AC473" i="20"/>
  <c r="Z486" i="20"/>
  <c r="Y499" i="20"/>
  <c r="AE496" i="20"/>
  <c r="Y504" i="20"/>
  <c r="Z515" i="20"/>
  <c r="Y419" i="20"/>
  <c r="AB406" i="20"/>
  <c r="W389" i="20"/>
  <c r="AI642" i="20"/>
  <c r="X634" i="20"/>
  <c r="AA297" i="20"/>
  <c r="Y402" i="20"/>
  <c r="W426" i="20"/>
  <c r="AA448" i="20"/>
  <c r="Z467" i="20"/>
  <c r="W503" i="20"/>
  <c r="AE499" i="20"/>
  <c r="AA492" i="20"/>
  <c r="AC515" i="20"/>
  <c r="AE511" i="20"/>
  <c r="AB527" i="20"/>
  <c r="Y547" i="20"/>
  <c r="Z561" i="20"/>
  <c r="AC553" i="20"/>
  <c r="W562" i="20"/>
  <c r="Z592" i="20"/>
  <c r="Y584" i="20"/>
  <c r="AD580" i="20"/>
  <c r="AC594" i="20"/>
  <c r="W606" i="20"/>
  <c r="AA628" i="20"/>
  <c r="AC698" i="20"/>
  <c r="AD703" i="20"/>
  <c r="AC717" i="20"/>
  <c r="AA720" i="20"/>
  <c r="X729" i="20"/>
  <c r="W363" i="20"/>
  <c r="W383" i="20"/>
  <c r="AE634" i="20"/>
  <c r="AD342" i="20"/>
  <c r="AC448" i="20"/>
  <c r="Y484" i="20"/>
  <c r="AG845" i="20"/>
  <c r="X78" i="20"/>
  <c r="AE167" i="20"/>
  <c r="AA105" i="20"/>
  <c r="AA90" i="20"/>
  <c r="AI107" i="20"/>
  <c r="AE98" i="20"/>
  <c r="AC215" i="20"/>
  <c r="AB88" i="20"/>
  <c r="Y176" i="20"/>
  <c r="AI179" i="20"/>
  <c r="Z262" i="20"/>
  <c r="AI253" i="20"/>
  <c r="I118" i="86" s="1"/>
  <c r="L118" i="86" s="1"/>
  <c r="AI189" i="20"/>
  <c r="X189" i="20"/>
  <c r="Z208" i="20"/>
  <c r="Z231" i="20"/>
  <c r="W272" i="20"/>
  <c r="AA230" i="20"/>
  <c r="AD271" i="20"/>
  <c r="Y221" i="20"/>
  <c r="AC221" i="20"/>
  <c r="AI281" i="20"/>
  <c r="Z194" i="20"/>
  <c r="AD221" i="20"/>
  <c r="W271" i="20"/>
  <c r="AE269" i="20"/>
  <c r="AC254" i="20"/>
  <c r="Z235" i="20"/>
  <c r="AI283" i="20"/>
  <c r="AE284" i="20"/>
  <c r="AD205" i="20"/>
  <c r="X228" i="20"/>
  <c r="Y270" i="20"/>
  <c r="Y199" i="20"/>
  <c r="AD283" i="20"/>
  <c r="AD223" i="20"/>
  <c r="AC198" i="20"/>
  <c r="AC270" i="20"/>
  <c r="AD197" i="20"/>
  <c r="AC214" i="20"/>
  <c r="Y202" i="20"/>
  <c r="W225" i="20"/>
  <c r="AB205" i="20"/>
  <c r="Y234" i="20"/>
  <c r="AB524" i="20"/>
  <c r="Y523" i="20"/>
  <c r="AC520" i="20"/>
  <c r="AD303" i="20"/>
  <c r="X300" i="20"/>
  <c r="W456" i="20"/>
  <c r="Z345" i="20"/>
  <c r="AC332" i="20"/>
  <c r="AE341" i="20"/>
  <c r="X453" i="20"/>
  <c r="Z312" i="20"/>
  <c r="AC347" i="20"/>
  <c r="AI470" i="20"/>
  <c r="Y333" i="20"/>
  <c r="AA466" i="20"/>
  <c r="AD470" i="20"/>
  <c r="W332" i="20"/>
  <c r="Y434" i="20"/>
  <c r="AB433" i="20"/>
  <c r="AD435" i="20"/>
  <c r="X443" i="20"/>
  <c r="Y454" i="20"/>
  <c r="AA320" i="20"/>
  <c r="W326" i="20"/>
  <c r="AE463" i="20"/>
  <c r="X333" i="20"/>
  <c r="AB454" i="20"/>
  <c r="AB457" i="20"/>
  <c r="Y468" i="20"/>
  <c r="AE328" i="20"/>
  <c r="AB261" i="20"/>
  <c r="X261" i="20"/>
  <c r="AE239" i="20"/>
  <c r="AE246" i="20"/>
  <c r="AD310" i="20"/>
  <c r="AE260" i="20"/>
  <c r="Z299" i="20"/>
  <c r="Z265" i="20"/>
  <c r="Z302" i="20"/>
  <c r="AI265" i="20"/>
  <c r="Y278" i="20"/>
  <c r="AA307" i="20"/>
  <c r="AA459" i="20"/>
  <c r="AC301" i="20"/>
  <c r="AC459" i="20"/>
  <c r="AA296" i="20"/>
  <c r="X306" i="20"/>
  <c r="AI306" i="20"/>
  <c r="X309" i="20"/>
  <c r="AI296" i="20"/>
  <c r="AE296" i="20"/>
  <c r="Z449" i="20"/>
  <c r="X447" i="20"/>
  <c r="AB437" i="20"/>
  <c r="X449" i="20"/>
  <c r="Y446" i="20"/>
  <c r="AC437" i="20"/>
  <c r="Y462" i="20"/>
  <c r="AD316" i="20"/>
  <c r="AC315" i="20"/>
  <c r="AB315" i="20"/>
  <c r="AB314" i="20"/>
  <c r="AI314" i="20"/>
  <c r="AC294" i="20"/>
  <c r="X291" i="20"/>
  <c r="AE290" i="20"/>
  <c r="AI291" i="20"/>
  <c r="AA293" i="20"/>
  <c r="AA290" i="20"/>
  <c r="AD291" i="20"/>
  <c r="AD335" i="20"/>
  <c r="AD336" i="20"/>
  <c r="AC336" i="20"/>
  <c r="AE335" i="20"/>
  <c r="AA338" i="20"/>
  <c r="AD338" i="20"/>
  <c r="X413" i="20"/>
  <c r="AB349" i="20"/>
  <c r="AI366" i="20"/>
  <c r="Z630" i="20"/>
  <c r="W402" i="20"/>
  <c r="AC438" i="20"/>
  <c r="Z473" i="20"/>
  <c r="AC503" i="20"/>
  <c r="Y413" i="20"/>
  <c r="Y366" i="20"/>
  <c r="AA634" i="20"/>
  <c r="Y342" i="20"/>
  <c r="Y448" i="20"/>
  <c r="AB484" i="20"/>
  <c r="W499" i="20"/>
  <c r="AE504" i="20"/>
  <c r="W419" i="20"/>
  <c r="Y642" i="20"/>
  <c r="AC297" i="20"/>
  <c r="Y355" i="20"/>
  <c r="AE467" i="20"/>
  <c r="AB499" i="20"/>
  <c r="AD492" i="20"/>
  <c r="AI507" i="20"/>
  <c r="AE547" i="20"/>
  <c r="Z562" i="20"/>
  <c r="AC588" i="20"/>
  <c r="AA594" i="20"/>
  <c r="AE602" i="20"/>
  <c r="AD698" i="20"/>
  <c r="X720" i="20"/>
  <c r="AC736" i="20"/>
  <c r="X349" i="20"/>
  <c r="X426" i="20"/>
  <c r="Z503" i="20"/>
  <c r="W507" i="20"/>
  <c r="Y534" i="20"/>
  <c r="Y561" i="20"/>
  <c r="X592" i="20"/>
  <c r="AC584" i="20"/>
  <c r="AA598" i="20"/>
  <c r="AI606" i="20"/>
  <c r="I17" i="86" s="1"/>
  <c r="L17" i="86" s="1"/>
  <c r="AI698" i="20"/>
  <c r="W720" i="20"/>
  <c r="W732" i="20"/>
  <c r="X744" i="20"/>
  <c r="AC749" i="20"/>
  <c r="X775" i="20"/>
  <c r="AA767" i="20"/>
  <c r="AE759" i="20"/>
  <c r="AD789" i="20"/>
  <c r="X792" i="20"/>
  <c r="AB798" i="20"/>
  <c r="AI808" i="20"/>
  <c r="AD383" i="20"/>
  <c r="AD638" i="20"/>
  <c r="AD402" i="20"/>
  <c r="AB448" i="20"/>
  <c r="Y473" i="20"/>
  <c r="Y496" i="20"/>
  <c r="AD515" i="20"/>
  <c r="Y527" i="20"/>
  <c r="AC547" i="20"/>
  <c r="AC557" i="20"/>
  <c r="AI553" i="20"/>
  <c r="AA592" i="20"/>
  <c r="AA588" i="20"/>
  <c r="AC580" i="20"/>
  <c r="Y594" i="20"/>
  <c r="W602" i="20"/>
  <c r="Z698" i="20"/>
  <c r="AA712" i="20"/>
  <c r="X717" i="20"/>
  <c r="AA729" i="20"/>
  <c r="X732" i="20"/>
  <c r="Y744" i="20"/>
  <c r="Z747" i="20"/>
  <c r="W749" i="20"/>
  <c r="Y775" i="20"/>
  <c r="Y771" i="20"/>
  <c r="AE767" i="20"/>
  <c r="X759" i="20"/>
  <c r="AD781" i="20"/>
  <c r="W785" i="20"/>
  <c r="AA792" i="20"/>
  <c r="Y796" i="20"/>
  <c r="X808" i="20"/>
  <c r="Y814" i="20"/>
  <c r="AE816" i="20"/>
  <c r="X823" i="20"/>
  <c r="AB831" i="20"/>
  <c r="X844" i="20"/>
  <c r="AD841" i="20"/>
  <c r="AI852" i="20"/>
  <c r="AI868" i="20"/>
  <c r="AE864" i="20"/>
  <c r="AC860" i="20"/>
  <c r="AI875" i="20"/>
  <c r="X880" i="20"/>
  <c r="X889" i="20"/>
  <c r="Z892" i="20"/>
  <c r="AA902" i="20"/>
  <c r="AA903" i="20"/>
  <c r="AA913" i="20"/>
  <c r="W569" i="20"/>
  <c r="W648" i="20"/>
  <c r="AD406" i="20"/>
  <c r="W630" i="20"/>
  <c r="AI438" i="20"/>
  <c r="AA499" i="20"/>
  <c r="AA507" i="20"/>
  <c r="AI557" i="20"/>
  <c r="AE592" i="20"/>
  <c r="W594" i="20"/>
  <c r="X602" i="20"/>
  <c r="AB712" i="20"/>
  <c r="AI725" i="20"/>
  <c r="AC741" i="20"/>
  <c r="W775" i="20"/>
  <c r="AD763" i="20"/>
  <c r="Y781" i="20"/>
  <c r="AE792" i="20"/>
  <c r="W803" i="20"/>
  <c r="AI814" i="20"/>
  <c r="AB823" i="20"/>
  <c r="Z838" i="20"/>
  <c r="AA844" i="20"/>
  <c r="W847" i="20"/>
  <c r="Z865" i="20"/>
  <c r="Y864" i="20"/>
  <c r="AD876" i="20"/>
  <c r="AI880" i="20"/>
  <c r="AB892" i="20"/>
  <c r="AD902" i="20"/>
  <c r="X906" i="20"/>
  <c r="W564" i="20"/>
  <c r="AB651" i="20"/>
  <c r="Y707" i="20"/>
  <c r="AI478" i="20"/>
  <c r="AI574" i="20"/>
  <c r="AI618" i="20"/>
  <c r="AI692" i="20"/>
  <c r="AI688" i="20"/>
  <c r="Z680" i="20"/>
  <c r="AD672" i="20"/>
  <c r="AC668" i="20"/>
  <c r="AB660" i="20"/>
  <c r="AD529" i="20"/>
  <c r="AB544" i="20"/>
  <c r="AD400" i="20"/>
  <c r="AE393" i="20"/>
  <c r="X354" i="20"/>
  <c r="AI413" i="20"/>
  <c r="Y630" i="20"/>
  <c r="Y426" i="20"/>
  <c r="AC486" i="20"/>
  <c r="W515" i="20"/>
  <c r="AI547" i="20"/>
  <c r="X562" i="20"/>
  <c r="W580" i="20"/>
  <c r="Z602" i="20"/>
  <c r="AD712" i="20"/>
  <c r="AC729" i="20"/>
  <c r="X741" i="20"/>
  <c r="AB747" i="20"/>
  <c r="AI771" i="20"/>
  <c r="Z759" i="20"/>
  <c r="AE796" i="20"/>
  <c r="Y808" i="20"/>
  <c r="AB816" i="20"/>
  <c r="AE823" i="20"/>
  <c r="Z831" i="20"/>
  <c r="Y844" i="20"/>
  <c r="W841" i="20"/>
  <c r="AA868" i="20"/>
  <c r="AI860" i="20"/>
  <c r="AC876" i="20"/>
  <c r="X892" i="20"/>
  <c r="AA897" i="20"/>
  <c r="AI903" i="20"/>
  <c r="W913" i="20"/>
  <c r="AE648" i="20"/>
  <c r="Y656" i="20"/>
  <c r="W707" i="20"/>
  <c r="W548" i="20"/>
  <c r="Z615" i="20"/>
  <c r="W624" i="20"/>
  <c r="W692" i="20"/>
  <c r="AC684" i="20"/>
  <c r="AD680" i="20"/>
  <c r="AB672" i="20"/>
  <c r="X664" i="20"/>
  <c r="AD660" i="20"/>
  <c r="AI540" i="20"/>
  <c r="AI544" i="20"/>
  <c r="AB400" i="20"/>
  <c r="Y386" i="20"/>
  <c r="Y376" i="20"/>
  <c r="Z354" i="20"/>
  <c r="X374" i="20"/>
  <c r="W364" i="20"/>
  <c r="Y409" i="20"/>
  <c r="W403" i="20"/>
  <c r="AI417" i="20"/>
  <c r="AI387" i="20"/>
  <c r="Z641" i="20"/>
  <c r="Y633" i="20"/>
  <c r="W629" i="20"/>
  <c r="AA327" i="20"/>
  <c r="AD346" i="20"/>
  <c r="W373" i="20"/>
  <c r="AB425" i="20"/>
  <c r="AC445" i="20"/>
  <c r="AA471" i="20"/>
  <c r="AE481" i="20"/>
  <c r="AB485" i="20"/>
  <c r="X498" i="20"/>
  <c r="Y383" i="20"/>
  <c r="AE426" i="20"/>
  <c r="AA534" i="20"/>
  <c r="Z580" i="20"/>
  <c r="AB717" i="20"/>
  <c r="AD741" i="20"/>
  <c r="AE771" i="20"/>
  <c r="W789" i="20"/>
  <c r="X803" i="20"/>
  <c r="AC823" i="20"/>
  <c r="X841" i="20"/>
  <c r="Z868" i="20"/>
  <c r="Y880" i="20"/>
  <c r="Y892" i="20"/>
  <c r="AB906" i="20"/>
  <c r="AC569" i="20"/>
  <c r="AD656" i="20"/>
  <c r="Z478" i="20"/>
  <c r="W618" i="20"/>
  <c r="AB692" i="20"/>
  <c r="Y680" i="20"/>
  <c r="AI664" i="20"/>
  <c r="W544" i="20"/>
  <c r="Z386" i="20"/>
  <c r="AI354" i="20"/>
  <c r="AE364" i="20"/>
  <c r="AB416" i="20"/>
  <c r="AC403" i="20"/>
  <c r="AB387" i="20"/>
  <c r="AB641" i="20"/>
  <c r="AC633" i="20"/>
  <c r="AD304" i="20"/>
  <c r="AC327" i="20"/>
  <c r="Z423" i="20"/>
  <c r="AE425" i="20"/>
  <c r="Z451" i="20"/>
  <c r="W471" i="20"/>
  <c r="Y485" i="20"/>
  <c r="AB498" i="20"/>
  <c r="AD495" i="20"/>
  <c r="X518" i="20"/>
  <c r="W514" i="20"/>
  <c r="X519" i="20"/>
  <c r="X533" i="20"/>
  <c r="AE560" i="20"/>
  <c r="X552" i="20"/>
  <c r="X568" i="20"/>
  <c r="AI591" i="20"/>
  <c r="AE587" i="20"/>
  <c r="AE601" i="20"/>
  <c r="W593" i="20"/>
  <c r="AI609" i="20"/>
  <c r="AC700" i="20"/>
  <c r="AD697" i="20"/>
  <c r="AB713" i="20"/>
  <c r="AC716" i="20"/>
  <c r="W724" i="20"/>
  <c r="AC735" i="20"/>
  <c r="AE737" i="20"/>
  <c r="X752" i="20"/>
  <c r="AB755" i="20"/>
  <c r="X770" i="20"/>
  <c r="AI766" i="20"/>
  <c r="AC758" i="20"/>
  <c r="AB788" i="20"/>
  <c r="AB402" i="20"/>
  <c r="X492" i="20"/>
  <c r="W547" i="20"/>
  <c r="AA584" i="20"/>
  <c r="X628" i="20"/>
  <c r="AD736" i="20"/>
  <c r="AC757" i="20"/>
  <c r="Y798" i="20"/>
  <c r="AE818" i="20"/>
  <c r="AA838" i="20"/>
  <c r="AD852" i="20"/>
  <c r="AD860" i="20"/>
  <c r="AD889" i="20"/>
  <c r="Y906" i="20"/>
  <c r="AC648" i="20"/>
  <c r="Y478" i="20"/>
  <c r="AB615" i="20"/>
  <c r="X692" i="20"/>
  <c r="X676" i="20"/>
  <c r="Z668" i="20"/>
  <c r="AG847" i="20"/>
  <c r="Y128" i="20"/>
  <c r="Y103" i="20"/>
  <c r="AI106" i="20"/>
  <c r="AB107" i="20"/>
  <c r="AE93" i="20"/>
  <c r="AA97" i="20"/>
  <c r="X216" i="20"/>
  <c r="X179" i="20"/>
  <c r="AA184" i="20"/>
  <c r="X250" i="20"/>
  <c r="AB203" i="20"/>
  <c r="AA187" i="20"/>
  <c r="AC191" i="20"/>
  <c r="W275" i="20"/>
  <c r="AA231" i="20"/>
  <c r="Y212" i="20"/>
  <c r="AB226" i="20"/>
  <c r="AE194" i="20"/>
  <c r="AA255" i="20"/>
  <c r="AD267" i="20"/>
  <c r="W284" i="20"/>
  <c r="AB235" i="20"/>
  <c r="AE274" i="20"/>
  <c r="AA227" i="20"/>
  <c r="W190" i="20"/>
  <c r="AE221" i="20"/>
  <c r="AC233" i="20"/>
  <c r="AI201" i="20"/>
  <c r="AI271" i="20"/>
  <c r="AC228" i="20"/>
  <c r="W266" i="20"/>
  <c r="AC232" i="20"/>
  <c r="X268" i="20"/>
  <c r="AI228" i="20"/>
  <c r="AI285" i="20"/>
  <c r="W198" i="20"/>
  <c r="X240" i="20"/>
  <c r="AA223" i="20"/>
  <c r="X283" i="20"/>
  <c r="AD281" i="20"/>
  <c r="AC196" i="20"/>
  <c r="AA251" i="20"/>
  <c r="AA204" i="20"/>
  <c r="X522" i="20"/>
  <c r="AI521" i="20"/>
  <c r="AA524" i="20"/>
  <c r="AD300" i="20"/>
  <c r="AE303" i="20"/>
  <c r="Y324" i="20"/>
  <c r="AA441" i="20"/>
  <c r="AD330" i="20"/>
  <c r="AI453" i="20"/>
  <c r="Y460" i="20"/>
  <c r="AB322" i="20"/>
  <c r="AD457" i="20"/>
  <c r="W464" i="20"/>
  <c r="Z332" i="20"/>
  <c r="AC330" i="20"/>
  <c r="AE332" i="20"/>
  <c r="X345" i="20"/>
  <c r="Z347" i="20"/>
  <c r="AC457" i="20"/>
  <c r="AI324" i="20"/>
  <c r="AI432" i="20"/>
  <c r="AA321" i="20"/>
  <c r="AD431" i="20"/>
  <c r="W430" i="20"/>
  <c r="W325" i="20"/>
  <c r="X424" i="20"/>
  <c r="AI333" i="20"/>
  <c r="W319" i="20"/>
  <c r="AE430" i="20"/>
  <c r="AB427" i="20"/>
  <c r="X244" i="20"/>
  <c r="AC265" i="20"/>
  <c r="Y245" i="20"/>
  <c r="AB265" i="20"/>
  <c r="AB239" i="20"/>
  <c r="AE242" i="20"/>
  <c r="AC241" i="20"/>
  <c r="Y246" i="20"/>
  <c r="AI302" i="20"/>
  <c r="Y242" i="20"/>
  <c r="AC307" i="20"/>
  <c r="AB307" i="20"/>
  <c r="X296" i="20"/>
  <c r="AB305" i="20"/>
  <c r="AC305" i="20"/>
  <c r="Z340" i="20"/>
  <c r="AC296" i="20"/>
  <c r="AI340" i="20"/>
  <c r="AE301" i="20"/>
  <c r="W340" i="20"/>
  <c r="Z437" i="20"/>
  <c r="AD437" i="20"/>
  <c r="AB462" i="20"/>
  <c r="AC449" i="20"/>
  <c r="AE437" i="20"/>
  <c r="AI462" i="20"/>
  <c r="Z447" i="20"/>
  <c r="AC447" i="20"/>
  <c r="Z317" i="20"/>
  <c r="AI316" i="20"/>
  <c r="AC317" i="20"/>
  <c r="Z316" i="20"/>
  <c r="AE315" i="20"/>
  <c r="Z290" i="20"/>
  <c r="AE291" i="20"/>
  <c r="W293" i="20"/>
  <c r="AC290" i="20"/>
  <c r="Z291" i="20"/>
  <c r="Y295" i="20"/>
  <c r="AE339" i="20"/>
  <c r="X337" i="20"/>
  <c r="AI338" i="20"/>
  <c r="X338" i="20"/>
  <c r="Z339" i="20"/>
  <c r="Z335" i="20"/>
  <c r="X363" i="20"/>
  <c r="W406" i="20"/>
  <c r="AI389" i="20"/>
  <c r="AB638" i="20"/>
  <c r="AB318" i="20"/>
  <c r="AA426" i="20"/>
  <c r="AD448" i="20"/>
  <c r="AI484" i="20"/>
  <c r="Y363" i="20"/>
  <c r="Z383" i="20"/>
  <c r="W642" i="20"/>
  <c r="AB630" i="20"/>
  <c r="AD355" i="20"/>
  <c r="AA461" i="20"/>
  <c r="AE486" i="20"/>
  <c r="AB492" i="20"/>
  <c r="AB515" i="20"/>
  <c r="AE383" i="20"/>
  <c r="AA638" i="20"/>
  <c r="AC318" i="20"/>
  <c r="Z426" i="20"/>
  <c r="AE473" i="20"/>
  <c r="X496" i="20"/>
  <c r="AI515" i="20"/>
  <c r="X527" i="20"/>
  <c r="AI561" i="20"/>
  <c r="AB562" i="20"/>
  <c r="AD584" i="20"/>
  <c r="Y610" i="20"/>
  <c r="AB628" i="20"/>
  <c r="Z703" i="20"/>
  <c r="AE720" i="20"/>
  <c r="AE419" i="20"/>
  <c r="AD630" i="20"/>
  <c r="AE461" i="20"/>
  <c r="W496" i="20"/>
  <c r="AB507" i="20"/>
  <c r="AB534" i="20"/>
  <c r="W553" i="20"/>
  <c r="AD592" i="20"/>
  <c r="AB584" i="20"/>
  <c r="Y598" i="20"/>
  <c r="AI602" i="20"/>
  <c r="AA703" i="20"/>
  <c r="Y729" i="20"/>
  <c r="AI732" i="20"/>
  <c r="AE744" i="20"/>
  <c r="AD749" i="20"/>
  <c r="AB775" i="20"/>
  <c r="AB767" i="20"/>
  <c r="AA781" i="20"/>
  <c r="AE789" i="20"/>
  <c r="AB792" i="20"/>
  <c r="AA798" i="20"/>
  <c r="AD419" i="20"/>
  <c r="Z349" i="20"/>
  <c r="Y297" i="20"/>
  <c r="AB355" i="20"/>
  <c r="Z461" i="20"/>
  <c r="AD486" i="20"/>
  <c r="AI492" i="20"/>
  <c r="I41" i="86" s="1"/>
  <c r="L41" i="86" s="1"/>
  <c r="AE515" i="20"/>
  <c r="AI527" i="20"/>
  <c r="AB547" i="20"/>
  <c r="W557" i="20"/>
  <c r="AC562" i="20"/>
  <c r="AC592" i="20"/>
  <c r="Z584" i="20"/>
  <c r="X598" i="20"/>
  <c r="Z610" i="20"/>
  <c r="AB602" i="20"/>
  <c r="AE698" i="20"/>
  <c r="Z712" i="20"/>
  <c r="Y725" i="20"/>
  <c r="Y736" i="20"/>
  <c r="AD732" i="20"/>
  <c r="AD744" i="20"/>
  <c r="W747" i="20"/>
  <c r="AA757" i="20"/>
  <c r="AD775" i="20"/>
  <c r="W771" i="20"/>
  <c r="AC763" i="20"/>
  <c r="AD759" i="20"/>
  <c r="AB789" i="20"/>
  <c r="X785" i="20"/>
  <c r="W792" i="20"/>
  <c r="X798" i="20"/>
  <c r="AC808" i="20"/>
  <c r="W814" i="20"/>
  <c r="AC818" i="20"/>
  <c r="AD823" i="20"/>
  <c r="AA831" i="20"/>
  <c r="AC844" i="20"/>
  <c r="AB847" i="20"/>
  <c r="Y868" i="20"/>
  <c r="Y865" i="20"/>
  <c r="AD864" i="20"/>
  <c r="Y875" i="20"/>
  <c r="X876" i="20"/>
  <c r="W880" i="20"/>
  <c r="AC889" i="20"/>
  <c r="AE892" i="20"/>
  <c r="AB902" i="20"/>
  <c r="W903" i="20"/>
  <c r="Z913" i="20"/>
  <c r="X569" i="20"/>
  <c r="AI648" i="20"/>
  <c r="AA349" i="20"/>
  <c r="AD318" i="20"/>
  <c r="Y461" i="20"/>
  <c r="Z496" i="20"/>
  <c r="Z507" i="20"/>
  <c r="AE553" i="20"/>
  <c r="W584" i="20"/>
  <c r="Z594" i="20"/>
  <c r="AE628" i="20"/>
  <c r="Z717" i="20"/>
  <c r="AB736" i="20"/>
  <c r="AI741" i="20"/>
  <c r="AD771" i="20"/>
  <c r="AA763" i="20"/>
  <c r="Z785" i="20"/>
  <c r="AD798" i="20"/>
  <c r="W808" i="20"/>
  <c r="AC816" i="20"/>
  <c r="AA827" i="20"/>
  <c r="AE838" i="20"/>
  <c r="AC841" i="20"/>
  <c r="AC852" i="20"/>
  <c r="AA865" i="20"/>
  <c r="W860" i="20"/>
  <c r="Y876" i="20"/>
  <c r="W885" i="20"/>
  <c r="X897" i="20"/>
  <c r="AB903" i="20"/>
  <c r="AB913" i="20"/>
  <c r="AE569" i="20"/>
  <c r="AI651" i="20"/>
  <c r="AD707" i="20"/>
  <c r="AC478" i="20"/>
  <c r="X615" i="20"/>
  <c r="AD618" i="20"/>
  <c r="X688" i="20"/>
  <c r="Z684" i="20"/>
  <c r="AC676" i="20"/>
  <c r="AA672" i="20"/>
  <c r="AE664" i="20"/>
  <c r="X529" i="20"/>
  <c r="Z540" i="20"/>
  <c r="AC350" i="20"/>
  <c r="AE400" i="20"/>
  <c r="X386" i="20"/>
  <c r="AC354" i="20"/>
  <c r="X383" i="20"/>
  <c r="AE297" i="20"/>
  <c r="AE448" i="20"/>
  <c r="AA503" i="20"/>
  <c r="AA511" i="20"/>
  <c r="AA561" i="20"/>
  <c r="AI576" i="20"/>
  <c r="AE610" i="20"/>
  <c r="Y628" i="20"/>
  <c r="AE717" i="20"/>
  <c r="AB729" i="20"/>
  <c r="AE741" i="20"/>
  <c r="AB749" i="20"/>
  <c r="Y763" i="20"/>
  <c r="AC789" i="20"/>
  <c r="AD796" i="20"/>
  <c r="Z808" i="20"/>
  <c r="AD816" i="20"/>
  <c r="Y823" i="20"/>
  <c r="AE831" i="20"/>
  <c r="AI844" i="20"/>
  <c r="AD847" i="20"/>
  <c r="W865" i="20"/>
  <c r="AC875" i="20"/>
  <c r="AC880" i="20"/>
  <c r="AC892" i="20"/>
  <c r="W902" i="20"/>
  <c r="AA906" i="20"/>
  <c r="AB564" i="20"/>
  <c r="Y651" i="20"/>
  <c r="W656" i="20"/>
  <c r="AA478" i="20"/>
  <c r="AE548" i="20"/>
  <c r="AA615" i="20"/>
  <c r="X624" i="20"/>
  <c r="AA692" i="20"/>
  <c r="AI684" i="20"/>
  <c r="Z676" i="20"/>
  <c r="AA668" i="20"/>
  <c r="Z664" i="20"/>
  <c r="Z529" i="20"/>
  <c r="Y544" i="20"/>
  <c r="Z350" i="20"/>
  <c r="AA400" i="20"/>
  <c r="AD386" i="20"/>
  <c r="W376" i="20"/>
  <c r="AD372" i="20"/>
  <c r="AC374" i="20"/>
  <c r="AB361" i="20"/>
  <c r="AD409" i="20"/>
  <c r="AD403" i="20"/>
  <c r="AC404" i="20"/>
  <c r="AA358" i="20"/>
  <c r="AI641" i="20"/>
  <c r="AI633" i="20"/>
  <c r="AD629" i="20"/>
  <c r="AB327" i="20"/>
  <c r="AE346" i="20"/>
  <c r="AI373" i="20"/>
  <c r="AD425" i="20"/>
  <c r="Y451" i="20"/>
  <c r="X481" i="20"/>
  <c r="Y483" i="20"/>
  <c r="AA485" i="20"/>
  <c r="AE498" i="20"/>
  <c r="AE366" i="20"/>
  <c r="Z504" i="20"/>
  <c r="AC561" i="20"/>
  <c r="Y127" i="20"/>
  <c r="Y101" i="20"/>
  <c r="AA103" i="20"/>
  <c r="AE216" i="20"/>
  <c r="AD183" i="20"/>
  <c r="W191" i="20"/>
  <c r="AE189" i="20"/>
  <c r="AA190" i="20"/>
  <c r="AC255" i="20"/>
  <c r="AA280" i="20"/>
  <c r="X235" i="20"/>
  <c r="AI240" i="20"/>
  <c r="Y254" i="20"/>
  <c r="AD231" i="20"/>
  <c r="W232" i="20"/>
  <c r="AE204" i="20"/>
  <c r="X205" i="20"/>
  <c r="X285" i="20"/>
  <c r="AE270" i="20"/>
  <c r="X281" i="20"/>
  <c r="W247" i="20"/>
  <c r="AB287" i="20"/>
  <c r="AE520" i="20"/>
  <c r="Z298" i="20"/>
  <c r="D15" i="37" s="1"/>
  <c r="Y441" i="20"/>
  <c r="AD325" i="20"/>
  <c r="Y427" i="20"/>
  <c r="AD456" i="20"/>
  <c r="Z443" i="20"/>
  <c r="AE460" i="20"/>
  <c r="AA324" i="20"/>
  <c r="AI422" i="20"/>
  <c r="Z424" i="20"/>
  <c r="AC321" i="20"/>
  <c r="AB331" i="20"/>
  <c r="AC424" i="20"/>
  <c r="AB328" i="20"/>
  <c r="W243" i="20"/>
  <c r="AA278" i="20"/>
  <c r="AE261" i="20"/>
  <c r="AB258" i="20"/>
  <c r="AC261" i="20"/>
  <c r="AI299" i="20"/>
  <c r="AD296" i="20"/>
  <c r="AB340" i="20"/>
  <c r="AC340" i="20"/>
  <c r="Z459" i="20"/>
  <c r="X437" i="20"/>
  <c r="X458" i="20"/>
  <c r="W447" i="20"/>
  <c r="AI447" i="20"/>
  <c r="AE317" i="20"/>
  <c r="W316" i="20"/>
  <c r="W290" i="20"/>
  <c r="X293" i="20"/>
  <c r="W291" i="20"/>
  <c r="AA339" i="20"/>
  <c r="X335" i="20"/>
  <c r="W339" i="20"/>
  <c r="AB363" i="20"/>
  <c r="AD389" i="20"/>
  <c r="X342" i="20"/>
  <c r="AB461" i="20"/>
  <c r="AE363" i="20"/>
  <c r="AD642" i="20"/>
  <c r="AI426" i="20"/>
  <c r="Y503" i="20"/>
  <c r="Z363" i="20"/>
  <c r="AC634" i="20"/>
  <c r="Y438" i="20"/>
  <c r="AD496" i="20"/>
  <c r="AC534" i="20"/>
  <c r="Y576" i="20"/>
  <c r="AB610" i="20"/>
  <c r="AE712" i="20"/>
  <c r="AD413" i="20"/>
  <c r="W473" i="20"/>
  <c r="AC507" i="20"/>
  <c r="AA562" i="20"/>
  <c r="X580" i="20"/>
  <c r="Y602" i="20"/>
  <c r="AE729" i="20"/>
  <c r="X747" i="20"/>
  <c r="AB771" i="20"/>
  <c r="AB781" i="20"/>
  <c r="AB796" i="20"/>
  <c r="AB413" i="20"/>
  <c r="X297" i="20"/>
  <c r="W467" i="20"/>
  <c r="AC504" i="20"/>
  <c r="Z534" i="20"/>
  <c r="AA557" i="20"/>
  <c r="Y588" i="20"/>
  <c r="AD598" i="20"/>
  <c r="AI628" i="20"/>
  <c r="Y712" i="20"/>
  <c r="X736" i="20"/>
  <c r="AA744" i="20"/>
  <c r="AB757" i="20"/>
  <c r="AA771" i="20"/>
  <c r="AI781" i="20"/>
  <c r="Y792" i="20"/>
  <c r="AC803" i="20"/>
  <c r="Z814" i="20"/>
  <c r="Z827" i="20"/>
  <c r="AE844" i="20"/>
  <c r="AD868" i="20"/>
  <c r="AA860" i="20"/>
  <c r="AE876" i="20"/>
  <c r="AA889" i="20"/>
  <c r="X903" i="20"/>
  <c r="AC564" i="20"/>
  <c r="AD363" i="20"/>
  <c r="AC402" i="20"/>
  <c r="AE492" i="20"/>
  <c r="AC576" i="20"/>
  <c r="AA610" i="20"/>
  <c r="AB720" i="20"/>
  <c r="W757" i="20"/>
  <c r="AC759" i="20"/>
  <c r="AE798" i="20"/>
  <c r="AI816" i="20"/>
  <c r="AB844" i="20"/>
  <c r="W852" i="20"/>
  <c r="Z875" i="20"/>
  <c r="AA885" i="20"/>
  <c r="Z903" i="20"/>
  <c r="AD569" i="20"/>
  <c r="AA707" i="20"/>
  <c r="AD615" i="20"/>
  <c r="AC688" i="20"/>
  <c r="AI676" i="20"/>
  <c r="Y664" i="20"/>
  <c r="W540" i="20"/>
  <c r="AI400" i="20"/>
  <c r="AE354" i="20"/>
  <c r="AA342" i="20"/>
  <c r="AB496" i="20"/>
  <c r="Z553" i="20"/>
  <c r="AB606" i="20"/>
  <c r="Z720" i="20"/>
  <c r="Z744" i="20"/>
  <c r="AE763" i="20"/>
  <c r="Y803" i="20"/>
  <c r="AD818" i="20"/>
  <c r="Y838" i="20"/>
  <c r="AI847" i="20"/>
  <c r="AB875" i="20"/>
  <c r="AI892" i="20"/>
  <c r="Z906" i="20"/>
  <c r="AD651" i="20"/>
  <c r="AB478" i="20"/>
  <c r="AA618" i="20"/>
  <c r="W688" i="20"/>
  <c r="AB676" i="20"/>
  <c r="AI660" i="20"/>
  <c r="AD544" i="20"/>
  <c r="AC393" i="20"/>
  <c r="Z376" i="20"/>
  <c r="Z374" i="20"/>
  <c r="AA409" i="20"/>
  <c r="X404" i="20"/>
  <c r="AC637" i="20"/>
  <c r="X629" i="20"/>
  <c r="AA346" i="20"/>
  <c r="X445" i="20"/>
  <c r="AC481" i="20"/>
  <c r="AC502" i="20"/>
  <c r="AD634" i="20"/>
  <c r="Y553" i="20"/>
  <c r="AC602" i="20"/>
  <c r="AI744" i="20"/>
  <c r="AA759" i="20"/>
  <c r="W798" i="20"/>
  <c r="AI827" i="20"/>
  <c r="AE847" i="20"/>
  <c r="Y860" i="20"/>
  <c r="AB897" i="20"/>
  <c r="Y564" i="20"/>
  <c r="AA651" i="20"/>
  <c r="Z548" i="20"/>
  <c r="AI624" i="20"/>
  <c r="AE684" i="20"/>
  <c r="AB529" i="20"/>
  <c r="Y393" i="20"/>
  <c r="AB354" i="20"/>
  <c r="Z361" i="20"/>
  <c r="Z409" i="20"/>
  <c r="Z404" i="20"/>
  <c r="X641" i="20"/>
  <c r="AE629" i="20"/>
  <c r="X327" i="20"/>
  <c r="AA423" i="20"/>
  <c r="Z445" i="20"/>
  <c r="AA455" i="20"/>
  <c r="AI485" i="20"/>
  <c r="Y498" i="20"/>
  <c r="AC518" i="20"/>
  <c r="Z510" i="20"/>
  <c r="AA526" i="20"/>
  <c r="W546" i="20"/>
  <c r="AD552" i="20"/>
  <c r="W575" i="20"/>
  <c r="AA587" i="20"/>
  <c r="AA597" i="20"/>
  <c r="AD593" i="20"/>
  <c r="X700" i="20"/>
  <c r="W704" i="20"/>
  <c r="X716" i="20"/>
  <c r="X724" i="20"/>
  <c r="AA735" i="20"/>
  <c r="AA740" i="20"/>
  <c r="AI752" i="20"/>
  <c r="AC770" i="20"/>
  <c r="AB762" i="20"/>
  <c r="Z788" i="20"/>
  <c r="AE438" i="20"/>
  <c r="X507" i="20"/>
  <c r="Z576" i="20"/>
  <c r="W703" i="20"/>
  <c r="AC744" i="20"/>
  <c r="AB763" i="20"/>
  <c r="AD827" i="20"/>
  <c r="Z847" i="20"/>
  <c r="AE860" i="20"/>
  <c r="AA892" i="20"/>
  <c r="X564" i="20"/>
  <c r="W478" i="20"/>
  <c r="X618" i="20"/>
  <c r="AA684" i="20"/>
  <c r="X668" i="20"/>
  <c r="Y540" i="20"/>
  <c r="AB350" i="20"/>
  <c r="W393" i="20"/>
  <c r="AD374" i="20"/>
  <c r="AI361" i="20"/>
  <c r="X409" i="20"/>
  <c r="AC417" i="20"/>
  <c r="AD387" i="20"/>
  <c r="W641" i="20"/>
  <c r="AC629" i="20"/>
  <c r="Z327" i="20"/>
  <c r="W425" i="20"/>
  <c r="AC451" i="20"/>
  <c r="AD455" i="20"/>
  <c r="Z485" i="20"/>
  <c r="Z498" i="20"/>
  <c r="W491" i="20"/>
  <c r="W518" i="20"/>
  <c r="AC510" i="20"/>
  <c r="AE519" i="20"/>
  <c r="AE533" i="20"/>
  <c r="W560" i="20"/>
  <c r="Z556" i="20"/>
  <c r="AC568" i="20"/>
  <c r="AE575" i="20"/>
  <c r="X587" i="20"/>
  <c r="Z583" i="20"/>
  <c r="AC601" i="20"/>
  <c r="AE593" i="20"/>
  <c r="AE605" i="20"/>
  <c r="AE617" i="20"/>
  <c r="AI697" i="20"/>
  <c r="AI704" i="20"/>
  <c r="AA716" i="20"/>
  <c r="Y724" i="20"/>
  <c r="Z728" i="20"/>
  <c r="AB737" i="20"/>
  <c r="AE740" i="20"/>
  <c r="AA746" i="20"/>
  <c r="AE755" i="20"/>
  <c r="Y756" i="20"/>
  <c r="AI774" i="20"/>
  <c r="AC766" i="20"/>
  <c r="Z758" i="20"/>
  <c r="Y780" i="20"/>
  <c r="AD784" i="20"/>
  <c r="W793" i="20"/>
  <c r="Y801" i="20"/>
  <c r="AI805" i="20"/>
  <c r="AB813" i="20"/>
  <c r="Y821" i="20"/>
  <c r="Z822" i="20"/>
  <c r="AC833" i="20"/>
  <c r="AA837" i="20"/>
  <c r="AC843" i="20"/>
  <c r="AI849" i="20"/>
  <c r="AA853" i="20"/>
  <c r="AI858" i="20"/>
  <c r="X869" i="20"/>
  <c r="Z874" i="20"/>
  <c r="AC881" i="20"/>
  <c r="AA884" i="20"/>
  <c r="AA893" i="20"/>
  <c r="AD901" i="20"/>
  <c r="AI496" i="20"/>
  <c r="AC606" i="20"/>
  <c r="AC792" i="20"/>
  <c r="AI823" i="20"/>
  <c r="AB868" i="20"/>
  <c r="Y885" i="20"/>
  <c r="Z564" i="20"/>
  <c r="AD574" i="20"/>
  <c r="Y688" i="20"/>
  <c r="AE668" i="20"/>
  <c r="AD350" i="20"/>
  <c r="Y354" i="20"/>
  <c r="AB364" i="20"/>
  <c r="X417" i="20"/>
  <c r="AC641" i="20"/>
  <c r="X304" i="20"/>
  <c r="AB373" i="20"/>
  <c r="W455" i="20"/>
  <c r="W485" i="20"/>
  <c r="Z491" i="20"/>
  <c r="AD510" i="20"/>
  <c r="AB533" i="20"/>
  <c r="AD560" i="20"/>
  <c r="AD568" i="20"/>
  <c r="AI601" i="20"/>
  <c r="AD609" i="20"/>
  <c r="AA697" i="20"/>
  <c r="Z716" i="20"/>
  <c r="X737" i="20"/>
  <c r="AB752" i="20"/>
  <c r="AA774" i="20"/>
  <c r="AB758" i="20"/>
  <c r="AE788" i="20"/>
  <c r="AE797" i="20"/>
  <c r="AD809" i="20"/>
  <c r="AE820" i="20"/>
  <c r="Y829" i="20"/>
  <c r="W833" i="20"/>
  <c r="AD843" i="20"/>
  <c r="AA859" i="20"/>
  <c r="AB869" i="20"/>
  <c r="AI874" i="20"/>
  <c r="AD881" i="20"/>
  <c r="Y893" i="20"/>
  <c r="AI898" i="20"/>
  <c r="AA908" i="20"/>
  <c r="AI912" i="20"/>
  <c r="Y567" i="20"/>
  <c r="AD647" i="20"/>
  <c r="AE652" i="20"/>
  <c r="AI708" i="20"/>
  <c r="AB477" i="20"/>
  <c r="AB614" i="20"/>
  <c r="X627" i="20"/>
  <c r="X691" i="20"/>
  <c r="Y683" i="20"/>
  <c r="AI679" i="20"/>
  <c r="W675" i="20"/>
  <c r="X667" i="20"/>
  <c r="AE659" i="20"/>
  <c r="AC539" i="20"/>
  <c r="Y418" i="20"/>
  <c r="AC399" i="20"/>
  <c r="AE391" i="20"/>
  <c r="AA370" i="20"/>
  <c r="X395" i="20"/>
  <c r="W359" i="20"/>
  <c r="AE408" i="20"/>
  <c r="W420" i="20"/>
  <c r="Y375" i="20"/>
  <c r="AD353" i="20"/>
  <c r="AB636" i="20"/>
  <c r="AA288" i="20"/>
  <c r="AB344" i="20"/>
  <c r="AA348" i="20"/>
  <c r="AD429" i="20"/>
  <c r="AC440" i="20"/>
  <c r="AI444" i="20"/>
  <c r="AE465" i="20"/>
  <c r="AC480" i="20"/>
  <c r="AD482" i="20"/>
  <c r="AI501" i="20"/>
  <c r="AE490" i="20"/>
  <c r="AE506" i="20"/>
  <c r="Z517" i="20"/>
  <c r="Z509" i="20"/>
  <c r="AC536" i="20"/>
  <c r="AA532" i="20"/>
  <c r="AD550" i="20"/>
  <c r="AB555" i="20"/>
  <c r="Y579" i="20"/>
  <c r="AC590" i="20"/>
  <c r="AB586" i="20"/>
  <c r="Z600" i="20"/>
  <c r="Y612" i="20"/>
  <c r="AD608" i="20"/>
  <c r="Z621" i="20"/>
  <c r="AI696" i="20"/>
  <c r="X706" i="20"/>
  <c r="X718" i="20"/>
  <c r="W723" i="20"/>
  <c r="AI727" i="20"/>
  <c r="W734" i="20"/>
  <c r="AE739" i="20"/>
  <c r="X751" i="20"/>
  <c r="X754" i="20"/>
  <c r="Z777" i="20"/>
  <c r="AD769" i="20"/>
  <c r="AI383" i="20"/>
  <c r="W527" i="20"/>
  <c r="X725" i="20"/>
  <c r="AB759" i="20"/>
  <c r="AC827" i="20"/>
  <c r="Z864" i="20"/>
  <c r="AE902" i="20"/>
  <c r="X656" i="20"/>
  <c r="AE618" i="20"/>
  <c r="AA680" i="20"/>
  <c r="Y529" i="20"/>
  <c r="AA354" i="20"/>
  <c r="AB409" i="20"/>
  <c r="X387" i="20"/>
  <c r="AI629" i="20"/>
  <c r="X373" i="20"/>
  <c r="X455" i="20"/>
  <c r="AC483" i="20"/>
  <c r="AA498" i="20"/>
  <c r="AA518" i="20"/>
  <c r="AA519" i="20"/>
  <c r="AD546" i="20"/>
  <c r="Y568" i="20"/>
  <c r="AB591" i="20"/>
  <c r="AD583" i="20"/>
  <c r="X609" i="20"/>
  <c r="X617" i="20"/>
  <c r="AE697" i="20"/>
  <c r="AI716" i="20"/>
  <c r="AB724" i="20"/>
  <c r="AC737" i="20"/>
  <c r="X755" i="20"/>
  <c r="AB770" i="20"/>
  <c r="W762" i="20"/>
  <c r="AA788" i="20"/>
  <c r="Z797" i="20"/>
  <c r="AI801" i="20"/>
  <c r="AB809" i="20"/>
  <c r="W820" i="20"/>
  <c r="AD829" i="20"/>
  <c r="X837" i="20"/>
  <c r="AC846" i="20"/>
  <c r="W849" i="20"/>
  <c r="Y858" i="20"/>
  <c r="AA869" i="20"/>
  <c r="AC877" i="20"/>
  <c r="AA887" i="20"/>
  <c r="Z898" i="20"/>
  <c r="W908" i="20"/>
  <c r="AA912" i="20"/>
  <c r="X567" i="20"/>
  <c r="AB647" i="20"/>
  <c r="Y655" i="20"/>
  <c r="Z708" i="20"/>
  <c r="AB571" i="20"/>
  <c r="AA614" i="20"/>
  <c r="AA623" i="20"/>
  <c r="AI695" i="20"/>
  <c r="AE691" i="20"/>
  <c r="X683" i="20"/>
  <c r="X675" i="20"/>
  <c r="Z671" i="20"/>
  <c r="Y667" i="20"/>
  <c r="W659" i="20"/>
  <c r="AD539" i="20"/>
  <c r="AI418" i="20"/>
  <c r="AA412" i="20"/>
  <c r="AC379" i="20"/>
  <c r="Z370" i="20"/>
  <c r="Z395" i="20"/>
  <c r="AE359" i="20"/>
  <c r="Z408" i="20"/>
  <c r="Y420" i="20"/>
  <c r="W397" i="20"/>
  <c r="AC353" i="20"/>
  <c r="AE640" i="20"/>
  <c r="AD636" i="20"/>
  <c r="AB288" i="20"/>
  <c r="AE308" i="20"/>
  <c r="Z348" i="20"/>
  <c r="X429" i="20"/>
  <c r="Y440" i="20"/>
  <c r="W465" i="20"/>
  <c r="W476" i="20"/>
  <c r="AI482" i="20"/>
  <c r="AE488" i="20"/>
  <c r="Z490" i="20"/>
  <c r="W506" i="20"/>
  <c r="AB517" i="20"/>
  <c r="AC509" i="20"/>
  <c r="AA525" i="20"/>
  <c r="X532" i="20"/>
  <c r="Y550" i="20"/>
  <c r="AD555" i="20"/>
  <c r="AI579" i="20"/>
  <c r="Z590" i="20"/>
  <c r="AE586" i="20"/>
  <c r="X600" i="20"/>
  <c r="AC596" i="20"/>
  <c r="Y608" i="20"/>
  <c r="Y621" i="20"/>
  <c r="AA696" i="20"/>
  <c r="Y706" i="20"/>
  <c r="Z714" i="20"/>
  <c r="AA718" i="20"/>
  <c r="X726" i="20"/>
  <c r="AD734" i="20"/>
  <c r="W739" i="20"/>
  <c r="AE745" i="20"/>
  <c r="AI754" i="20"/>
  <c r="AE777" i="20"/>
  <c r="AA773" i="20"/>
  <c r="AI765" i="20"/>
  <c r="W783" i="20"/>
  <c r="AI787" i="20"/>
  <c r="W790" i="20"/>
  <c r="AE800" i="20"/>
  <c r="AC807" i="20"/>
  <c r="AD810" i="20"/>
  <c r="AI817" i="20"/>
  <c r="X825" i="20"/>
  <c r="AD830" i="20"/>
  <c r="Z836" i="20"/>
  <c r="AD840" i="20"/>
  <c r="AI851" i="20"/>
  <c r="AE854" i="20"/>
  <c r="W857" i="20"/>
  <c r="Y871" i="20"/>
  <c r="Z873" i="20"/>
  <c r="AB878" i="20"/>
  <c r="AD883" i="20"/>
  <c r="AE888" i="20"/>
  <c r="AB896" i="20"/>
  <c r="AC355" i="20"/>
  <c r="AA602" i="20"/>
  <c r="Y818" i="20"/>
  <c r="AI897" i="20"/>
  <c r="Y548" i="20"/>
  <c r="Z672" i="20"/>
  <c r="W354" i="20"/>
  <c r="AB403" i="20"/>
  <c r="AB637" i="20"/>
  <c r="AB471" i="20"/>
  <c r="Y518" i="20"/>
  <c r="AB560" i="20"/>
  <c r="AD591" i="20"/>
  <c r="AA605" i="20"/>
  <c r="AD737" i="20"/>
  <c r="AD756" i="20"/>
  <c r="AD780" i="20"/>
  <c r="Y809" i="20"/>
  <c r="Z821" i="20"/>
  <c r="AE843" i="20"/>
  <c r="AB853" i="20"/>
  <c r="Z863" i="20"/>
  <c r="AI884" i="20"/>
  <c r="AD908" i="20"/>
  <c r="AC912" i="20"/>
  <c r="AA652" i="20"/>
  <c r="AC477" i="20"/>
  <c r="Z623" i="20"/>
  <c r="Z691" i="20"/>
  <c r="X679" i="20"/>
  <c r="Z663" i="20"/>
  <c r="AC541" i="20"/>
  <c r="W399" i="20"/>
  <c r="W370" i="20"/>
  <c r="AD371" i="20"/>
  <c r="AB408" i="20"/>
  <c r="AE420" i="20"/>
  <c r="Z640" i="20"/>
  <c r="W288" i="20"/>
  <c r="AB348" i="20"/>
  <c r="W429" i="20"/>
  <c r="AI465" i="20"/>
  <c r="AI480" i="20"/>
  <c r="Z494" i="20"/>
  <c r="AD509" i="20"/>
  <c r="AI559" i="20"/>
  <c r="AC579" i="20"/>
  <c r="Y582" i="20"/>
  <c r="AA612" i="20"/>
  <c r="X702" i="20"/>
  <c r="AB714" i="20"/>
  <c r="AE723" i="20"/>
  <c r="AI739" i="20"/>
  <c r="Z751" i="20"/>
  <c r="AI773" i="20"/>
  <c r="AI761" i="20"/>
  <c r="AI783" i="20"/>
  <c r="AA794" i="20"/>
  <c r="AI802" i="20"/>
  <c r="X810" i="20"/>
  <c r="AD817" i="20"/>
  <c r="W826" i="20"/>
  <c r="AA836" i="20"/>
  <c r="AE840" i="20"/>
  <c r="W854" i="20"/>
  <c r="AI862" i="20"/>
  <c r="AD873" i="20"/>
  <c r="AD882" i="20"/>
  <c r="AE895" i="20"/>
  <c r="AI900" i="20"/>
  <c r="AA907" i="20"/>
  <c r="W915" i="20"/>
  <c r="AA566" i="20"/>
  <c r="AB645" i="20"/>
  <c r="Z653" i="20"/>
  <c r="Y709" i="20"/>
  <c r="Y474" i="20"/>
  <c r="AC613" i="20"/>
  <c r="AE622" i="20"/>
  <c r="AD694" i="20"/>
  <c r="Y686" i="20"/>
  <c r="AI682" i="20"/>
  <c r="W678" i="20"/>
  <c r="AD670" i="20"/>
  <c r="W666" i="20"/>
  <c r="AB658" i="20"/>
  <c r="AE538" i="20"/>
  <c r="X421" i="20"/>
  <c r="AE396" i="20"/>
  <c r="AB378" i="20"/>
  <c r="X398" i="20"/>
  <c r="X368" i="20"/>
  <c r="AD414" i="20"/>
  <c r="AD407" i="20"/>
  <c r="AC351" i="20"/>
  <c r="AI392" i="20"/>
  <c r="AD369" i="20"/>
  <c r="AC639" i="20"/>
  <c r="AD635" i="20"/>
  <c r="AB292" i="20"/>
  <c r="X343" i="20"/>
  <c r="Y411" i="20"/>
  <c r="AB428" i="20"/>
  <c r="Y439" i="20"/>
  <c r="AE469" i="20"/>
  <c r="X479" i="20"/>
  <c r="W487" i="20"/>
  <c r="AD500" i="20"/>
  <c r="Z493" i="20"/>
  <c r="W516" i="20"/>
  <c r="AA512" i="20"/>
  <c r="AD508" i="20"/>
  <c r="AI535" i="20"/>
  <c r="AA530" i="20"/>
  <c r="AE558" i="20"/>
  <c r="AD563" i="20"/>
  <c r="AA577" i="20"/>
  <c r="AC589" i="20"/>
  <c r="AE585" i="20"/>
  <c r="AI581" i="20"/>
  <c r="AB595" i="20"/>
  <c r="Z611" i="20"/>
  <c r="AE603" i="20"/>
  <c r="AC699" i="20"/>
  <c r="Y102" i="20"/>
  <c r="AD105" i="20"/>
  <c r="AA218" i="20"/>
  <c r="AE180" i="20"/>
  <c r="W250" i="20"/>
  <c r="AE186" i="20"/>
  <c r="AA208" i="20"/>
  <c r="W200" i="20"/>
  <c r="AD233" i="20"/>
  <c r="AC195" i="20"/>
  <c r="Z212" i="20"/>
  <c r="AI282" i="20"/>
  <c r="AB200" i="20"/>
  <c r="AE272" i="20"/>
  <c r="AI248" i="20"/>
  <c r="Y268" i="20"/>
  <c r="AD222" i="20"/>
  <c r="W228" i="20"/>
  <c r="AD266" i="20"/>
  <c r="AA229" i="20"/>
  <c r="AB225" i="20"/>
  <c r="AA523" i="20"/>
  <c r="Y524" i="20"/>
  <c r="AC303" i="20"/>
  <c r="Z322" i="20"/>
  <c r="AE329" i="20"/>
  <c r="Z453" i="20"/>
  <c r="AE434" i="20"/>
  <c r="AA345" i="20"/>
  <c r="AI466" i="20"/>
  <c r="AB323" i="20"/>
  <c r="X427" i="20"/>
  <c r="AA312" i="20"/>
  <c r="AI443" i="20"/>
  <c r="W468" i="20"/>
  <c r="AE326" i="20"/>
  <c r="W245" i="20"/>
  <c r="W278" i="20"/>
  <c r="AB310" i="20"/>
  <c r="X299" i="20"/>
  <c r="X302" i="20"/>
  <c r="Y264" i="20"/>
  <c r="AD309" i="20"/>
  <c r="AI459" i="20"/>
  <c r="W309" i="20"/>
  <c r="X340" i="20"/>
  <c r="AA309" i="20"/>
  <c r="AA458" i="20"/>
  <c r="Z462" i="20"/>
  <c r="Y449" i="20"/>
  <c r="Y316" i="20"/>
  <c r="W314" i="20"/>
  <c r="AC314" i="20"/>
  <c r="AI295" i="20"/>
  <c r="AB291" i="20"/>
  <c r="AB290" i="20"/>
  <c r="AE338" i="20"/>
  <c r="AB339" i="20"/>
  <c r="W336" i="20"/>
  <c r="Z413" i="20"/>
  <c r="Z366" i="20"/>
  <c r="Z402" i="20"/>
  <c r="AB467" i="20"/>
  <c r="W413" i="20"/>
  <c r="X638" i="20"/>
  <c r="X448" i="20"/>
  <c r="AC499" i="20"/>
  <c r="X419" i="20"/>
  <c r="AI630" i="20"/>
  <c r="AD461" i="20"/>
  <c r="Z492" i="20"/>
  <c r="AD547" i="20"/>
  <c r="Y592" i="20"/>
  <c r="AE606" i="20"/>
  <c r="AI717" i="20"/>
  <c r="Y349" i="20"/>
  <c r="AA486" i="20"/>
  <c r="AE527" i="20"/>
  <c r="AI562" i="20"/>
  <c r="Y580" i="20"/>
  <c r="Y698" i="20"/>
  <c r="W736" i="20"/>
  <c r="X749" i="20"/>
  <c r="AD767" i="20"/>
  <c r="AC781" i="20"/>
  <c r="Z798" i="20"/>
  <c r="AA406" i="20"/>
  <c r="AE318" i="20"/>
  <c r="Y467" i="20"/>
  <c r="AA504" i="20"/>
  <c r="AE534" i="20"/>
  <c r="AD553" i="20"/>
  <c r="AB588" i="20"/>
  <c r="AE594" i="20"/>
  <c r="AB698" i="20"/>
  <c r="AD717" i="20"/>
  <c r="AA736" i="20"/>
  <c r="W744" i="20"/>
  <c r="Y757" i="20"/>
  <c r="X767" i="20"/>
  <c r="Z781" i="20"/>
  <c r="AD792" i="20"/>
  <c r="AI803" i="20"/>
  <c r="Z816" i="20"/>
  <c r="W827" i="20"/>
  <c r="Y841" i="20"/>
  <c r="AE868" i="20"/>
  <c r="AB860" i="20"/>
  <c r="W876" i="20"/>
  <c r="AE889" i="20"/>
  <c r="AC903" i="20"/>
  <c r="AI564" i="20"/>
  <c r="AB419" i="20"/>
  <c r="AI355" i="20"/>
  <c r="Z511" i="20"/>
  <c r="AB592" i="20"/>
  <c r="Z606" i="20"/>
  <c r="AD720" i="20"/>
  <c r="Z775" i="20"/>
  <c r="AE781" i="20"/>
  <c r="AD803" i="20"/>
  <c r="W818" i="20"/>
  <c r="AD844" i="20"/>
  <c r="W868" i="20"/>
  <c r="AA875" i="20"/>
  <c r="W889" i="20"/>
  <c r="AE903" i="20"/>
  <c r="Y648" i="20"/>
  <c r="AE707" i="20"/>
  <c r="W615" i="20"/>
  <c r="Z688" i="20"/>
  <c r="Y672" i="20"/>
  <c r="AA660" i="20"/>
  <c r="AA540" i="20"/>
  <c r="Z393" i="20"/>
  <c r="AA372" i="20"/>
  <c r="AI402" i="20"/>
  <c r="W504" i="20"/>
  <c r="AD562" i="20"/>
  <c r="AA606" i="20"/>
  <c r="AD725" i="20"/>
  <c r="AB744" i="20"/>
  <c r="AI759" i="20"/>
  <c r="AA803" i="20"/>
  <c r="X818" i="20"/>
  <c r="AB838" i="20"/>
  <c r="AE852" i="20"/>
  <c r="X875" i="20"/>
  <c r="Y897" i="20"/>
  <c r="AC913" i="20"/>
  <c r="AE651" i="20"/>
  <c r="X548" i="20"/>
  <c r="AB618" i="20"/>
  <c r="AA688" i="20"/>
  <c r="X672" i="20"/>
  <c r="Z660" i="20"/>
  <c r="AE544" i="20"/>
  <c r="AI393" i="20"/>
  <c r="AD354" i="20"/>
  <c r="Z364" i="20"/>
  <c r="W409" i="20"/>
  <c r="Y387" i="20"/>
  <c r="X637" i="20"/>
  <c r="Y304" i="20"/>
  <c r="Z373" i="20"/>
  <c r="AD445" i="20"/>
  <c r="AA481" i="20"/>
  <c r="X502" i="20"/>
  <c r="AA318" i="20"/>
  <c r="AI588" i="20"/>
  <c r="AC725" i="20"/>
  <c r="AA747" i="20"/>
  <c r="X781" i="20"/>
  <c r="AE814" i="20"/>
  <c r="W831" i="20"/>
  <c r="Z852" i="20"/>
  <c r="AB880" i="20"/>
  <c r="AE897" i="20"/>
  <c r="AE564" i="20"/>
  <c r="AC707" i="20"/>
  <c r="AE574" i="20"/>
  <c r="Z624" i="20"/>
  <c r="W676" i="20"/>
  <c r="AI529" i="20"/>
  <c r="AA393" i="20"/>
  <c r="X372" i="20"/>
  <c r="AE361" i="20"/>
  <c r="AI409" i="20"/>
  <c r="AE387" i="20"/>
  <c r="AA637" i="20"/>
  <c r="AA629" i="20"/>
  <c r="W346" i="20"/>
  <c r="X425" i="20"/>
  <c r="AB451" i="20"/>
  <c r="X471" i="20"/>
  <c r="W502" i="20"/>
  <c r="AE495" i="20"/>
  <c r="Y514" i="20"/>
  <c r="AB510" i="20"/>
  <c r="W533" i="20"/>
  <c r="AC556" i="20"/>
  <c r="Z568" i="20"/>
  <c r="AC591" i="20"/>
  <c r="AI583" i="20"/>
  <c r="AB597" i="20"/>
  <c r="Z609" i="20"/>
  <c r="AE700" i="20"/>
  <c r="AA704" i="20"/>
  <c r="AD716" i="20"/>
  <c r="AC728" i="20"/>
  <c r="W735" i="20"/>
  <c r="AC746" i="20"/>
  <c r="Z756" i="20"/>
  <c r="AE770" i="20"/>
  <c r="AA762" i="20"/>
  <c r="AC413" i="20"/>
  <c r="AD473" i="20"/>
  <c r="AA527" i="20"/>
  <c r="AB598" i="20"/>
  <c r="Y720" i="20"/>
  <c r="AD747" i="20"/>
  <c r="AB808" i="20"/>
  <c r="AC831" i="20"/>
  <c r="X852" i="20"/>
  <c r="AB876" i="20"/>
  <c r="X902" i="20"/>
  <c r="AI569" i="20"/>
  <c r="AA548" i="20"/>
  <c r="Z618" i="20"/>
  <c r="AI680" i="20"/>
  <c r="AD664" i="20"/>
  <c r="AE540" i="20"/>
  <c r="AC400" i="20"/>
  <c r="AI376" i="20"/>
  <c r="Y374" i="20"/>
  <c r="Z416" i="20"/>
  <c r="AE409" i="20"/>
  <c r="AB417" i="20"/>
  <c r="Y358" i="20"/>
  <c r="Y637" i="20"/>
  <c r="Z629" i="20"/>
  <c r="AE373" i="20"/>
  <c r="Y425" i="20"/>
  <c r="AI451" i="20"/>
  <c r="AD471" i="20"/>
  <c r="AE485" i="20"/>
  <c r="W498" i="20"/>
  <c r="X491" i="20"/>
  <c r="AI518" i="20"/>
  <c r="AI510" i="20"/>
  <c r="Z526" i="20"/>
  <c r="Y533" i="20"/>
  <c r="X560" i="20"/>
  <c r="W556" i="20"/>
  <c r="X575" i="20"/>
  <c r="Z591" i="20"/>
  <c r="W587" i="20"/>
  <c r="W601" i="20"/>
  <c r="AI597" i="20"/>
  <c r="AB609" i="20"/>
  <c r="AI605" i="20"/>
  <c r="AD700" i="20"/>
  <c r="X704" i="20"/>
  <c r="AI713" i="20"/>
  <c r="AE716" i="20"/>
  <c r="AD724" i="20"/>
  <c r="AB728" i="20"/>
  <c r="AI737" i="20"/>
  <c r="AI740" i="20"/>
  <c r="AD752" i="20"/>
  <c r="W755" i="20"/>
  <c r="AA756" i="20"/>
  <c r="AD770" i="20"/>
  <c r="Y762" i="20"/>
  <c r="W758" i="20"/>
  <c r="AC788" i="20"/>
  <c r="AE784" i="20"/>
  <c r="X797" i="20"/>
  <c r="Y805" i="20"/>
  <c r="Z809" i="20"/>
  <c r="AA813" i="20"/>
  <c r="AD821" i="20"/>
  <c r="W822" i="20"/>
  <c r="AI833" i="20"/>
  <c r="AB837" i="20"/>
  <c r="AB846" i="20"/>
  <c r="Y853" i="20"/>
  <c r="Y859" i="20"/>
  <c r="AA863" i="20"/>
  <c r="AC869" i="20"/>
  <c r="AE874" i="20"/>
  <c r="AI881" i="20"/>
  <c r="AB884" i="20"/>
  <c r="AB898" i="20"/>
  <c r="AC642" i="20"/>
  <c r="X511" i="20"/>
  <c r="AA717" i="20"/>
  <c r="AC798" i="20"/>
  <c r="AE827" i="20"/>
  <c r="AA864" i="20"/>
  <c r="AI889" i="20"/>
  <c r="AE656" i="20"/>
  <c r="AE615" i="20"/>
  <c r="X684" i="20"/>
  <c r="AB664" i="20"/>
  <c r="W400" i="20"/>
  <c r="AB372" i="20"/>
  <c r="AA361" i="20"/>
  <c r="AD404" i="20"/>
  <c r="W637" i="20"/>
  <c r="W327" i="20"/>
  <c r="AD423" i="20"/>
  <c r="Z471" i="20"/>
  <c r="AE502" i="20"/>
  <c r="AB518" i="20"/>
  <c r="W510" i="20"/>
  <c r="Y546" i="20"/>
  <c r="AB556" i="20"/>
  <c r="AA568" i="20"/>
  <c r="AA593" i="20"/>
  <c r="Y605" i="20"/>
  <c r="Y704" i="20"/>
  <c r="AC721" i="20"/>
  <c r="AA737" i="20"/>
  <c r="Z752" i="20"/>
  <c r="W766" i="20"/>
  <c r="AA780" i="20"/>
  <c r="X784" i="20"/>
  <c r="W801" i="20"/>
  <c r="AC813" i="20"/>
  <c r="W821" i="20"/>
  <c r="AA829" i="20"/>
  <c r="Z837" i="20"/>
  <c r="AD846" i="20"/>
  <c r="X858" i="20"/>
  <c r="AD869" i="20"/>
  <c r="AB877" i="20"/>
  <c r="X881" i="20"/>
  <c r="AD893" i="20"/>
  <c r="AI901" i="20"/>
  <c r="X905" i="20"/>
  <c r="Y912" i="20"/>
  <c r="AC644" i="20"/>
  <c r="AE647" i="20"/>
  <c r="X655" i="20"/>
  <c r="Y477" i="20"/>
  <c r="Y571" i="20"/>
  <c r="AB623" i="20"/>
  <c r="Y627" i="20"/>
  <c r="W691" i="20"/>
  <c r="AD683" i="20"/>
  <c r="AC679" i="20"/>
  <c r="AC671" i="20"/>
  <c r="Z667" i="20"/>
  <c r="AD659" i="20"/>
  <c r="W541" i="20"/>
  <c r="W418" i="20"/>
  <c r="AI399" i="20"/>
  <c r="AA391" i="20"/>
  <c r="AC401" i="20"/>
  <c r="AD395" i="20"/>
  <c r="AC415" i="20"/>
  <c r="W385" i="20"/>
  <c r="AC397" i="20"/>
  <c r="AE375" i="20"/>
  <c r="X353" i="20"/>
  <c r="W636" i="20"/>
  <c r="AE288" i="20"/>
  <c r="AI344" i="20"/>
  <c r="W348" i="20"/>
  <c r="AA429" i="20"/>
  <c r="X444" i="20"/>
  <c r="AI450" i="20"/>
  <c r="AC476" i="20"/>
  <c r="AA480" i="20"/>
  <c r="X488" i="20"/>
  <c r="AD501" i="20"/>
  <c r="AA490" i="20"/>
  <c r="AC506" i="20"/>
  <c r="W513" i="20"/>
  <c r="AE509" i="20"/>
  <c r="AI536" i="20"/>
  <c r="AE532" i="20"/>
  <c r="AE559" i="20"/>
  <c r="AC555" i="20"/>
  <c r="AD579" i="20"/>
  <c r="Y586" i="20"/>
  <c r="Z582" i="20"/>
  <c r="AA596" i="20"/>
  <c r="AE612" i="20"/>
  <c r="I24" i="37" s="1"/>
  <c r="AE604" i="20"/>
  <c r="Y696" i="20"/>
  <c r="Z702" i="20"/>
  <c r="W706" i="20"/>
  <c r="AC718" i="20"/>
  <c r="AE726" i="20"/>
  <c r="X734" i="20"/>
  <c r="X743" i="20"/>
  <c r="Y739" i="20"/>
  <c r="AC751" i="20"/>
  <c r="AE754" i="20"/>
  <c r="AC773" i="20"/>
  <c r="Z765" i="20"/>
  <c r="X630" i="20"/>
  <c r="W561" i="20"/>
  <c r="AC732" i="20"/>
  <c r="X796" i="20"/>
  <c r="Y847" i="20"/>
  <c r="W875" i="20"/>
  <c r="AD903" i="20"/>
  <c r="Z707" i="20"/>
  <c r="AB624" i="20"/>
  <c r="AD676" i="20"/>
  <c r="AB540" i="20"/>
  <c r="AC372" i="20"/>
  <c r="Z417" i="20"/>
  <c r="AD641" i="20"/>
  <c r="W304" i="20"/>
  <c r="AI423" i="20"/>
  <c r="AC455" i="20"/>
  <c r="AC485" i="20"/>
  <c r="X495" i="20"/>
  <c r="Y510" i="20"/>
  <c r="AB526" i="20"/>
  <c r="AA546" i="20"/>
  <c r="AE568" i="20"/>
  <c r="AC587" i="20"/>
  <c r="AD601" i="20"/>
  <c r="AA609" i="20"/>
  <c r="AB700" i="20"/>
  <c r="AE704" i="20"/>
  <c r="X721" i="20"/>
  <c r="X728" i="20"/>
  <c r="W737" i="20"/>
  <c r="W756" i="20"/>
  <c r="AA770" i="20"/>
  <c r="AA758" i="20"/>
  <c r="W784" i="20"/>
  <c r="AA797" i="20"/>
  <c r="Z805" i="20"/>
  <c r="X809" i="20"/>
  <c r="AA821" i="20"/>
  <c r="Z833" i="20"/>
  <c r="AE837" i="20"/>
  <c r="W846" i="20"/>
  <c r="W853" i="20"/>
  <c r="AE858" i="20"/>
  <c r="AC874" i="20"/>
  <c r="W881" i="20"/>
  <c r="X893" i="20"/>
  <c r="AA901" i="20"/>
  <c r="AI908" i="20"/>
  <c r="AB912" i="20"/>
  <c r="Z567" i="20"/>
  <c r="AA647" i="20"/>
  <c r="AD655" i="20"/>
  <c r="AE708" i="20"/>
  <c r="AI571" i="20"/>
  <c r="AE614" i="20"/>
  <c r="AE627" i="20"/>
  <c r="Y691" i="20"/>
  <c r="Z687" i="20"/>
  <c r="AA679" i="20"/>
  <c r="AC675" i="20"/>
  <c r="W671" i="20"/>
  <c r="AA663" i="20"/>
  <c r="X659" i="20"/>
  <c r="AE541" i="20"/>
  <c r="Y412" i="20"/>
  <c r="Z399" i="20"/>
  <c r="AI379" i="20"/>
  <c r="Z401" i="20"/>
  <c r="AC371" i="20"/>
  <c r="AI359" i="20"/>
  <c r="AI408" i="20"/>
  <c r="AI420" i="20"/>
  <c r="AE397" i="20"/>
  <c r="AB353" i="20"/>
  <c r="AD640" i="20"/>
  <c r="X636" i="20"/>
  <c r="Y288" i="20"/>
  <c r="AI308" i="20"/>
  <c r="AD348" i="20"/>
  <c r="AC429" i="20"/>
  <c r="AD444" i="20"/>
  <c r="X465" i="20"/>
  <c r="Z480" i="20"/>
  <c r="Y488" i="20"/>
  <c r="W501" i="20"/>
  <c r="AB494" i="20"/>
  <c r="X506" i="20"/>
  <c r="AA517" i="20"/>
  <c r="AI509" i="20"/>
  <c r="W525" i="20"/>
  <c r="W532" i="20"/>
  <c r="W559" i="20"/>
  <c r="AE551" i="20"/>
  <c r="X573" i="20"/>
  <c r="W590" i="20"/>
  <c r="AC582" i="20"/>
  <c r="AD600" i="20"/>
  <c r="Z612" i="20"/>
  <c r="AC608" i="20"/>
  <c r="W621" i="20"/>
  <c r="AB702" i="20"/>
  <c r="AD706" i="20"/>
  <c r="W714" i="20"/>
  <c r="AC723" i="20"/>
  <c r="Z727" i="20"/>
  <c r="AC743" i="20"/>
  <c r="X739" i="20"/>
  <c r="AA751" i="20"/>
  <c r="W754" i="20"/>
  <c r="AA777" i="20"/>
  <c r="AE769" i="20"/>
  <c r="W761" i="20"/>
  <c r="AE779" i="20"/>
  <c r="Y790" i="20"/>
  <c r="Z794" i="20"/>
  <c r="AC802" i="20"/>
  <c r="AA807" i="20"/>
  <c r="Y812" i="20"/>
  <c r="Y825" i="20"/>
  <c r="Z826" i="20"/>
  <c r="AA834" i="20"/>
  <c r="Y836" i="20"/>
  <c r="AB845" i="20"/>
  <c r="Y854" i="20"/>
  <c r="Z867" i="20"/>
  <c r="AA862" i="20"/>
  <c r="AD871" i="20"/>
  <c r="W873" i="20"/>
  <c r="AC882" i="20"/>
  <c r="AA883" i="20"/>
  <c r="AD888" i="20"/>
  <c r="AI896" i="20"/>
  <c r="W492" i="20"/>
  <c r="AI720" i="20"/>
  <c r="AD831" i="20"/>
  <c r="X913" i="20"/>
  <c r="AC615" i="20"/>
  <c r="AC664" i="20"/>
  <c r="AE374" i="20"/>
  <c r="Y404" i="20"/>
  <c r="AI327" i="20"/>
  <c r="AB483" i="20"/>
  <c r="Z514" i="20"/>
  <c r="AE556" i="20"/>
  <c r="W597" i="20"/>
  <c r="AB617" i="20"/>
  <c r="Y746" i="20"/>
  <c r="X774" i="20"/>
  <c r="AC784" i="20"/>
  <c r="AI809" i="20"/>
  <c r="AC822" i="20"/>
  <c r="Y846" i="20"/>
  <c r="AC859" i="20"/>
  <c r="W869" i="20"/>
  <c r="Z887" i="20"/>
  <c r="AB905" i="20"/>
  <c r="AD567" i="20"/>
  <c r="Z655" i="20"/>
  <c r="AI477" i="20"/>
  <c r="AB627" i="20"/>
  <c r="AB691" i="20"/>
  <c r="AA671" i="20"/>
  <c r="AI659" i="20"/>
  <c r="AC418" i="20"/>
  <c r="Y379" i="20"/>
  <c r="X401" i="20"/>
  <c r="AE371" i="20"/>
  <c r="Y385" i="20"/>
  <c r="X397" i="20"/>
  <c r="AE636" i="20"/>
  <c r="Y308" i="20"/>
  <c r="AI348" i="20"/>
  <c r="AE440" i="20"/>
  <c r="AC465" i="20"/>
  <c r="AC482" i="20"/>
  <c r="AI506" i="20"/>
  <c r="W509" i="20"/>
  <c r="Z559" i="20"/>
  <c r="W579" i="20"/>
  <c r="AA582" i="20"/>
  <c r="Z608" i="20"/>
  <c r="AI702" i="20"/>
  <c r="AB718" i="20"/>
  <c r="Z726" i="20"/>
  <c r="Z739" i="20"/>
  <c r="AD754" i="20"/>
  <c r="AB769" i="20"/>
  <c r="AC761" i="20"/>
  <c r="X779" i="20"/>
  <c r="Y800" i="20"/>
  <c r="AB807" i="20"/>
  <c r="AC810" i="20"/>
  <c r="W817" i="20"/>
  <c r="AI830" i="20"/>
  <c r="AE836" i="20"/>
  <c r="AD845" i="20"/>
  <c r="AA867" i="20"/>
  <c r="Y862" i="20"/>
  <c r="AA873" i="20"/>
  <c r="X888" i="20"/>
  <c r="X896" i="20"/>
  <c r="Z900" i="20"/>
  <c r="AD907" i="20"/>
  <c r="AA911" i="20"/>
  <c r="Y645" i="20"/>
  <c r="Y649" i="20"/>
  <c r="AD653" i="20"/>
  <c r="AD709" i="20"/>
  <c r="AE474" i="20"/>
  <c r="AI613" i="20"/>
  <c r="I129" i="86" s="1"/>
  <c r="L129" i="86" s="1"/>
  <c r="AI622" i="20"/>
  <c r="AI694" i="20"/>
  <c r="AD686" i="20"/>
  <c r="Z682" i="20"/>
  <c r="AB674" i="20"/>
  <c r="AA670" i="20"/>
  <c r="X662" i="20"/>
  <c r="Y658" i="20"/>
  <c r="Z543" i="20"/>
  <c r="AB410" i="20"/>
  <c r="AI390" i="20"/>
  <c r="AB367" i="20"/>
  <c r="Z382" i="20"/>
  <c r="AC357" i="20"/>
  <c r="AE414" i="20"/>
  <c r="X407" i="20"/>
  <c r="AB351" i="20"/>
  <c r="AD392" i="20"/>
  <c r="X369" i="20"/>
  <c r="X639" i="20"/>
  <c r="AB635" i="20"/>
  <c r="AA292" i="20"/>
  <c r="AC343" i="20"/>
  <c r="W411" i="20"/>
  <c r="AA428" i="20"/>
  <c r="AI442" i="20"/>
  <c r="Y469" i="20"/>
  <c r="AD479" i="20"/>
  <c r="X487" i="20"/>
  <c r="Y497" i="20"/>
  <c r="AE493" i="20"/>
  <c r="AC516" i="20"/>
  <c r="W512" i="20"/>
  <c r="X528" i="20"/>
  <c r="X530" i="20"/>
  <c r="AI549" i="20"/>
  <c r="AC554" i="20"/>
  <c r="AA563" i="20"/>
  <c r="Y577" i="20"/>
  <c r="AI589" i="20"/>
  <c r="AI585" i="20"/>
  <c r="AE599" i="20"/>
  <c r="Z595" i="20"/>
  <c r="W607" i="20"/>
  <c r="AC619" i="20"/>
  <c r="AE699" i="20"/>
  <c r="AB711" i="20"/>
  <c r="X719" i="20"/>
  <c r="Z722" i="20"/>
  <c r="W730" i="20"/>
  <c r="X733" i="20"/>
  <c r="Y738" i="20"/>
  <c r="X750" i="20"/>
  <c r="AC598" i="20"/>
  <c r="AI792" i="20"/>
  <c r="AC864" i="20"/>
  <c r="AE478" i="20"/>
  <c r="Y676" i="20"/>
  <c r="AD364" i="20"/>
  <c r="W633" i="20"/>
  <c r="X451" i="20"/>
  <c r="Z502" i="20"/>
  <c r="AC519" i="20"/>
  <c r="Y556" i="20"/>
  <c r="AE583" i="20"/>
  <c r="AD617" i="20"/>
  <c r="Y716" i="20"/>
  <c r="AE746" i="20"/>
  <c r="AH569" i="20"/>
  <c r="AD74" i="20"/>
  <c r="Y105" i="20"/>
  <c r="AI220" i="20"/>
  <c r="AC217" i="20"/>
  <c r="Z180" i="20"/>
  <c r="AI262" i="20"/>
  <c r="Y191" i="20"/>
  <c r="Y269" i="20"/>
  <c r="Z272" i="20"/>
  <c r="X271" i="20"/>
  <c r="AI213" i="20"/>
  <c r="AD212" i="20"/>
  <c r="AD272" i="20"/>
  <c r="Y227" i="20"/>
  <c r="AD275" i="20"/>
  <c r="AA197" i="20"/>
  <c r="AE214" i="20"/>
  <c r="AE240" i="20"/>
  <c r="AC283" i="20"/>
  <c r="W237" i="20"/>
  <c r="AE232" i="20"/>
  <c r="X196" i="20"/>
  <c r="AI523" i="20"/>
  <c r="AD298" i="20"/>
  <c r="H15" i="37" s="1"/>
  <c r="W422" i="20"/>
  <c r="AB435" i="20"/>
  <c r="X441" i="20"/>
  <c r="AC341" i="20"/>
  <c r="Y329" i="20"/>
  <c r="AD328" i="20"/>
  <c r="Y463" i="20"/>
  <c r="AD433" i="20"/>
  <c r="AC468" i="20"/>
  <c r="X331" i="20"/>
  <c r="X347" i="20"/>
  <c r="W320" i="20"/>
  <c r="AE427" i="20"/>
  <c r="W261" i="20"/>
  <c r="AE243" i="20"/>
  <c r="AB245" i="20"/>
  <c r="AA245" i="20"/>
  <c r="Z242" i="20"/>
  <c r="W307" i="20"/>
  <c r="W296" i="20"/>
  <c r="AI301" i="20"/>
  <c r="Y309" i="20"/>
  <c r="AE306" i="20"/>
  <c r="W458" i="20"/>
  <c r="AD458" i="20"/>
  <c r="AE447" i="20"/>
  <c r="AC462" i="20"/>
  <c r="AE314" i="20"/>
  <c r="AA314" i="20"/>
  <c r="X294" i="20"/>
  <c r="AD290" i="20"/>
  <c r="AE293" i="20"/>
  <c r="Y291" i="20"/>
  <c r="Y336" i="20"/>
  <c r="AC335" i="20"/>
  <c r="AC337" i="20"/>
  <c r="AC349" i="20"/>
  <c r="AA630" i="20"/>
  <c r="AD438" i="20"/>
  <c r="AI486" i="20"/>
  <c r="Z389" i="20"/>
  <c r="Z318" i="20"/>
  <c r="W484" i="20"/>
  <c r="AD504" i="20"/>
  <c r="AD366" i="20"/>
  <c r="X402" i="20"/>
  <c r="AD503" i="20"/>
  <c r="AI511" i="20"/>
  <c r="AA553" i="20"/>
  <c r="AE598" i="20"/>
  <c r="AA698" i="20"/>
  <c r="W729" i="20"/>
  <c r="AA402" i="20"/>
  <c r="AA515" i="20"/>
  <c r="AD561" i="20"/>
  <c r="AE588" i="20"/>
  <c r="AD594" i="20"/>
  <c r="W717" i="20"/>
  <c r="Z741" i="20"/>
  <c r="Z757" i="20"/>
  <c r="AI763" i="20"/>
  <c r="AC785" i="20"/>
  <c r="AB803" i="20"/>
  <c r="AB366" i="20"/>
  <c r="W438" i="20"/>
  <c r="Z499" i="20"/>
  <c r="Y507" i="20"/>
  <c r="AE561" i="20"/>
  <c r="AD576" i="20"/>
  <c r="AA580" i="20"/>
  <c r="Y606" i="20"/>
  <c r="Y703" i="20"/>
  <c r="Z729" i="20"/>
  <c r="AA741" i="20"/>
  <c r="Z749" i="20"/>
  <c r="AE775" i="20"/>
  <c r="W759" i="20"/>
  <c r="AD785" i="20"/>
  <c r="AC796" i="20"/>
  <c r="AA808" i="20"/>
  <c r="W823" i="20"/>
  <c r="AI838" i="20"/>
  <c r="AB852" i="20"/>
  <c r="AB865" i="20"/>
  <c r="AE875" i="20"/>
  <c r="X885" i="20"/>
  <c r="W897" i="20"/>
  <c r="AC906" i="20"/>
  <c r="Z648" i="20"/>
  <c r="Z642" i="20"/>
  <c r="X486" i="20"/>
  <c r="Y557" i="20"/>
  <c r="AI598" i="20"/>
  <c r="W698" i="20"/>
  <c r="Y732" i="20"/>
  <c r="AI767" i="20"/>
  <c r="Z792" i="20"/>
  <c r="AD814" i="20"/>
  <c r="AI831" i="20"/>
  <c r="AC847" i="20"/>
  <c r="AI864" i="20"/>
  <c r="AD880" i="20"/>
  <c r="AI902" i="20"/>
  <c r="AD564" i="20"/>
  <c r="AA656" i="20"/>
  <c r="AC574" i="20"/>
  <c r="AC692" i="20"/>
  <c r="AE680" i="20"/>
  <c r="AI668" i="20"/>
  <c r="AA529" i="20"/>
  <c r="Y400" i="20"/>
  <c r="AB376" i="20"/>
  <c r="AI638" i="20"/>
  <c r="X473" i="20"/>
  <c r="X534" i="20"/>
  <c r="AD588" i="20"/>
  <c r="W712" i="20"/>
  <c r="Z732" i="20"/>
  <c r="X757" i="20"/>
  <c r="Y785" i="20"/>
  <c r="AA814" i="20"/>
  <c r="AB827" i="20"/>
  <c r="Z841" i="20"/>
  <c r="AB864" i="20"/>
  <c r="AD885" i="20"/>
  <c r="Y903" i="20"/>
  <c r="Y569" i="20"/>
  <c r="X707" i="20"/>
  <c r="W574" i="20"/>
  <c r="Z692" i="20"/>
  <c r="X680" i="20"/>
  <c r="W664" i="20"/>
  <c r="AC540" i="20"/>
  <c r="AA350" i="20"/>
  <c r="AB386" i="20"/>
  <c r="AE372" i="20"/>
  <c r="AI416" i="20"/>
  <c r="AD417" i="20"/>
  <c r="AE358" i="20"/>
  <c r="AB633" i="20"/>
  <c r="Y346" i="20"/>
  <c r="W423" i="20"/>
  <c r="AC471" i="20"/>
  <c r="Z483" i="20"/>
  <c r="AI363" i="20"/>
  <c r="AC527" i="20"/>
  <c r="X610" i="20"/>
  <c r="AB732" i="20"/>
  <c r="W767" i="20"/>
  <c r="W796" i="20"/>
  <c r="AA823" i="20"/>
  <c r="AE841" i="20"/>
  <c r="AI865" i="20"/>
  <c r="Z889" i="20"/>
  <c r="Y913" i="20"/>
  <c r="Z651" i="20"/>
  <c r="X478" i="20"/>
  <c r="Y618" i="20"/>
  <c r="AD684" i="20"/>
  <c r="Y668" i="20"/>
  <c r="X350" i="20"/>
  <c r="AD376" i="20"/>
  <c r="Y364" i="20"/>
  <c r="X416" i="20"/>
  <c r="AE417" i="20"/>
  <c r="Y641" i="20"/>
  <c r="AE633" i="20"/>
  <c r="AB304" i="20"/>
  <c r="AA373" i="20"/>
  <c r="Y445" i="20"/>
  <c r="AE455" i="20"/>
  <c r="AE483" i="20"/>
  <c r="AD498" i="20"/>
  <c r="AE491" i="20"/>
  <c r="AA514" i="20"/>
  <c r="AC526" i="20"/>
  <c r="Z546" i="20"/>
  <c r="W552" i="20"/>
  <c r="Z575" i="20"/>
  <c r="AD587" i="20"/>
  <c r="AC583" i="20"/>
  <c r="X593" i="20"/>
  <c r="AI617" i="20"/>
  <c r="Y697" i="20"/>
  <c r="AD713" i="20"/>
  <c r="AE721" i="20"/>
  <c r="X735" i="20"/>
  <c r="AD740" i="20"/>
  <c r="AE752" i="20"/>
  <c r="AC774" i="20"/>
  <c r="Y766" i="20"/>
  <c r="X780" i="20"/>
  <c r="Z297" i="20"/>
  <c r="X515" i="20"/>
  <c r="X553" i="20"/>
  <c r="AD606" i="20"/>
  <c r="AE732" i="20"/>
  <c r="Z767" i="20"/>
  <c r="W816" i="20"/>
  <c r="W844" i="20"/>
  <c r="X864" i="20"/>
  <c r="AB889" i="20"/>
  <c r="AD913" i="20"/>
  <c r="W651" i="20"/>
  <c r="X574" i="20"/>
  <c r="Y684" i="20"/>
  <c r="AI672" i="20"/>
  <c r="AC660" i="20"/>
  <c r="X544" i="20"/>
  <c r="AD393" i="20"/>
  <c r="AI372" i="20"/>
  <c r="Y361" i="20"/>
  <c r="AC409" i="20"/>
  <c r="AA403" i="20"/>
  <c r="W404" i="20"/>
  <c r="W358" i="20"/>
  <c r="AA633" i="20"/>
  <c r="AE327" i="20"/>
  <c r="AB423" i="20"/>
  <c r="AA445" i="20"/>
  <c r="Y455" i="20"/>
  <c r="AI483" i="20"/>
  <c r="AI502" i="20"/>
  <c r="W495" i="20"/>
  <c r="Z518" i="20"/>
  <c r="AB514" i="20"/>
  <c r="AD519" i="20"/>
  <c r="X526" i="20"/>
  <c r="AI546" i="20"/>
  <c r="Z560" i="20"/>
  <c r="AE552" i="20"/>
  <c r="AA575" i="20"/>
  <c r="AA591" i="20"/>
  <c r="AB583" i="20"/>
  <c r="Z601" i="20"/>
  <c r="AC597" i="20"/>
  <c r="X605" i="20"/>
  <c r="Z617" i="20"/>
  <c r="AB697" i="20"/>
  <c r="Z704" i="20"/>
  <c r="AC713" i="20"/>
  <c r="AI721" i="20"/>
  <c r="AE724" i="20"/>
  <c r="AE735" i="20"/>
  <c r="AC740" i="20"/>
  <c r="W746" i="20"/>
  <c r="Y755" i="20"/>
  <c r="AC756" i="20"/>
  <c r="W774" i="20"/>
  <c r="AB766" i="20"/>
  <c r="AE762" i="20"/>
  <c r="AE780" i="20"/>
  <c r="Y784" i="20"/>
  <c r="Z793" i="20"/>
  <c r="AB801" i="20"/>
  <c r="AE805" i="20"/>
  <c r="AA809" i="20"/>
  <c r="AI820" i="20"/>
  <c r="AI821" i="20"/>
  <c r="W829" i="20"/>
  <c r="AD837" i="20"/>
  <c r="Y843" i="20"/>
  <c r="AB849" i="20"/>
  <c r="AE853" i="20"/>
  <c r="AD858" i="20"/>
  <c r="AD863" i="20"/>
  <c r="Z869" i="20"/>
  <c r="AI877" i="20"/>
  <c r="AD884" i="20"/>
  <c r="AD887" i="20"/>
  <c r="X901" i="20"/>
  <c r="AI467" i="20"/>
  <c r="W598" i="20"/>
  <c r="AI775" i="20"/>
  <c r="AA816" i="20"/>
  <c r="AA847" i="20"/>
  <c r="AI876" i="20"/>
  <c r="AD906" i="20"/>
  <c r="AB548" i="20"/>
  <c r="F27" i="37" s="1"/>
  <c r="Y692" i="20"/>
  <c r="AE676" i="20"/>
  <c r="AC544" i="20"/>
  <c r="X376" i="20"/>
  <c r="AC364" i="20"/>
  <c r="Y417" i="20"/>
  <c r="AI358" i="20"/>
  <c r="AB629" i="20"/>
  <c r="AI346" i="20"/>
  <c r="AA451" i="20"/>
  <c r="AD481" i="20"/>
  <c r="AI491" i="20"/>
  <c r="AI514" i="20"/>
  <c r="AI526" i="20"/>
  <c r="AI560" i="20"/>
  <c r="Z552" i="20"/>
  <c r="W583" i="20"/>
  <c r="AE609" i="20"/>
  <c r="X697" i="20"/>
  <c r="AB716" i="20"/>
  <c r="W728" i="20"/>
  <c r="AB746" i="20"/>
  <c r="AD755" i="20"/>
  <c r="X762" i="20"/>
  <c r="AD788" i="20"/>
  <c r="Y797" i="20"/>
  <c r="AB805" i="20"/>
  <c r="AD820" i="20"/>
  <c r="AE822" i="20"/>
  <c r="X833" i="20"/>
  <c r="AA843" i="20"/>
  <c r="AI853" i="20"/>
  <c r="AI863" i="20"/>
  <c r="AD874" i="20"/>
  <c r="AA877" i="20"/>
  <c r="AE887" i="20"/>
  <c r="W898" i="20"/>
  <c r="AB908" i="20"/>
  <c r="AE905" i="20"/>
  <c r="AE567" i="20"/>
  <c r="Y647" i="20"/>
  <c r="Y652" i="20"/>
  <c r="AC708" i="20"/>
  <c r="AA477" i="20"/>
  <c r="X614" i="20"/>
  <c r="W627" i="20"/>
  <c r="W695" i="20"/>
  <c r="AI687" i="20"/>
  <c r="AI683" i="20"/>
  <c r="Z675" i="20"/>
  <c r="W667" i="20"/>
  <c r="AD663" i="20"/>
  <c r="AB539" i="20"/>
  <c r="Z541" i="20"/>
  <c r="AI412" i="20"/>
  <c r="AD391" i="20"/>
  <c r="W379" i="20"/>
  <c r="W395" i="20"/>
  <c r="AB371" i="20"/>
  <c r="Y408" i="20"/>
  <c r="AI385" i="20"/>
  <c r="AD397" i="20"/>
  <c r="W353" i="20"/>
  <c r="AC636" i="20"/>
  <c r="AI632" i="20"/>
  <c r="AB308" i="20"/>
  <c r="AC348" i="20"/>
  <c r="AE362" i="20"/>
  <c r="AB440" i="20"/>
  <c r="AE444" i="20"/>
  <c r="Y450" i="20"/>
  <c r="X480" i="20"/>
  <c r="Y482" i="20"/>
  <c r="AC501" i="20"/>
  <c r="AC490" i="20"/>
  <c r="W494" i="20"/>
  <c r="X517" i="20"/>
  <c r="Z513" i="20"/>
  <c r="AB525" i="20"/>
  <c r="AD532" i="20"/>
  <c r="Z550" i="20"/>
  <c r="AA555" i="20"/>
  <c r="X551" i="20"/>
  <c r="Z573" i="20"/>
  <c r="AA586" i="20"/>
  <c r="AE600" i="20"/>
  <c r="AD596" i="20"/>
  <c r="AE608" i="20"/>
  <c r="AB621" i="20"/>
  <c r="AE696" i="20"/>
  <c r="W702" i="20"/>
  <c r="AA714" i="20"/>
  <c r="Z723" i="20"/>
  <c r="AC727" i="20"/>
  <c r="AA734" i="20"/>
  <c r="AB743" i="20"/>
  <c r="AI745" i="20"/>
  <c r="W751" i="20"/>
  <c r="AD777" i="20"/>
  <c r="X769" i="20"/>
  <c r="AE761" i="20"/>
  <c r="X504" i="20"/>
  <c r="AI712" i="20"/>
  <c r="Z771" i="20"/>
  <c r="AB818" i="20"/>
  <c r="AE865" i="20"/>
  <c r="AI885" i="20"/>
  <c r="AA648" i="20"/>
  <c r="AB574" i="20"/>
  <c r="AD688" i="20"/>
  <c r="W660" i="20"/>
  <c r="AE376" i="20"/>
  <c r="AD361" i="20"/>
  <c r="AC387" i="20"/>
  <c r="Y629" i="20"/>
  <c r="AC373" i="20"/>
  <c r="AI445" i="20"/>
  <c r="Z481" i="20"/>
  <c r="AA502" i="20"/>
  <c r="AD491" i="20"/>
  <c r="Z519" i="20"/>
  <c r="AC533" i="20"/>
  <c r="AB552" i="20"/>
  <c r="AD575" i="20"/>
  <c r="X583" i="20"/>
  <c r="AB593" i="20"/>
  <c r="AC605" i="20"/>
  <c r="AC697" i="20"/>
  <c r="Y713" i="20"/>
  <c r="Z724" i="20"/>
  <c r="AI735" i="20"/>
  <c r="X746" i="20"/>
  <c r="AB774" i="20"/>
  <c r="AD766" i="20"/>
  <c r="Y788" i="20"/>
  <c r="AE793" i="20"/>
  <c r="Z801" i="20"/>
  <c r="AC809" i="20"/>
  <c r="X813" i="20"/>
  <c r="AE88" i="20"/>
  <c r="X212" i="20"/>
  <c r="AB284" i="20"/>
  <c r="AI204" i="20"/>
  <c r="Z234" i="20"/>
  <c r="AB520" i="20"/>
  <c r="AB464" i="20"/>
  <c r="AC456" i="20"/>
  <c r="AE457" i="20"/>
  <c r="Z278" i="20"/>
  <c r="Y305" i="20"/>
  <c r="AD449" i="20"/>
  <c r="AA317" i="20"/>
  <c r="X290" i="20"/>
  <c r="AB335" i="20"/>
  <c r="Z484" i="20"/>
  <c r="Y492" i="20"/>
  <c r="Y511" i="20"/>
  <c r="Z725" i="20"/>
  <c r="AI592" i="20"/>
  <c r="AI757" i="20"/>
  <c r="AC366" i="20"/>
  <c r="AA547" i="20"/>
  <c r="X703" i="20"/>
  <c r="AA775" i="20"/>
  <c r="AE808" i="20"/>
  <c r="AC865" i="20"/>
  <c r="AI906" i="20"/>
  <c r="W534" i="20"/>
  <c r="AC767" i="20"/>
  <c r="AI841" i="20"/>
  <c r="AI913" i="20"/>
  <c r="AB684" i="20"/>
  <c r="AE386" i="20"/>
  <c r="W592" i="20"/>
  <c r="AI789" i="20"/>
  <c r="W864" i="20"/>
  <c r="AI656" i="20"/>
  <c r="AB668" i="20"/>
  <c r="W372" i="20"/>
  <c r="AD633" i="20"/>
  <c r="W483" i="20"/>
  <c r="AI729" i="20"/>
  <c r="AD838" i="20"/>
  <c r="AB648" i="20"/>
  <c r="W668" i="20"/>
  <c r="Y416" i="20"/>
  <c r="AE304" i="20"/>
  <c r="W481" i="20"/>
  <c r="AB519" i="20"/>
  <c r="Y587" i="20"/>
  <c r="AI700" i="20"/>
  <c r="Y737" i="20"/>
  <c r="W780" i="20"/>
  <c r="AC610" i="20"/>
  <c r="X831" i="20"/>
  <c r="X648" i="20"/>
  <c r="AE660" i="20"/>
  <c r="AA364" i="20"/>
  <c r="X358" i="20"/>
  <c r="AB445" i="20"/>
  <c r="AC495" i="20"/>
  <c r="W526" i="20"/>
  <c r="AC575" i="20"/>
  <c r="Z597" i="20"/>
  <c r="AC704" i="20"/>
  <c r="Z735" i="20"/>
  <c r="X756" i="20"/>
  <c r="AI758" i="20"/>
  <c r="AD805" i="20"/>
  <c r="Z829" i="20"/>
  <c r="AD853" i="20"/>
  <c r="AD877" i="20"/>
  <c r="AC342" i="20"/>
  <c r="W838" i="20"/>
  <c r="AC618" i="20"/>
  <c r="AA374" i="20"/>
  <c r="AD327" i="20"/>
  <c r="AC514" i="20"/>
  <c r="X591" i="20"/>
  <c r="W721" i="20"/>
  <c r="AC780" i="20"/>
  <c r="Y822" i="20"/>
  <c r="Z858" i="20"/>
  <c r="X898" i="20"/>
  <c r="AI644" i="20"/>
  <c r="AD571" i="20"/>
  <c r="AE683" i="20"/>
  <c r="AA539" i="20"/>
  <c r="Z379" i="20"/>
  <c r="Z385" i="20"/>
  <c r="Y632" i="20"/>
  <c r="AA440" i="20"/>
  <c r="AE480" i="20"/>
  <c r="AC517" i="20"/>
  <c r="AI550" i="20"/>
  <c r="AD586" i="20"/>
  <c r="AC604" i="20"/>
  <c r="AE718" i="20"/>
  <c r="AC745" i="20"/>
  <c r="AB765" i="20"/>
  <c r="AE803" i="20"/>
  <c r="AC548" i="20"/>
  <c r="X364" i="20"/>
  <c r="AA425" i="20"/>
  <c r="AA510" i="20"/>
  <c r="AI587" i="20"/>
  <c r="AE713" i="20"/>
  <c r="AE756" i="20"/>
  <c r="X801" i="20"/>
  <c r="X829" i="20"/>
  <c r="Z843" i="20"/>
  <c r="W859" i="20"/>
  <c r="W874" i="20"/>
  <c r="Y898" i="20"/>
  <c r="AA905" i="20"/>
  <c r="W644" i="20"/>
  <c r="W655" i="20"/>
  <c r="AD614" i="20"/>
  <c r="AC695" i="20"/>
  <c r="AB683" i="20"/>
  <c r="AE675" i="20"/>
  <c r="Y663" i="20"/>
  <c r="AB418" i="20"/>
  <c r="AB391" i="20"/>
  <c r="AE395" i="20"/>
  <c r="AB415" i="20"/>
  <c r="AB420" i="20"/>
  <c r="Y640" i="20"/>
  <c r="AE632" i="20"/>
  <c r="AD344" i="20"/>
  <c r="AI440" i="20"/>
  <c r="Z476" i="20"/>
  <c r="AA488" i="20"/>
  <c r="AE494" i="20"/>
  <c r="AD513" i="20"/>
  <c r="AE536" i="20"/>
  <c r="AI555" i="20"/>
  <c r="AE573" i="20"/>
  <c r="W600" i="20"/>
  <c r="AB608" i="20"/>
  <c r="AB696" i="20"/>
  <c r="AB706" i="20"/>
  <c r="W726" i="20"/>
  <c r="W743" i="20"/>
  <c r="AC754" i="20"/>
  <c r="W773" i="20"/>
  <c r="Y783" i="20"/>
  <c r="AA790" i="20"/>
  <c r="X807" i="20"/>
  <c r="AC817" i="20"/>
  <c r="AE830" i="20"/>
  <c r="Y840" i="20"/>
  <c r="AA854" i="20"/>
  <c r="Z862" i="20"/>
  <c r="X878" i="20"/>
  <c r="Y888" i="20"/>
  <c r="X900" i="20"/>
  <c r="Z789" i="20"/>
  <c r="Z656" i="20"/>
  <c r="AC386" i="20"/>
  <c r="AE641" i="20"/>
  <c r="AA495" i="20"/>
  <c r="AB575" i="20"/>
  <c r="AD728" i="20"/>
  <c r="AE758" i="20"/>
  <c r="X820" i="20"/>
  <c r="AA849" i="20"/>
  <c r="Y881" i="20"/>
  <c r="X912" i="20"/>
  <c r="X708" i="20"/>
  <c r="AA695" i="20"/>
  <c r="W663" i="20"/>
  <c r="W412" i="20"/>
  <c r="AC395" i="20"/>
  <c r="AA420" i="20"/>
  <c r="X288" i="20"/>
  <c r="W362" i="20"/>
  <c r="AB480" i="20"/>
  <c r="AA513" i="20"/>
  <c r="AC551" i="20"/>
  <c r="AC612" i="20"/>
  <c r="AE706" i="20"/>
  <c r="Y743" i="20"/>
  <c r="W777" i="20"/>
  <c r="AD783" i="20"/>
  <c r="W802" i="20"/>
  <c r="AD812" i="20"/>
  <c r="AD834" i="20"/>
  <c r="W851" i="20"/>
  <c r="AB871" i="20"/>
  <c r="Y895" i="20"/>
  <c r="AC907" i="20"/>
  <c r="AC566" i="20"/>
  <c r="AI649" i="20"/>
  <c r="AE709" i="20"/>
  <c r="AD622" i="20"/>
  <c r="AI690" i="20"/>
  <c r="X678" i="20"/>
  <c r="Z666" i="20"/>
  <c r="AD538" i="20"/>
  <c r="X396" i="20"/>
  <c r="W398" i="20"/>
  <c r="Y414" i="20"/>
  <c r="AI384" i="20"/>
  <c r="AA369" i="20"/>
  <c r="AI635" i="20"/>
  <c r="AI313" i="20"/>
  <c r="W360" i="20"/>
  <c r="Y442" i="20"/>
  <c r="Z487" i="20"/>
  <c r="AA493" i="20"/>
  <c r="AD512" i="20"/>
  <c r="AC535" i="20"/>
  <c r="Y549" i="20"/>
  <c r="Z577" i="20"/>
  <c r="AD585" i="20"/>
  <c r="AA595" i="20"/>
  <c r="Z603" i="20"/>
  <c r="AI701" i="20"/>
  <c r="AA715" i="20"/>
  <c r="W722" i="20"/>
  <c r="AI731" i="20"/>
  <c r="AE738" i="20"/>
  <c r="AE638" i="20"/>
  <c r="AE736" i="20"/>
  <c r="Y852" i="20"/>
  <c r="AA574" i="20"/>
  <c r="AC376" i="20"/>
  <c r="AE404" i="20"/>
  <c r="AI455" i="20"/>
  <c r="AE518" i="20"/>
  <c r="X546" i="20"/>
  <c r="AB601" i="20"/>
  <c r="W697" i="20"/>
  <c r="AE728" i="20"/>
  <c r="Z766" i="20"/>
  <c r="AB784" i="20"/>
  <c r="AD801" i="20"/>
  <c r="AB820" i="20"/>
  <c r="AB833" i="20"/>
  <c r="X853" i="20"/>
  <c r="Y874" i="20"/>
  <c r="Z884" i="20"/>
  <c r="AE898" i="20"/>
  <c r="X644" i="20"/>
  <c r="AB708" i="20"/>
  <c r="W614" i="20"/>
  <c r="AD695" i="20"/>
  <c r="Y675" i="20"/>
  <c r="AC667" i="20"/>
  <c r="AE539" i="20"/>
  <c r="AA418" i="20"/>
  <c r="AC391" i="20"/>
  <c r="AC370" i="20"/>
  <c r="AA371" i="20"/>
  <c r="AC408" i="20"/>
  <c r="Z420" i="20"/>
  <c r="AI640" i="20"/>
  <c r="Z288" i="20"/>
  <c r="AA362" i="20"/>
  <c r="AA444" i="20"/>
  <c r="AA476" i="20"/>
  <c r="AB488" i="20"/>
  <c r="AD494" i="20"/>
  <c r="AI517" i="20"/>
  <c r="Z525" i="20"/>
  <c r="AI532" i="20"/>
  <c r="Y555" i="20"/>
  <c r="Y573" i="20"/>
  <c r="AI586" i="20"/>
  <c r="AE596" i="20"/>
  <c r="W608" i="20"/>
  <c r="AC696" i="20"/>
  <c r="AI714" i="20"/>
  <c r="AD726" i="20"/>
  <c r="AD743" i="20"/>
  <c r="Y754" i="20"/>
  <c r="AC769" i="20"/>
  <c r="AC783" i="20"/>
  <c r="AD787" i="20"/>
  <c r="Z800" i="20"/>
  <c r="Y807" i="20"/>
  <c r="Z812" i="20"/>
  <c r="AB830" i="20"/>
  <c r="AB836" i="20"/>
  <c r="AC845" i="20"/>
  <c r="AD851" i="20"/>
  <c r="AA857" i="20"/>
  <c r="AC873" i="20"/>
  <c r="AI878" i="20"/>
  <c r="Z888" i="20"/>
  <c r="AA896" i="20"/>
  <c r="AE907" i="20"/>
  <c r="AC911" i="20"/>
  <c r="X645" i="20"/>
  <c r="X653" i="20"/>
  <c r="Z657" i="20"/>
  <c r="AB474" i="20"/>
  <c r="AE570" i="20"/>
  <c r="AB622" i="20"/>
  <c r="X694" i="20"/>
  <c r="Y690" i="20"/>
  <c r="AA682" i="20"/>
  <c r="AA678" i="20"/>
  <c r="X670" i="20"/>
  <c r="Y662" i="20"/>
  <c r="AI658" i="20"/>
  <c r="AI538" i="20"/>
  <c r="Z421" i="20"/>
  <c r="Y396" i="20"/>
  <c r="AB390" i="20"/>
  <c r="AE378" i="20"/>
  <c r="AA367" i="20"/>
  <c r="AI382" i="20"/>
  <c r="AA368" i="20"/>
  <c r="AI414" i="20"/>
  <c r="Y384" i="20"/>
  <c r="X351" i="20"/>
  <c r="W369" i="20"/>
  <c r="Z639" i="20"/>
  <c r="Z631" i="20"/>
  <c r="AE292" i="20"/>
  <c r="AD343" i="20"/>
  <c r="Z360" i="20"/>
  <c r="W428" i="20"/>
  <c r="AA442" i="20"/>
  <c r="Z469" i="20"/>
  <c r="AA479" i="20"/>
  <c r="X489" i="20"/>
  <c r="Z497" i="20"/>
  <c r="Y505" i="20"/>
  <c r="AE516" i="20"/>
  <c r="AA508" i="20"/>
  <c r="AD528" i="20"/>
  <c r="AB535" i="20"/>
  <c r="AB549" i="20"/>
  <c r="AC558" i="20"/>
  <c r="X563" i="20"/>
  <c r="W577" i="20"/>
  <c r="AI572" i="20"/>
  <c r="AA585" i="20"/>
  <c r="X599" i="20"/>
  <c r="AE611" i="20"/>
  <c r="Y603" i="20"/>
  <c r="AD699" i="20"/>
  <c r="AC701" i="20"/>
  <c r="AI711" i="20"/>
  <c r="AD719" i="20"/>
  <c r="Y730" i="20"/>
  <c r="Z731" i="20"/>
  <c r="AC742" i="20"/>
  <c r="AD738" i="20"/>
  <c r="Y750" i="20"/>
  <c r="X776" i="20"/>
  <c r="Z772" i="20"/>
  <c r="AB764" i="20"/>
  <c r="X760" i="20"/>
  <c r="AD782" i="20"/>
  <c r="Y791" i="20"/>
  <c r="Z795" i="20"/>
  <c r="AC804" i="20"/>
  <c r="AE806" i="20"/>
  <c r="AI811" i="20"/>
  <c r="W819" i="20"/>
  <c r="AE824" i="20"/>
  <c r="AB832" i="20"/>
  <c r="X839" i="20"/>
  <c r="Z842" i="20"/>
  <c r="AB850" i="20"/>
  <c r="AC855" i="20"/>
  <c r="AD856" i="20"/>
  <c r="Y861" i="20"/>
  <c r="Y872" i="20"/>
  <c r="AA879" i="20"/>
  <c r="AC890" i="20"/>
  <c r="AD891" i="20"/>
  <c r="AD729" i="20"/>
  <c r="X660" i="20"/>
  <c r="AC358" i="20"/>
  <c r="AD483" i="20"/>
  <c r="AE591" i="20"/>
  <c r="Z697" i="20"/>
  <c r="Y770" i="20"/>
  <c r="Y813" i="20"/>
  <c r="Z846" i="20"/>
  <c r="AC884" i="20"/>
  <c r="Y905" i="20"/>
  <c r="W477" i="20"/>
  <c r="AB695" i="20"/>
  <c r="AE663" i="20"/>
  <c r="W391" i="20"/>
  <c r="X371" i="20"/>
  <c r="Z397" i="20"/>
  <c r="AD632" i="20"/>
  <c r="Z429" i="20"/>
  <c r="AE476" i="20"/>
  <c r="W490" i="20"/>
  <c r="AI525" i="20"/>
  <c r="Z551" i="20"/>
  <c r="W596" i="20"/>
  <c r="AE714" i="20"/>
  <c r="Y745" i="20"/>
  <c r="X773" i="20"/>
  <c r="AE787" i="20"/>
  <c r="AB800" i="20"/>
  <c r="Y817" i="20"/>
  <c r="X830" i="20"/>
  <c r="Y851" i="20"/>
  <c r="X862" i="20"/>
  <c r="Z883" i="20"/>
  <c r="AB900" i="20"/>
  <c r="Z915" i="20"/>
  <c r="AE649" i="20"/>
  <c r="AC709" i="20"/>
  <c r="W570" i="20"/>
  <c r="Y694" i="20"/>
  <c r="AI686" i="20"/>
  <c r="Y666" i="20"/>
  <c r="AC538" i="20"/>
  <c r="AA410" i="20"/>
  <c r="X378" i="20"/>
  <c r="AD382" i="20"/>
  <c r="Y407" i="20"/>
  <c r="AC392" i="20"/>
  <c r="X635" i="20"/>
  <c r="Z313" i="20"/>
  <c r="X360" i="20"/>
  <c r="AB479" i="20"/>
  <c r="AI500" i="20"/>
  <c r="I52" i="86" s="1"/>
  <c r="L52" i="86" s="1"/>
  <c r="Z505" i="20"/>
  <c r="X508" i="20"/>
  <c r="AI558" i="20"/>
  <c r="AI563" i="20"/>
  <c r="AB589" i="20"/>
  <c r="AD599" i="20"/>
  <c r="AD603" i="20"/>
  <c r="AD715" i="20"/>
  <c r="AB731" i="20"/>
  <c r="AI738" i="20"/>
  <c r="W753" i="20"/>
  <c r="X772" i="20"/>
  <c r="Y764" i="20"/>
  <c r="W778" i="20"/>
  <c r="AC791" i="20"/>
  <c r="AI795" i="20"/>
  <c r="W804" i="20"/>
  <c r="Y815" i="20"/>
  <c r="Y819" i="20"/>
  <c r="AB828" i="20"/>
  <c r="AE835" i="20"/>
  <c r="Y848" i="20"/>
  <c r="AD855" i="20"/>
  <c r="X861" i="20"/>
  <c r="W879" i="20"/>
  <c r="Y890" i="20"/>
  <c r="AC894" i="20"/>
  <c r="W904" i="20"/>
  <c r="AI909" i="20"/>
  <c r="AA910" i="20"/>
  <c r="AE565" i="20"/>
  <c r="AA646" i="20"/>
  <c r="AI654" i="20"/>
  <c r="Z710" i="20"/>
  <c r="AD578" i="20"/>
  <c r="AA616" i="20"/>
  <c r="AA693" i="20"/>
  <c r="AE689" i="20"/>
  <c r="AE681" i="20"/>
  <c r="Y673" i="20"/>
  <c r="AI669" i="20"/>
  <c r="Y665" i="20"/>
  <c r="AC531" i="20"/>
  <c r="AE537" i="20"/>
  <c r="AA352" i="20"/>
  <c r="Z394" i="20"/>
  <c r="AC377" i="20"/>
  <c r="AD356" i="20"/>
  <c r="AI381" i="20"/>
  <c r="AD534" i="20"/>
  <c r="Z844" i="20"/>
  <c r="Y624" i="20"/>
  <c r="AD416" i="20"/>
  <c r="AI425" i="20"/>
  <c r="AD556" i="20"/>
  <c r="AA617" i="20"/>
  <c r="Z737" i="20"/>
  <c r="W788" i="20"/>
  <c r="AI822" i="20"/>
  <c r="Z853" i="20"/>
  <c r="X884" i="20"/>
  <c r="W905" i="20"/>
  <c r="AI655" i="20"/>
  <c r="Y78" i="20"/>
  <c r="AC175" i="20"/>
  <c r="Y194" i="20"/>
  <c r="AB206" i="20"/>
  <c r="AC266" i="20"/>
  <c r="Z273" i="20"/>
  <c r="AA298" i="20"/>
  <c r="E15" i="37" s="1"/>
  <c r="W434" i="20"/>
  <c r="Y331" i="20"/>
  <c r="W321" i="20"/>
  <c r="Z244" i="20"/>
  <c r="AC306" i="20"/>
  <c r="AA462" i="20"/>
  <c r="W317" i="20"/>
  <c r="AD295" i="20"/>
  <c r="Z406" i="20"/>
  <c r="AB383" i="20"/>
  <c r="AD349" i="20"/>
  <c r="AB557" i="20"/>
  <c r="Y318" i="20"/>
  <c r="X594" i="20"/>
  <c r="W763" i="20"/>
  <c r="AE355" i="20"/>
  <c r="X576" i="20"/>
  <c r="W725" i="20"/>
  <c r="X763" i="20"/>
  <c r="AI818" i="20"/>
  <c r="AD875" i="20"/>
  <c r="Z569" i="20"/>
  <c r="AB580" i="20"/>
  <c r="AE785" i="20"/>
  <c r="X865" i="20"/>
  <c r="AB656" i="20"/>
  <c r="AE672" i="20"/>
  <c r="AC389" i="20"/>
  <c r="AE703" i="20"/>
  <c r="AC814" i="20"/>
  <c r="AE880" i="20"/>
  <c r="Z574" i="20"/>
  <c r="AE529" i="20"/>
  <c r="AC416" i="20"/>
  <c r="Y327" i="20"/>
  <c r="AI498" i="20"/>
  <c r="AE757" i="20"/>
  <c r="AD865" i="20"/>
  <c r="AI707" i="20"/>
  <c r="AD540" i="20"/>
  <c r="Z403" i="20"/>
  <c r="Y373" i="20"/>
  <c r="AD502" i="20"/>
  <c r="Z533" i="20"/>
  <c r="Y583" i="20"/>
  <c r="AA713" i="20"/>
  <c r="AC752" i="20"/>
  <c r="AB642" i="20"/>
  <c r="AB725" i="20"/>
  <c r="X868" i="20"/>
  <c r="AD548" i="20"/>
  <c r="Z544" i="20"/>
  <c r="AE416" i="20"/>
  <c r="AE637" i="20"/>
  <c r="AB455" i="20"/>
  <c r="AC491" i="20"/>
  <c r="AC546" i="20"/>
  <c r="W591" i="20"/>
  <c r="AC609" i="20"/>
  <c r="Z713" i="20"/>
  <c r="X740" i="20"/>
  <c r="Z774" i="20"/>
  <c r="AI788" i="20"/>
  <c r="W809" i="20"/>
  <c r="Y837" i="20"/>
  <c r="AE859" i="20"/>
  <c r="Y884" i="20"/>
  <c r="AB553" i="20"/>
  <c r="Z860" i="20"/>
  <c r="AC680" i="20"/>
  <c r="W416" i="20"/>
  <c r="AE445" i="20"/>
  <c r="W519" i="20"/>
  <c r="Z593" i="20"/>
  <c r="Y740" i="20"/>
  <c r="AA793" i="20"/>
  <c r="Y833" i="20"/>
  <c r="AI869" i="20"/>
  <c r="Z901" i="20"/>
  <c r="X647" i="20"/>
  <c r="AI623" i="20"/>
  <c r="Y679" i="20"/>
  <c r="X541" i="20"/>
  <c r="AI401" i="20"/>
  <c r="AI397" i="20"/>
  <c r="AD288" i="20"/>
  <c r="AC444" i="20"/>
  <c r="W488" i="20"/>
  <c r="X513" i="20"/>
  <c r="AD559" i="20"/>
  <c r="AE582" i="20"/>
  <c r="AD696" i="20"/>
  <c r="Y726" i="20"/>
  <c r="AD751" i="20"/>
  <c r="W486" i="20"/>
  <c r="AA852" i="20"/>
  <c r="AE692" i="20"/>
  <c r="AA404" i="20"/>
  <c r="AE471" i="20"/>
  <c r="AA533" i="20"/>
  <c r="AE597" i="20"/>
  <c r="AA721" i="20"/>
  <c r="X766" i="20"/>
  <c r="X805" i="20"/>
  <c r="AA833" i="20"/>
  <c r="AA846" i="20"/>
  <c r="W863" i="20"/>
  <c r="AA881" i="20"/>
  <c r="AC901" i="20"/>
  <c r="Z912" i="20"/>
  <c r="AB652" i="20"/>
  <c r="X477" i="20"/>
  <c r="Y623" i="20"/>
  <c r="AD691" i="20"/>
  <c r="AB679" i="20"/>
  <c r="AI671" i="20"/>
  <c r="Z659" i="20"/>
  <c r="AD412" i="20"/>
  <c r="X370" i="20"/>
  <c r="AI371" i="20"/>
  <c r="AC385" i="20"/>
  <c r="AB375" i="20"/>
  <c r="AB640" i="20"/>
  <c r="AC288" i="20"/>
  <c r="AC362" i="20"/>
  <c r="AA450" i="20"/>
  <c r="W480" i="20"/>
  <c r="AE501" i="20"/>
  <c r="Y506" i="20"/>
  <c r="Y525" i="20"/>
  <c r="AA550" i="20"/>
  <c r="AD551" i="20"/>
  <c r="AI590" i="20"/>
  <c r="AI596" i="20"/>
  <c r="W604" i="20"/>
  <c r="AA702" i="20"/>
  <c r="X714" i="20"/>
  <c r="W727" i="20"/>
  <c r="AD739" i="20"/>
  <c r="X777" i="20"/>
  <c r="Z769" i="20"/>
  <c r="Y779" i="20"/>
  <c r="AB794" i="20"/>
  <c r="W807" i="20"/>
  <c r="AD825" i="20"/>
  <c r="AB834" i="20"/>
  <c r="X845" i="20"/>
  <c r="W867" i="20"/>
  <c r="AE871" i="20"/>
  <c r="AA882" i="20"/>
  <c r="AD895" i="20"/>
  <c r="X561" i="20"/>
  <c r="AA841" i="20"/>
  <c r="AD692" i="20"/>
  <c r="AC361" i="20"/>
  <c r="X346" i="20"/>
  <c r="X510" i="20"/>
  <c r="AI593" i="20"/>
  <c r="Y752" i="20"/>
  <c r="AI793" i="20"/>
  <c r="AB822" i="20"/>
  <c r="AB858" i="20"/>
  <c r="AC893" i="20"/>
  <c r="AB644" i="20"/>
  <c r="AC571" i="20"/>
  <c r="X687" i="20"/>
  <c r="Y659" i="20"/>
  <c r="AA379" i="20"/>
  <c r="X359" i="20"/>
  <c r="AC375" i="20"/>
  <c r="AC308" i="20"/>
  <c r="Z440" i="20"/>
  <c r="AE482" i="20"/>
  <c r="W536" i="20"/>
  <c r="W573" i="20"/>
  <c r="Z604" i="20"/>
  <c r="Z718" i="20"/>
  <c r="X745" i="20"/>
  <c r="Y765" i="20"/>
  <c r="W787" i="20"/>
  <c r="Z807" i="20"/>
  <c r="W825" i="20"/>
  <c r="AB840" i="20"/>
  <c r="X857" i="20"/>
  <c r="AC878" i="20"/>
  <c r="Z896" i="20"/>
  <c r="Y915" i="20"/>
  <c r="AD645" i="20"/>
  <c r="AC657" i="20"/>
  <c r="AB570" i="20"/>
  <c r="AI626" i="20"/>
  <c r="AA686" i="20"/>
  <c r="AI674" i="20"/>
  <c r="AB662" i="20"/>
  <c r="AB543" i="20"/>
  <c r="AC390" i="20"/>
  <c r="W382" i="20"/>
  <c r="AA414" i="20"/>
  <c r="W351" i="20"/>
  <c r="Z643" i="20"/>
  <c r="AA631" i="20"/>
  <c r="AE343" i="20"/>
  <c r="X439" i="20"/>
  <c r="AD475" i="20"/>
  <c r="AE489" i="20"/>
  <c r="X505" i="20"/>
  <c r="AI508" i="20"/>
  <c r="AC530" i="20"/>
  <c r="AI554" i="20"/>
  <c r="AD572" i="20"/>
  <c r="Z581" i="20"/>
  <c r="X611" i="20"/>
  <c r="AI619" i="20"/>
  <c r="Y701" i="20"/>
  <c r="AC719" i="20"/>
  <c r="AI722" i="20"/>
  <c r="W733" i="20"/>
  <c r="AC748" i="20"/>
  <c r="AA473" i="20"/>
  <c r="AE749" i="20"/>
  <c r="W892" i="20"/>
  <c r="AA624" i="20"/>
  <c r="Y372" i="20"/>
  <c r="AI304" i="20"/>
  <c r="Y481" i="20"/>
  <c r="AE514" i="20"/>
  <c r="AI552" i="20"/>
  <c r="AC593" i="20"/>
  <c r="W713" i="20"/>
  <c r="AB756" i="20"/>
  <c r="Y758" i="20"/>
  <c r="AD793" i="20"/>
  <c r="W805" i="20"/>
  <c r="X821" i="20"/>
  <c r="W837" i="20"/>
  <c r="AI859" i="20"/>
  <c r="AB874" i="20"/>
  <c r="AB887" i="20"/>
  <c r="AB901" i="20"/>
  <c r="AC647" i="20"/>
  <c r="X571" i="20"/>
  <c r="AD623" i="20"/>
  <c r="AE695" i="20"/>
  <c r="AD675" i="20"/>
  <c r="X663" i="20"/>
  <c r="Y539" i="20"/>
  <c r="Z412" i="20"/>
  <c r="AI391" i="20"/>
  <c r="AE401" i="20"/>
  <c r="Y359" i="20"/>
  <c r="AA408" i="20"/>
  <c r="AI375" i="20"/>
  <c r="Z636" i="20"/>
  <c r="X308" i="20"/>
  <c r="Y429" i="20"/>
  <c r="X450" i="20"/>
  <c r="X482" i="20"/>
  <c r="X501" i="20"/>
  <c r="AC494" i="20"/>
  <c r="AB513" i="20"/>
  <c r="AE525" i="20"/>
  <c r="X550" i="20"/>
  <c r="AB551" i="20"/>
  <c r="AA573" i="20"/>
  <c r="AD582" i="20"/>
  <c r="Y596" i="20"/>
  <c r="AI604" i="20"/>
  <c r="X696" i="20"/>
  <c r="Y723" i="20"/>
  <c r="X727" i="20"/>
  <c r="AA743" i="20"/>
  <c r="Y777" i="20"/>
  <c r="AD765" i="20"/>
  <c r="Z783" i="20"/>
  <c r="X787" i="20"/>
  <c r="AA800" i="20"/>
  <c r="AI807" i="20"/>
  <c r="AE817" i="20"/>
  <c r="Y830" i="20"/>
  <c r="AC836" i="20"/>
  <c r="W845" i="20"/>
  <c r="Y867" i="20"/>
  <c r="W862" i="20"/>
  <c r="AB873" i="20"/>
  <c r="W882" i="20"/>
  <c r="X895" i="20"/>
  <c r="AA900" i="20"/>
  <c r="AB915" i="20"/>
  <c r="AD911" i="20"/>
  <c r="AE645" i="20"/>
  <c r="AC653" i="20"/>
  <c r="AE657" i="20"/>
  <c r="AI474" i="20"/>
  <c r="AA570" i="20"/>
  <c r="AA622" i="20"/>
  <c r="AC694" i="20"/>
  <c r="AD690" i="20"/>
  <c r="AB682" i="20"/>
  <c r="AE678" i="20"/>
  <c r="W670" i="20"/>
  <c r="AD662" i="20"/>
  <c r="Z658" i="20"/>
  <c r="AC543" i="20"/>
  <c r="AI421" i="20"/>
  <c r="AI396" i="20"/>
  <c r="Z390" i="20"/>
  <c r="AA378" i="20"/>
  <c r="AE398" i="20"/>
  <c r="Y368" i="20"/>
  <c r="Z357" i="20"/>
  <c r="AC407" i="20"/>
  <c r="AE384" i="20"/>
  <c r="W392" i="20"/>
  <c r="Y643" i="20"/>
  <c r="AE639" i="20"/>
  <c r="AE631" i="20"/>
  <c r="AI292" i="20"/>
  <c r="Z343" i="20"/>
  <c r="AE360" i="20"/>
  <c r="AI428" i="20"/>
  <c r="AB442" i="20"/>
  <c r="W475" i="20"/>
  <c r="AC487" i="20"/>
  <c r="AD489" i="20"/>
  <c r="AI497" i="20"/>
  <c r="AD505" i="20"/>
  <c r="AI516" i="20"/>
  <c r="AB508" i="20"/>
  <c r="AA528" i="20"/>
  <c r="AD530" i="20"/>
  <c r="Z549" i="20"/>
  <c r="Z554" i="20"/>
  <c r="AB563" i="20"/>
  <c r="X572" i="20"/>
  <c r="Z589" i="20"/>
  <c r="AC581" i="20"/>
  <c r="Y599" i="20"/>
  <c r="Y611" i="20"/>
  <c r="AI603" i="20"/>
  <c r="I42" i="86" s="1"/>
  <c r="L42" i="86" s="1"/>
  <c r="AI699" i="20"/>
  <c r="Y711" i="20"/>
  <c r="Y715" i="20"/>
  <c r="AI719" i="20"/>
  <c r="AD730" i="20"/>
  <c r="W731" i="20"/>
  <c r="AI742" i="20"/>
  <c r="Z748" i="20"/>
  <c r="AA753" i="20"/>
  <c r="AC776" i="20"/>
  <c r="W772" i="20"/>
  <c r="AA764" i="20"/>
  <c r="AD760" i="20"/>
  <c r="AE778" i="20"/>
  <c r="AD791" i="20"/>
  <c r="W795" i="20"/>
  <c r="AI804" i="20"/>
  <c r="AA806" i="20"/>
  <c r="AD815" i="20"/>
  <c r="X819" i="20"/>
  <c r="AI824" i="20"/>
  <c r="AI832" i="20"/>
  <c r="AC839" i="20"/>
  <c r="W842" i="20"/>
  <c r="Z850" i="20"/>
  <c r="Z866" i="20"/>
  <c r="Z856" i="20"/>
  <c r="X870" i="20"/>
  <c r="W872" i="20"/>
  <c r="AC886" i="20"/>
  <c r="AA890" i="20"/>
  <c r="AD894" i="20"/>
  <c r="Y889" i="20"/>
  <c r="Z400" i="20"/>
  <c r="X633" i="20"/>
  <c r="AD518" i="20"/>
  <c r="AA601" i="20"/>
  <c r="AD735" i="20"/>
  <c r="AI762" i="20"/>
  <c r="AA820" i="20"/>
  <c r="AD849" i="20"/>
  <c r="AI887" i="20"/>
  <c r="AC567" i="20"/>
  <c r="AC614" i="20"/>
  <c r="Y687" i="20"/>
  <c r="AB659" i="20"/>
  <c r="AE379" i="20"/>
  <c r="AC359" i="20"/>
  <c r="X375" i="20"/>
  <c r="X344" i="20"/>
  <c r="AD440" i="20"/>
  <c r="AD480" i="20"/>
  <c r="Y517" i="20"/>
  <c r="AB536" i="20"/>
  <c r="AB573" i="20"/>
  <c r="W612" i="20"/>
  <c r="AI718" i="20"/>
  <c r="Y751" i="20"/>
  <c r="AB761" i="20"/>
  <c r="X790" i="20"/>
  <c r="AA802" i="20"/>
  <c r="AB817" i="20"/>
  <c r="AE834" i="20"/>
  <c r="AC854" i="20"/>
  <c r="Y873" i="20"/>
  <c r="AB888" i="20"/>
  <c r="AB907" i="20"/>
  <c r="AI911" i="20"/>
  <c r="Y653" i="20"/>
  <c r="AI709" i="20"/>
  <c r="AE613" i="20"/>
  <c r="Z694" i="20"/>
  <c r="X682" i="20"/>
  <c r="AE666" i="20"/>
  <c r="AA538" i="20"/>
  <c r="AD396" i="20"/>
  <c r="AD367" i="20"/>
  <c r="AB382" i="20"/>
  <c r="W384" i="20"/>
  <c r="AI369" i="20"/>
  <c r="Y631" i="20"/>
  <c r="AB343" i="20"/>
  <c r="W442" i="20"/>
  <c r="AE479" i="20"/>
  <c r="AB497" i="20"/>
  <c r="AB505" i="20"/>
  <c r="AC508" i="20"/>
  <c r="Z558" i="20"/>
  <c r="AE577" i="20"/>
  <c r="Y581" i="20"/>
  <c r="AB611" i="20"/>
  <c r="W619" i="20"/>
  <c r="AB719" i="20"/>
  <c r="AB733" i="20"/>
  <c r="Z738" i="20"/>
  <c r="AD753" i="20"/>
  <c r="AB772" i="20"/>
  <c r="AB760" i="20"/>
  <c r="AB778" i="20"/>
  <c r="AB791" i="20"/>
  <c r="AC799" i="20"/>
  <c r="W806" i="20"/>
  <c r="AE815" i="20"/>
  <c r="Z824" i="20"/>
  <c r="AE828" i="20"/>
  <c r="AA835" i="20"/>
  <c r="Y850" i="20"/>
  <c r="AD866" i="20"/>
  <c r="X872" i="20"/>
  <c r="Y886" i="20"/>
  <c r="AI890" i="20"/>
  <c r="AA894" i="20"/>
  <c r="X904" i="20"/>
  <c r="Z909" i="20"/>
  <c r="AB910" i="20"/>
  <c r="X565" i="20"/>
  <c r="Z650" i="20"/>
  <c r="Z705" i="20"/>
  <c r="W710" i="20"/>
  <c r="AI578" i="20"/>
  <c r="Z620" i="20"/>
  <c r="AB693" i="20"/>
  <c r="AD689" i="20"/>
  <c r="AC681" i="20"/>
  <c r="AD673" i="20"/>
  <c r="Z669" i="20"/>
  <c r="AA661" i="20"/>
  <c r="Y531" i="20"/>
  <c r="AD542" i="20"/>
  <c r="W405" i="20"/>
  <c r="AB394" i="20"/>
  <c r="AI377" i="20"/>
  <c r="AI380" i="20"/>
  <c r="AC365" i="20"/>
  <c r="AD610" i="20"/>
  <c r="X860" i="20"/>
  <c r="AA676" i="20"/>
  <c r="W417" i="20"/>
  <c r="Y471" i="20"/>
  <c r="AI568" i="20"/>
  <c r="AB704" i="20"/>
  <c r="AI746" i="20"/>
  <c r="X793" i="20"/>
  <c r="AD833" i="20"/>
  <c r="AD859" i="20"/>
  <c r="AB893" i="20"/>
  <c r="Y644" i="20"/>
  <c r="W708" i="20"/>
  <c r="W683" i="20"/>
  <c r="Z539" i="20"/>
  <c r="AD401" i="20"/>
  <c r="W408" i="20"/>
  <c r="AD308" i="20"/>
  <c r="Y444" i="20"/>
  <c r="AA506" i="20"/>
  <c r="Z532" i="20"/>
  <c r="W586" i="20"/>
  <c r="X621" i="20"/>
  <c r="AA727" i="20"/>
  <c r="AI751" i="20"/>
  <c r="Z761" i="20"/>
  <c r="AI790" i="20"/>
  <c r="AD807" i="20"/>
  <c r="AI825" i="20"/>
  <c r="X840" i="20"/>
  <c r="Z854" i="20"/>
  <c r="X220" i="20"/>
  <c r="Z186" i="20"/>
  <c r="AE200" i="20"/>
  <c r="AA200" i="20"/>
  <c r="X204" i="20"/>
  <c r="X521" i="20"/>
  <c r="W329" i="20"/>
  <c r="X466" i="20"/>
  <c r="AB325" i="20"/>
  <c r="AB242" i="20"/>
  <c r="AI307" i="20"/>
  <c r="Y301" i="20"/>
  <c r="AB447" i="20"/>
  <c r="AB294" i="20"/>
  <c r="Z338" i="20"/>
  <c r="AB426" i="20"/>
  <c r="X467" i="20"/>
  <c r="AE484" i="20"/>
  <c r="AD628" i="20"/>
  <c r="AB561" i="20"/>
  <c r="Y741" i="20"/>
  <c r="Z803" i="20"/>
  <c r="AE507" i="20"/>
  <c r="AI610" i="20"/>
  <c r="I31" i="86" s="1"/>
  <c r="L31" i="86" s="1"/>
  <c r="AI747" i="20"/>
  <c r="AI796" i="20"/>
  <c r="X847" i="20"/>
  <c r="Z897" i="20"/>
  <c r="X484" i="20"/>
  <c r="AA732" i="20"/>
  <c r="Y831" i="20"/>
  <c r="AD897" i="20"/>
  <c r="AE624" i="20"/>
  <c r="AI350" i="20"/>
  <c r="AD527" i="20"/>
  <c r="AI749" i="20"/>
  <c r="AB841" i="20"/>
  <c r="AB569" i="20"/>
  <c r="W680" i="20"/>
  <c r="AA386" i="20"/>
  <c r="Z358" i="20"/>
  <c r="W451" i="20"/>
  <c r="AI594" i="20"/>
  <c r="Z818" i="20"/>
  <c r="Y902" i="20"/>
  <c r="AB688" i="20"/>
  <c r="W374" i="20"/>
  <c r="AD637" i="20"/>
  <c r="AD451" i="20"/>
  <c r="AD514" i="20"/>
  <c r="W568" i="20"/>
  <c r="AC617" i="20"/>
  <c r="AI728" i="20"/>
  <c r="Z770" i="20"/>
  <c r="Z557" i="20"/>
  <c r="X816" i="20"/>
  <c r="W906" i="20"/>
  <c r="AC672" i="20"/>
  <c r="Z372" i="20"/>
  <c r="AI404" i="20"/>
  <c r="Y423" i="20"/>
  <c r="Y502" i="20"/>
  <c r="Y519" i="20"/>
  <c r="AI556" i="20"/>
  <c r="X601" i="20"/>
  <c r="AA700" i="20"/>
  <c r="AA724" i="20"/>
  <c r="AA752" i="20"/>
  <c r="AD762" i="20"/>
  <c r="AB797" i="20"/>
  <c r="AE821" i="20"/>
  <c r="AI846" i="20"/>
  <c r="AE869" i="20"/>
  <c r="W901" i="20"/>
  <c r="X814" i="20"/>
  <c r="AB707" i="20"/>
  <c r="AB393" i="20"/>
  <c r="Z633" i="20"/>
  <c r="Y495" i="20"/>
  <c r="AA552" i="20"/>
  <c r="AD704" i="20"/>
  <c r="Z762" i="20"/>
  <c r="W813" i="20"/>
  <c r="AE849" i="20"/>
  <c r="X887" i="20"/>
  <c r="AD912" i="20"/>
  <c r="AD477" i="20"/>
  <c r="AC687" i="20"/>
  <c r="AI663" i="20"/>
  <c r="Y391" i="20"/>
  <c r="AI415" i="20"/>
  <c r="W640" i="20"/>
  <c r="Z362" i="20"/>
  <c r="X476" i="20"/>
  <c r="Y494" i="20"/>
  <c r="Y532" i="20"/>
  <c r="AD573" i="20"/>
  <c r="AA608" i="20"/>
  <c r="AC714" i="20"/>
  <c r="AE743" i="20"/>
  <c r="W769" i="20"/>
  <c r="Y747" i="20"/>
  <c r="AA569" i="20"/>
  <c r="AA544" i="20"/>
  <c r="Z346" i="20"/>
  <c r="AB495" i="20"/>
  <c r="Y575" i="20"/>
  <c r="Z700" i="20"/>
  <c r="W740" i="20"/>
  <c r="Y793" i="20"/>
  <c r="AA822" i="20"/>
  <c r="X843" i="20"/>
  <c r="X859" i="20"/>
  <c r="X874" i="20"/>
  <c r="W893" i="20"/>
  <c r="AD905" i="20"/>
  <c r="Z644" i="20"/>
  <c r="AA655" i="20"/>
  <c r="Y614" i="20"/>
  <c r="AD627" i="20"/>
  <c r="AB687" i="20"/>
  <c r="AA675" i="20"/>
  <c r="AB663" i="20"/>
  <c r="Y541" i="20"/>
  <c r="AB399" i="20"/>
  <c r="W401" i="20"/>
  <c r="Z415" i="20"/>
  <c r="AD420" i="20"/>
  <c r="AA353" i="20"/>
  <c r="Z632" i="20"/>
  <c r="Y344" i="20"/>
  <c r="AE429" i="20"/>
  <c r="Y465" i="20"/>
  <c r="AD488" i="20"/>
  <c r="AI494" i="20"/>
  <c r="AE513" i="20"/>
  <c r="Z536" i="20"/>
  <c r="X559" i="20"/>
  <c r="AC573" i="20"/>
  <c r="AI582" i="20"/>
  <c r="AI612" i="20"/>
  <c r="AI621" i="20"/>
  <c r="AA706" i="20"/>
  <c r="AI723" i="20"/>
  <c r="AI743" i="20"/>
  <c r="AE751" i="20"/>
  <c r="Z773" i="20"/>
  <c r="X761" i="20"/>
  <c r="AD790" i="20"/>
  <c r="Z802" i="20"/>
  <c r="AA812" i="20"/>
  <c r="AB826" i="20"/>
  <c r="AI836" i="20"/>
  <c r="AD854" i="20"/>
  <c r="AB862" i="20"/>
  <c r="X873" i="20"/>
  <c r="AB883" i="20"/>
  <c r="W900" i="20"/>
  <c r="AC771" i="20"/>
  <c r="AD648" i="20"/>
  <c r="AE350" i="20"/>
  <c r="W387" i="20"/>
  <c r="AC498" i="20"/>
  <c r="AC552" i="20"/>
  <c r="AC724" i="20"/>
  <c r="AE766" i="20"/>
  <c r="AE813" i="20"/>
  <c r="X846" i="20"/>
  <c r="Y877" i="20"/>
  <c r="Z905" i="20"/>
  <c r="AE655" i="20"/>
  <c r="Y695" i="20"/>
  <c r="AB667" i="20"/>
  <c r="AD418" i="20"/>
  <c r="AA395" i="20"/>
  <c r="AD385" i="20"/>
  <c r="AB632" i="20"/>
  <c r="AD362" i="20"/>
  <c r="AB476" i="20"/>
  <c r="AD517" i="20"/>
  <c r="AA551" i="20"/>
  <c r="AI600" i="20"/>
  <c r="Z706" i="20"/>
  <c r="AE727" i="20"/>
  <c r="AA754" i="20"/>
  <c r="AB783" i="20"/>
  <c r="W800" i="20"/>
  <c r="AB812" i="20"/>
  <c r="Z834" i="20"/>
  <c r="AA845" i="20"/>
  <c r="AC871" i="20"/>
  <c r="AI888" i="20"/>
  <c r="X907" i="20"/>
  <c r="AE911" i="20"/>
  <c r="W649" i="20"/>
  <c r="AA709" i="20"/>
  <c r="Y622" i="20"/>
  <c r="AB690" i="20"/>
  <c r="AD682" i="20"/>
  <c r="AB670" i="20"/>
  <c r="Y538" i="20"/>
  <c r="Z410" i="20"/>
  <c r="AI367" i="20"/>
  <c r="AI357" i="20"/>
  <c r="Z384" i="20"/>
  <c r="AB392" i="20"/>
  <c r="Y635" i="20"/>
  <c r="AB313" i="20"/>
  <c r="AI411" i="20"/>
  <c r="AC442" i="20"/>
  <c r="Z479" i="20"/>
  <c r="AE497" i="20"/>
  <c r="Y512" i="20"/>
  <c r="AB528" i="20"/>
  <c r="AC549" i="20"/>
  <c r="W563" i="20"/>
  <c r="Y585" i="20"/>
  <c r="AC599" i="20"/>
  <c r="AE607" i="20"/>
  <c r="Z699" i="20"/>
  <c r="AB715" i="20"/>
  <c r="Z719" i="20"/>
  <c r="AC731" i="20"/>
  <c r="W742" i="20"/>
  <c r="W750" i="20"/>
  <c r="AB703" i="20"/>
  <c r="X838" i="20"/>
  <c r="X651" i="20"/>
  <c r="Y660" i="20"/>
  <c r="AA417" i="20"/>
  <c r="AC425" i="20"/>
  <c r="AB491" i="20"/>
  <c r="AD533" i="20"/>
  <c r="AI575" i="20"/>
  <c r="W700" i="20"/>
  <c r="AI724" i="20"/>
  <c r="W770" i="20"/>
  <c r="X788" i="20"/>
  <c r="W797" i="20"/>
  <c r="Y820" i="20"/>
  <c r="AC829" i="20"/>
  <c r="AC853" i="20"/>
  <c r="X863" i="20"/>
  <c r="AB881" i="20"/>
  <c r="AE893" i="20"/>
  <c r="AI567" i="20"/>
  <c r="W652" i="20"/>
  <c r="Z614" i="20"/>
  <c r="Z627" i="20"/>
  <c r="W679" i="20"/>
  <c r="AA667" i="20"/>
  <c r="AC659" i="20"/>
  <c r="X418" i="20"/>
  <c r="X399" i="20"/>
  <c r="AB379" i="20"/>
  <c r="Y371" i="20"/>
  <c r="X415" i="20"/>
  <c r="AB385" i="20"/>
  <c r="AA640" i="20"/>
  <c r="W632" i="20"/>
  <c r="Y362" i="20"/>
  <c r="AB444" i="20"/>
  <c r="Z465" i="20"/>
  <c r="Z488" i="20"/>
  <c r="AI490" i="20"/>
  <c r="W517" i="20"/>
  <c r="AA509" i="20"/>
  <c r="AC532" i="20"/>
  <c r="AE555" i="20"/>
  <c r="AA579" i="20"/>
  <c r="AC586" i="20"/>
  <c r="Y600" i="20"/>
  <c r="X608" i="20"/>
  <c r="AD621" i="20"/>
  <c r="AD702" i="20"/>
  <c r="AI726" i="20"/>
  <c r="AI734" i="20"/>
  <c r="AB745" i="20"/>
  <c r="AA769" i="20"/>
  <c r="AD761" i="20"/>
  <c r="AC779" i="20"/>
  <c r="W794" i="20"/>
  <c r="X802" i="20"/>
  <c r="AC812" i="20"/>
  <c r="W830" i="20"/>
  <c r="AD836" i="20"/>
  <c r="AI840" i="20"/>
  <c r="AC851" i="20"/>
  <c r="Y857" i="20"/>
  <c r="X871" i="20"/>
  <c r="AD878" i="20"/>
  <c r="W883" i="20"/>
  <c r="Y896" i="20"/>
  <c r="Z907" i="20"/>
  <c r="X911" i="20"/>
  <c r="W566" i="20"/>
  <c r="AA649" i="20"/>
  <c r="W653" i="20"/>
  <c r="AB709" i="20"/>
  <c r="AD570" i="20"/>
  <c r="W613" i="20"/>
  <c r="AB626" i="20"/>
  <c r="AA694" i="20"/>
  <c r="W686" i="20"/>
  <c r="AD678" i="20"/>
  <c r="W674" i="20"/>
  <c r="X666" i="20"/>
  <c r="W662" i="20"/>
  <c r="AB538" i="20"/>
  <c r="Y421" i="20"/>
  <c r="W410" i="20"/>
  <c r="AA390" i="20"/>
  <c r="AD378" i="20"/>
  <c r="W367" i="20"/>
  <c r="AC382" i="20"/>
  <c r="AE368" i="20"/>
  <c r="AB414" i="20"/>
  <c r="AA407" i="20"/>
  <c r="AD351" i="20"/>
  <c r="AB369" i="20"/>
  <c r="AA639" i="20"/>
  <c r="AC631" i="20"/>
  <c r="AD292" i="20"/>
  <c r="W313" i="20"/>
  <c r="Z411" i="20"/>
  <c r="Y428" i="20"/>
  <c r="AI439" i="20"/>
  <c r="X469" i="20"/>
  <c r="AA475" i="20"/>
  <c r="W489" i="20"/>
  <c r="AE500" i="20"/>
  <c r="X493" i="20"/>
  <c r="AE505" i="20"/>
  <c r="AE512" i="20"/>
  <c r="Y528" i="20"/>
  <c r="Z535" i="20"/>
  <c r="AA549" i="20"/>
  <c r="X558" i="20"/>
  <c r="X554" i="20"/>
  <c r="AC577" i="20"/>
  <c r="AE572" i="20"/>
  <c r="AB585" i="20"/>
  <c r="W599" i="20"/>
  <c r="AC595" i="20"/>
  <c r="AD607" i="20"/>
  <c r="AB619" i="20"/>
  <c r="AB701" i="20"/>
  <c r="AE711" i="20"/>
  <c r="Z715" i="20"/>
  <c r="AA722" i="20"/>
  <c r="AE730" i="20"/>
  <c r="Y733" i="20"/>
  <c r="X738" i="20"/>
  <c r="AE750" i="20"/>
  <c r="AC753" i="20"/>
  <c r="AI776" i="20"/>
  <c r="AI768" i="20"/>
  <c r="I94" i="86" s="1"/>
  <c r="L94" i="86" s="1"/>
  <c r="W760" i="20"/>
  <c r="Y782" i="20"/>
  <c r="AC786" i="20"/>
  <c r="AI791" i="20"/>
  <c r="AE799" i="20"/>
  <c r="AC806" i="20"/>
  <c r="AE811" i="20"/>
  <c r="AD819" i="20"/>
  <c r="AD824" i="20"/>
  <c r="AD828" i="20"/>
  <c r="AI835" i="20"/>
  <c r="AA839" i="20"/>
  <c r="AA848" i="20"/>
  <c r="X855" i="20"/>
  <c r="AI866" i="20"/>
  <c r="AB861" i="20"/>
  <c r="AE870" i="20"/>
  <c r="Z879" i="20"/>
  <c r="X890" i="20"/>
  <c r="AI891" i="20"/>
  <c r="AE580" i="20"/>
  <c r="AB680" i="20"/>
  <c r="AI403" i="20"/>
  <c r="Z455" i="20"/>
  <c r="AI533" i="20"/>
  <c r="Y617" i="20"/>
  <c r="AI755" i="20"/>
  <c r="AI797" i="20"/>
  <c r="AE829" i="20"/>
  <c r="AE863" i="20"/>
  <c r="X908" i="20"/>
  <c r="AA708" i="20"/>
  <c r="AC627" i="20"/>
  <c r="AI675" i="20"/>
  <c r="AD399" i="20"/>
  <c r="AI395" i="20"/>
  <c r="X420" i="20"/>
  <c r="AI636" i="20"/>
  <c r="X362" i="20"/>
  <c r="AB465" i="20"/>
  <c r="AA501" i="20"/>
  <c r="X509" i="20"/>
  <c r="AB559" i="20"/>
  <c r="AB582" i="20"/>
  <c r="Y604" i="20"/>
  <c r="AD727" i="20"/>
  <c r="AI777" i="20"/>
  <c r="Z779" i="20"/>
  <c r="AC800" i="20"/>
  <c r="W812" i="20"/>
  <c r="X826" i="20"/>
  <c r="AA840" i="20"/>
  <c r="AI867" i="20"/>
  <c r="AB882" i="20"/>
  <c r="AI895" i="20"/>
  <c r="AC915" i="20"/>
  <c r="X649" i="20"/>
  <c r="X657" i="20"/>
  <c r="AD474" i="20"/>
  <c r="Y626" i="20"/>
  <c r="AC686" i="20"/>
  <c r="AE674" i="20"/>
  <c r="AE662" i="20"/>
  <c r="AE543" i="20"/>
  <c r="Z378" i="20"/>
  <c r="AC398" i="20"/>
  <c r="W357" i="20"/>
  <c r="Z351" i="20"/>
  <c r="W639" i="20"/>
  <c r="Z292" i="20"/>
  <c r="AC411" i="20"/>
  <c r="X475" i="20"/>
  <c r="Y489" i="20"/>
  <c r="AD493" i="20"/>
  <c r="AI512" i="20"/>
  <c r="W549" i="20"/>
  <c r="AC563" i="20"/>
  <c r="W572" i="20"/>
  <c r="AI599" i="20"/>
  <c r="AA607" i="20"/>
  <c r="Z711" i="20"/>
  <c r="X722" i="20"/>
  <c r="AA742" i="20"/>
  <c r="AA750" i="20"/>
  <c r="AC772" i="20"/>
  <c r="X768" i="20"/>
  <c r="AE782" i="20"/>
  <c r="AE786" i="20"/>
  <c r="AD795" i="20"/>
  <c r="AD804" i="20"/>
  <c r="AD811" i="20"/>
  <c r="AB819" i="20"/>
  <c r="AC828" i="20"/>
  <c r="X832" i="20"/>
  <c r="AA842" i="20"/>
  <c r="AA855" i="20"/>
  <c r="W856" i="20"/>
  <c r="Y879" i="20"/>
  <c r="AA886" i="20"/>
  <c r="Z891" i="20"/>
  <c r="AI899" i="20"/>
  <c r="Y909" i="20"/>
  <c r="W914" i="20"/>
  <c r="AD565" i="20"/>
  <c r="W646" i="20"/>
  <c r="AB654" i="20"/>
  <c r="AI705" i="20"/>
  <c r="AD472" i="20"/>
  <c r="AE616" i="20"/>
  <c r="AE625" i="20"/>
  <c r="Y689" i="20"/>
  <c r="AB685" i="20"/>
  <c r="AA677" i="20"/>
  <c r="AB673" i="20"/>
  <c r="AE665" i="20"/>
  <c r="X531" i="20"/>
  <c r="Y537" i="20"/>
  <c r="AC352" i="20"/>
  <c r="Y405" i="20"/>
  <c r="AD388" i="20"/>
  <c r="AI356" i="20"/>
  <c r="AB381" i="20"/>
  <c r="X318" i="20"/>
  <c r="Y816" i="20"/>
  <c r="AD478" i="20"/>
  <c r="AB374" i="20"/>
  <c r="AB346" i="20"/>
  <c r="Z495" i="20"/>
  <c r="Y601" i="20"/>
  <c r="Y728" i="20"/>
  <c r="AD758" i="20"/>
  <c r="AC821" i="20"/>
  <c r="AE846" i="20"/>
  <c r="Z877" i="20"/>
  <c r="AC908" i="20"/>
  <c r="Z652" i="20"/>
  <c r="AC691" i="20"/>
  <c r="Y671" i="20"/>
  <c r="X391" i="20"/>
  <c r="W371" i="20"/>
  <c r="X640" i="20"/>
  <c r="AB362" i="20"/>
  <c r="AI476" i="20"/>
  <c r="AB509" i="20"/>
  <c r="Z555" i="20"/>
  <c r="X596" i="20"/>
  <c r="AI706" i="20"/>
  <c r="AA739" i="20"/>
  <c r="AI769" i="20"/>
  <c r="Y787" i="20"/>
  <c r="AD800" i="20"/>
  <c r="Z817" i="20"/>
  <c r="AC830" i="20"/>
  <c r="AE845" i="20"/>
  <c r="AB867" i="20"/>
  <c r="AE878" i="20"/>
  <c r="AB895" i="20"/>
  <c r="W907" i="20"/>
  <c r="AD566" i="20"/>
  <c r="Z709" i="20"/>
  <c r="AD613" i="20"/>
  <c r="AD626" i="20"/>
  <c r="AE686" i="20"/>
  <c r="AD674" i="20"/>
  <c r="X538" i="20"/>
  <c r="AC410" i="20"/>
  <c r="AD390" i="20"/>
  <c r="Z398" i="20"/>
  <c r="AB357" i="20"/>
  <c r="Y351" i="20"/>
  <c r="AC643" i="20"/>
  <c r="Z635" i="20"/>
  <c r="Y343" i="20"/>
  <c r="AC428" i="20"/>
  <c r="AD442" i="20"/>
  <c r="Y479" i="20"/>
  <c r="Z489" i="20"/>
  <c r="W493" i="20"/>
  <c r="AB512" i="20"/>
  <c r="AE535" i="20"/>
  <c r="AB558" i="20"/>
  <c r="AE563" i="20"/>
  <c r="AD589" i="20"/>
  <c r="W595" i="20"/>
  <c r="Z607" i="20"/>
  <c r="AE619" i="20"/>
  <c r="X715" i="20"/>
  <c r="AB722" i="20"/>
  <c r="AE731" i="20"/>
  <c r="Y748" i="20"/>
  <c r="AE753" i="20"/>
  <c r="Y768" i="20"/>
  <c r="AA760" i="20"/>
  <c r="AA778" i="20"/>
  <c r="AI786" i="20"/>
  <c r="Z799" i="20"/>
  <c r="AE804" i="20"/>
  <c r="W811" i="20"/>
  <c r="AC819" i="20"/>
  <c r="X835" i="20"/>
  <c r="Z839" i="20"/>
  <c r="W848" i="20"/>
  <c r="AE855" i="20"/>
  <c r="Y856" i="20"/>
  <c r="AD870" i="20"/>
  <c r="W886" i="20"/>
  <c r="Y891" i="20"/>
  <c r="AD899" i="20"/>
  <c r="AC909" i="20"/>
  <c r="AI914" i="20"/>
  <c r="AC565" i="20"/>
  <c r="Y650" i="20"/>
  <c r="AD705" i="20"/>
  <c r="AD710" i="20"/>
  <c r="W472" i="20"/>
  <c r="AB616" i="20"/>
  <c r="AA620" i="20"/>
  <c r="AC625" i="20"/>
  <c r="X689" i="20"/>
  <c r="W685" i="20"/>
  <c r="AI677" i="20"/>
  <c r="X669" i="20"/>
  <c r="AE661" i="20"/>
  <c r="X537" i="20"/>
  <c r="Y542" i="20"/>
  <c r="AA405" i="20"/>
  <c r="AA394" i="20"/>
  <c r="X377" i="20"/>
  <c r="Z356" i="20"/>
  <c r="Z381" i="20"/>
  <c r="X365" i="20"/>
  <c r="AB785" i="20"/>
  <c r="AC651" i="20"/>
  <c r="AI386" i="20"/>
  <c r="Z304" i="20"/>
  <c r="AA491" i="20"/>
  <c r="AB587" i="20"/>
  <c r="AA728" i="20"/>
  <c r="X758" i="20"/>
  <c r="AI813" i="20"/>
  <c r="AB843" i="20"/>
  <c r="AA874" i="20"/>
  <c r="AE901" i="20"/>
  <c r="AD644" i="20"/>
  <c r="Z477" i="20"/>
  <c r="AA683" i="20"/>
  <c r="W539" i="20"/>
  <c r="AI370" i="20"/>
  <c r="AD408" i="20"/>
  <c r="Z353" i="20"/>
  <c r="AB429" i="20"/>
  <c r="Y476" i="20"/>
  <c r="AB501" i="20"/>
  <c r="AD536" i="20"/>
  <c r="Z579" i="20"/>
  <c r="X612" i="20"/>
  <c r="Y714" i="20"/>
  <c r="AB727" i="20"/>
  <c r="AD773" i="20"/>
  <c r="AE783" i="20"/>
  <c r="AE790" i="20"/>
  <c r="Y810" i="20"/>
  <c r="AC826" i="20"/>
  <c r="W836" i="20"/>
  <c r="AD867" i="20"/>
  <c r="W871" i="20"/>
  <c r="AI883" i="20"/>
  <c r="X915" i="20"/>
  <c r="AB566" i="20"/>
  <c r="Z649" i="20"/>
  <c r="Z570" i="20"/>
  <c r="X622" i="20"/>
  <c r="W690" i="20"/>
  <c r="Z674" i="20"/>
  <c r="AI666" i="20"/>
  <c r="AA543" i="20"/>
  <c r="AB396" i="20"/>
  <c r="AB398" i="20"/>
  <c r="AI368" i="20"/>
  <c r="AD384" i="20"/>
  <c r="W643" i="20"/>
  <c r="W292" i="20"/>
  <c r="Y360" i="20"/>
  <c r="AD439" i="20"/>
  <c r="AE475" i="20"/>
  <c r="AI489" i="20"/>
  <c r="AA497" i="20"/>
  <c r="W508" i="20"/>
  <c r="AB530" i="20"/>
  <c r="X577" i="20"/>
  <c r="X585" i="20"/>
  <c r="AE595" i="20"/>
  <c r="Y607" i="20"/>
  <c r="AB699" i="20"/>
  <c r="Y722" i="20"/>
  <c r="X731" i="20"/>
  <c r="AB742" i="20"/>
  <c r="AD750" i="20"/>
  <c r="AD776" i="20"/>
  <c r="W768" i="20"/>
  <c r="AC760" i="20"/>
  <c r="Y778" i="20"/>
  <c r="Z791" i="20"/>
  <c r="AB795" i="20"/>
  <c r="Z806" i="20"/>
  <c r="AE819" i="20"/>
  <c r="AI828" i="20"/>
  <c r="AB835" i="20"/>
  <c r="Z848" i="20"/>
  <c r="AI855" i="20"/>
  <c r="X866" i="20"/>
  <c r="AD861" i="20"/>
  <c r="AE872" i="20"/>
  <c r="Z886" i="20"/>
  <c r="AD890" i="20"/>
  <c r="AI894" i="20"/>
  <c r="Y904" i="20"/>
  <c r="AD914" i="20"/>
  <c r="AB565" i="20"/>
  <c r="X650" i="20"/>
  <c r="Y654" i="20"/>
  <c r="AC710" i="20"/>
  <c r="AI472" i="20"/>
  <c r="Y616" i="20"/>
  <c r="W625" i="20"/>
  <c r="AB452" i="20"/>
  <c r="AC452" i="20"/>
  <c r="Y452" i="20"/>
  <c r="AI545" i="20"/>
  <c r="AA545" i="20"/>
  <c r="AA334" i="20"/>
  <c r="AE334" i="20"/>
  <c r="AC334" i="20"/>
  <c r="Y365" i="20"/>
  <c r="AC356" i="20"/>
  <c r="AD377" i="20"/>
  <c r="AA388" i="20"/>
  <c r="Z405" i="20"/>
  <c r="AD352" i="20"/>
  <c r="Z537" i="20"/>
  <c r="X661" i="20"/>
  <c r="AA665" i="20"/>
  <c r="X677" i="20"/>
  <c r="AB681" i="20"/>
  <c r="AB689" i="20"/>
  <c r="X693" i="20"/>
  <c r="AA625" i="20"/>
  <c r="W616" i="20"/>
  <c r="Z578" i="20"/>
  <c r="AB710" i="20"/>
  <c r="AA654" i="20"/>
  <c r="AB650" i="20"/>
  <c r="W565" i="20"/>
  <c r="X910" i="20"/>
  <c r="AA909" i="20"/>
  <c r="W899" i="20"/>
  <c r="AE894" i="20"/>
  <c r="W891" i="20"/>
  <c r="AI872" i="20"/>
  <c r="AB870" i="20"/>
  <c r="X856" i="20"/>
  <c r="W850" i="20"/>
  <c r="X842" i="20"/>
  <c r="Z835" i="20"/>
  <c r="W828" i="20"/>
  <c r="AI815" i="20"/>
  <c r="AD806" i="20"/>
  <c r="AB799" i="20"/>
  <c r="W786" i="20"/>
  <c r="AI760" i="20"/>
  <c r="Z768" i="20"/>
  <c r="Y753" i="20"/>
  <c r="AD748" i="20"/>
  <c r="AI733" i="20"/>
  <c r="AI715" i="20"/>
  <c r="AA699" i="20"/>
  <c r="AB603" i="20"/>
  <c r="AA599" i="20"/>
  <c r="Y589" i="20"/>
  <c r="AA558" i="20"/>
  <c r="AE508" i="20"/>
  <c r="AC505" i="20"/>
  <c r="Y500" i="20"/>
  <c r="AC479" i="20"/>
  <c r="AE439" i="20"/>
  <c r="AA360" i="20"/>
  <c r="AC313" i="20"/>
  <c r="AE635" i="20"/>
  <c r="AB643" i="20"/>
  <c r="AA384" i="20"/>
  <c r="Z414" i="20"/>
  <c r="Y398" i="20"/>
  <c r="AA396" i="20"/>
  <c r="W421" i="20"/>
  <c r="AI662" i="20"/>
  <c r="Z670" i="20"/>
  <c r="AE682" i="20"/>
  <c r="Z622" i="20"/>
  <c r="W657" i="20"/>
  <c r="AD649" i="20"/>
  <c r="Y566" i="20"/>
  <c r="W895" i="20"/>
  <c r="AE873" i="20"/>
  <c r="X867" i="20"/>
  <c r="Z845" i="20"/>
  <c r="AB825" i="20"/>
  <c r="AE810" i="20"/>
  <c r="AC794" i="20"/>
  <c r="AA783" i="20"/>
  <c r="W745" i="20"/>
  <c r="AB723" i="20"/>
  <c r="AE621" i="20"/>
  <c r="Z586" i="20"/>
  <c r="X555" i="20"/>
  <c r="AE517" i="20"/>
  <c r="W482" i="20"/>
  <c r="AE344" i="20"/>
  <c r="Y636" i="20"/>
  <c r="AC420" i="20"/>
  <c r="AB401" i="20"/>
  <c r="Y399" i="20"/>
  <c r="AA659" i="20"/>
  <c r="AI691" i="20"/>
  <c r="W571" i="20"/>
  <c r="AA644" i="20"/>
  <c r="Y901" i="20"/>
  <c r="X877" i="20"/>
  <c r="AE809" i="20"/>
  <c r="Z780" i="20"/>
  <c r="Z740" i="20"/>
  <c r="W605" i="20"/>
  <c r="AA560" i="20"/>
  <c r="AI481" i="20"/>
  <c r="AA387" i="20"/>
  <c r="Y350" i="20"/>
  <c r="AE906" i="20"/>
  <c r="Z796" i="20"/>
  <c r="AA365" i="20"/>
  <c r="AE381" i="20"/>
  <c r="AB380" i="20"/>
  <c r="W377" i="20"/>
  <c r="W388" i="20"/>
  <c r="AE405" i="20"/>
  <c r="AA542" i="20"/>
  <c r="AI537" i="20"/>
  <c r="AD661" i="20"/>
  <c r="X665" i="20"/>
  <c r="AA669" i="20"/>
  <c r="Z677" i="20"/>
  <c r="W681" i="20"/>
  <c r="AC693" i="20"/>
  <c r="X625" i="20"/>
  <c r="AA578" i="20"/>
  <c r="AC472" i="20"/>
  <c r="AD654" i="20"/>
  <c r="AI646" i="20"/>
  <c r="AI910" i="20"/>
  <c r="AB909" i="20"/>
  <c r="W894" i="20"/>
  <c r="AB890" i="20"/>
  <c r="X879" i="20"/>
  <c r="AE861" i="20"/>
  <c r="AC866" i="20"/>
  <c r="AE848" i="20"/>
  <c r="AC835" i="20"/>
  <c r="AB824" i="20"/>
  <c r="Z811" i="20"/>
  <c r="X795" i="20"/>
  <c r="AB786" i="20"/>
  <c r="W782" i="20"/>
  <c r="AC768" i="20"/>
  <c r="AB776" i="20"/>
  <c r="AC738" i="20"/>
  <c r="AB730" i="20"/>
  <c r="AD701" i="20"/>
  <c r="AA603" i="20"/>
  <c r="Z599" i="20"/>
  <c r="X589" i="20"/>
  <c r="AI530" i="20"/>
  <c r="AD516" i="20"/>
  <c r="Z500" i="20"/>
  <c r="AI479" i="20"/>
  <c r="AB439" i="20"/>
  <c r="X411" i="20"/>
  <c r="X643" i="20"/>
  <c r="AE407" i="20"/>
  <c r="AA382" i="20"/>
  <c r="X390" i="20"/>
  <c r="Y543" i="20"/>
  <c r="AI670" i="20"/>
  <c r="W682" i="20"/>
  <c r="AC622" i="20"/>
  <c r="X474" i="20"/>
  <c r="AC645" i="20"/>
  <c r="W896" i="20"/>
  <c r="Y882" i="20"/>
  <c r="AB857" i="20"/>
  <c r="Y834" i="20"/>
  <c r="X817" i="20"/>
  <c r="AI794" i="20"/>
  <c r="Y761" i="20"/>
  <c r="AA745" i="20"/>
  <c r="Y718" i="20"/>
  <c r="AB600" i="20"/>
  <c r="W555" i="20"/>
  <c r="AB506" i="20"/>
  <c r="AD450" i="20"/>
  <c r="AA344" i="20"/>
  <c r="AA385" i="20"/>
  <c r="AE399" i="20"/>
  <c r="AD671" i="20"/>
  <c r="Z571" i="20"/>
  <c r="AA567" i="20"/>
  <c r="W884" i="20"/>
  <c r="X849" i="20"/>
  <c r="AE801" i="20"/>
  <c r="W752" i="20"/>
  <c r="X597" i="20"/>
  <c r="AI471" i="20"/>
  <c r="AB404" i="20"/>
  <c r="Y574" i="20"/>
  <c r="AE747" i="20"/>
  <c r="X381" i="20"/>
  <c r="W380" i="20"/>
  <c r="AC388" i="20"/>
  <c r="Y394" i="20"/>
  <c r="W542" i="20"/>
  <c r="AD531" i="20"/>
  <c r="AI665" i="20"/>
  <c r="AC673" i="20"/>
  <c r="AA685" i="20"/>
  <c r="AC689" i="20"/>
  <c r="AE620" i="20"/>
  <c r="W578" i="20"/>
  <c r="AI710" i="20"/>
  <c r="W705" i="20"/>
  <c r="AE646" i="20"/>
  <c r="AE910" i="20"/>
  <c r="AD909" i="20"/>
  <c r="Z899" i="20"/>
  <c r="AE890" i="20"/>
  <c r="AB872" i="20"/>
  <c r="AA866" i="20"/>
  <c r="AC850" i="20"/>
  <c r="AD842" i="20"/>
  <c r="AA832" i="20"/>
  <c r="AC815" i="20"/>
  <c r="Y806" i="20"/>
  <c r="AE795" i="20"/>
  <c r="Z778" i="20"/>
  <c r="Z760" i="20"/>
  <c r="AA772" i="20"/>
  <c r="AI750" i="20"/>
  <c r="Z733" i="20"/>
  <c r="AA719" i="20"/>
  <c r="AE701" i="20"/>
  <c r="AC603" i="20"/>
  <c r="AB599" i="20"/>
  <c r="AB572" i="20"/>
  <c r="Y554" i="20"/>
  <c r="AD535" i="20"/>
  <c r="Z516" i="20"/>
  <c r="AC500" i="20"/>
  <c r="AI475" i="20"/>
  <c r="AA439" i="20"/>
  <c r="AD411" i="20"/>
  <c r="AB639" i="20"/>
  <c r="AE392" i="20"/>
  <c r="W414" i="20"/>
  <c r="AI398" i="20"/>
  <c r="W396" i="20"/>
  <c r="X543" i="20"/>
  <c r="AC674" i="20"/>
  <c r="AA690" i="20"/>
  <c r="AB613" i="20"/>
  <c r="AA657" i="20"/>
  <c r="AB911" i="20"/>
  <c r="AD896" i="20"/>
  <c r="Y878" i="20"/>
  <c r="Z851" i="20"/>
  <c r="AC825" i="20"/>
  <c r="AA787" i="20"/>
  <c r="AD745" i="20"/>
  <c r="AD612" i="20"/>
  <c r="Y536" i="20"/>
  <c r="W440" i="20"/>
  <c r="Y415" i="20"/>
  <c r="AI667" i="20"/>
  <c r="Z647" i="20"/>
  <c r="AA805" i="20"/>
  <c r="AD485" i="20"/>
  <c r="W781" i="20"/>
  <c r="AE388" i="20"/>
  <c r="AB661" i="20"/>
  <c r="Z685" i="20"/>
  <c r="AA710" i="20"/>
  <c r="Y565" i="20"/>
  <c r="AA891" i="20"/>
  <c r="AE850" i="20"/>
  <c r="Z819" i="20"/>
  <c r="Z786" i="20"/>
  <c r="X748" i="20"/>
  <c r="AC607" i="20"/>
  <c r="W535" i="20"/>
  <c r="AI469" i="20"/>
  <c r="X384" i="20"/>
  <c r="AD543" i="20"/>
  <c r="W626" i="20"/>
  <c r="AI907" i="20"/>
  <c r="X836" i="20"/>
  <c r="W779" i="20"/>
  <c r="AD590" i="20"/>
  <c r="AE450" i="20"/>
  <c r="Y401" i="20"/>
  <c r="AE644" i="20"/>
  <c r="AC793" i="20"/>
  <c r="AE423" i="20"/>
  <c r="W890" i="20"/>
  <c r="AA861" i="20"/>
  <c r="AE839" i="20"/>
  <c r="AA815" i="20"/>
  <c r="AE791" i="20"/>
  <c r="AB768" i="20"/>
  <c r="W738" i="20"/>
  <c r="W715" i="20"/>
  <c r="AB607" i="20"/>
  <c r="AC572" i="20"/>
  <c r="Z530" i="20"/>
  <c r="AA505" i="20"/>
  <c r="AC475" i="20"/>
  <c r="AB411" i="20"/>
  <c r="AE643" i="20"/>
  <c r="AE357" i="20"/>
  <c r="Y378" i="20"/>
  <c r="AD658" i="20"/>
  <c r="Y678" i="20"/>
  <c r="Z613" i="20"/>
  <c r="AB649" i="20"/>
  <c r="AA895" i="20"/>
  <c r="AE867" i="20"/>
  <c r="AA826" i="20"/>
  <c r="AA779" i="20"/>
  <c r="AB734" i="20"/>
  <c r="AB612" i="20"/>
  <c r="F24" i="37" s="1"/>
  <c r="Y559" i="20"/>
  <c r="AB490" i="20"/>
  <c r="W344" i="20"/>
  <c r="AB359" i="20"/>
  <c r="AB541" i="20"/>
  <c r="AA627" i="20"/>
  <c r="W887" i="20"/>
  <c r="X822" i="20"/>
  <c r="AD774" i="20"/>
  <c r="AD526" i="20"/>
  <c r="AE688" i="20"/>
  <c r="AI748" i="20"/>
  <c r="AA711" i="20"/>
  <c r="AA572" i="20"/>
  <c r="W505" i="20"/>
  <c r="AA343" i="20"/>
  <c r="W407" i="20"/>
  <c r="AA658" i="20"/>
  <c r="AI570" i="20"/>
  <c r="AE896" i="20"/>
  <c r="Y826" i="20"/>
  <c r="AB751" i="20"/>
  <c r="W550" i="20"/>
  <c r="AE353" i="20"/>
  <c r="AC683" i="20"/>
  <c r="AA858" i="20"/>
  <c r="Y609" i="20"/>
  <c r="W684" i="20"/>
  <c r="Y883" i="20"/>
  <c r="X834" i="20"/>
  <c r="AC787" i="20"/>
  <c r="Z734" i="20"/>
  <c r="Z596" i="20"/>
  <c r="AD525" i="20"/>
  <c r="AB450" i="20"/>
  <c r="AA375" i="20"/>
  <c r="AE412" i="20"/>
  <c r="AA691" i="20"/>
  <c r="W567" i="20"/>
  <c r="AC849" i="20"/>
  <c r="AB735" i="20"/>
  <c r="AI637" i="20"/>
  <c r="AB754" i="20"/>
  <c r="W551" i="20"/>
  <c r="X348" i="20"/>
  <c r="X671" i="20"/>
  <c r="W877" i="20"/>
  <c r="W617" i="20"/>
  <c r="W529" i="20"/>
  <c r="AB863" i="20"/>
  <c r="AA766" i="20"/>
  <c r="AA583" i="20"/>
  <c r="AC304" i="20"/>
  <c r="Z885" i="20"/>
  <c r="Y721" i="20"/>
  <c r="Z425" i="20"/>
  <c r="AE885" i="20"/>
  <c r="X403" i="20"/>
  <c r="Y827" i="20"/>
  <c r="AI548" i="20"/>
  <c r="AE389" i="20"/>
  <c r="AB741" i="20"/>
  <c r="X712" i="20"/>
  <c r="AD297" i="20"/>
  <c r="W449" i="20"/>
  <c r="AC432" i="20"/>
  <c r="W199" i="20"/>
  <c r="AB95" i="20"/>
  <c r="AA452" i="20"/>
  <c r="X452" i="20"/>
  <c r="W452" i="20"/>
  <c r="AE545" i="20"/>
  <c r="Y545" i="20"/>
  <c r="X334" i="20"/>
  <c r="AI334" i="20"/>
  <c r="Z334" i="20"/>
  <c r="AC381" i="20"/>
  <c r="AB356" i="20"/>
  <c r="Y377" i="20"/>
  <c r="AE394" i="20"/>
  <c r="AI405" i="20"/>
  <c r="Y352" i="20"/>
  <c r="Z531" i="20"/>
  <c r="W661" i="20"/>
  <c r="AE669" i="20"/>
  <c r="AE677" i="20"/>
  <c r="AA681" i="20"/>
  <c r="W689" i="20"/>
  <c r="W693" i="20"/>
  <c r="W620" i="20"/>
  <c r="AC616" i="20"/>
  <c r="AA472" i="20"/>
  <c r="AE705" i="20"/>
  <c r="AC654" i="20"/>
  <c r="X646" i="20"/>
  <c r="Z565" i="20"/>
  <c r="W910" i="20"/>
  <c r="Z904" i="20"/>
  <c r="AA899" i="20"/>
  <c r="Y894" i="20"/>
  <c r="AD886" i="20"/>
  <c r="AC872" i="20"/>
  <c r="Z861" i="20"/>
  <c r="AE866" i="20"/>
  <c r="X848" i="20"/>
  <c r="AC842" i="20"/>
  <c r="AE832" i="20"/>
  <c r="Y828" i="20"/>
  <c r="W815" i="20"/>
  <c r="AB806" i="20"/>
  <c r="Y799" i="20"/>
  <c r="X778" i="20"/>
  <c r="AD764" i="20"/>
  <c r="AE772" i="20"/>
  <c r="X753" i="20"/>
  <c r="AA738" i="20"/>
  <c r="AA731" i="20"/>
  <c r="AC715" i="20"/>
  <c r="Y699" i="20"/>
  <c r="AI607" i="20"/>
  <c r="AB581" i="20"/>
  <c r="AA554" i="20"/>
  <c r="Y530" i="20"/>
  <c r="AA516" i="20"/>
  <c r="AB493" i="20"/>
  <c r="X500" i="20"/>
  <c r="AB475" i="20"/>
  <c r="W439" i="20"/>
  <c r="AA411" i="20"/>
  <c r="X292" i="20"/>
  <c r="AA635" i="20"/>
  <c r="AE369" i="20"/>
  <c r="AC384" i="20"/>
  <c r="AA357" i="20"/>
  <c r="AC367" i="20"/>
  <c r="AC396" i="20"/>
  <c r="W543" i="20"/>
  <c r="AC662" i="20"/>
  <c r="AA674" i="20"/>
  <c r="AE690" i="20"/>
  <c r="AA613" i="20"/>
  <c r="AD657" i="20"/>
  <c r="W645" i="20"/>
  <c r="AD900" i="20"/>
  <c r="AE883" i="20"/>
  <c r="AA871" i="20"/>
  <c r="AI854" i="20"/>
  <c r="AC834" i="20"/>
  <c r="AA817" i="20"/>
  <c r="AD802" i="20"/>
  <c r="Z790" i="20"/>
  <c r="X783" i="20"/>
  <c r="Z743" i="20"/>
  <c r="W718" i="20"/>
  <c r="AB604" i="20"/>
  <c r="Y590" i="20"/>
  <c r="AA559" i="20"/>
  <c r="AA494" i="20"/>
  <c r="AD476" i="20"/>
  <c r="W308" i="20"/>
  <c r="AI353" i="20"/>
  <c r="X408" i="20"/>
  <c r="AE370" i="20"/>
  <c r="AE418" i="20"/>
  <c r="AE671" i="20"/>
  <c r="X695" i="20"/>
  <c r="AD708" i="20"/>
  <c r="AB567" i="20"/>
  <c r="Z893" i="20"/>
  <c r="AB859" i="20"/>
  <c r="AA801" i="20"/>
  <c r="AC762" i="20"/>
  <c r="Y735" i="20"/>
  <c r="Y597" i="20"/>
  <c r="AE526" i="20"/>
  <c r="AC423" i="20"/>
  <c r="Y403" i="20"/>
  <c r="AA664" i="20"/>
  <c r="AA880" i="20"/>
  <c r="AC775" i="20"/>
  <c r="W365" i="20"/>
  <c r="AD381" i="20"/>
  <c r="AA380" i="20"/>
  <c r="Z377" i="20"/>
  <c r="AI394" i="20"/>
  <c r="AI352" i="20"/>
  <c r="AE542" i="20"/>
  <c r="AB537" i="20"/>
  <c r="Z661" i="20"/>
  <c r="W665" i="20"/>
  <c r="AE673" i="20"/>
  <c r="Z681" i="20"/>
  <c r="AI685" i="20"/>
  <c r="Y693" i="20"/>
  <c r="AI620" i="20"/>
  <c r="AE578" i="20"/>
  <c r="X472" i="20"/>
  <c r="W650" i="20"/>
  <c r="AC646" i="20"/>
  <c r="Z914" i="20"/>
  <c r="AE904" i="20"/>
  <c r="AB894" i="20"/>
  <c r="AE886" i="20"/>
  <c r="AI870" i="20"/>
  <c r="AI856" i="20"/>
  <c r="Z855" i="20"/>
  <c r="AB842" i="20"/>
  <c r="W832" i="20"/>
  <c r="AC824" i="20"/>
  <c r="AB804" i="20"/>
  <c r="AC795" i="20"/>
  <c r="Y786" i="20"/>
  <c r="AE760" i="20"/>
  <c r="AI772" i="20"/>
  <c r="AI753" i="20"/>
  <c r="AD742" i="20"/>
  <c r="Z730" i="20"/>
  <c r="X701" i="20"/>
  <c r="X607" i="20"/>
  <c r="X581" i="20"/>
  <c r="Y572" i="20"/>
  <c r="X535" i="20"/>
  <c r="AB516" i="20"/>
  <c r="AC489" i="20"/>
  <c r="AD469" i="20"/>
  <c r="AD428" i="20"/>
  <c r="AE313" i="20"/>
  <c r="Y369" i="20"/>
  <c r="AC414" i="20"/>
  <c r="Y382" i="20"/>
  <c r="AD410" i="20"/>
  <c r="AC658" i="20"/>
  <c r="AC670" i="20"/>
  <c r="W694" i="20"/>
  <c r="X613" i="20"/>
  <c r="AB657" i="20"/>
  <c r="W911" i="20"/>
  <c r="AC895" i="20"/>
  <c r="Z878" i="20"/>
  <c r="X854" i="20"/>
  <c r="Z830" i="20"/>
  <c r="AI812" i="20"/>
  <c r="AC790" i="20"/>
  <c r="W765" i="20"/>
  <c r="AB739" i="20"/>
  <c r="W696" i="20"/>
  <c r="AA590" i="20"/>
  <c r="AC550" i="20"/>
  <c r="AI488" i="20"/>
  <c r="W444" i="20"/>
  <c r="AA308" i="20"/>
  <c r="AD415" i="20"/>
  <c r="Z418" i="20"/>
  <c r="AB675" i="20"/>
  <c r="Y708" i="20"/>
  <c r="AI905" i="20"/>
  <c r="Z881" i="20"/>
  <c r="AE833" i="20"/>
  <c r="AB793" i="20"/>
  <c r="AB740" i="20"/>
  <c r="AA556" i="20"/>
  <c r="W445" i="20"/>
  <c r="AI374" i="20"/>
  <c r="AC902" i="20"/>
  <c r="Z628" i="20"/>
  <c r="W381" i="20"/>
  <c r="Y356" i="20"/>
  <c r="AI388" i="20"/>
  <c r="AB405" i="20"/>
  <c r="W537" i="20"/>
  <c r="AB531" i="20"/>
  <c r="Y669" i="20"/>
  <c r="AB677" i="20"/>
  <c r="AD685" i="20"/>
  <c r="AE693" i="20"/>
  <c r="AD620" i="20"/>
  <c r="Y578" i="20"/>
  <c r="AE710" i="20"/>
  <c r="W654" i="20"/>
  <c r="AD646" i="20"/>
  <c r="AE914" i="20"/>
  <c r="X909" i="20"/>
  <c r="Z894" i="20"/>
  <c r="AI886" i="20"/>
  <c r="AA870" i="20"/>
  <c r="Y866" i="20"/>
  <c r="AI848" i="20"/>
  <c r="AD839" i="20"/>
  <c r="Y832" i="20"/>
  <c r="AA811" i="20"/>
  <c r="X804" i="20"/>
  <c r="Y795" i="20"/>
  <c r="AD778" i="20"/>
  <c r="AI764" i="20"/>
  <c r="AA776" i="20"/>
  <c r="AA748" i="20"/>
  <c r="AD731" i="20"/>
  <c r="Y719" i="20"/>
  <c r="W699" i="20"/>
  <c r="AI611" i="20"/>
  <c r="I45" i="86" s="1"/>
  <c r="L45" i="86" s="1"/>
  <c r="W585" i="20"/>
  <c r="AD577" i="20"/>
  <c r="AD549" i="20"/>
  <c r="AI528" i="20"/>
  <c r="Y516" i="20"/>
  <c r="AA489" i="20"/>
  <c r="Z475" i="20"/>
  <c r="Z428" i="20"/>
  <c r="AA313" i="20"/>
  <c r="AI639" i="20"/>
  <c r="AA392" i="20"/>
  <c r="AD357" i="20"/>
  <c r="AE367" i="20"/>
  <c r="AI410" i="20"/>
  <c r="Z538" i="20"/>
  <c r="AI678" i="20"/>
  <c r="X690" i="20"/>
  <c r="AC570" i="20"/>
  <c r="Y657" i="20"/>
  <c r="AA915" i="20"/>
  <c r="AC888" i="20"/>
  <c r="AC862" i="20"/>
  <c r="W840" i="20"/>
  <c r="Z810" i="20"/>
  <c r="AI779" i="20"/>
  <c r="AE734" i="20"/>
  <c r="AA600" i="20"/>
  <c r="AC513" i="20"/>
  <c r="AC344" i="20"/>
  <c r="Y395" i="20"/>
  <c r="AD679" i="20"/>
  <c r="AA898" i="20"/>
  <c r="AI770" i="20"/>
  <c r="AB358" i="20"/>
  <c r="AI365" i="20"/>
  <c r="X405" i="20"/>
  <c r="AC669" i="20"/>
  <c r="Z693" i="20"/>
  <c r="Y705" i="20"/>
  <c r="AA914" i="20"/>
  <c r="AB886" i="20"/>
  <c r="AI839" i="20"/>
  <c r="X811" i="20"/>
  <c r="Y760" i="20"/>
  <c r="Y742" i="20"/>
  <c r="AE581" i="20"/>
  <c r="AC512" i="20"/>
  <c r="AI343" i="20"/>
  <c r="W368" i="20"/>
  <c r="Z662" i="20"/>
  <c r="AC474" i="20"/>
  <c r="AA888" i="20"/>
  <c r="AA825" i="20"/>
  <c r="Z754" i="20"/>
  <c r="AE550" i="20"/>
  <c r="Y348" i="20"/>
  <c r="AC412" i="20"/>
  <c r="AC898" i="20"/>
  <c r="AD746" i="20"/>
  <c r="W361" i="20"/>
  <c r="X886" i="20"/>
  <c r="W866" i="20"/>
  <c r="AD835" i="20"/>
  <c r="Y811" i="20"/>
  <c r="AC778" i="20"/>
  <c r="Z776" i="20"/>
  <c r="AE733" i="20"/>
  <c r="AD711" i="20"/>
  <c r="AI595" i="20"/>
  <c r="AB577" i="20"/>
  <c r="AE528" i="20"/>
  <c r="AC493" i="20"/>
  <c r="W469" i="20"/>
  <c r="Y313" i="20"/>
  <c r="AC369" i="20"/>
  <c r="AD368" i="20"/>
  <c r="Z396" i="20"/>
  <c r="AA662" i="20"/>
  <c r="X686" i="20"/>
  <c r="Y570" i="20"/>
  <c r="Z566" i="20"/>
  <c r="AI882" i="20"/>
  <c r="AI845" i="20"/>
  <c r="AA810" i="20"/>
  <c r="AE765" i="20"/>
  <c r="AA723" i="20"/>
  <c r="W582" i="20"/>
  <c r="X536" i="20"/>
  <c r="AA482" i="20"/>
  <c r="AC632" i="20"/>
  <c r="AB395" i="20"/>
  <c r="AC663" i="20"/>
  <c r="AA571" i="20"/>
  <c r="AE877" i="20"/>
  <c r="Z813" i="20"/>
  <c r="Z721" i="20"/>
  <c r="AA483" i="20"/>
  <c r="AA564" i="20"/>
  <c r="Z742" i="20"/>
  <c r="X699" i="20"/>
  <c r="Y563" i="20"/>
  <c r="AB500" i="20"/>
  <c r="AB631" i="20"/>
  <c r="AB368" i="20"/>
  <c r="Y670" i="20"/>
  <c r="AI657" i="20"/>
  <c r="W878" i="20"/>
  <c r="AE807" i="20"/>
  <c r="AD723" i="20"/>
  <c r="X494" i="20"/>
  <c r="W415" i="20"/>
  <c r="AE571" i="20"/>
  <c r="AI829" i="20"/>
  <c r="AI519" i="20"/>
  <c r="AB885" i="20"/>
  <c r="AI871" i="20"/>
  <c r="AE825" i="20"/>
  <c r="AC765" i="20"/>
  <c r="AD718" i="20"/>
  <c r="X586" i="20"/>
  <c r="Z506" i="20"/>
  <c r="AI362" i="20"/>
  <c r="X385" i="20"/>
  <c r="AI539" i="20"/>
  <c r="W623" i="20"/>
  <c r="Y908" i="20"/>
  <c r="AC837" i="20"/>
  <c r="Z605" i="20"/>
  <c r="AD668" i="20"/>
  <c r="AC734" i="20"/>
  <c r="X525" i="20"/>
  <c r="AD375" i="20"/>
  <c r="Z695" i="20"/>
  <c r="AI837" i="20"/>
  <c r="AE546" i="20"/>
  <c r="AC897" i="20"/>
  <c r="AI843" i="20"/>
  <c r="Z746" i="20"/>
  <c r="Y560" i="20"/>
  <c r="AE403" i="20"/>
  <c r="X771" i="20"/>
  <c r="AD597" i="20"/>
  <c r="AD358" i="20"/>
  <c r="AI785" i="20"/>
  <c r="W350" i="20"/>
  <c r="Z736" i="20"/>
  <c r="AA876" i="20"/>
  <c r="AC885" i="20"/>
  <c r="AI584" i="20"/>
  <c r="Y515" i="20"/>
  <c r="W638" i="20"/>
  <c r="AD301" i="20"/>
  <c r="AC325" i="20"/>
  <c r="AI199" i="20"/>
  <c r="N14" i="43"/>
  <c r="R14" i="43" s="1"/>
  <c r="E18" i="43"/>
  <c r="I18" i="43" s="1"/>
  <c r="E17" i="43"/>
  <c r="I17" i="43" s="1"/>
  <c r="M23" i="36"/>
  <c r="AP654" i="20"/>
  <c r="AP800" i="20"/>
  <c r="AP486" i="20"/>
  <c r="AP418" i="20"/>
  <c r="AP215" i="20"/>
  <c r="AP508" i="20"/>
  <c r="AP736" i="20"/>
  <c r="AP731" i="20"/>
  <c r="AP101" i="20"/>
  <c r="AP739" i="20"/>
  <c r="AP401" i="20"/>
  <c r="AP668" i="20"/>
  <c r="AP278" i="20"/>
  <c r="AP579" i="20"/>
  <c r="O26" i="36"/>
  <c r="N11" i="36"/>
  <c r="N15" i="43"/>
  <c r="AC22" i="43" s="1"/>
  <c r="N26" i="36"/>
  <c r="C29" i="37"/>
  <c r="AP26" i="40"/>
  <c r="AN29" i="40" s="1"/>
  <c r="G39" i="37"/>
  <c r="O12" i="36"/>
  <c r="O24" i="36"/>
  <c r="AP589" i="20"/>
  <c r="AP368" i="20"/>
  <c r="AP864" i="20"/>
  <c r="AP445" i="20"/>
  <c r="AP884" i="20"/>
  <c r="AP730" i="20"/>
  <c r="AF293" i="20"/>
  <c r="Z77" i="20"/>
  <c r="AI77" i="20"/>
  <c r="Z76" i="20"/>
  <c r="AF76" i="20"/>
  <c r="AB80" i="20"/>
  <c r="AG80" i="20"/>
  <c r="W79" i="20"/>
  <c r="AC79" i="20"/>
  <c r="AH79" i="20"/>
  <c r="AG43" i="20"/>
  <c r="AA49" i="20"/>
  <c r="W53" i="20"/>
  <c r="AC53" i="20"/>
  <c r="AH53" i="20"/>
  <c r="Y52" i="20"/>
  <c r="AD52" i="20"/>
  <c r="AI52" i="20"/>
  <c r="Z55" i="20"/>
  <c r="AH55" i="20"/>
  <c r="AA57" i="20"/>
  <c r="AI57" i="20"/>
  <c r="Z71" i="20"/>
  <c r="AE71" i="20"/>
  <c r="Z73" i="20"/>
  <c r="AD73" i="20"/>
  <c r="AH73" i="20"/>
  <c r="AF77" i="20"/>
  <c r="Z53" i="20"/>
  <c r="AE53" i="20"/>
  <c r="AA52" i="20"/>
  <c r="AG52" i="20"/>
  <c r="Y57" i="20"/>
  <c r="AE57" i="20"/>
  <c r="AC71" i="20"/>
  <c r="AH77" i="20"/>
  <c r="Z80" i="20"/>
  <c r="AF80" i="20"/>
  <c r="AA79" i="20"/>
  <c r="AG79" i="20"/>
  <c r="W52" i="20"/>
  <c r="AC52" i="20"/>
  <c r="AH52" i="20"/>
  <c r="Y55" i="20"/>
  <c r="AG55" i="20"/>
  <c r="Z57" i="20"/>
  <c r="AG57" i="20"/>
  <c r="Y71" i="20"/>
  <c r="AD71" i="20"/>
  <c r="AI71" i="20"/>
  <c r="Y73" i="20"/>
  <c r="AC73" i="20"/>
  <c r="AG73" i="20"/>
  <c r="AD77" i="20"/>
  <c r="AJ77" i="20"/>
  <c r="AB76" i="20"/>
  <c r="AG76" i="20"/>
  <c r="X80" i="20"/>
  <c r="AC80" i="20"/>
  <c r="AH80" i="20"/>
  <c r="Y79" i="20"/>
  <c r="AD79" i="20"/>
  <c r="AI79" i="20"/>
  <c r="AJ43" i="20"/>
  <c r="AE49" i="20"/>
  <c r="Y53" i="20"/>
  <c r="AD53" i="20"/>
  <c r="AI53" i="20"/>
  <c r="Z52" i="20"/>
  <c r="AE52" i="20"/>
  <c r="AJ52" i="20"/>
  <c r="AC55" i="20"/>
  <c r="AD57" i="20"/>
  <c r="AA71" i="20"/>
  <c r="AG71" i="20"/>
  <c r="W73" i="20"/>
  <c r="AA73" i="20"/>
  <c r="AE73" i="20"/>
  <c r="AI73" i="20"/>
  <c r="X76" i="20"/>
  <c r="AC76" i="20"/>
  <c r="AH76" i="20"/>
  <c r="Y80" i="20"/>
  <c r="AD80" i="20"/>
  <c r="AJ80" i="20"/>
  <c r="Z79" i="20"/>
  <c r="AE79" i="20"/>
  <c r="AG49" i="20"/>
  <c r="AD55" i="20"/>
  <c r="W71" i="20"/>
  <c r="AH71" i="20"/>
  <c r="X73" i="20"/>
  <c r="AB73" i="20"/>
  <c r="AF73" i="20"/>
  <c r="AJ73" i="20"/>
  <c r="Y76" i="20"/>
  <c r="AD76" i="20"/>
  <c r="AJ76" i="20"/>
  <c r="AF43" i="20"/>
  <c r="Z49" i="20"/>
  <c r="AA53" i="20"/>
  <c r="AG53" i="20"/>
  <c r="X53" i="20"/>
  <c r="X57" i="20"/>
  <c r="W55" i="20"/>
  <c r="AG77" i="20"/>
  <c r="X77" i="20"/>
  <c r="AA76" i="20"/>
  <c r="AA80" i="20"/>
  <c r="AF79" i="20"/>
  <c r="AH43" i="20"/>
  <c r="Y43" i="20"/>
  <c r="AA43" i="20"/>
  <c r="Y49" i="20"/>
  <c r="AB53" i="20"/>
  <c r="AF55" i="20"/>
  <c r="AI55" i="20"/>
  <c r="AC57" i="20"/>
  <c r="AB57" i="20"/>
  <c r="AF314" i="20"/>
  <c r="AF315" i="20"/>
  <c r="AF275" i="20"/>
  <c r="AF238" i="20"/>
  <c r="AF254" i="20"/>
  <c r="AF277" i="20"/>
  <c r="AF284" i="20"/>
  <c r="AF224" i="20"/>
  <c r="AF280" i="20"/>
  <c r="AF211" i="20"/>
  <c r="AF281" i="20"/>
  <c r="AF283" i="20"/>
  <c r="AF230" i="20"/>
  <c r="AF236" i="20"/>
  <c r="AF190" i="20"/>
  <c r="AF196" i="20"/>
  <c r="AF269" i="20"/>
  <c r="AF198" i="20"/>
  <c r="AF234" i="20"/>
  <c r="AF204" i="20"/>
  <c r="AF206" i="20"/>
  <c r="AF214" i="20"/>
  <c r="AF251" i="20"/>
  <c r="AF194" i="20"/>
  <c r="AF201" i="20"/>
  <c r="AF212" i="20"/>
  <c r="AF226" i="20"/>
  <c r="AF237" i="20"/>
  <c r="AF231" i="20"/>
  <c r="AF209" i="20"/>
  <c r="AF221" i="20"/>
  <c r="AF274" i="20"/>
  <c r="AF273" i="20"/>
  <c r="AF287" i="20"/>
  <c r="AF286" i="20"/>
  <c r="AF538" i="20"/>
  <c r="AF539" i="20"/>
  <c r="AF545" i="20"/>
  <c r="AF543" i="20"/>
  <c r="AF541" i="20"/>
  <c r="AF683" i="20"/>
  <c r="AF669" i="20"/>
  <c r="AF663" i="20"/>
  <c r="AF665" i="20"/>
  <c r="AF680" i="20"/>
  <c r="AF661" i="20"/>
  <c r="AF667" i="20"/>
  <c r="AF462" i="20"/>
  <c r="AF695" i="20"/>
  <c r="AF670" i="20"/>
  <c r="AF694" i="20"/>
  <c r="AF459" i="20"/>
  <c r="AF688" i="20"/>
  <c r="AF302" i="20"/>
  <c r="AF307" i="20"/>
  <c r="AF437" i="20"/>
  <c r="AF692" i="20"/>
  <c r="AF681" i="20"/>
  <c r="AF675" i="20"/>
  <c r="AF310" i="20"/>
  <c r="AF685" i="20"/>
  <c r="AF305" i="20"/>
  <c r="AF686" i="20"/>
  <c r="AF691" i="20"/>
  <c r="AF677" i="20"/>
  <c r="X49" i="20"/>
  <c r="W76" i="20"/>
  <c r="X52" i="20"/>
  <c r="AC77" i="20"/>
  <c r="AE77" i="20"/>
  <c r="AB79" i="20"/>
  <c r="Z43" i="20"/>
  <c r="AB43" i="20"/>
  <c r="AH49" i="20"/>
  <c r="AJ49" i="20"/>
  <c r="AF52" i="20"/>
  <c r="AB55" i="20"/>
  <c r="AE55" i="20"/>
  <c r="W57" i="20"/>
  <c r="AJ71" i="20"/>
  <c r="W43" i="20"/>
  <c r="Y77" i="20"/>
  <c r="AI76" i="20"/>
  <c r="AE80" i="20"/>
  <c r="AI43" i="20"/>
  <c r="X43" i="20"/>
  <c r="AD49" i="20"/>
  <c r="AF49" i="20"/>
  <c r="AJ53" i="20"/>
  <c r="X55" i="20"/>
  <c r="AJ57" i="20"/>
  <c r="AF317" i="20"/>
  <c r="AF266" i="20"/>
  <c r="AF213" i="20"/>
  <c r="AF268" i="20"/>
  <c r="AF202" i="20"/>
  <c r="AF225" i="20"/>
  <c r="AF222" i="20"/>
  <c r="AF210" i="20"/>
  <c r="AF285" i="20"/>
  <c r="AF531" i="20"/>
  <c r="AF659" i="20"/>
  <c r="AF682" i="20"/>
  <c r="AF446" i="20"/>
  <c r="AF306" i="20"/>
  <c r="AF674" i="20"/>
  <c r="AF666" i="20"/>
  <c r="X71" i="20"/>
  <c r="W80" i="20"/>
  <c r="AB77" i="20"/>
  <c r="AE76" i="20"/>
  <c r="AD43" i="20"/>
  <c r="AE43" i="20"/>
  <c r="AC49" i="20"/>
  <c r="AB49" i="20"/>
  <c r="AF53" i="20"/>
  <c r="AF57" i="20"/>
  <c r="AF316" i="20"/>
  <c r="AF282" i="20"/>
  <c r="AF279" i="20"/>
  <c r="AF240" i="20"/>
  <c r="AF270" i="20"/>
  <c r="AF207" i="20"/>
  <c r="AF199" i="20"/>
  <c r="AF197" i="20"/>
  <c r="AF276" i="20"/>
  <c r="AF529" i="20"/>
  <c r="AF671" i="20"/>
  <c r="AF658" i="20"/>
  <c r="AF668" i="20"/>
  <c r="AF301" i="20"/>
  <c r="AF296" i="20"/>
  <c r="AF299" i="20"/>
  <c r="AF662" i="20"/>
  <c r="AF672" i="20"/>
  <c r="AF693" i="20"/>
  <c r="AF369" i="20"/>
  <c r="AF404" i="20"/>
  <c r="AF417" i="20"/>
  <c r="AF387" i="20"/>
  <c r="AF353" i="20"/>
  <c r="AF358" i="20"/>
  <c r="AF351" i="20"/>
  <c r="AF298" i="20"/>
  <c r="J15" i="37" s="1"/>
  <c r="AF303" i="20"/>
  <c r="AF620" i="20"/>
  <c r="AF625" i="20"/>
  <c r="AF627" i="20"/>
  <c r="AF578" i="20"/>
  <c r="AF622" i="20"/>
  <c r="AF472" i="20"/>
  <c r="AF623" i="20"/>
  <c r="AF615" i="20"/>
  <c r="AF570" i="20"/>
  <c r="AF548" i="20"/>
  <c r="AF291" i="20"/>
  <c r="AF295" i="20"/>
  <c r="AF294" i="20"/>
  <c r="AF339" i="20"/>
  <c r="AF336" i="20"/>
  <c r="AF335" i="20"/>
  <c r="AF391" i="20"/>
  <c r="AF322" i="20"/>
  <c r="AF370" i="20"/>
  <c r="AF456" i="20"/>
  <c r="AF468" i="20"/>
  <c r="AF400" i="20"/>
  <c r="AF380" i="20"/>
  <c r="AF564" i="20"/>
  <c r="AF325" i="20"/>
  <c r="AF368" i="20"/>
  <c r="AF328" i="20"/>
  <c r="AF421" i="20"/>
  <c r="AF470" i="20"/>
  <c r="AF379" i="20"/>
  <c r="AF398" i="20"/>
  <c r="AF464" i="20"/>
  <c r="AF324" i="20"/>
  <c r="AF388" i="20"/>
  <c r="AF431" i="20"/>
  <c r="AF463" i="20"/>
  <c r="AF323" i="20"/>
  <c r="AF367" i="20"/>
  <c r="AF422" i="20"/>
  <c r="AF332" i="20"/>
  <c r="AF347" i="20"/>
  <c r="AF354" i="20"/>
  <c r="AF378" i="20"/>
  <c r="AF357" i="20"/>
  <c r="AF406" i="20"/>
  <c r="AF433" i="20"/>
  <c r="AF567" i="20"/>
  <c r="X79" i="20"/>
  <c r="AB71" i="20"/>
  <c r="W77" i="20"/>
  <c r="AJ79" i="20"/>
  <c r="AI49" i="20"/>
  <c r="AA55" i="20"/>
  <c r="AF271" i="20"/>
  <c r="AF228" i="20"/>
  <c r="AF205" i="20"/>
  <c r="AF247" i="20"/>
  <c r="AF544" i="20"/>
  <c r="AF660" i="20"/>
  <c r="AF687" i="20"/>
  <c r="AF690" i="20"/>
  <c r="AF679" i="20"/>
  <c r="AF366" i="20"/>
  <c r="AF300" i="20"/>
  <c r="AF624" i="20"/>
  <c r="AF571" i="20"/>
  <c r="AF290" i="20"/>
  <c r="AF334" i="20"/>
  <c r="AF427" i="20"/>
  <c r="AF453" i="20"/>
  <c r="AF381" i="20"/>
  <c r="AF454" i="20"/>
  <c r="AF432" i="20"/>
  <c r="AF653" i="20"/>
  <c r="AF419" i="20"/>
  <c r="AF650" i="20"/>
  <c r="AF655" i="20"/>
  <c r="AF372" i="20"/>
  <c r="AF457" i="20"/>
  <c r="AF705" i="20"/>
  <c r="AF466" i="20"/>
  <c r="AF394" i="20"/>
  <c r="AF648" i="20"/>
  <c r="AF410" i="20"/>
  <c r="AF352" i="20"/>
  <c r="AF430" i="20"/>
  <c r="AF644" i="20"/>
  <c r="AF649" i="20"/>
  <c r="AF329" i="20"/>
  <c r="AF407" i="20"/>
  <c r="AF408" i="20"/>
  <c r="AF393" i="20"/>
  <c r="AF371" i="20"/>
  <c r="AF365" i="20"/>
  <c r="AF651" i="20"/>
  <c r="AF708" i="20"/>
  <c r="AF710" i="20"/>
  <c r="AF319" i="20"/>
  <c r="AF331" i="20"/>
  <c r="AF413" i="20"/>
  <c r="AF395" i="20"/>
  <c r="AF435" i="20"/>
  <c r="AF565" i="20"/>
  <c r="AF452" i="20"/>
  <c r="AF829" i="20"/>
  <c r="AF840" i="20"/>
  <c r="AF851" i="20"/>
  <c r="AF857" i="20"/>
  <c r="AF859" i="20"/>
  <c r="AF894" i="20"/>
  <c r="AF498" i="20"/>
  <c r="AF260" i="20"/>
  <c r="AF461" i="20"/>
  <c r="AF744" i="20"/>
  <c r="AF93" i="20"/>
  <c r="AF553" i="20"/>
  <c r="AF588" i="20"/>
  <c r="AF505" i="20"/>
  <c r="AF546" i="20"/>
  <c r="AF619" i="20"/>
  <c r="AF510" i="20"/>
  <c r="AF818" i="20"/>
  <c r="AF878" i="20"/>
  <c r="AF89" i="20"/>
  <c r="AF94" i="20"/>
  <c r="AF88" i="20"/>
  <c r="AF104" i="20"/>
  <c r="AF106" i="20"/>
  <c r="AF102" i="20"/>
  <c r="AF450" i="20"/>
  <c r="AF484" i="20"/>
  <c r="AF495" i="20"/>
  <c r="AF549" i="20"/>
  <c r="AF555" i="20"/>
  <c r="AF559" i="20"/>
  <c r="AF583" i="20"/>
  <c r="AF598" i="20"/>
  <c r="AF600" i="20"/>
  <c r="AF860" i="20"/>
  <c r="AF862" i="20"/>
  <c r="AF215" i="20"/>
  <c r="AF513" i="20"/>
  <c r="AF572" i="20"/>
  <c r="AF628" i="20"/>
  <c r="AF721" i="20"/>
  <c r="AF239" i="20"/>
  <c r="AF429" i="20"/>
  <c r="AF701" i="20"/>
  <c r="AF713" i="20"/>
  <c r="AF101" i="20"/>
  <c r="AF95" i="20"/>
  <c r="AF534" i="20"/>
  <c r="AF557" i="20"/>
  <c r="AF591" i="20"/>
  <c r="AF714" i="20"/>
  <c r="AF731" i="20"/>
  <c r="AF838" i="20"/>
  <c r="AF606" i="20"/>
  <c r="AF46" i="20"/>
  <c r="AF486" i="20"/>
  <c r="AF798" i="20"/>
  <c r="AF884" i="20"/>
  <c r="AF241" i="20"/>
  <c r="AF504" i="20"/>
  <c r="AF719" i="20"/>
  <c r="AF745" i="20"/>
  <c r="AF793" i="20"/>
  <c r="AF167" i="20"/>
  <c r="AF176" i="20"/>
  <c r="AF297" i="20"/>
  <c r="AF465" i="20"/>
  <c r="AF489" i="20"/>
  <c r="AF517" i="20"/>
  <c r="AF525" i="20"/>
  <c r="AF605" i="20"/>
  <c r="AF729" i="20"/>
  <c r="AF743" i="20"/>
  <c r="AF754" i="20"/>
  <c r="AF774" i="20"/>
  <c r="AF796" i="20"/>
  <c r="AF828" i="20"/>
  <c r="AF849" i="20"/>
  <c r="AF748" i="20"/>
  <c r="AF219" i="20"/>
  <c r="AF515" i="20"/>
  <c r="AF604" i="20"/>
  <c r="AF769" i="20"/>
  <c r="AF801" i="20"/>
  <c r="AF826" i="20"/>
  <c r="AF854" i="20"/>
  <c r="AF706" i="20"/>
  <c r="AF751" i="20"/>
  <c r="AF776" i="20"/>
  <c r="AF778" i="20"/>
  <c r="AF900" i="20"/>
  <c r="AF75" i="20"/>
  <c r="AF483" i="20"/>
  <c r="AF500" i="20"/>
  <c r="AF611" i="20"/>
  <c r="AF865" i="20"/>
  <c r="AF78" i="20"/>
  <c r="AF243" i="20"/>
  <c r="AF258" i="20"/>
  <c r="AF318" i="20"/>
  <c r="AF448" i="20"/>
  <c r="AF518" i="20"/>
  <c r="AF547" i="20"/>
  <c r="AF728" i="20"/>
  <c r="AF789" i="20"/>
  <c r="AF797" i="20"/>
  <c r="AF802" i="20"/>
  <c r="AF816" i="20"/>
  <c r="AF830" i="20"/>
  <c r="AF842" i="20"/>
  <c r="AF845" i="20"/>
  <c r="AF886" i="20"/>
  <c r="AF304" i="20"/>
  <c r="AF373" i="20"/>
  <c r="AI80" i="20"/>
  <c r="W49" i="20"/>
  <c r="AB52" i="20"/>
  <c r="AH57" i="20"/>
  <c r="AF235" i="20"/>
  <c r="AF223" i="20"/>
  <c r="AF255" i="20"/>
  <c r="AF232" i="20"/>
  <c r="AF537" i="20"/>
  <c r="AF664" i="20"/>
  <c r="AF689" i="20"/>
  <c r="AF309" i="20"/>
  <c r="AF676" i="20"/>
  <c r="AF420" i="20"/>
  <c r="AF375" i="20"/>
  <c r="AF626" i="20"/>
  <c r="AF616" i="20"/>
  <c r="AF614" i="20"/>
  <c r="AF338" i="20"/>
  <c r="AF383" i="20"/>
  <c r="AF412" i="20"/>
  <c r="AF707" i="20"/>
  <c r="AF401" i="20"/>
  <c r="AF374" i="20"/>
  <c r="AF364" i="20"/>
  <c r="AF396" i="20"/>
  <c r="AF460" i="20"/>
  <c r="AA77" i="20"/>
  <c r="AF71" i="20"/>
  <c r="AJ55" i="20"/>
  <c r="AF233" i="20"/>
  <c r="AF248" i="20"/>
  <c r="AF540" i="20"/>
  <c r="AF340" i="20"/>
  <c r="AF397" i="20"/>
  <c r="AF477" i="20"/>
  <c r="AF618" i="20"/>
  <c r="AF333" i="20"/>
  <c r="AF656" i="20"/>
  <c r="AF566" i="20"/>
  <c r="AF345" i="20"/>
  <c r="AF646" i="20"/>
  <c r="AF320" i="20"/>
  <c r="AF645" i="20"/>
  <c r="AF376" i="20"/>
  <c r="AF654" i="20"/>
  <c r="AF414" i="20"/>
  <c r="AF179" i="20"/>
  <c r="AF856" i="20"/>
  <c r="AF608" i="20"/>
  <c r="AF512" i="20"/>
  <c r="AF568" i="20"/>
  <c r="AF503" i="20"/>
  <c r="AF97" i="20"/>
  <c r="AF469" i="20"/>
  <c r="AF558" i="20"/>
  <c r="AF863" i="20"/>
  <c r="AF530" i="20"/>
  <c r="AF278" i="20"/>
  <c r="AF107" i="20"/>
  <c r="AF700" i="20"/>
  <c r="AF756" i="20"/>
  <c r="AF125" i="20"/>
  <c r="AF747" i="20"/>
  <c r="AF402" i="20"/>
  <c r="AF528" i="20"/>
  <c r="AF765" i="20"/>
  <c r="AF895" i="20"/>
  <c r="AF716" i="20"/>
  <c r="AF511" i="20"/>
  <c r="AF813" i="20"/>
  <c r="AF609" i="20"/>
  <c r="AF244" i="20"/>
  <c r="AF527" i="20"/>
  <c r="AF800" i="20"/>
  <c r="AF843" i="20"/>
  <c r="AF360" i="20"/>
  <c r="AF473" i="20"/>
  <c r="AF726" i="20"/>
  <c r="AF735" i="20"/>
  <c r="AF741" i="20"/>
  <c r="AF771" i="20"/>
  <c r="AF807" i="20"/>
  <c r="AF834" i="20"/>
  <c r="AF836" i="20"/>
  <c r="AF904" i="20"/>
  <c r="AF425" i="20"/>
  <c r="AF455" i="20"/>
  <c r="AF496" i="20"/>
  <c r="AF607" i="20"/>
  <c r="AF292" i="20"/>
  <c r="AF506" i="20"/>
  <c r="AF723" i="20"/>
  <c r="AF739" i="20"/>
  <c r="AF762" i="20"/>
  <c r="AF795" i="20"/>
  <c r="AF827" i="20"/>
  <c r="AF846" i="20"/>
  <c r="AF889" i="20"/>
  <c r="AF908" i="20"/>
  <c r="AF178" i="20"/>
  <c r="AF343" i="20"/>
  <c r="AF348" i="20"/>
  <c r="AF444" i="20"/>
  <c r="AF481" i="20"/>
  <c r="AF563" i="20"/>
  <c r="AF698" i="20"/>
  <c r="AF696" i="20"/>
  <c r="AF704" i="20"/>
  <c r="AF732" i="20"/>
  <c r="AF738" i="20"/>
  <c r="AF777" i="20"/>
  <c r="AF786" i="20"/>
  <c r="AC43" i="20"/>
  <c r="AF227" i="20"/>
  <c r="AF229" i="20"/>
  <c r="AF542" i="20"/>
  <c r="AF349" i="20"/>
  <c r="AF613" i="20"/>
  <c r="AF574" i="20"/>
  <c r="AF647" i="20"/>
  <c r="AF569" i="20"/>
  <c r="AF415" i="20"/>
  <c r="AF652" i="20"/>
  <c r="AF441" i="20"/>
  <c r="AF330" i="20"/>
  <c r="AF416" i="20"/>
  <c r="AF434" i="20"/>
  <c r="AF839" i="20"/>
  <c r="AF858" i="20"/>
  <c r="AF509" i="20"/>
  <c r="AF724" i="20"/>
  <c r="AF98" i="20"/>
  <c r="AF550" i="20"/>
  <c r="AF580" i="20"/>
  <c r="AF861" i="20"/>
  <c r="AF864" i="20"/>
  <c r="AF536" i="20"/>
  <c r="AF730" i="20"/>
  <c r="AF722" i="20"/>
  <c r="AF168" i="20"/>
  <c r="AF476" i="20"/>
  <c r="AF837" i="20"/>
  <c r="AF262" i="20"/>
  <c r="AF787" i="20"/>
  <c r="AF499" i="20"/>
  <c r="AF876" i="20"/>
  <c r="AF263" i="20"/>
  <c r="AF841" i="20"/>
  <c r="AF218" i="20"/>
  <c r="AF740" i="20"/>
  <c r="AF835" i="20"/>
  <c r="AF479" i="20"/>
  <c r="AF516" i="20"/>
  <c r="AF805" i="20"/>
  <c r="AF914" i="20"/>
  <c r="AF411" i="20"/>
  <c r="AF699" i="20"/>
  <c r="AF749" i="20"/>
  <c r="AF808" i="20"/>
  <c r="AF812" i="20"/>
  <c r="AF820" i="20"/>
  <c r="AF832" i="20"/>
  <c r="AF847" i="20"/>
  <c r="AF870" i="20"/>
  <c r="AF879" i="20"/>
  <c r="AF888" i="20"/>
  <c r="AF893" i="20"/>
  <c r="AF898" i="20"/>
  <c r="AF909" i="20"/>
  <c r="AF913" i="20"/>
  <c r="AF47" i="20"/>
  <c r="AF87" i="20"/>
  <c r="AF185" i="20"/>
  <c r="AF187" i="20"/>
  <c r="AF245" i="20"/>
  <c r="AF264" i="20"/>
  <c r="AF346" i="20"/>
  <c r="AF487" i="20"/>
  <c r="AF488" i="20"/>
  <c r="AF514" i="20"/>
  <c r="AF760" i="20"/>
  <c r="AF759" i="20"/>
  <c r="AF783" i="20"/>
  <c r="AF784" i="20"/>
  <c r="AF794" i="20"/>
  <c r="AF809" i="20"/>
  <c r="AF824" i="20"/>
  <c r="AF881" i="20"/>
  <c r="AF883" i="20"/>
  <c r="AF907" i="20"/>
  <c r="AF911" i="20"/>
  <c r="AF910" i="20"/>
  <c r="AF779" i="20"/>
  <c r="AF891" i="20"/>
  <c r="AF74" i="20"/>
  <c r="AF126" i="20"/>
  <c r="AF182" i="20"/>
  <c r="AF189" i="20"/>
  <c r="AF192" i="20"/>
  <c r="AF203" i="20"/>
  <c r="AF220" i="20"/>
  <c r="AF259" i="20"/>
  <c r="AF327" i="20"/>
  <c r="AF439" i="20"/>
  <c r="AF445" i="20"/>
  <c r="AF491" i="20"/>
  <c r="AF502" i="20"/>
  <c r="AF521" i="20"/>
  <c r="AF523" i="20"/>
  <c r="AF526" i="20"/>
  <c r="AF556" i="20"/>
  <c r="AF552" i="20"/>
  <c r="AF561" i="20"/>
  <c r="AF576" i="20"/>
  <c r="AF590" i="20"/>
  <c r="AF582" i="20"/>
  <c r="AF585" i="20"/>
  <c r="AF592" i="20"/>
  <c r="AF593" i="20"/>
  <c r="AF596" i="20"/>
  <c r="AF599" i="20"/>
  <c r="AF715" i="20"/>
  <c r="AF720" i="20"/>
  <c r="AF746" i="20"/>
  <c r="AF757" i="20"/>
  <c r="AF767" i="20"/>
  <c r="AF788" i="20"/>
  <c r="AF810" i="20"/>
  <c r="AF867" i="20"/>
  <c r="AF869" i="20"/>
  <c r="AF874" i="20"/>
  <c r="AF899" i="20"/>
  <c r="AF633" i="20"/>
  <c r="AF631" i="20"/>
  <c r="AF635" i="20"/>
  <c r="AF642" i="20"/>
  <c r="AF637" i="20"/>
  <c r="AF638" i="20"/>
  <c r="AF640" i="20"/>
  <c r="AE253" i="20"/>
  <c r="AC257" i="20"/>
  <c r="AB250" i="20"/>
  <c r="AA253" i="20"/>
  <c r="AJ282" i="20"/>
  <c r="AJ537" i="20"/>
  <c r="AJ850" i="20"/>
  <c r="AJ858" i="20"/>
  <c r="AJ257" i="20"/>
  <c r="AJ608" i="20"/>
  <c r="AJ391" i="20"/>
  <c r="AJ477" i="20"/>
  <c r="AJ103" i="20"/>
  <c r="AJ538" i="20"/>
  <c r="AJ683" i="20"/>
  <c r="AJ383" i="20"/>
  <c r="AJ568" i="20"/>
  <c r="AJ822" i="20"/>
  <c r="AJ620" i="20"/>
  <c r="AJ871" i="20"/>
  <c r="AJ397" i="20"/>
  <c r="AJ94" i="20"/>
  <c r="AJ104" i="20"/>
  <c r="AJ102" i="20"/>
  <c r="AJ392" i="20"/>
  <c r="AJ469" i="20"/>
  <c r="AJ495" i="20"/>
  <c r="AJ550" i="20"/>
  <c r="AJ551" i="20"/>
  <c r="AJ594" i="20"/>
  <c r="AJ627" i="20"/>
  <c r="AJ663" i="20"/>
  <c r="AJ680" i="20"/>
  <c r="AJ863" i="20"/>
  <c r="AJ529" i="20"/>
  <c r="AJ603" i="20"/>
  <c r="AJ82" i="20"/>
  <c r="AJ429" i="20"/>
  <c r="AJ712" i="20"/>
  <c r="AJ107" i="20"/>
  <c r="AJ284" i="20"/>
  <c r="AJ400" i="20"/>
  <c r="AF257" i="20"/>
  <c r="AF267" i="20"/>
  <c r="AF684" i="20"/>
  <c r="AF673" i="20"/>
  <c r="AF389" i="20"/>
  <c r="AF474" i="20"/>
  <c r="AF409" i="20"/>
  <c r="AF390" i="20"/>
  <c r="AF326" i="20"/>
  <c r="AF382" i="20"/>
  <c r="AF709" i="20"/>
  <c r="AF253" i="20"/>
  <c r="AF471" i="20"/>
  <c r="AF587" i="20"/>
  <c r="AF440" i="20"/>
  <c r="AF533" i="20"/>
  <c r="AF594" i="20"/>
  <c r="AF128" i="20"/>
  <c r="AF766" i="20"/>
  <c r="AF183" i="20"/>
  <c r="AF519" i="20"/>
  <c r="AF736" i="20"/>
  <c r="AF775" i="20"/>
  <c r="AF773" i="20"/>
  <c r="AF480" i="20"/>
  <c r="AF180" i="20"/>
  <c r="AF875" i="20"/>
  <c r="AF621" i="20"/>
  <c r="AF770" i="20"/>
  <c r="AF362" i="20"/>
  <c r="AF750" i="20"/>
  <c r="AF833" i="20"/>
  <c r="AF617" i="20"/>
  <c r="AF711" i="20"/>
  <c r="AF764" i="20"/>
  <c r="AF831" i="20"/>
  <c r="AF882" i="20"/>
  <c r="AF905" i="20"/>
  <c r="AF186" i="20"/>
  <c r="AF428" i="20"/>
  <c r="AF761" i="20"/>
  <c r="AF803" i="20"/>
  <c r="AF896" i="20"/>
  <c r="AF780" i="20"/>
  <c r="AF188" i="20"/>
  <c r="AF242" i="20"/>
  <c r="AF467" i="20"/>
  <c r="AF524" i="20"/>
  <c r="AF579" i="20"/>
  <c r="AF584" i="20"/>
  <c r="AF612" i="20"/>
  <c r="AF772" i="20"/>
  <c r="AF866" i="20"/>
  <c r="AF634" i="20"/>
  <c r="AF630" i="20"/>
  <c r="AD257" i="20"/>
  <c r="AC253" i="20"/>
  <c r="AA250" i="20"/>
  <c r="AJ179" i="20"/>
  <c r="AJ839" i="20"/>
  <c r="AJ857" i="20"/>
  <c r="AJ250" i="20"/>
  <c r="AJ275" i="20"/>
  <c r="AJ471" i="20"/>
  <c r="AJ93" i="20"/>
  <c r="AJ587" i="20"/>
  <c r="AJ322" i="20"/>
  <c r="AJ619" i="20"/>
  <c r="AJ510" i="20"/>
  <c r="AJ818" i="20"/>
  <c r="AJ427" i="20"/>
  <c r="AJ89" i="20"/>
  <c r="AJ97" i="20"/>
  <c r="AJ271" i="20"/>
  <c r="AJ450" i="20"/>
  <c r="AJ492" i="20"/>
  <c r="AJ555" i="20"/>
  <c r="AJ580" i="20"/>
  <c r="AJ626" i="20"/>
  <c r="AJ664" i="20"/>
  <c r="AJ661" i="20"/>
  <c r="AJ862" i="20"/>
  <c r="AJ530" i="20"/>
  <c r="AJ703" i="20"/>
  <c r="AJ278" i="20"/>
  <c r="AJ713" i="20"/>
  <c r="AJ128" i="20"/>
  <c r="AJ418" i="20"/>
  <c r="AJ453" i="20"/>
  <c r="AJ557" i="20"/>
  <c r="AJ656" i="20"/>
  <c r="AJ700" i="20"/>
  <c r="AJ766" i="20"/>
  <c r="AJ756" i="20"/>
  <c r="AJ325" i="20"/>
  <c r="AJ562" i="20"/>
  <c r="AJ798" i="20"/>
  <c r="AJ224" i="20"/>
  <c r="AJ280" i="20"/>
  <c r="AJ328" i="20"/>
  <c r="AJ386" i="20"/>
  <c r="AJ631" i="20"/>
  <c r="AJ722" i="20"/>
  <c r="AJ127" i="20"/>
  <c r="AJ181" i="20"/>
  <c r="AJ339" i="20"/>
  <c r="AJ402" i="20"/>
  <c r="AJ464" i="20"/>
  <c r="AJ494" i="20"/>
  <c r="AJ528" i="20"/>
  <c r="AJ689" i="20"/>
  <c r="AJ743" i="20"/>
  <c r="AJ774" i="20"/>
  <c r="AJ828" i="20"/>
  <c r="AJ281" i="20"/>
  <c r="AJ748" i="20"/>
  <c r="AJ262" i="20"/>
  <c r="AJ387" i="20"/>
  <c r="AJ432" i="20"/>
  <c r="AJ531" i="20"/>
  <c r="AJ622" i="20"/>
  <c r="AJ769" i="20"/>
  <c r="AJ826" i="20"/>
  <c r="AJ230" i="20"/>
  <c r="AJ688" i="20"/>
  <c r="AJ753" i="20"/>
  <c r="AJ813" i="20"/>
  <c r="AJ236" i="20"/>
  <c r="AJ385" i="20"/>
  <c r="AJ422" i="20"/>
  <c r="AJ499" i="20"/>
  <c r="AJ635" i="20"/>
  <c r="AJ876" i="20"/>
  <c r="AJ243" i="20"/>
  <c r="AJ295" i="20"/>
  <c r="AJ307" i="20"/>
  <c r="AJ345" i="20"/>
  <c r="AJ354" i="20"/>
  <c r="AJ419" i="20"/>
  <c r="AJ406" i="20"/>
  <c r="AJ447" i="20"/>
  <c r="AJ482" i="20"/>
  <c r="AJ541" i="20"/>
  <c r="AJ642" i="20"/>
  <c r="AJ692" i="20"/>
  <c r="AJ789" i="20"/>
  <c r="AJ802" i="20"/>
  <c r="AJ830" i="20"/>
  <c r="AJ845" i="20"/>
  <c r="AJ196" i="20"/>
  <c r="AJ270" i="20"/>
  <c r="AJ336" i="20"/>
  <c r="AJ372" i="20"/>
  <c r="AJ360" i="20"/>
  <c r="AJ621" i="20"/>
  <c r="AJ675" i="20"/>
  <c r="AJ735" i="20"/>
  <c r="AJ771" i="20"/>
  <c r="AJ834" i="20"/>
  <c r="AJ904" i="20"/>
  <c r="AJ438" i="20"/>
  <c r="AJ496" i="20"/>
  <c r="AJ198" i="20"/>
  <c r="AJ292" i="20"/>
  <c r="AJ394" i="20"/>
  <c r="AJ516" i="20"/>
  <c r="AJ690" i="20"/>
  <c r="AJ750" i="20"/>
  <c r="AJ805" i="20"/>
  <c r="AJ877" i="20"/>
  <c r="AF678" i="20"/>
  <c r="AF458" i="20"/>
  <c r="AF392" i="20"/>
  <c r="AF418" i="20"/>
  <c r="AF386" i="20"/>
  <c r="AF385" i="20"/>
  <c r="AF361" i="20"/>
  <c r="AF403" i="20"/>
  <c r="AF363" i="20"/>
  <c r="AF490" i="20"/>
  <c r="AF887" i="20"/>
  <c r="AF423" i="20"/>
  <c r="AF90" i="20"/>
  <c r="AF91" i="20"/>
  <c r="AF492" i="20"/>
  <c r="AF82" i="20"/>
  <c r="AF712" i="20"/>
  <c r="AF589" i="20"/>
  <c r="AF127" i="20"/>
  <c r="AF494" i="20"/>
  <c r="AF717" i="20"/>
  <c r="AF853" i="20"/>
  <c r="AF753" i="20"/>
  <c r="AF915" i="20"/>
  <c r="AF792" i="20"/>
  <c r="AF821" i="20"/>
  <c r="AF308" i="20"/>
  <c r="AF475" i="20"/>
  <c r="AF438" i="20"/>
  <c r="AF610" i="20"/>
  <c r="AF733" i="20"/>
  <c r="AF344" i="20"/>
  <c r="AF535" i="20"/>
  <c r="AF702" i="20"/>
  <c r="AF817" i="20"/>
  <c r="AF872" i="20"/>
  <c r="AF903" i="20"/>
  <c r="AF184" i="20"/>
  <c r="AF265" i="20"/>
  <c r="AF697" i="20"/>
  <c r="AF790" i="20"/>
  <c r="AF885" i="20"/>
  <c r="AF507" i="20"/>
  <c r="AF175" i="20"/>
  <c r="AF208" i="20"/>
  <c r="AF442" i="20"/>
  <c r="AF522" i="20"/>
  <c r="AF560" i="20"/>
  <c r="AF581" i="20"/>
  <c r="AF601" i="20"/>
  <c r="AF752" i="20"/>
  <c r="AF848" i="20"/>
  <c r="AF632" i="20"/>
  <c r="AF636" i="20"/>
  <c r="AF200" i="20"/>
  <c r="AF449" i="20"/>
  <c r="AF447" i="20"/>
  <c r="AF337" i="20"/>
  <c r="AF405" i="20"/>
  <c r="AF384" i="20"/>
  <c r="AF359" i="20"/>
  <c r="AF341" i="20"/>
  <c r="AF350" i="20"/>
  <c r="AF321" i="20"/>
  <c r="AF436" i="20"/>
  <c r="AF850" i="20"/>
  <c r="AF822" i="20"/>
  <c r="AF92" i="20"/>
  <c r="AF105" i="20"/>
  <c r="AF493" i="20"/>
  <c r="AF703" i="20"/>
  <c r="AF602" i="20"/>
  <c r="AF819" i="20"/>
  <c r="AF575" i="20"/>
  <c r="AF181" i="20"/>
  <c r="AF177" i="20"/>
  <c r="AF825" i="20"/>
  <c r="AF742" i="20"/>
  <c r="AF482" i="20"/>
  <c r="AF758" i="20"/>
  <c r="AF815" i="20"/>
  <c r="AF823" i="20"/>
  <c r="AF342" i="20"/>
  <c r="AF497" i="20"/>
  <c r="AF902" i="20"/>
  <c r="AF313" i="20"/>
  <c r="AF451" i="20"/>
  <c r="AF811" i="20"/>
  <c r="AF855" i="20"/>
  <c r="AF897" i="20"/>
  <c r="AF45" i="20"/>
  <c r="AF261" i="20"/>
  <c r="AF508" i="20"/>
  <c r="AF781" i="20"/>
  <c r="AF880" i="20"/>
  <c r="AF912" i="20"/>
  <c r="AF96" i="20"/>
  <c r="AF193" i="20"/>
  <c r="AF426" i="20"/>
  <c r="AF520" i="20"/>
  <c r="AF554" i="20"/>
  <c r="AF586" i="20"/>
  <c r="AF595" i="20"/>
  <c r="AF727" i="20"/>
  <c r="AF799" i="20"/>
  <c r="AF890" i="20"/>
  <c r="AF643" i="20"/>
  <c r="AF629" i="20"/>
  <c r="AF272" i="20"/>
  <c r="AF478" i="20"/>
  <c r="AF871" i="20"/>
  <c r="AF868" i="20"/>
  <c r="AF725" i="20"/>
  <c r="AF734" i="20"/>
  <c r="AF48" i="20"/>
  <c r="AF814" i="20"/>
  <c r="AF288" i="20"/>
  <c r="AF597" i="20"/>
  <c r="AF639" i="20"/>
  <c r="AF195" i="20"/>
  <c r="AF377" i="20"/>
  <c r="AF217" i="20"/>
  <c r="AF551" i="20"/>
  <c r="AF577" i="20"/>
  <c r="AF355" i="20"/>
  <c r="AF81" i="20"/>
  <c r="AF791" i="20"/>
  <c r="AF216" i="20"/>
  <c r="AF906" i="20"/>
  <c r="AF501" i="20"/>
  <c r="AF718" i="20"/>
  <c r="AF641" i="20"/>
  <c r="AD250" i="20"/>
  <c r="AB253" i="20"/>
  <c r="Z253" i="20"/>
  <c r="AJ215" i="20"/>
  <c r="AJ840" i="20"/>
  <c r="AJ887" i="20"/>
  <c r="AJ260" i="20"/>
  <c r="AJ657" i="20"/>
  <c r="AJ512" i="20"/>
  <c r="AJ235" i="20"/>
  <c r="AJ632" i="20"/>
  <c r="AJ633" i="20"/>
  <c r="AJ370" i="20"/>
  <c r="AJ92" i="20"/>
  <c r="AJ106" i="20"/>
  <c r="AJ440" i="20"/>
  <c r="AJ533" i="20"/>
  <c r="AJ559" i="20"/>
  <c r="AJ625" i="20"/>
  <c r="AJ665" i="20"/>
  <c r="AJ860" i="20"/>
  <c r="AJ513" i="20"/>
  <c r="AJ721" i="20"/>
  <c r="AJ667" i="20"/>
  <c r="AJ95" i="20"/>
  <c r="AJ412" i="20"/>
  <c r="AJ534" i="20"/>
  <c r="AJ591" i="20"/>
  <c r="AJ714" i="20"/>
  <c r="AJ868" i="20"/>
  <c r="AJ233" i="20"/>
  <c r="AJ578" i="20"/>
  <c r="AJ884" i="20"/>
  <c r="AJ267" i="20"/>
  <c r="AJ381" i="20"/>
  <c r="AJ504" i="20"/>
  <c r="AJ719" i="20"/>
  <c r="AJ167" i="20"/>
  <c r="AJ213" i="20"/>
  <c r="AJ401" i="20"/>
  <c r="AJ465" i="20"/>
  <c r="AJ519" i="20"/>
  <c r="AJ694" i="20"/>
  <c r="AJ755" i="20"/>
  <c r="AJ796" i="20"/>
  <c r="AJ895" i="20"/>
  <c r="AJ177" i="20"/>
  <c r="AJ324" i="20"/>
  <c r="AJ431" i="20"/>
  <c r="AJ569" i="20"/>
  <c r="AJ687" i="20"/>
  <c r="AJ825" i="20"/>
  <c r="AJ240" i="20"/>
  <c r="AJ742" i="20"/>
  <c r="AJ778" i="20"/>
  <c r="AJ268" i="20"/>
  <c r="AJ367" i="20"/>
  <c r="AJ483" i="20"/>
  <c r="AJ653" i="20"/>
  <c r="AJ180" i="20"/>
  <c r="AJ263" i="20"/>
  <c r="AJ318" i="20"/>
  <c r="AJ415" i="20"/>
  <c r="AJ378" i="20"/>
  <c r="AJ424" i="20"/>
  <c r="AJ460" i="20"/>
  <c r="AJ540" i="20"/>
  <c r="AJ650" i="20"/>
  <c r="AJ728" i="20"/>
  <c r="AJ800" i="20"/>
  <c r="AJ841" i="20"/>
  <c r="AJ886" i="20"/>
  <c r="AJ269" i="20"/>
  <c r="AJ334" i="20"/>
  <c r="AJ358" i="20"/>
  <c r="AJ473" i="20"/>
  <c r="AJ705" i="20"/>
  <c r="AJ741" i="20"/>
  <c r="AJ823" i="20"/>
  <c r="AJ342" i="20"/>
  <c r="AJ466" i="20"/>
  <c r="AJ610" i="20"/>
  <c r="AJ309" i="20"/>
  <c r="AJ362" i="20"/>
  <c r="AJ648" i="20"/>
  <c r="AJ762" i="20"/>
  <c r="AJ833" i="20"/>
  <c r="AJ908" i="20"/>
  <c r="AJ178" i="20"/>
  <c r="AJ207" i="20"/>
  <c r="AJ248" i="20"/>
  <c r="AJ343" i="20"/>
  <c r="AJ411" i="20"/>
  <c r="AJ352" i="20"/>
  <c r="AJ444" i="20"/>
  <c r="AJ542" i="20"/>
  <c r="AJ617" i="20"/>
  <c r="AJ645" i="20"/>
  <c r="AJ699" i="20"/>
  <c r="AJ711" i="20"/>
  <c r="AJ749" i="20"/>
  <c r="AJ791" i="20"/>
  <c r="AJ817" i="20"/>
  <c r="AJ844" i="20"/>
  <c r="AJ872" i="20"/>
  <c r="AJ892" i="20"/>
  <c r="AJ903" i="20"/>
  <c r="AJ48" i="20"/>
  <c r="AJ184" i="20"/>
  <c r="AJ194" i="20"/>
  <c r="AJ212" i="20"/>
  <c r="AJ232" i="20"/>
  <c r="AJ261" i="20"/>
  <c r="AJ305" i="20"/>
  <c r="AJ346" i="20"/>
  <c r="AJ375" i="20"/>
  <c r="AJ371" i="20"/>
  <c r="AJ443" i="20"/>
  <c r="AJ508" i="20"/>
  <c r="AJ637" i="20"/>
  <c r="AJ654" i="20"/>
  <c r="AJ708" i="20"/>
  <c r="AJ761" i="20"/>
  <c r="AJ781" i="20"/>
  <c r="AJ803" i="20"/>
  <c r="AJ880" i="20"/>
  <c r="AJ896" i="20"/>
  <c r="AJ912" i="20"/>
  <c r="AJ779" i="20"/>
  <c r="AJ74" i="20"/>
  <c r="AJ182" i="20"/>
  <c r="AJ192" i="20"/>
  <c r="AJ208" i="20"/>
  <c r="AJ221" i="20"/>
  <c r="AJ274" i="20"/>
  <c r="AJ287" i="20"/>
  <c r="AJ294" i="20"/>
  <c r="AJ319" i="20"/>
  <c r="AJ414" i="20"/>
  <c r="AJ426" i="20"/>
  <c r="AJ439" i="20"/>
  <c r="AJ467" i="20"/>
  <c r="AJ520" i="20"/>
  <c r="AJ524" i="20"/>
  <c r="AJ556" i="20"/>
  <c r="AJ561" i="20"/>
  <c r="AJ573" i="20"/>
  <c r="AJ581" i="20"/>
  <c r="AJ597" i="20"/>
  <c r="AJ601" i="20"/>
  <c r="AJ641" i="20"/>
  <c r="AJ684" i="20"/>
  <c r="AJ672" i="20"/>
  <c r="AJ715" i="20"/>
  <c r="AJ746" i="20"/>
  <c r="AJ767" i="20"/>
  <c r="AJ810" i="20"/>
  <c r="AJ869" i="20"/>
  <c r="AJ899" i="20"/>
  <c r="AH530" i="20"/>
  <c r="AH537" i="20"/>
  <c r="AH850" i="20"/>
  <c r="AH858" i="20"/>
  <c r="AH257" i="20"/>
  <c r="H123" i="86" s="1"/>
  <c r="K123" i="86" s="1"/>
  <c r="AH608" i="20"/>
  <c r="AH391" i="20"/>
  <c r="AH477" i="20"/>
  <c r="AH103" i="20"/>
  <c r="AH538" i="20"/>
  <c r="AH683" i="20"/>
  <c r="AH383" i="20"/>
  <c r="AH568" i="20"/>
  <c r="AH822" i="20"/>
  <c r="AH620" i="20"/>
  <c r="AH871" i="20"/>
  <c r="AH397" i="20"/>
  <c r="AH94" i="20"/>
  <c r="AH104" i="20"/>
  <c r="AH102" i="20"/>
  <c r="AH392" i="20"/>
  <c r="AH469" i="20"/>
  <c r="AH495" i="20"/>
  <c r="AH550" i="20"/>
  <c r="AH551" i="20"/>
  <c r="AH594" i="20"/>
  <c r="AH627" i="20"/>
  <c r="AH663" i="20"/>
  <c r="AH680" i="20"/>
  <c r="AH863" i="20"/>
  <c r="AH545" i="20"/>
  <c r="AH703" i="20"/>
  <c r="AH277" i="20"/>
  <c r="AH667" i="20"/>
  <c r="AH864" i="20"/>
  <c r="AH128" i="20"/>
  <c r="AH417" i="20"/>
  <c r="AH380" i="20"/>
  <c r="AH534" i="20"/>
  <c r="AH589" i="20"/>
  <c r="AH695" i="20"/>
  <c r="AH730" i="20"/>
  <c r="AH868" i="20"/>
  <c r="AH183" i="20"/>
  <c r="AH368" i="20"/>
  <c r="AH634" i="20"/>
  <c r="AH884" i="20"/>
  <c r="AH246" i="20"/>
  <c r="AH291" i="20"/>
  <c r="AH420" i="20"/>
  <c r="AH504" i="20"/>
  <c r="AH670" i="20"/>
  <c r="AH747" i="20"/>
  <c r="AH168" i="20"/>
  <c r="AH213" i="20"/>
  <c r="AH379" i="20"/>
  <c r="AH446" i="20"/>
  <c r="AH476" i="20"/>
  <c r="AH519" i="20"/>
  <c r="AH605" i="20"/>
  <c r="AH729" i="20"/>
  <c r="AH754" i="20"/>
  <c r="AH796" i="20"/>
  <c r="AH849" i="20"/>
  <c r="AH315" i="20"/>
  <c r="AH219" i="20"/>
  <c r="AH324" i="20"/>
  <c r="AH374" i="20"/>
  <c r="AH463" i="20"/>
  <c r="AH577" i="20"/>
  <c r="AH687" i="20"/>
  <c r="AH801" i="20"/>
  <c r="AH854" i="20"/>
  <c r="AH511" i="20"/>
  <c r="AH742" i="20"/>
  <c r="AH773" i="20"/>
  <c r="AH915" i="20"/>
  <c r="AH290" i="20"/>
  <c r="AH367" i="20"/>
  <c r="AH480" i="20"/>
  <c r="AH609" i="20"/>
  <c r="AH785" i="20"/>
  <c r="AH180" i="20"/>
  <c r="AH258" i="20"/>
  <c r="AH302" i="20"/>
  <c r="AH332" i="20"/>
  <c r="AH415" i="20"/>
  <c r="AH396" i="20"/>
  <c r="AH389" i="20"/>
  <c r="AH433" i="20"/>
  <c r="AH460" i="20"/>
  <c r="AH527" i="20"/>
  <c r="AH567" i="20"/>
  <c r="AH652" i="20"/>
  <c r="AH728" i="20"/>
  <c r="AH797" i="20"/>
  <c r="AH816" i="20"/>
  <c r="AH842" i="20"/>
  <c r="AH886" i="20"/>
  <c r="AH227" i="20"/>
  <c r="AH304" i="20"/>
  <c r="AH335" i="20"/>
  <c r="AH358" i="20"/>
  <c r="AH475" i="20"/>
  <c r="AH681" i="20"/>
  <c r="AH726" i="20"/>
  <c r="AH741" i="20"/>
  <c r="AH807" i="20"/>
  <c r="AH836" i="20"/>
  <c r="AH356" i="20"/>
  <c r="AH466" i="20"/>
  <c r="AH607" i="20"/>
  <c r="AH234" i="20"/>
  <c r="AH310" i="20"/>
  <c r="AH362" i="20"/>
  <c r="AH623" i="20"/>
  <c r="AH733" i="20"/>
  <c r="AH782" i="20"/>
  <c r="AH833" i="20"/>
  <c r="AH902" i="20"/>
  <c r="AH81" i="20"/>
  <c r="AH206" i="20"/>
  <c r="AH251" i="20"/>
  <c r="AH320" i="20"/>
  <c r="AH410" i="20"/>
  <c r="AH351" i="20"/>
  <c r="AH441" i="20"/>
  <c r="AH535" i="20"/>
  <c r="AH615" i="20"/>
  <c r="AH644" i="20"/>
  <c r="AH698" i="20"/>
  <c r="AH704" i="20"/>
  <c r="AH738" i="20"/>
  <c r="AH786" i="20"/>
  <c r="AH812" i="20"/>
  <c r="AH832" i="20"/>
  <c r="AH870" i="20"/>
  <c r="AH888" i="20"/>
  <c r="AH898" i="20"/>
  <c r="AH913" i="20"/>
  <c r="AH87" i="20"/>
  <c r="AH187" i="20"/>
  <c r="AH199" i="20"/>
  <c r="AH226" i="20"/>
  <c r="AH247" i="20"/>
  <c r="AH299" i="20"/>
  <c r="AH330" i="20"/>
  <c r="AH408" i="20"/>
  <c r="AH416" i="20"/>
  <c r="AH428" i="20"/>
  <c r="AH488" i="20"/>
  <c r="AH574" i="20"/>
  <c r="AH651" i="20"/>
  <c r="AH697" i="20"/>
  <c r="AH760" i="20"/>
  <c r="AH783" i="20"/>
  <c r="AH794" i="20"/>
  <c r="AH824" i="20"/>
  <c r="AH883" i="20"/>
  <c r="AH911" i="20"/>
  <c r="AH507" i="20"/>
  <c r="AH901" i="20"/>
  <c r="AH175" i="20"/>
  <c r="AH191" i="20"/>
  <c r="AH203" i="20"/>
  <c r="AH220" i="20"/>
  <c r="AH259" i="20"/>
  <c r="H19" i="86" s="1"/>
  <c r="K19" i="86" s="1"/>
  <c r="AF250" i="20"/>
  <c r="AF657" i="20"/>
  <c r="AF356" i="20"/>
  <c r="AF312" i="20"/>
  <c r="AF103" i="20"/>
  <c r="AF246" i="20"/>
  <c r="AF804" i="20"/>
  <c r="AF785" i="20"/>
  <c r="AF852" i="20"/>
  <c r="AF877" i="20"/>
  <c r="AF737" i="20"/>
  <c r="AF844" i="20"/>
  <c r="AF485" i="20"/>
  <c r="AF901" i="20"/>
  <c r="AF532" i="20"/>
  <c r="AF768" i="20"/>
  <c r="AF755" i="20"/>
  <c r="AF892" i="20"/>
  <c r="AF873" i="20"/>
  <c r="AD253" i="20"/>
  <c r="Z257" i="20"/>
  <c r="AJ851" i="20"/>
  <c r="AJ253" i="20"/>
  <c r="AJ461" i="20"/>
  <c r="AJ553" i="20"/>
  <c r="AJ509" i="20"/>
  <c r="AJ544" i="20"/>
  <c r="AJ456" i="20"/>
  <c r="AJ88" i="20"/>
  <c r="AJ405" i="20"/>
  <c r="AJ539" i="20"/>
  <c r="AJ598" i="20"/>
  <c r="AJ659" i="20"/>
  <c r="AJ861" i="20"/>
  <c r="AJ572" i="20"/>
  <c r="AJ602" i="20"/>
  <c r="AJ266" i="20"/>
  <c r="AJ449" i="20"/>
  <c r="AJ589" i="20"/>
  <c r="AJ730" i="20"/>
  <c r="AJ46" i="20"/>
  <c r="AJ486" i="20"/>
  <c r="AJ125" i="20"/>
  <c r="AJ291" i="20"/>
  <c r="AJ470" i="20"/>
  <c r="AJ745" i="20"/>
  <c r="AJ176" i="20"/>
  <c r="AJ379" i="20"/>
  <c r="AJ476" i="20"/>
  <c r="AJ566" i="20"/>
  <c r="AJ736" i="20"/>
  <c r="AJ804" i="20"/>
  <c r="AJ315" i="20"/>
  <c r="AJ283" i="20"/>
  <c r="AJ459" i="20"/>
  <c r="AJ604" i="20"/>
  <c r="AJ801" i="20"/>
  <c r="AJ511" i="20"/>
  <c r="AJ776" i="20"/>
  <c r="AJ75" i="20"/>
  <c r="AJ364" i="20"/>
  <c r="AJ609" i="20"/>
  <c r="AJ78" i="20"/>
  <c r="AJ301" i="20"/>
  <c r="AJ340" i="20"/>
  <c r="AJ396" i="20"/>
  <c r="AJ433" i="20"/>
  <c r="AJ518" i="20"/>
  <c r="AJ643" i="20"/>
  <c r="AJ758" i="20"/>
  <c r="AJ816" i="20"/>
  <c r="AJ875" i="20"/>
  <c r="AJ296" i="20"/>
  <c r="AJ399" i="20"/>
  <c r="AJ475" i="20"/>
  <c r="AJ726" i="20"/>
  <c r="AJ806" i="20"/>
  <c r="AJ852" i="20"/>
  <c r="AJ479" i="20"/>
  <c r="AJ234" i="20"/>
  <c r="AJ361" i="20"/>
  <c r="AJ723" i="20"/>
  <c r="AJ795" i="20"/>
  <c r="AJ902" i="20"/>
  <c r="AJ204" i="20"/>
  <c r="AJ225" i="20"/>
  <c r="AJ320" i="20"/>
  <c r="AJ349" i="20"/>
  <c r="AJ430" i="20"/>
  <c r="AJ535" i="20"/>
  <c r="AJ618" i="20"/>
  <c r="AJ685" i="20"/>
  <c r="AJ704" i="20"/>
  <c r="AJ777" i="20"/>
  <c r="AJ811" i="20"/>
  <c r="AJ832" i="20"/>
  <c r="AJ879" i="20"/>
  <c r="AJ897" i="20"/>
  <c r="AJ913" i="20"/>
  <c r="AJ185" i="20"/>
  <c r="AJ201" i="20"/>
  <c r="AJ226" i="20"/>
  <c r="AJ264" i="20"/>
  <c r="AJ329" i="20"/>
  <c r="AJ408" i="20"/>
  <c r="AJ382" i="20"/>
  <c r="AJ485" i="20"/>
  <c r="AJ574" i="20"/>
  <c r="AJ666" i="20"/>
  <c r="AJ710" i="20"/>
  <c r="AJ783" i="20"/>
  <c r="AJ809" i="20"/>
  <c r="AJ885" i="20"/>
  <c r="AJ911" i="20"/>
  <c r="AJ780" i="20"/>
  <c r="AJ126" i="20"/>
  <c r="AJ191" i="20"/>
  <c r="AJ209" i="20"/>
  <c r="AJ242" i="20"/>
  <c r="AJ276" i="20"/>
  <c r="AJ303" i="20"/>
  <c r="AJ327" i="20"/>
  <c r="AJ395" i="20"/>
  <c r="AJ442" i="20"/>
  <c r="AJ501" i="20"/>
  <c r="AJ523" i="20"/>
  <c r="AJ554" i="20"/>
  <c r="AJ579" i="20"/>
  <c r="AJ582" i="20"/>
  <c r="AJ593" i="20"/>
  <c r="AJ612" i="20"/>
  <c r="AJ691" i="20"/>
  <c r="AJ676" i="20"/>
  <c r="AJ720" i="20"/>
  <c r="AJ772" i="20"/>
  <c r="AJ848" i="20"/>
  <c r="AJ874" i="20"/>
  <c r="AH529" i="20"/>
  <c r="AH829" i="20"/>
  <c r="AH856" i="20"/>
  <c r="AH894" i="20"/>
  <c r="AH260" i="20"/>
  <c r="AH461" i="20"/>
  <c r="AH298" i="20"/>
  <c r="L15" i="37" s="1"/>
  <c r="AH553" i="20"/>
  <c r="AH235" i="20"/>
  <c r="AH546" i="20"/>
  <c r="AH238" i="20"/>
  <c r="AH724" i="20"/>
  <c r="AH370" i="20"/>
  <c r="AH98" i="20"/>
  <c r="AH88" i="20"/>
  <c r="AH91" i="20"/>
  <c r="AH440" i="20"/>
  <c r="AH484" i="20"/>
  <c r="AH549" i="20"/>
  <c r="AH583" i="20"/>
  <c r="AH625" i="20"/>
  <c r="AH659" i="20"/>
  <c r="AH658" i="20"/>
  <c r="AH861" i="20"/>
  <c r="AH513" i="20"/>
  <c r="AH721" i="20"/>
  <c r="AH429" i="20"/>
  <c r="AH713" i="20"/>
  <c r="AH266" i="20"/>
  <c r="AH400" i="20"/>
  <c r="AH462" i="20"/>
  <c r="AH591" i="20"/>
  <c r="AH700" i="20"/>
  <c r="AH838" i="20"/>
  <c r="AH233" i="20"/>
  <c r="AH562" i="20"/>
  <c r="AH819" i="20"/>
  <c r="AH267" i="20"/>
  <c r="AH328" i="20"/>
  <c r="AH470" i="20"/>
  <c r="AH719" i="20"/>
  <c r="AH127" i="20"/>
  <c r="AH211" i="20"/>
  <c r="AH401" i="20"/>
  <c r="AH464" i="20"/>
  <c r="AH517" i="20"/>
  <c r="AH694" i="20"/>
  <c r="AH743" i="20"/>
  <c r="AH775" i="20"/>
  <c r="AH895" i="20"/>
  <c r="AH748" i="20"/>
  <c r="AH283" i="20"/>
  <c r="AH431" i="20"/>
  <c r="AH531" i="20"/>
  <c r="AH639" i="20"/>
  <c r="AH825" i="20"/>
  <c r="AH230" i="20"/>
  <c r="AH706" i="20"/>
  <c r="AH778" i="20"/>
  <c r="AH236" i="20"/>
  <c r="AH366" i="20"/>
  <c r="AH483" i="20"/>
  <c r="AH635" i="20"/>
  <c r="AH78" i="20"/>
  <c r="AH263" i="20"/>
  <c r="AH307" i="20"/>
  <c r="AH347" i="20"/>
  <c r="AH378" i="20"/>
  <c r="AH406" i="20"/>
  <c r="AH448" i="20"/>
  <c r="AH540" i="20"/>
  <c r="AH642" i="20"/>
  <c r="AH725" i="20"/>
  <c r="AH800" i="20"/>
  <c r="AH830" i="20"/>
  <c r="AH875" i="20"/>
  <c r="AH269" i="20"/>
  <c r="H110" i="86" s="1"/>
  <c r="K110" i="86" s="1"/>
  <c r="AH336" i="20"/>
  <c r="AH373" i="20"/>
  <c r="AH473" i="20"/>
  <c r="AH675" i="20"/>
  <c r="AH740" i="20"/>
  <c r="AH823" i="20"/>
  <c r="AH904" i="20"/>
  <c r="AH455" i="20"/>
  <c r="AH610" i="20"/>
  <c r="H31" i="86" s="1"/>
  <c r="K31" i="86" s="1"/>
  <c r="AH292" i="20"/>
  <c r="AH361" i="20"/>
  <c r="AH648" i="20"/>
  <c r="AH750" i="20"/>
  <c r="AH827" i="20"/>
  <c r="AH908" i="20"/>
  <c r="AH204" i="20"/>
  <c r="AH225" i="20"/>
  <c r="AH343" i="20"/>
  <c r="AH349" i="20"/>
  <c r="AH430" i="20"/>
  <c r="AH542" i="20"/>
  <c r="AH618" i="20"/>
  <c r="AH685" i="20"/>
  <c r="AH711" i="20"/>
  <c r="AH777" i="20"/>
  <c r="AH811" i="20"/>
  <c r="AH844" i="20"/>
  <c r="AH879" i="20"/>
  <c r="AH897" i="20"/>
  <c r="AH48" i="20"/>
  <c r="AH185" i="20"/>
  <c r="AH201" i="20"/>
  <c r="AH232" i="20"/>
  <c r="AH264" i="20"/>
  <c r="AH329" i="20"/>
  <c r="AH375" i="20"/>
  <c r="AH382" i="20"/>
  <c r="AH485" i="20"/>
  <c r="AH637" i="20"/>
  <c r="AH666" i="20"/>
  <c r="AH710" i="20"/>
  <c r="AH781" i="20"/>
  <c r="AH809" i="20"/>
  <c r="AH885" i="20"/>
  <c r="AH912" i="20"/>
  <c r="AH780" i="20"/>
  <c r="AH126" i="20"/>
  <c r="AH192" i="20"/>
  <c r="AH209" i="20"/>
  <c r="H133" i="86" s="1"/>
  <c r="K133" i="86" s="1"/>
  <c r="AH242" i="20"/>
  <c r="AH276" i="20"/>
  <c r="AH288" i="20"/>
  <c r="AH317" i="20"/>
  <c r="AH331" i="20"/>
  <c r="AH395" i="20"/>
  <c r="AH434" i="20"/>
  <c r="AH458" i="20"/>
  <c r="AH502" i="20"/>
  <c r="AH523" i="20"/>
  <c r="AH548" i="20"/>
  <c r="AH560" i="20"/>
  <c r="AH576" i="20"/>
  <c r="AH582" i="20"/>
  <c r="AH592" i="20"/>
  <c r="AH596" i="20"/>
  <c r="AH614" i="20"/>
  <c r="AH691" i="20"/>
  <c r="AH673" i="20"/>
  <c r="AH679" i="20"/>
  <c r="AH727" i="20"/>
  <c r="AH772" i="20"/>
  <c r="AH799" i="20"/>
  <c r="AH866" i="20"/>
  <c r="AH890" i="20"/>
  <c r="AG529" i="20"/>
  <c r="AG490" i="20"/>
  <c r="AG840" i="20"/>
  <c r="AG857" i="20"/>
  <c r="AG894" i="20"/>
  <c r="AG498" i="20"/>
  <c r="AG333" i="20"/>
  <c r="AG471" i="20"/>
  <c r="AG298" i="20"/>
  <c r="K15" i="37" s="1"/>
  <c r="AG512" i="20"/>
  <c r="AG588" i="20"/>
  <c r="AG322" i="20"/>
  <c r="AG546" i="20"/>
  <c r="AG671" i="20"/>
  <c r="AG544" i="20"/>
  <c r="AG818" i="20"/>
  <c r="AG370" i="20"/>
  <c r="AG503" i="20"/>
  <c r="AG92" i="20"/>
  <c r="AG97" i="20"/>
  <c r="AG91" i="20"/>
  <c r="AG405" i="20"/>
  <c r="AG468" i="20"/>
  <c r="AG492" i="20"/>
  <c r="G41" i="86" s="1"/>
  <c r="J41" i="86" s="1"/>
  <c r="AG549" i="20"/>
  <c r="AG559" i="20"/>
  <c r="AG598" i="20"/>
  <c r="AG626" i="20"/>
  <c r="AG659" i="20"/>
  <c r="AG660" i="20"/>
  <c r="AG682" i="20"/>
  <c r="AG862" i="20"/>
  <c r="AG513" i="20"/>
  <c r="AG628" i="20"/>
  <c r="AG239" i="20"/>
  <c r="AG602" i="20"/>
  <c r="AG713" i="20"/>
  <c r="AG95" i="20"/>
  <c r="AG337" i="20"/>
  <c r="AG412" i="20"/>
  <c r="AG462" i="20"/>
  <c r="AG564" i="20"/>
  <c r="AG678" i="20"/>
  <c r="AG714" i="20"/>
  <c r="AG838" i="20"/>
  <c r="AG46" i="20"/>
  <c r="AG384" i="20"/>
  <c r="AG578" i="20"/>
  <c r="AG819" i="20"/>
  <c r="AG241" i="20"/>
  <c r="AG279" i="20"/>
  <c r="AG381" i="20"/>
  <c r="AG470" i="20"/>
  <c r="AG647" i="20"/>
  <c r="AG745" i="20"/>
  <c r="G83" i="86" s="1"/>
  <c r="AG167" i="20"/>
  <c r="AG211" i="20"/>
  <c r="AG338" i="20"/>
  <c r="AG398" i="20"/>
  <c r="AG465" i="20"/>
  <c r="AG517" i="20"/>
  <c r="AG566" i="20"/>
  <c r="AG717" i="20"/>
  <c r="AG755" i="20"/>
  <c r="AG775" i="20"/>
  <c r="AG837" i="20"/>
  <c r="AG316" i="20"/>
  <c r="AG177" i="20"/>
  <c r="AG283" i="20"/>
  <c r="AF443" i="20"/>
  <c r="AF562" i="20"/>
  <c r="AF782" i="20"/>
  <c r="AF763" i="20"/>
  <c r="AF424" i="20"/>
  <c r="AF399" i="20"/>
  <c r="AF603" i="20"/>
  <c r="AF806" i="20"/>
  <c r="AF191" i="20"/>
  <c r="AF573" i="20"/>
  <c r="AC250" i="20"/>
  <c r="AJ490" i="20"/>
  <c r="AJ894" i="20"/>
  <c r="AJ744" i="20"/>
  <c r="AJ217" i="20"/>
  <c r="AJ238" i="20"/>
  <c r="AJ503" i="20"/>
  <c r="AJ91" i="20"/>
  <c r="AJ484" i="20"/>
  <c r="AJ600" i="20"/>
  <c r="AJ658" i="20"/>
  <c r="AJ545" i="20"/>
  <c r="AJ701" i="20"/>
  <c r="AJ417" i="20"/>
  <c r="AJ564" i="20"/>
  <c r="AJ731" i="20"/>
  <c r="AJ384" i="20"/>
  <c r="AJ819" i="20"/>
  <c r="AJ314" i="20"/>
  <c r="AJ647" i="20"/>
  <c r="AJ168" i="20"/>
  <c r="AJ398" i="20"/>
  <c r="AJ517" i="20"/>
  <c r="AJ729" i="20"/>
  <c r="AJ837" i="20"/>
  <c r="AJ219" i="20"/>
  <c r="AJ374" i="20"/>
  <c r="AJ639" i="20"/>
  <c r="AJ854" i="20"/>
  <c r="AJ751" i="20"/>
  <c r="AJ290" i="20"/>
  <c r="AJ480" i="20"/>
  <c r="AJ865" i="20"/>
  <c r="AJ302" i="20"/>
  <c r="AJ353" i="20"/>
  <c r="AJ390" i="20"/>
  <c r="AJ527" i="20"/>
  <c r="AJ655" i="20"/>
  <c r="AJ815" i="20"/>
  <c r="AJ195" i="20"/>
  <c r="AJ308" i="20"/>
  <c r="AJ457" i="20"/>
  <c r="AJ734" i="20"/>
  <c r="AJ835" i="20"/>
  <c r="AJ455" i="20"/>
  <c r="AJ255" i="20"/>
  <c r="AJ616" i="20"/>
  <c r="AJ782" i="20"/>
  <c r="AJ914" i="20"/>
  <c r="AJ206" i="20"/>
  <c r="AJ313" i="20"/>
  <c r="AJ350" i="20"/>
  <c r="AJ451" i="20"/>
  <c r="AJ615" i="20"/>
  <c r="AJ698" i="20"/>
  <c r="AJ737" i="20"/>
  <c r="AJ808" i="20"/>
  <c r="AJ847" i="20"/>
  <c r="AJ888" i="20"/>
  <c r="AJ905" i="20"/>
  <c r="AJ186" i="20"/>
  <c r="AJ216" i="20"/>
  <c r="AJ247" i="20"/>
  <c r="AJ330" i="20"/>
  <c r="AJ393" i="20"/>
  <c r="AJ487" i="20"/>
  <c r="AJ630" i="20"/>
  <c r="AJ697" i="20"/>
  <c r="AJ763" i="20"/>
  <c r="AJ814" i="20"/>
  <c r="AJ907" i="20"/>
  <c r="AJ507" i="20"/>
  <c r="AJ175" i="20"/>
  <c r="AJ197" i="20"/>
  <c r="AJ229" i="20"/>
  <c r="AJ285" i="20"/>
  <c r="AJ317" i="20"/>
  <c r="AJ377" i="20"/>
  <c r="AJ445" i="20"/>
  <c r="AJ521" i="20"/>
  <c r="AJ548" i="20"/>
  <c r="AJ576" i="20"/>
  <c r="AJ584" i="20"/>
  <c r="AJ599" i="20"/>
  <c r="AJ677" i="20"/>
  <c r="AJ679" i="20"/>
  <c r="AJ757" i="20"/>
  <c r="AJ867" i="20"/>
  <c r="AH215" i="20"/>
  <c r="AH490" i="20"/>
  <c r="AH857" i="20"/>
  <c r="AH253" i="20"/>
  <c r="H118" i="86" s="1"/>
  <c r="K118" i="86" s="1"/>
  <c r="AH423" i="20"/>
  <c r="AH93" i="20"/>
  <c r="AH588" i="20"/>
  <c r="AH509" i="20"/>
  <c r="AH510" i="20"/>
  <c r="AH878" i="20"/>
  <c r="AH503" i="20"/>
  <c r="AH97" i="20"/>
  <c r="AH404" i="20"/>
  <c r="AH478" i="20"/>
  <c r="AH555" i="20"/>
  <c r="AH598" i="20"/>
  <c r="AH669" i="20"/>
  <c r="AH661" i="20"/>
  <c r="AH254" i="20"/>
  <c r="AH628" i="20"/>
  <c r="AH602" i="20"/>
  <c r="AH107" i="20"/>
  <c r="AH418" i="20"/>
  <c r="AH536" i="20"/>
  <c r="AH678" i="20"/>
  <c r="AH766" i="20"/>
  <c r="AH325" i="20"/>
  <c r="AH707" i="20"/>
  <c r="AH241" i="20"/>
  <c r="AH381" i="20"/>
  <c r="AH631" i="20"/>
  <c r="AH793" i="20"/>
  <c r="AH297" i="20"/>
  <c r="AH398" i="20"/>
  <c r="AH494" i="20"/>
  <c r="AH689" i="20"/>
  <c r="AH765" i="20"/>
  <c r="AH837" i="20"/>
  <c r="AH177" i="20"/>
  <c r="AH387" i="20"/>
  <c r="AH515" i="20"/>
  <c r="AH716" i="20"/>
  <c r="AH853" i="20"/>
  <c r="AH688" i="20"/>
  <c r="AH813" i="20"/>
  <c r="AH323" i="20"/>
  <c r="AH474" i="20"/>
  <c r="AH653" i="20"/>
  <c r="AH243" i="20"/>
  <c r="AH306" i="20"/>
  <c r="AH353" i="20"/>
  <c r="AH357" i="20"/>
  <c r="AH447" i="20"/>
  <c r="AH541" i="20"/>
  <c r="AH655" i="20"/>
  <c r="AH792" i="20"/>
  <c r="AH841" i="20"/>
  <c r="AH196" i="20"/>
  <c r="AH308" i="20"/>
  <c r="AH359" i="20"/>
  <c r="AH646" i="20"/>
  <c r="AH735" i="20"/>
  <c r="AH834" i="20"/>
  <c r="AH425" i="20"/>
  <c r="AH497" i="20"/>
  <c r="AH309" i="20"/>
  <c r="AH516" i="20"/>
  <c r="AH739" i="20"/>
  <c r="AH846" i="20"/>
  <c r="AH214" i="20"/>
  <c r="AH344" i="20"/>
  <c r="AH352" i="20"/>
  <c r="AH481" i="20"/>
  <c r="AH636" i="20"/>
  <c r="AH696" i="20"/>
  <c r="AH749" i="20"/>
  <c r="AH817" i="20"/>
  <c r="AH855" i="20"/>
  <c r="AH893" i="20"/>
  <c r="AH47" i="20"/>
  <c r="AH194" i="20"/>
  <c r="AH222" i="20"/>
  <c r="AH265" i="20"/>
  <c r="AH407" i="20"/>
  <c r="AH371" i="20"/>
  <c r="AH508" i="20"/>
  <c r="AH638" i="20"/>
  <c r="AH709" i="20"/>
  <c r="AH784" i="20"/>
  <c r="AH880" i="20"/>
  <c r="AH906" i="20"/>
  <c r="AH891" i="20"/>
  <c r="AH188" i="20"/>
  <c r="AH208" i="20"/>
  <c r="AH274" i="20"/>
  <c r="AH285" i="20"/>
  <c r="AH312" i="20"/>
  <c r="AH414" i="20"/>
  <c r="AH436" i="20"/>
  <c r="AH445" i="20"/>
  <c r="AH520" i="20"/>
  <c r="AH526" i="20"/>
  <c r="AH552" i="20"/>
  <c r="AH573" i="20"/>
  <c r="AH585" i="20"/>
  <c r="AH595" i="20"/>
  <c r="AH641" i="20"/>
  <c r="AH677" i="20"/>
  <c r="AH693" i="20"/>
  <c r="AH746" i="20"/>
  <c r="AH768" i="20"/>
  <c r="AH867" i="20"/>
  <c r="AH899" i="20"/>
  <c r="AG179" i="20"/>
  <c r="AG839" i="20"/>
  <c r="AG858" i="20"/>
  <c r="AG250" i="20"/>
  <c r="G119" i="86" s="1"/>
  <c r="J119" i="86" s="1"/>
  <c r="AG275" i="20"/>
  <c r="AG477" i="20"/>
  <c r="AG93" i="20"/>
  <c r="AG587" i="20"/>
  <c r="AG383" i="20"/>
  <c r="AG619" i="20"/>
  <c r="AG510" i="20"/>
  <c r="AG871" i="20"/>
  <c r="AG427" i="20"/>
  <c r="AG89" i="20"/>
  <c r="AG104" i="20"/>
  <c r="AG271" i="20"/>
  <c r="AG450" i="20"/>
  <c r="AG495" i="20"/>
  <c r="AG555" i="20"/>
  <c r="AG580" i="20"/>
  <c r="AG627" i="20"/>
  <c r="AG664" i="20"/>
  <c r="AG661" i="20"/>
  <c r="AG572" i="20"/>
  <c r="AG82" i="20"/>
  <c r="AG667" i="20"/>
  <c r="AG101" i="20"/>
  <c r="AG284" i="20"/>
  <c r="AG380" i="20"/>
  <c r="AG536" i="20"/>
  <c r="AG656" i="20"/>
  <c r="AG730" i="20"/>
  <c r="AG606" i="20"/>
  <c r="AG325" i="20"/>
  <c r="AG634" i="20"/>
  <c r="AG125" i="20"/>
  <c r="AG280" i="20"/>
  <c r="AG420" i="20"/>
  <c r="AG575" i="20"/>
  <c r="AG722" i="20"/>
  <c r="AG168" i="20"/>
  <c r="AG297" i="20"/>
  <c r="AG402" i="20"/>
  <c r="AG476" i="20"/>
  <c r="AG525" i="20"/>
  <c r="AG689" i="20"/>
  <c r="AG754" i="20"/>
  <c r="AG804" i="20"/>
  <c r="AG281" i="20"/>
  <c r="AG219" i="20"/>
  <c r="AG409" i="20"/>
  <c r="AG431" i="20"/>
  <c r="AG515" i="20"/>
  <c r="AG604" i="20"/>
  <c r="AG716" i="20"/>
  <c r="AG825" i="20"/>
  <c r="AG228" i="20"/>
  <c r="AG543" i="20"/>
  <c r="AG751" i="20"/>
  <c r="AG778" i="20"/>
  <c r="AG75" i="20"/>
  <c r="AG323" i="20"/>
  <c r="AG364" i="20"/>
  <c r="AG483" i="20"/>
  <c r="AG611" i="20"/>
  <c r="G45" i="86" s="1"/>
  <c r="J45" i="86" s="1"/>
  <c r="AG865" i="20"/>
  <c r="AG190" i="20"/>
  <c r="AG263" i="20"/>
  <c r="AG306" i="20"/>
  <c r="AG340" i="20"/>
  <c r="AG353" i="20"/>
  <c r="AG378" i="20"/>
  <c r="AG390" i="20"/>
  <c r="AG437" i="20"/>
  <c r="AG472" i="20"/>
  <c r="AG540" i="20"/>
  <c r="AG643" i="20"/>
  <c r="AG655" i="20"/>
  <c r="AG758" i="20"/>
  <c r="AG800" i="20"/>
  <c r="AG821" i="20"/>
  <c r="AG843" i="20"/>
  <c r="AG195" i="20"/>
  <c r="AG269" i="20"/>
  <c r="G110" i="86" s="1"/>
  <c r="J110" i="86" s="1"/>
  <c r="AG308" i="20"/>
  <c r="AG399" i="20"/>
  <c r="AG359" i="20"/>
  <c r="AG473" i="20"/>
  <c r="AG674" i="20"/>
  <c r="AG734" i="20"/>
  <c r="AG770" i="20"/>
  <c r="AG823" i="20"/>
  <c r="AG852" i="20"/>
  <c r="AG425" i="20"/>
  <c r="AG479" i="20"/>
  <c r="AG610" i="20"/>
  <c r="G31" i="86" s="1"/>
  <c r="AG255" i="20"/>
  <c r="AG341" i="20"/>
  <c r="AG506" i="20"/>
  <c r="AG648" i="20"/>
  <c r="AG739" i="20"/>
  <c r="AG795" i="20"/>
  <c r="AG846" i="20"/>
  <c r="AG908" i="20"/>
  <c r="AG178" i="20"/>
  <c r="AG207" i="20"/>
  <c r="AG248" i="20"/>
  <c r="AG343" i="20"/>
  <c r="AG411" i="20"/>
  <c r="AG352" i="20"/>
  <c r="AG444" i="20"/>
  <c r="AG542" i="20"/>
  <c r="AG617" i="20"/>
  <c r="AG645" i="20"/>
  <c r="AG699" i="20"/>
  <c r="AG711" i="20"/>
  <c r="AG749" i="20"/>
  <c r="AG791" i="20"/>
  <c r="AG817" i="20"/>
  <c r="AG844" i="20"/>
  <c r="AG872" i="20"/>
  <c r="AG892" i="20"/>
  <c r="AG903" i="20"/>
  <c r="AG48" i="20"/>
  <c r="AG184" i="20"/>
  <c r="AG194" i="20"/>
  <c r="AG212" i="20"/>
  <c r="AG232" i="20"/>
  <c r="AG261" i="20"/>
  <c r="AG305" i="20"/>
  <c r="AG346" i="20"/>
  <c r="AG375" i="20"/>
  <c r="AG371" i="20"/>
  <c r="AG443" i="20"/>
  <c r="AG508" i="20"/>
  <c r="AG637" i="20"/>
  <c r="AG654" i="20"/>
  <c r="AG708" i="20"/>
  <c r="AG761" i="20"/>
  <c r="AG781" i="20"/>
  <c r="AG803" i="20"/>
  <c r="AG880" i="20"/>
  <c r="AG896" i="20"/>
  <c r="AG912" i="20"/>
  <c r="AG779" i="20"/>
  <c r="AG74" i="20"/>
  <c r="AG182" i="20"/>
  <c r="AG192" i="20"/>
  <c r="AG208" i="20"/>
  <c r="AG221" i="20"/>
  <c r="G132" i="86" s="1"/>
  <c r="AG274" i="20"/>
  <c r="AG287" i="20"/>
  <c r="AG294" i="20"/>
  <c r="AG319" i="20"/>
  <c r="G26" i="86" s="1"/>
  <c r="J26" i="86" s="1"/>
  <c r="AG414" i="20"/>
  <c r="AG426" i="20"/>
  <c r="AG439" i="20"/>
  <c r="AG467" i="20"/>
  <c r="AG520" i="20"/>
  <c r="AG524" i="20"/>
  <c r="AG556" i="20"/>
  <c r="AG561" i="20"/>
  <c r="AG573" i="20"/>
  <c r="AG581" i="20"/>
  <c r="AG597" i="20"/>
  <c r="AG601" i="20"/>
  <c r="AG641" i="20"/>
  <c r="AG684" i="20"/>
  <c r="AG672" i="20"/>
  <c r="AG715" i="20"/>
  <c r="AG746" i="20"/>
  <c r="AG767" i="20"/>
  <c r="AG810" i="20"/>
  <c r="AG869" i="20"/>
  <c r="AG899" i="20"/>
  <c r="AD48" i="20"/>
  <c r="X47" i="20"/>
  <c r="AA47" i="20"/>
  <c r="AE47" i="20"/>
  <c r="Y45" i="20"/>
  <c r="AA46" i="20"/>
  <c r="X48" i="20"/>
  <c r="AC48" i="20"/>
  <c r="AA48" i="20"/>
  <c r="X45" i="20"/>
  <c r="AE257" i="20"/>
  <c r="AA257" i="20"/>
  <c r="AJ856" i="20"/>
  <c r="AJ333" i="20"/>
  <c r="AJ300" i="20"/>
  <c r="AJ546" i="20"/>
  <c r="AJ878" i="20"/>
  <c r="AJ90" i="20"/>
  <c r="AJ468" i="20"/>
  <c r="AJ558" i="20"/>
  <c r="AJ669" i="20"/>
  <c r="AJ254" i="20"/>
  <c r="AJ239" i="20"/>
  <c r="AJ101" i="20"/>
  <c r="AJ462" i="20"/>
  <c r="AJ695" i="20"/>
  <c r="AJ606" i="20"/>
  <c r="AJ634" i="20"/>
  <c r="AJ246" i="20"/>
  <c r="AJ421" i="20"/>
  <c r="AJ747" i="20"/>
  <c r="AJ297" i="20"/>
  <c r="AJ454" i="20"/>
  <c r="AJ605" i="20"/>
  <c r="AJ765" i="20"/>
  <c r="AJ316" i="20"/>
  <c r="AJ409" i="20"/>
  <c r="AJ515" i="20"/>
  <c r="AJ787" i="20"/>
  <c r="AJ543" i="20"/>
  <c r="AJ900" i="20"/>
  <c r="AJ366" i="20"/>
  <c r="AJ611" i="20"/>
  <c r="AJ244" i="20"/>
  <c r="AJ332" i="20"/>
  <c r="AJ357" i="20"/>
  <c r="AJ448" i="20"/>
  <c r="AJ567" i="20"/>
  <c r="AJ792" i="20"/>
  <c r="AJ842" i="20"/>
  <c r="AJ227" i="20"/>
  <c r="AJ373" i="20"/>
  <c r="AJ681" i="20"/>
  <c r="AJ770" i="20"/>
  <c r="AJ356" i="20"/>
  <c r="AJ607" i="20"/>
  <c r="AJ341" i="20"/>
  <c r="AJ733" i="20"/>
  <c r="AJ846" i="20"/>
  <c r="AJ81" i="20"/>
  <c r="AJ251" i="20"/>
  <c r="AJ348" i="20"/>
  <c r="AJ403" i="20"/>
  <c r="AJ563" i="20"/>
  <c r="AJ644" i="20"/>
  <c r="AJ702" i="20"/>
  <c r="AJ764" i="20"/>
  <c r="AJ820" i="20"/>
  <c r="AJ870" i="20"/>
  <c r="AJ898" i="20"/>
  <c r="AJ45" i="20"/>
  <c r="AJ200" i="20"/>
  <c r="AJ237" i="20"/>
  <c r="AJ299" i="20"/>
  <c r="AJ363" i="20"/>
  <c r="AJ365" i="20"/>
  <c r="AJ514" i="20"/>
  <c r="AJ651" i="20"/>
  <c r="AJ760" i="20"/>
  <c r="AJ790" i="20"/>
  <c r="AJ881" i="20"/>
  <c r="AJ910" i="20"/>
  <c r="AJ901" i="20"/>
  <c r="AJ189" i="20"/>
  <c r="AJ210" i="20"/>
  <c r="AJ272" i="20"/>
  <c r="AJ288" i="20"/>
  <c r="AJ331" i="20"/>
  <c r="AJ435" i="20"/>
  <c r="AJ491" i="20"/>
  <c r="AJ526" i="20"/>
  <c r="AJ560" i="20"/>
  <c r="AJ586" i="20"/>
  <c r="AJ595" i="20"/>
  <c r="AJ640" i="20"/>
  <c r="AB45" i="20"/>
  <c r="AI48" i="20"/>
  <c r="AI46" i="20"/>
  <c r="AC46" i="20"/>
  <c r="AB47" i="20"/>
  <c r="Z48" i="20"/>
  <c r="AG866" i="20"/>
  <c r="AG788" i="20"/>
  <c r="AG752" i="20"/>
  <c r="AG679" i="20"/>
  <c r="AG662" i="20"/>
  <c r="AG640" i="20"/>
  <c r="AG596" i="20"/>
  <c r="AG584" i="20"/>
  <c r="AG590" i="20"/>
  <c r="AG560" i="20"/>
  <c r="AG532" i="20"/>
  <c r="AG521" i="20"/>
  <c r="AG458" i="20"/>
  <c r="AG435" i="20"/>
  <c r="AG413" i="20"/>
  <c r="AG317" i="20"/>
  <c r="AG286" i="20"/>
  <c r="G7" i="86" s="1"/>
  <c r="J7" i="86" s="1"/>
  <c r="AG272" i="20"/>
  <c r="AG220" i="20"/>
  <c r="AG197" i="20"/>
  <c r="AG188" i="20"/>
  <c r="AG901" i="20"/>
  <c r="AG231" i="20"/>
  <c r="AG907" i="20"/>
  <c r="AG824" i="20"/>
  <c r="AG790" i="20"/>
  <c r="AG759" i="20"/>
  <c r="AG697" i="20"/>
  <c r="AG638" i="20"/>
  <c r="AG514" i="20"/>
  <c r="AG428" i="20"/>
  <c r="AG393" i="20"/>
  <c r="AG407" i="20"/>
  <c r="AG299" i="20"/>
  <c r="AG245" i="20"/>
  <c r="AG216" i="20"/>
  <c r="AG187" i="20"/>
  <c r="AG45" i="20"/>
  <c r="AG909" i="20"/>
  <c r="AG888" i="20"/>
  <c r="AG855" i="20"/>
  <c r="AG820" i="20"/>
  <c r="AG786" i="20"/>
  <c r="AG737" i="20"/>
  <c r="AG696" i="20"/>
  <c r="AG644" i="20"/>
  <c r="AG571" i="20"/>
  <c r="AG451" i="20"/>
  <c r="AG351" i="20"/>
  <c r="AG348" i="20"/>
  <c r="AG293" i="20"/>
  <c r="AG206" i="20"/>
  <c r="AG877" i="20"/>
  <c r="AG782" i="20"/>
  <c r="AG723" i="20"/>
  <c r="AG516" i="20"/>
  <c r="AG310" i="20"/>
  <c r="AG202" i="20"/>
  <c r="AG496" i="20"/>
  <c r="AG356" i="20"/>
  <c r="AG835" i="20"/>
  <c r="AG771" i="20"/>
  <c r="AG726" i="20"/>
  <c r="AG646" i="20"/>
  <c r="AG360" i="20"/>
  <c r="AG335" i="20"/>
  <c r="AG296" i="20"/>
  <c r="AG196" i="20"/>
  <c r="AG842" i="20"/>
  <c r="AG815" i="20"/>
  <c r="AG789" i="20"/>
  <c r="AG652" i="20"/>
  <c r="AG547" i="20"/>
  <c r="AG482" i="20"/>
  <c r="AG433" i="20"/>
  <c r="AG357" i="20"/>
  <c r="AG354" i="20"/>
  <c r="AG332" i="20"/>
  <c r="AG301" i="20"/>
  <c r="AG243" i="20"/>
  <c r="AG785" i="20"/>
  <c r="AG500" i="20"/>
  <c r="G52" i="86" s="1"/>
  <c r="AG422" i="20"/>
  <c r="AG290" i="20"/>
  <c r="AG900" i="20"/>
  <c r="AG753" i="20"/>
  <c r="AG511" i="20"/>
  <c r="AG853" i="20"/>
  <c r="AG769" i="20"/>
  <c r="AG577" i="20"/>
  <c r="AG459" i="20"/>
  <c r="AG387" i="20"/>
  <c r="AG748" i="20"/>
  <c r="AG849" i="20"/>
  <c r="AG765" i="20"/>
  <c r="AG694" i="20"/>
  <c r="AG494" i="20"/>
  <c r="AG446" i="20"/>
  <c r="AG213" i="20"/>
  <c r="AG793" i="20"/>
  <c r="AG631" i="20"/>
  <c r="AG328" i="20"/>
  <c r="AG246" i="20"/>
  <c r="AG707" i="20"/>
  <c r="AG233" i="20"/>
  <c r="AG766" i="20"/>
  <c r="AG695" i="20"/>
  <c r="AG534" i="20"/>
  <c r="AG418" i="20"/>
  <c r="AG107" i="20"/>
  <c r="AG429" i="20"/>
  <c r="AG703" i="20"/>
  <c r="AG254" i="20"/>
  <c r="AG658" i="20"/>
  <c r="AG669" i="20"/>
  <c r="AG594" i="20"/>
  <c r="AG550" i="20"/>
  <c r="AG478" i="20"/>
  <c r="AG404" i="20"/>
  <c r="AG88" i="20"/>
  <c r="AG878" i="20"/>
  <c r="AG238" i="20"/>
  <c r="AG509" i="20"/>
  <c r="AG683" i="20"/>
  <c r="AG103" i="20"/>
  <c r="AG423" i="20"/>
  <c r="AG253" i="20"/>
  <c r="G118" i="86" s="1"/>
  <c r="J118" i="86" s="1"/>
  <c r="AG856" i="20"/>
  <c r="AG537" i="20"/>
  <c r="AG215" i="20"/>
  <c r="AH848" i="20"/>
  <c r="AH757" i="20"/>
  <c r="AH715" i="20"/>
  <c r="AH684" i="20"/>
  <c r="AH599" i="20"/>
  <c r="AH584" i="20"/>
  <c r="AH579" i="20"/>
  <c r="AH556" i="20"/>
  <c r="AH521" i="20"/>
  <c r="AH442" i="20"/>
  <c r="AH377" i="20"/>
  <c r="AH319" i="20"/>
  <c r="H26" i="86" s="1"/>
  <c r="K26" i="86" s="1"/>
  <c r="AH287" i="20"/>
  <c r="AH221" i="20"/>
  <c r="H132" i="86" s="1"/>
  <c r="K132" i="86" s="1"/>
  <c r="AH189" i="20"/>
  <c r="AH779" i="20"/>
  <c r="AH896" i="20"/>
  <c r="AH790" i="20"/>
  <c r="AH708" i="20"/>
  <c r="AH570" i="20"/>
  <c r="AH365" i="20"/>
  <c r="AH346" i="20"/>
  <c r="AH245" i="20"/>
  <c r="AH200" i="20"/>
  <c r="AH905" i="20"/>
  <c r="AH882" i="20"/>
  <c r="AH820" i="20"/>
  <c r="AH737" i="20"/>
  <c r="AH649" i="20"/>
  <c r="AH563" i="20"/>
  <c r="AH350" i="20"/>
  <c r="AH293" i="20"/>
  <c r="AH178" i="20"/>
  <c r="AH805" i="20"/>
  <c r="AH690" i="20"/>
  <c r="AH341" i="20"/>
  <c r="AH496" i="20"/>
  <c r="AH852" i="20"/>
  <c r="AH770" i="20"/>
  <c r="AH621" i="20"/>
  <c r="AH399" i="20"/>
  <c r="AH218" i="20"/>
  <c r="AH821" i="20"/>
  <c r="AH758" i="20"/>
  <c r="AH547" i="20"/>
  <c r="AH437" i="20"/>
  <c r="AH355" i="20"/>
  <c r="AH318" i="20"/>
  <c r="AH190" i="20"/>
  <c r="AH500" i="20"/>
  <c r="H52" i="86" s="1"/>
  <c r="K52" i="86" s="1"/>
  <c r="AH385" i="20"/>
  <c r="AH776" i="20"/>
  <c r="AH240" i="20"/>
  <c r="AH769" i="20"/>
  <c r="AH459" i="20"/>
  <c r="AH262" i="20"/>
  <c r="AH281" i="20"/>
  <c r="AH755" i="20"/>
  <c r="AH528" i="20"/>
  <c r="AH454" i="20"/>
  <c r="AH181" i="20"/>
  <c r="AH722" i="20"/>
  <c r="AH421" i="20"/>
  <c r="AH224" i="20"/>
  <c r="AH486" i="20"/>
  <c r="AH606" i="20"/>
  <c r="AH656" i="20"/>
  <c r="AH449" i="20"/>
  <c r="AH95" i="20"/>
  <c r="AH278" i="20"/>
  <c r="AH572" i="20"/>
  <c r="AH682" i="20"/>
  <c r="AH624" i="20"/>
  <c r="AH559" i="20"/>
  <c r="AH492" i="20"/>
  <c r="H41" i="86" s="1"/>
  <c r="K41" i="86" s="1"/>
  <c r="AH271" i="20"/>
  <c r="AH92" i="20"/>
  <c r="AH369" i="20"/>
  <c r="AH671" i="20"/>
  <c r="AH322" i="20"/>
  <c r="AH300" i="20"/>
  <c r="AH333" i="20"/>
  <c r="AH887" i="20"/>
  <c r="AH839" i="20"/>
  <c r="AJ890" i="20"/>
  <c r="AJ788" i="20"/>
  <c r="AJ718" i="20"/>
  <c r="AJ629" i="20"/>
  <c r="AJ585" i="20"/>
  <c r="AJ532" i="20"/>
  <c r="AJ434" i="20"/>
  <c r="AJ312" i="20"/>
  <c r="AJ220" i="20"/>
  <c r="AJ96" i="20"/>
  <c r="AJ883" i="20"/>
  <c r="AJ759" i="20"/>
  <c r="AJ570" i="20"/>
  <c r="AJ376" i="20"/>
  <c r="AJ245" i="20"/>
  <c r="AJ87" i="20"/>
  <c r="AJ882" i="20"/>
  <c r="AJ786" i="20"/>
  <c r="AJ649" i="20"/>
  <c r="AJ441" i="20"/>
  <c r="AJ293" i="20"/>
  <c r="AJ889" i="20"/>
  <c r="AJ506" i="20"/>
  <c r="AJ425" i="20"/>
  <c r="AJ674" i="20"/>
  <c r="AJ304" i="20"/>
  <c r="AJ797" i="20"/>
  <c r="AJ472" i="20"/>
  <c r="AJ347" i="20"/>
  <c r="AJ785" i="20"/>
  <c r="AJ915" i="20"/>
  <c r="AJ853" i="20"/>
  <c r="AJ388" i="20"/>
  <c r="AJ775" i="20"/>
  <c r="AJ489" i="20"/>
  <c r="AJ793" i="20"/>
  <c r="AJ279" i="20"/>
  <c r="AJ183" i="20"/>
  <c r="AJ536" i="20"/>
  <c r="AJ277" i="20"/>
  <c r="AJ660" i="20"/>
  <c r="AJ478" i="20"/>
  <c r="AJ369" i="20"/>
  <c r="AJ588" i="20"/>
  <c r="AJ859" i="20"/>
  <c r="AP523" i="20"/>
  <c r="AE250" i="20"/>
  <c r="N12" i="36"/>
  <c r="C54" i="37"/>
  <c r="O14" i="36"/>
  <c r="C28" i="36"/>
  <c r="AQ35" i="40"/>
  <c r="B28" i="36"/>
  <c r="B29" i="37"/>
  <c r="O10" i="36"/>
  <c r="B54" i="37"/>
  <c r="K39" i="37"/>
  <c r="X24" i="66"/>
  <c r="Y24" i="66"/>
  <c r="AA24" i="66" s="1"/>
  <c r="K38" i="37"/>
  <c r="G38" i="37"/>
  <c r="M24" i="36"/>
  <c r="O39" i="37"/>
  <c r="AG21" i="66"/>
  <c r="Z21" i="66" s="1"/>
  <c r="N14" i="36"/>
  <c r="R13" i="43"/>
  <c r="O38" i="37"/>
  <c r="AP375" i="20"/>
  <c r="AP308" i="20"/>
  <c r="AP259" i="20"/>
  <c r="AP444" i="20"/>
  <c r="Z8" i="66"/>
  <c r="H28" i="36"/>
  <c r="G28" i="36"/>
  <c r="D28" i="36"/>
  <c r="N22" i="36"/>
  <c r="N27" i="36"/>
  <c r="M15" i="36"/>
  <c r="M14" i="36"/>
  <c r="I28" i="36"/>
  <c r="N21" i="36"/>
  <c r="M18" i="36"/>
  <c r="J28" i="36"/>
  <c r="F28" i="36"/>
  <c r="AP273" i="20"/>
  <c r="AP901" i="20"/>
  <c r="AP673" i="20"/>
  <c r="AP614" i="20"/>
  <c r="AP288" i="20"/>
  <c r="AP912" i="20"/>
  <c r="AP873" i="20"/>
  <c r="AP554" i="20"/>
  <c r="AP348" i="20"/>
  <c r="AP398" i="20"/>
  <c r="AP650" i="20"/>
  <c r="AP366" i="20"/>
  <c r="AP386" i="20"/>
  <c r="AP558" i="20"/>
  <c r="AP88" i="20"/>
  <c r="AP885" i="20"/>
  <c r="AP831" i="20"/>
  <c r="AP225" i="20"/>
  <c r="AP455" i="20"/>
  <c r="AP875" i="20"/>
  <c r="AP518" i="20"/>
  <c r="AP268" i="20"/>
  <c r="AP702" i="20"/>
  <c r="AP646" i="20"/>
  <c r="AP815" i="20"/>
  <c r="AP318" i="20"/>
  <c r="AP639" i="20"/>
  <c r="AP819" i="20"/>
  <c r="AP818" i="20"/>
  <c r="AP891" i="20"/>
  <c r="AP723" i="20"/>
  <c r="AP373" i="20"/>
  <c r="AP244" i="20"/>
  <c r="AP745" i="20"/>
  <c r="AP714" i="20"/>
  <c r="AP492" i="20"/>
  <c r="AP857" i="20"/>
  <c r="AP374" i="20"/>
  <c r="AP291" i="20"/>
  <c r="AP183" i="20"/>
  <c r="AP417" i="20"/>
  <c r="AP667" i="20"/>
  <c r="AP720" i="20"/>
  <c r="AP303" i="20"/>
  <c r="AP229" i="20"/>
  <c r="AP686" i="20"/>
  <c r="AP329" i="20"/>
  <c r="AP361" i="20"/>
  <c r="AP835" i="20"/>
  <c r="AP424" i="20"/>
  <c r="AP653" i="20"/>
  <c r="AP900" i="20"/>
  <c r="AP283" i="20"/>
  <c r="AP504" i="20"/>
  <c r="AP279" i="20"/>
  <c r="AP634" i="20"/>
  <c r="AP868" i="20"/>
  <c r="AP534" i="20"/>
  <c r="AP128" i="20"/>
  <c r="AP594" i="20"/>
  <c r="AP322" i="20"/>
  <c r="AP662" i="20"/>
  <c r="AP312" i="20"/>
  <c r="AP794" i="20"/>
  <c r="AP676" i="20"/>
  <c r="AP599" i="20"/>
  <c r="AP491" i="20"/>
  <c r="AP210" i="20"/>
  <c r="AP911" i="20"/>
  <c r="AP897" i="20"/>
  <c r="AP430" i="20"/>
  <c r="AP827" i="20"/>
  <c r="AP202" i="20"/>
  <c r="AP740" i="20"/>
  <c r="AP296" i="20"/>
  <c r="AP728" i="20"/>
  <c r="AP355" i="20"/>
  <c r="AP474" i="20"/>
  <c r="AP801" i="20"/>
  <c r="AP315" i="20"/>
  <c r="AP211" i="20"/>
  <c r="AP470" i="20"/>
  <c r="AP246" i="20"/>
  <c r="AP695" i="20"/>
  <c r="AP380" i="20"/>
  <c r="AP598" i="20"/>
  <c r="AP92" i="20"/>
  <c r="AP471" i="20"/>
  <c r="AP722" i="20"/>
  <c r="AP484" i="20"/>
  <c r="AP777" i="20"/>
  <c r="AP404" i="20"/>
  <c r="AP867" i="20"/>
  <c r="AP693" i="20"/>
  <c r="AP629" i="20"/>
  <c r="AP595" i="20"/>
  <c r="AP552" i="20"/>
  <c r="AP522" i="20"/>
  <c r="AP435" i="20"/>
  <c r="AP197" i="20"/>
  <c r="AP883" i="20"/>
  <c r="AP783" i="20"/>
  <c r="AP832" i="20"/>
  <c r="AP324" i="20"/>
  <c r="AP895" i="20"/>
  <c r="AP694" i="20"/>
  <c r="AP297" i="20"/>
  <c r="AP788" i="20"/>
  <c r="AP584" i="20"/>
  <c r="AP501" i="20"/>
  <c r="AP377" i="20"/>
  <c r="AP242" i="20"/>
  <c r="AP189" i="20"/>
  <c r="AP507" i="20"/>
  <c r="AP760" i="20"/>
  <c r="AP651" i="20"/>
  <c r="AP615" i="20"/>
  <c r="AP577" i="20"/>
  <c r="AP804" i="20"/>
  <c r="AP525" i="20"/>
  <c r="AP591" i="20"/>
  <c r="AP449" i="20"/>
  <c r="AP266" i="20"/>
  <c r="AP701" i="20"/>
  <c r="AP572" i="20"/>
  <c r="AP658" i="20"/>
  <c r="H104" i="86"/>
  <c r="K104" i="86" s="1"/>
  <c r="AP874" i="20"/>
  <c r="AP757" i="20"/>
  <c r="AP612" i="20"/>
  <c r="AP586" i="20"/>
  <c r="AP532" i="20"/>
  <c r="AP327" i="20"/>
  <c r="AP286" i="20"/>
  <c r="AP126" i="20"/>
  <c r="AP824" i="20"/>
  <c r="AP697" i="20"/>
  <c r="AP574" i="20"/>
  <c r="AP87" i="20"/>
  <c r="AP786" i="20"/>
  <c r="AP463" i="20"/>
  <c r="AP219" i="20"/>
  <c r="AP765" i="20"/>
  <c r="AP176" i="20"/>
  <c r="AP606" i="20"/>
  <c r="AP513" i="20"/>
  <c r="AP664" i="20"/>
  <c r="AP407" i="20"/>
  <c r="AP47" i="20"/>
  <c r="AP262" i="20"/>
  <c r="AP384" i="20"/>
  <c r="AP95" i="20"/>
  <c r="AP559" i="20"/>
  <c r="AP91" i="20"/>
  <c r="AP544" i="20"/>
  <c r="AP588" i="20"/>
  <c r="AP333" i="20"/>
  <c r="AP840" i="20"/>
  <c r="AP909" i="20"/>
  <c r="AP808" i="20"/>
  <c r="AP618" i="20"/>
  <c r="AP338" i="20"/>
  <c r="AP167" i="20"/>
  <c r="AP647" i="20"/>
  <c r="AP381" i="20"/>
  <c r="AP241" i="20"/>
  <c r="AP578" i="20"/>
  <c r="AP626" i="20"/>
  <c r="AP468" i="20"/>
  <c r="AP97" i="20"/>
  <c r="AP503" i="20"/>
  <c r="AP671" i="20"/>
  <c r="AP512" i="20"/>
  <c r="AP498" i="20"/>
  <c r="AP490" i="20"/>
  <c r="AP382" i="20"/>
  <c r="AP264" i="20"/>
  <c r="AP622" i="20"/>
  <c r="AP755" i="20"/>
  <c r="AP465" i="20"/>
  <c r="AP46" i="20"/>
  <c r="AP549" i="20"/>
  <c r="AP405" i="20"/>
  <c r="AP370" i="20"/>
  <c r="AP546" i="20"/>
  <c r="AP298" i="20"/>
  <c r="AP894" i="20"/>
  <c r="AP866" i="20"/>
  <c r="AP772" i="20"/>
  <c r="AP679" i="20"/>
  <c r="AP592" i="20"/>
  <c r="AP576" i="20"/>
  <c r="AP458" i="20"/>
  <c r="AP395" i="20"/>
  <c r="AP317" i="20"/>
  <c r="AP203" i="20"/>
  <c r="AP175" i="20"/>
  <c r="AP880" i="20"/>
  <c r="AP781" i="20"/>
  <c r="AP708" i="20"/>
  <c r="AP443" i="20"/>
  <c r="AP194" i="20"/>
  <c r="AP48" i="20"/>
  <c r="AP437" i="20"/>
  <c r="AP306" i="20"/>
  <c r="AP429" i="20"/>
  <c r="AP603" i="20"/>
  <c r="AP254" i="20"/>
  <c r="AP661" i="20"/>
  <c r="AP669" i="20"/>
  <c r="AP456" i="20"/>
  <c r="AP724" i="20"/>
  <c r="AP632" i="20"/>
  <c r="AP235" i="20"/>
  <c r="AP300" i="20"/>
  <c r="AP461" i="20"/>
  <c r="AP253" i="20"/>
  <c r="AP856" i="20"/>
  <c r="AP452" i="20"/>
  <c r="AP890" i="20"/>
  <c r="AP691" i="20"/>
  <c r="AP548" i="20"/>
  <c r="AP502" i="20"/>
  <c r="AP276" i="20"/>
  <c r="AP779" i="20"/>
  <c r="AP896" i="20"/>
  <c r="AP637" i="20"/>
  <c r="AP346" i="20"/>
  <c r="AP184" i="20"/>
  <c r="AP411" i="20"/>
  <c r="AP908" i="20"/>
  <c r="AP852" i="20"/>
  <c r="AP473" i="20"/>
  <c r="AP778" i="20"/>
  <c r="AP580" i="20"/>
  <c r="AP539" i="20"/>
  <c r="AP450" i="20"/>
  <c r="AP106" i="20"/>
  <c r="AP89" i="20"/>
  <c r="AP799" i="20"/>
  <c r="AP727" i="20"/>
  <c r="AP596" i="20"/>
  <c r="AP582" i="20"/>
  <c r="AP560" i="20"/>
  <c r="AP434" i="20"/>
  <c r="AP331" i="20"/>
  <c r="AP220" i="20"/>
  <c r="AP191" i="20"/>
  <c r="AP74" i="20"/>
  <c r="AP803" i="20"/>
  <c r="AP761" i="20"/>
  <c r="AP371" i="20"/>
  <c r="AP643" i="20"/>
  <c r="AP865" i="20"/>
  <c r="AP323" i="20"/>
  <c r="AP543" i="20"/>
  <c r="AP82" i="20"/>
  <c r="AP529" i="20"/>
  <c r="AP861" i="20"/>
  <c r="AP665" i="20"/>
  <c r="AP625" i="20"/>
  <c r="AP369" i="20"/>
  <c r="AP510" i="20"/>
  <c r="AP509" i="20"/>
  <c r="AP587" i="20"/>
  <c r="AP744" i="20"/>
  <c r="AP275" i="20"/>
  <c r="AP887" i="20"/>
  <c r="AP839" i="20"/>
  <c r="G161" i="86"/>
  <c r="J161" i="86" s="1"/>
  <c r="AP237" i="20"/>
  <c r="AP185" i="20"/>
  <c r="AP882" i="20"/>
  <c r="AP698" i="20"/>
  <c r="AP535" i="20"/>
  <c r="AP228" i="20"/>
  <c r="AP613" i="20"/>
  <c r="AP528" i="20"/>
  <c r="AP127" i="20"/>
  <c r="AP838" i="20"/>
  <c r="AP462" i="20"/>
  <c r="AP487" i="20"/>
  <c r="AP376" i="20"/>
  <c r="AP216" i="20"/>
  <c r="AP905" i="20"/>
  <c r="AP855" i="20"/>
  <c r="AP644" i="20"/>
  <c r="AP773" i="20"/>
  <c r="AP181" i="20"/>
  <c r="AP564" i="20"/>
  <c r="AP326" i="20"/>
  <c r="AP200" i="20"/>
  <c r="AP441" i="20"/>
  <c r="AP751" i="20"/>
  <c r="AP431" i="20"/>
  <c r="AP339" i="20"/>
  <c r="AP678" i="20"/>
  <c r="AP713" i="20"/>
  <c r="AP848" i="20"/>
  <c r="AP593" i="20"/>
  <c r="AP442" i="20"/>
  <c r="AP209" i="20"/>
  <c r="AP814" i="20"/>
  <c r="AP488" i="20"/>
  <c r="AP245" i="20"/>
  <c r="AP791" i="20"/>
  <c r="AP711" i="20"/>
  <c r="AP542" i="20"/>
  <c r="AP207" i="20"/>
  <c r="AP341" i="20"/>
  <c r="AP734" i="20"/>
  <c r="AP843" i="20"/>
  <c r="AP472" i="20"/>
  <c r="AP190" i="20"/>
  <c r="AP706" i="20"/>
  <c r="AP531" i="20"/>
  <c r="AP748" i="20"/>
  <c r="AP754" i="20"/>
  <c r="AP495" i="20"/>
  <c r="AP620" i="20"/>
  <c r="AP383" i="20"/>
  <c r="AP489" i="20"/>
  <c r="AP454" i="20"/>
  <c r="AP328" i="20"/>
  <c r="AP280" i="20"/>
  <c r="AP756" i="20"/>
  <c r="AP412" i="20"/>
  <c r="AP337" i="20"/>
  <c r="AP602" i="20"/>
  <c r="AP277" i="20"/>
  <c r="AP703" i="20"/>
  <c r="AP545" i="20"/>
  <c r="AP493" i="20"/>
  <c r="AP863" i="20"/>
  <c r="AP680" i="20"/>
  <c r="AP663" i="20"/>
  <c r="AP416" i="20"/>
  <c r="AP330" i="20"/>
  <c r="AP649" i="20"/>
  <c r="AP451" i="20"/>
  <c r="AP240" i="20"/>
  <c r="AP177" i="20"/>
  <c r="AP849" i="20"/>
  <c r="AP605" i="20"/>
  <c r="AP519" i="20"/>
  <c r="AP446" i="20"/>
  <c r="AP213" i="20"/>
  <c r="AP747" i="20"/>
  <c r="AP700" i="20"/>
  <c r="AP628" i="20"/>
  <c r="AP530" i="20"/>
  <c r="AP282" i="20"/>
  <c r="AP862" i="20"/>
  <c r="AP660" i="20"/>
  <c r="AP551" i="20"/>
  <c r="AP469" i="20"/>
  <c r="AP392" i="20"/>
  <c r="AP104" i="20"/>
  <c r="AP94" i="20"/>
  <c r="AP538" i="20"/>
  <c r="AP187" i="20"/>
  <c r="AP872" i="20"/>
  <c r="AP699" i="20"/>
  <c r="AP796" i="20"/>
  <c r="AP627" i="20"/>
  <c r="AP477" i="20"/>
  <c r="AP768" i="20"/>
  <c r="AP752" i="20"/>
  <c r="AP677" i="20"/>
  <c r="AP640" i="20"/>
  <c r="AP585" i="20"/>
  <c r="AP590" i="20"/>
  <c r="AP526" i="20"/>
  <c r="AP521" i="20"/>
  <c r="AP436" i="20"/>
  <c r="AP413" i="20"/>
  <c r="AP285" i="20"/>
  <c r="AP272" i="20"/>
  <c r="AP193" i="20"/>
  <c r="AP188" i="20"/>
  <c r="AP231" i="20"/>
  <c r="AP906" i="20"/>
  <c r="AP790" i="20"/>
  <c r="AP763" i="20"/>
  <c r="AP638" i="20"/>
  <c r="AP570" i="20"/>
  <c r="AP265" i="20"/>
  <c r="AP222" i="20"/>
  <c r="AP201" i="20"/>
  <c r="AP186" i="20"/>
  <c r="AP45" i="20"/>
  <c r="AP888" i="20"/>
  <c r="AP812" i="20"/>
  <c r="AP704" i="20"/>
  <c r="AP645" i="20"/>
  <c r="AP617" i="20"/>
  <c r="AP352" i="20"/>
  <c r="AP343" i="20"/>
  <c r="AP248" i="20"/>
  <c r="AP178" i="20"/>
  <c r="AP795" i="20"/>
  <c r="AP648" i="20"/>
  <c r="AP506" i="20"/>
  <c r="AP255" i="20"/>
  <c r="AP425" i="20"/>
  <c r="AP823" i="20"/>
  <c r="AP770" i="20"/>
  <c r="AP674" i="20"/>
  <c r="AP399" i="20"/>
  <c r="AP269" i="20"/>
  <c r="AP195" i="20"/>
  <c r="AP821" i="20"/>
  <c r="AP655" i="20"/>
  <c r="AP540" i="20"/>
  <c r="AP390" i="20"/>
  <c r="AP353" i="20"/>
  <c r="AP340" i="20"/>
  <c r="AP263" i="20"/>
  <c r="AP611" i="20"/>
  <c r="AP364" i="20"/>
  <c r="AP75" i="20"/>
  <c r="AP769" i="20"/>
  <c r="AP432" i="20"/>
  <c r="AP837" i="20"/>
  <c r="AP775" i="20"/>
  <c r="AP566" i="20"/>
  <c r="AP428" i="20"/>
  <c r="AP299" i="20"/>
  <c r="AP844" i="20"/>
  <c r="AP749" i="20"/>
  <c r="I105" i="86"/>
  <c r="L105" i="86" s="1"/>
  <c r="I49" i="86"/>
  <c r="L49" i="86" s="1"/>
  <c r="AP753" i="20"/>
  <c r="AP787" i="20"/>
  <c r="AP569" i="20"/>
  <c r="AP459" i="20"/>
  <c r="AP388" i="20"/>
  <c r="AP316" i="20"/>
  <c r="AP729" i="20"/>
  <c r="AP379" i="20"/>
  <c r="AP168" i="20"/>
  <c r="AP267" i="20"/>
  <c r="AP125" i="20"/>
  <c r="AP233" i="20"/>
  <c r="AP766" i="20"/>
  <c r="AP656" i="20"/>
  <c r="AP239" i="20"/>
  <c r="AP682" i="20"/>
  <c r="AP659" i="20"/>
  <c r="AP871" i="20"/>
  <c r="AP391" i="20"/>
  <c r="AP608" i="20"/>
  <c r="AP858" i="20"/>
  <c r="AP850" i="20"/>
  <c r="AP707" i="20"/>
  <c r="AP718" i="20"/>
  <c r="AP565" i="20"/>
  <c r="AP321" i="20"/>
  <c r="AP96" i="20"/>
  <c r="AP710" i="20"/>
  <c r="AP199" i="20"/>
  <c r="AP898" i="20"/>
  <c r="AP870" i="20"/>
  <c r="AP738" i="20"/>
  <c r="AP563" i="20"/>
  <c r="AP846" i="20"/>
  <c r="AP479" i="20"/>
  <c r="AP359" i="20"/>
  <c r="AP758" i="20"/>
  <c r="AP378" i="20"/>
  <c r="AP483" i="20"/>
  <c r="AP853" i="20"/>
  <c r="AP281" i="20"/>
  <c r="AP717" i="20"/>
  <c r="AP476" i="20"/>
  <c r="AP822" i="20"/>
  <c r="AP683" i="20"/>
  <c r="AP537" i="20"/>
  <c r="AF68" i="14"/>
  <c r="AP550" i="20"/>
  <c r="AP102" i="20"/>
  <c r="AP397" i="20"/>
  <c r="AP568" i="20"/>
  <c r="AP103" i="20"/>
  <c r="AP257" i="20"/>
  <c r="AP363" i="20"/>
  <c r="AP226" i="20"/>
  <c r="AP892" i="20"/>
  <c r="AP725" i="20"/>
  <c r="AP547" i="20"/>
  <c r="AP448" i="20"/>
  <c r="AP357" i="20"/>
  <c r="AP347" i="20"/>
  <c r="AP301" i="20"/>
  <c r="AP78" i="20"/>
  <c r="AP500" i="20"/>
  <c r="AP247" i="20"/>
  <c r="AP817" i="20"/>
  <c r="AP732" i="20"/>
  <c r="AP350" i="20"/>
  <c r="AP313" i="20"/>
  <c r="AP205" i="20"/>
  <c r="AP889" i="20"/>
  <c r="AP762" i="20"/>
  <c r="AP616" i="20"/>
  <c r="AP309" i="20"/>
  <c r="AP497" i="20"/>
  <c r="AP342" i="20"/>
  <c r="AP806" i="20"/>
  <c r="AP705" i="20"/>
  <c r="AP457" i="20"/>
  <c r="AP334" i="20"/>
  <c r="AP218" i="20"/>
  <c r="AP841" i="20"/>
  <c r="AP792" i="20"/>
  <c r="AP687" i="20"/>
  <c r="AP517" i="20"/>
  <c r="AP420" i="20"/>
  <c r="AP305" i="20"/>
  <c r="AP261" i="20"/>
  <c r="AP232" i="20"/>
  <c r="AP212" i="20"/>
  <c r="AP893" i="20"/>
  <c r="AP879" i="20"/>
  <c r="AP847" i="20"/>
  <c r="AP820" i="20"/>
  <c r="AP811" i="20"/>
  <c r="AP764" i="20"/>
  <c r="AP737" i="20"/>
  <c r="AP351" i="20"/>
  <c r="AP410" i="20"/>
  <c r="AP320" i="20"/>
  <c r="AP251" i="20"/>
  <c r="AP206" i="20"/>
  <c r="AP81" i="20"/>
  <c r="AP902" i="20"/>
  <c r="AP833" i="20"/>
  <c r="AP782" i="20"/>
  <c r="AP733" i="20"/>
  <c r="AP623" i="20"/>
  <c r="AP362" i="20"/>
  <c r="AP310" i="20"/>
  <c r="AP234" i="20"/>
  <c r="AP607" i="20"/>
  <c r="AP356" i="20"/>
  <c r="AP836" i="20"/>
  <c r="AP807" i="20"/>
  <c r="AP741" i="20"/>
  <c r="AP726" i="20"/>
  <c r="AP681" i="20"/>
  <c r="AP475" i="20"/>
  <c r="AP358" i="20"/>
  <c r="AP335" i="20"/>
  <c r="AP304" i="20"/>
  <c r="AP227" i="20"/>
  <c r="AP886" i="20"/>
  <c r="AP842" i="20"/>
  <c r="AP816" i="20"/>
  <c r="AP797" i="20"/>
  <c r="AP652" i="20"/>
  <c r="AP567" i="20"/>
  <c r="AP527" i="20"/>
  <c r="AP460" i="20"/>
  <c r="AP433" i="20"/>
  <c r="AP389" i="20"/>
  <c r="AP396" i="20"/>
  <c r="AP415" i="20"/>
  <c r="AP332" i="20"/>
  <c r="AP302" i="20"/>
  <c r="AP258" i="20"/>
  <c r="AP180" i="20"/>
  <c r="AP785" i="20"/>
  <c r="AP609" i="20"/>
  <c r="AP480" i="20"/>
  <c r="AP290" i="20"/>
  <c r="AP915" i="20"/>
  <c r="H122" i="86"/>
  <c r="K122" i="86" s="1"/>
  <c r="I75" i="86"/>
  <c r="L75" i="86" s="1"/>
  <c r="H73" i="86"/>
  <c r="K73" i="86" s="1"/>
  <c r="I84" i="86"/>
  <c r="L84" i="86" s="1"/>
  <c r="H86" i="86"/>
  <c r="K86" i="86" s="1"/>
  <c r="I108" i="86"/>
  <c r="L108" i="86" s="1"/>
  <c r="I122" i="86"/>
  <c r="L122" i="86" s="1"/>
  <c r="H81" i="86"/>
  <c r="K81" i="86" s="1"/>
  <c r="G61" i="86"/>
  <c r="H105" i="86"/>
  <c r="K105" i="86" s="1"/>
  <c r="H46" i="86"/>
  <c r="K46" i="86" s="1"/>
  <c r="G48" i="86"/>
  <c r="J48" i="86" s="1"/>
  <c r="H53" i="86"/>
  <c r="K53" i="86" s="1"/>
  <c r="I46" i="86"/>
  <c r="L46" i="86" s="1"/>
  <c r="H16" i="86"/>
  <c r="K16" i="86" s="1"/>
  <c r="H138" i="86"/>
  <c r="K138" i="86" s="1"/>
  <c r="H75" i="86"/>
  <c r="K75" i="86" s="1"/>
  <c r="H61" i="86"/>
  <c r="K61" i="86" s="1"/>
  <c r="I76" i="86"/>
  <c r="L76" i="86" s="1"/>
  <c r="G104" i="86"/>
  <c r="G105" i="86"/>
  <c r="I125" i="86"/>
  <c r="L125" i="86" s="1"/>
  <c r="G81" i="86"/>
  <c r="J81" i="86" s="1"/>
  <c r="H108" i="86"/>
  <c r="K108" i="86" s="1"/>
  <c r="I38" i="86"/>
  <c r="L38" i="86" s="1"/>
  <c r="H48" i="86"/>
  <c r="K48" i="86" s="1"/>
  <c r="I48" i="86"/>
  <c r="L48" i="86" s="1"/>
  <c r="G16" i="86"/>
  <c r="J16" i="86" s="1"/>
  <c r="H38" i="86"/>
  <c r="K38" i="86" s="1"/>
  <c r="H161" i="86"/>
  <c r="K161" i="86" s="1"/>
  <c r="H84" i="86"/>
  <c r="K84" i="86" s="1"/>
  <c r="I104" i="86"/>
  <c r="L104" i="86" s="1"/>
  <c r="G125" i="86"/>
  <c r="I74" i="86"/>
  <c r="L74" i="86" s="1"/>
  <c r="I73" i="86"/>
  <c r="L73" i="86" s="1"/>
  <c r="I86" i="86"/>
  <c r="L86" i="86" s="1"/>
  <c r="H109" i="86"/>
  <c r="K109" i="86" s="1"/>
  <c r="G108" i="86"/>
  <c r="J108" i="86" s="1"/>
  <c r="G75" i="86"/>
  <c r="G73" i="86"/>
  <c r="G49" i="86"/>
  <c r="J49" i="86" s="1"/>
  <c r="I47" i="86"/>
  <c r="L47" i="86" s="1"/>
  <c r="G46" i="86"/>
  <c r="J46" i="86" s="1"/>
  <c r="G38" i="86"/>
  <c r="J38" i="86" s="1"/>
  <c r="H74" i="86"/>
  <c r="K74" i="86" s="1"/>
  <c r="H154" i="86"/>
  <c r="K154" i="86" s="1"/>
  <c r="G138" i="86"/>
  <c r="I138" i="86"/>
  <c r="L138" i="86" s="1"/>
  <c r="I61" i="86"/>
  <c r="L61" i="86" s="1"/>
  <c r="H47" i="86"/>
  <c r="K47" i="86" s="1"/>
  <c r="H49" i="86"/>
  <c r="K49" i="86" s="1"/>
  <c r="G109" i="86"/>
  <c r="I81" i="86"/>
  <c r="L81" i="86" s="1"/>
  <c r="G74" i="86"/>
  <c r="J74" i="86" s="1"/>
  <c r="G86" i="86"/>
  <c r="H76" i="86"/>
  <c r="K76" i="86" s="1"/>
  <c r="G122" i="86"/>
  <c r="I161" i="86"/>
  <c r="L161" i="86" s="1"/>
  <c r="I154" i="86"/>
  <c r="L154" i="86" s="1"/>
  <c r="G53" i="86"/>
  <c r="J53" i="86" s="1"/>
  <c r="G47" i="86"/>
  <c r="J47" i="86" s="1"/>
  <c r="G76" i="86"/>
  <c r="G84" i="86"/>
  <c r="I53" i="86"/>
  <c r="L53" i="86" s="1"/>
  <c r="AP825" i="20"/>
  <c r="AP716" i="20"/>
  <c r="AP604" i="20"/>
  <c r="AP515" i="20"/>
  <c r="AP387" i="20"/>
  <c r="AP575" i="20"/>
  <c r="AP421" i="20"/>
  <c r="AP314" i="20"/>
  <c r="AP224" i="20"/>
  <c r="AP798" i="20"/>
  <c r="AP562" i="20"/>
  <c r="AP325" i="20"/>
  <c r="AP624" i="20"/>
  <c r="AP600" i="20"/>
  <c r="AP583" i="20"/>
  <c r="AP555" i="20"/>
  <c r="AP533" i="20"/>
  <c r="AP478" i="20"/>
  <c r="AP440" i="20"/>
  <c r="AP271" i="20"/>
  <c r="AP105" i="20"/>
  <c r="AP90" i="20"/>
  <c r="AP98" i="20"/>
  <c r="AP427" i="20"/>
  <c r="AP878" i="20"/>
  <c r="AP633" i="20"/>
  <c r="AP238" i="20"/>
  <c r="AP619" i="20"/>
  <c r="AP505" i="20"/>
  <c r="AP217" i="20"/>
  <c r="AP553" i="20"/>
  <c r="AP93" i="20"/>
  <c r="AP657" i="20"/>
  <c r="AP423" i="20"/>
  <c r="AP260" i="20"/>
  <c r="AP250" i="20"/>
  <c r="AP859" i="20"/>
  <c r="AP851" i="20"/>
  <c r="AP829" i="20"/>
  <c r="AP179" i="20"/>
  <c r="I16" i="86"/>
  <c r="L16" i="86" s="1"/>
  <c r="H125" i="86"/>
  <c r="K125" i="86" s="1"/>
  <c r="AP367" i="20"/>
  <c r="G154" i="86"/>
  <c r="I109" i="86"/>
  <c r="L109" i="86" s="1"/>
  <c r="AF203" i="14"/>
  <c r="AF55" i="14"/>
  <c r="AF19" i="14"/>
  <c r="AF201" i="14"/>
  <c r="AF225" i="14"/>
  <c r="AF41" i="14"/>
  <c r="AP408" i="20"/>
  <c r="AP466" i="20"/>
  <c r="AP899" i="20"/>
  <c r="AP767" i="20"/>
  <c r="AP715" i="20"/>
  <c r="AP672" i="20"/>
  <c r="AP641" i="20"/>
  <c r="AP597" i="20"/>
  <c r="AP581" i="20"/>
  <c r="AP573" i="20"/>
  <c r="AP556" i="20"/>
  <c r="AP520" i="20"/>
  <c r="AP439" i="20"/>
  <c r="AP426" i="20"/>
  <c r="AP294" i="20"/>
  <c r="AP221" i="20"/>
  <c r="AP192" i="20"/>
  <c r="AP182" i="20"/>
  <c r="AP780" i="20"/>
  <c r="AP910" i="20"/>
  <c r="AP881" i="20"/>
  <c r="AP709" i="20"/>
  <c r="AP666" i="20"/>
  <c r="AP630" i="20"/>
  <c r="AP485" i="20"/>
  <c r="AP393" i="20"/>
  <c r="AP685" i="20"/>
  <c r="AP481" i="20"/>
  <c r="AP742" i="20"/>
  <c r="AP511" i="20"/>
  <c r="AP409" i="20"/>
  <c r="AP400" i="20"/>
  <c r="AP107" i="20"/>
  <c r="AP712" i="20"/>
  <c r="AF59" i="14"/>
  <c r="AF136" i="14"/>
  <c r="AF80" i="14"/>
  <c r="AP869" i="20"/>
  <c r="AP810" i="20"/>
  <c r="AP746" i="20"/>
  <c r="AP684" i="20"/>
  <c r="AP601" i="20"/>
  <c r="AP561" i="20"/>
  <c r="AP524" i="20"/>
  <c r="AP467" i="20"/>
  <c r="AP414" i="20"/>
  <c r="AP319" i="20"/>
  <c r="AP287" i="20"/>
  <c r="AP274" i="20"/>
  <c r="AP208" i="20"/>
  <c r="AP907" i="20"/>
  <c r="AP809" i="20"/>
  <c r="AP784" i="20"/>
  <c r="AP759" i="20"/>
  <c r="AP514" i="20"/>
  <c r="AP365" i="20"/>
  <c r="AP696" i="20"/>
  <c r="AP636" i="20"/>
  <c r="AP571" i="20"/>
  <c r="AP776" i="20"/>
  <c r="AP223" i="20"/>
  <c r="AP670" i="20"/>
  <c r="AP557" i="20"/>
  <c r="AP453" i="20"/>
  <c r="AP284" i="20"/>
  <c r="AF83" i="14"/>
  <c r="AF238" i="14"/>
  <c r="AP903" i="20"/>
  <c r="AP854" i="20"/>
  <c r="AF37" i="14"/>
  <c r="AF227" i="14"/>
  <c r="AF189" i="14"/>
  <c r="AF226" i="14"/>
  <c r="AF174" i="14"/>
  <c r="AF25" i="14"/>
  <c r="AF81" i="14"/>
  <c r="AF163" i="14"/>
  <c r="AF30" i="14"/>
  <c r="AF140" i="14"/>
  <c r="AF222" i="14"/>
  <c r="AF98" i="14"/>
  <c r="AF230" i="14"/>
  <c r="AF138" i="14"/>
  <c r="AF202" i="14"/>
  <c r="AP403" i="20"/>
  <c r="AP349" i="20"/>
  <c r="AP344" i="20"/>
  <c r="AP293" i="20"/>
  <c r="AP214" i="20"/>
  <c r="AP204" i="20"/>
  <c r="AP914" i="20"/>
  <c r="AP877" i="20"/>
  <c r="AP805" i="20"/>
  <c r="AP750" i="20"/>
  <c r="AP690" i="20"/>
  <c r="AP516" i="20"/>
  <c r="AP394" i="20"/>
  <c r="AP292" i="20"/>
  <c r="AP198" i="20"/>
  <c r="AP496" i="20"/>
  <c r="AP438" i="20"/>
  <c r="AP904" i="20"/>
  <c r="AP834" i="20"/>
  <c r="AP771" i="20"/>
  <c r="AP735" i="20"/>
  <c r="AP675" i="20"/>
  <c r="AP621" i="20"/>
  <c r="AP360" i="20"/>
  <c r="AP372" i="20"/>
  <c r="AP336" i="20"/>
  <c r="AP270" i="20"/>
  <c r="AP196" i="20"/>
  <c r="AP845" i="20"/>
  <c r="AP830" i="20"/>
  <c r="AP802" i="20"/>
  <c r="AP789" i="20"/>
  <c r="AP692" i="20"/>
  <c r="AP642" i="20"/>
  <c r="AP541" i="20"/>
  <c r="AP482" i="20"/>
  <c r="AP447" i="20"/>
  <c r="AP406" i="20"/>
  <c r="AP419" i="20"/>
  <c r="AP354" i="20"/>
  <c r="AP345" i="20"/>
  <c r="AP307" i="20"/>
  <c r="AP295" i="20"/>
  <c r="AP243" i="20"/>
  <c r="AP876" i="20"/>
  <c r="AP635" i="20"/>
  <c r="AP499" i="20"/>
  <c r="AP422" i="20"/>
  <c r="AP385" i="20"/>
  <c r="AP236" i="20"/>
  <c r="AP813" i="20"/>
  <c r="AP494" i="20"/>
  <c r="AP464" i="20"/>
  <c r="AP402" i="20"/>
  <c r="AP688" i="20"/>
  <c r="AP230" i="20"/>
  <c r="AP826" i="20"/>
  <c r="AP828" i="20"/>
  <c r="AP774" i="20"/>
  <c r="AP743" i="20"/>
  <c r="AP689" i="20"/>
  <c r="AP631" i="20"/>
  <c r="E28" i="36"/>
  <c r="M19" i="36"/>
  <c r="O11" i="36"/>
  <c r="N10" i="36"/>
  <c r="AF167" i="14"/>
  <c r="AF43" i="14"/>
  <c r="AF66" i="14"/>
  <c r="AF243" i="14"/>
  <c r="AF108" i="14"/>
  <c r="AF97" i="14"/>
  <c r="AF177" i="14"/>
  <c r="AF86" i="14"/>
  <c r="AF33" i="14"/>
  <c r="AF184" i="14"/>
  <c r="AF228" i="14"/>
  <c r="AF164" i="14"/>
  <c r="AF244" i="14"/>
  <c r="AF205" i="14"/>
  <c r="AF212" i="14"/>
  <c r="AF242" i="14"/>
  <c r="AF91" i="14"/>
  <c r="AF241" i="14"/>
  <c r="AF204" i="14"/>
  <c r="AF9" i="14"/>
  <c r="AF215" i="14"/>
  <c r="AF103" i="14"/>
  <c r="AF214" i="14"/>
  <c r="AF187" i="14"/>
  <c r="AF92" i="14"/>
  <c r="AF139" i="14"/>
  <c r="AF245" i="14"/>
  <c r="AF180" i="14"/>
  <c r="AF84" i="14"/>
  <c r="AF27" i="14"/>
  <c r="AF117" i="14"/>
  <c r="AF40" i="14"/>
  <c r="AF32" i="14"/>
  <c r="AF7" i="14"/>
  <c r="AF131" i="14"/>
  <c r="AF181" i="14"/>
  <c r="AF78" i="14"/>
  <c r="AF155" i="14"/>
  <c r="AF115" i="14"/>
  <c r="AF211" i="14"/>
  <c r="AF18" i="14"/>
  <c r="AF87" i="14"/>
  <c r="AF192" i="14"/>
  <c r="AF79" i="14"/>
  <c r="AF218" i="14"/>
  <c r="AF124" i="14"/>
  <c r="AF127" i="14"/>
  <c r="AF151" i="14"/>
  <c r="N24" i="36"/>
  <c r="AF118" i="14"/>
  <c r="AF23" i="14"/>
  <c r="AF99" i="14"/>
  <c r="AF65" i="14"/>
  <c r="AF70" i="14"/>
  <c r="AF44" i="14"/>
  <c r="AF179" i="14"/>
  <c r="AF42" i="14"/>
  <c r="AF11" i="14"/>
  <c r="AF207" i="14"/>
  <c r="AF10" i="14"/>
  <c r="AF134" i="14"/>
  <c r="AF159" i="14"/>
  <c r="AF21" i="14"/>
  <c r="AF113" i="14"/>
  <c r="AF114" i="14"/>
  <c r="AF229" i="14"/>
  <c r="AF156" i="14"/>
  <c r="AF69" i="14"/>
  <c r="AF119" i="14"/>
  <c r="AF198" i="14"/>
  <c r="AF195" i="14"/>
  <c r="AF31" i="14"/>
  <c r="AH6" i="14"/>
  <c r="AF144" i="14"/>
  <c r="AF199" i="14"/>
  <c r="AF101" i="14"/>
  <c r="AF128" i="14"/>
  <c r="AF126" i="14"/>
  <c r="AF185" i="14"/>
  <c r="AF82" i="14"/>
  <c r="AF165" i="14"/>
  <c r="AF105" i="14"/>
  <c r="AF15" i="14"/>
  <c r="AF246" i="14"/>
  <c r="AF175" i="14"/>
  <c r="AF149" i="14"/>
  <c r="AF39" i="14"/>
  <c r="AF71" i="14"/>
  <c r="AF232" i="14"/>
  <c r="AF247" i="14"/>
  <c r="AF62" i="14"/>
  <c r="AF233" i="14"/>
  <c r="AF221" i="14"/>
  <c r="AF64" i="14"/>
  <c r="AF109" i="14"/>
  <c r="AF231" i="14"/>
  <c r="AF213" i="14"/>
  <c r="AF53" i="14"/>
  <c r="AF223" i="14"/>
  <c r="AF38" i="14"/>
  <c r="AF100" i="14"/>
  <c r="AF220" i="14"/>
  <c r="AF194" i="14"/>
  <c r="AF17" i="14"/>
  <c r="AF14" i="14"/>
  <c r="AF145" i="14"/>
  <c r="AF240" i="14"/>
  <c r="AF161" i="14"/>
  <c r="E40" i="40"/>
  <c r="F38" i="40"/>
  <c r="F39" i="40"/>
  <c r="F37" i="40"/>
  <c r="D40" i="40"/>
  <c r="AF235" i="14"/>
  <c r="AF217" i="14"/>
  <c r="AF133" i="14"/>
  <c r="AF20" i="14"/>
  <c r="AF123" i="14"/>
  <c r="AF35" i="14"/>
  <c r="AF132" i="14"/>
  <c r="AF90" i="14"/>
  <c r="AF154" i="14"/>
  <c r="AF171" i="14"/>
  <c r="AF52" i="14"/>
  <c r="AF5" i="14"/>
  <c r="AF72" i="14"/>
  <c r="AF147" i="14"/>
  <c r="AF121" i="14"/>
  <c r="AF237" i="14"/>
  <c r="AF157" i="14"/>
  <c r="AF129" i="14"/>
  <c r="AF148" i="14"/>
  <c r="AF77" i="14"/>
  <c r="AF12" i="14"/>
  <c r="AF13" i="14"/>
  <c r="AF135" i="14"/>
  <c r="AF26" i="14"/>
  <c r="AF24" i="14"/>
  <c r="AF200" i="14"/>
  <c r="AF169" i="14"/>
  <c r="AF188" i="14"/>
  <c r="AF178" i="14"/>
  <c r="AF36" i="14"/>
  <c r="AF166" i="14"/>
  <c r="AF141" i="14"/>
  <c r="AF104" i="14"/>
  <c r="AF122" i="14"/>
  <c r="AF143" i="14"/>
  <c r="AF152" i="14"/>
  <c r="AF120" i="14"/>
  <c r="AF125" i="14"/>
  <c r="AF160" i="14"/>
  <c r="AF130" i="14"/>
  <c r="AC13" i="43"/>
  <c r="I19" i="43"/>
  <c r="AC16" i="43"/>
  <c r="AC15" i="43"/>
  <c r="I15" i="43"/>
  <c r="AC14" i="43"/>
  <c r="I14" i="43"/>
  <c r="I16" i="43"/>
  <c r="AC19" i="43"/>
  <c r="G44" i="86" l="1"/>
  <c r="G164" i="86"/>
  <c r="J164" i="86" s="1"/>
  <c r="AH130" i="14"/>
  <c r="AH141" i="14"/>
  <c r="AH26" i="14"/>
  <c r="AH77" i="14"/>
  <c r="AH237" i="14"/>
  <c r="AH5" i="14"/>
  <c r="AH90" i="14"/>
  <c r="AH20" i="14"/>
  <c r="AH14" i="14"/>
  <c r="AH100" i="14"/>
  <c r="AH213" i="14"/>
  <c r="AH221" i="14"/>
  <c r="AH232" i="14"/>
  <c r="AH175" i="14"/>
  <c r="AH165" i="14"/>
  <c r="AH128" i="14"/>
  <c r="AH119" i="14"/>
  <c r="AH114" i="14"/>
  <c r="AH134" i="14"/>
  <c r="AH42" i="14"/>
  <c r="AH65" i="14"/>
  <c r="AH218" i="14"/>
  <c r="AH18" i="14"/>
  <c r="AH78" i="14"/>
  <c r="AH32" i="14"/>
  <c r="AH84" i="14"/>
  <c r="AH92" i="14"/>
  <c r="AH215" i="14"/>
  <c r="AH91" i="14"/>
  <c r="AH244" i="14"/>
  <c r="AH33" i="14"/>
  <c r="AH108" i="14"/>
  <c r="AH167" i="14"/>
  <c r="AH138" i="14"/>
  <c r="AH140" i="14"/>
  <c r="AH25" i="14"/>
  <c r="AH227" i="14"/>
  <c r="AH238" i="14"/>
  <c r="AH59" i="14"/>
  <c r="AH225" i="14"/>
  <c r="AH203" i="14"/>
  <c r="AH160" i="14"/>
  <c r="AH143" i="14"/>
  <c r="AH166" i="14"/>
  <c r="AH169" i="14"/>
  <c r="AH135" i="14"/>
  <c r="AH148" i="14"/>
  <c r="AH121" i="14"/>
  <c r="AH52" i="14"/>
  <c r="AH132" i="14"/>
  <c r="AH133" i="14"/>
  <c r="AH161" i="14"/>
  <c r="AH17" i="14"/>
  <c r="AH38" i="14"/>
  <c r="AH231" i="14"/>
  <c r="AH233" i="14"/>
  <c r="AH71" i="14"/>
  <c r="AH246" i="14"/>
  <c r="AH82" i="14"/>
  <c r="AH101" i="14"/>
  <c r="AH31" i="14"/>
  <c r="AH69" i="14"/>
  <c r="AH113" i="14"/>
  <c r="AH10" i="14"/>
  <c r="AH179" i="14"/>
  <c r="AH99" i="14"/>
  <c r="AH151" i="14"/>
  <c r="AH79" i="14"/>
  <c r="AH211" i="14"/>
  <c r="AH181" i="14"/>
  <c r="AH40" i="14"/>
  <c r="AH180" i="14"/>
  <c r="AH187" i="14"/>
  <c r="AH9" i="14"/>
  <c r="AH242" i="14"/>
  <c r="AH164" i="14"/>
  <c r="AH86" i="14"/>
  <c r="AH243" i="14"/>
  <c r="AH230" i="14"/>
  <c r="AH30" i="14"/>
  <c r="AH174" i="14"/>
  <c r="AH37" i="14"/>
  <c r="AH83" i="14"/>
  <c r="AH201" i="14"/>
  <c r="AH152" i="14"/>
  <c r="AH188" i="14"/>
  <c r="AH125" i="14"/>
  <c r="AH122" i="14"/>
  <c r="AH36" i="14"/>
  <c r="AH200" i="14"/>
  <c r="AH13" i="14"/>
  <c r="AH129" i="14"/>
  <c r="AH147" i="14"/>
  <c r="AH171" i="14"/>
  <c r="AH35" i="14"/>
  <c r="AH217" i="14"/>
  <c r="AH240" i="14"/>
  <c r="AH194" i="14"/>
  <c r="AH223" i="14"/>
  <c r="AH109" i="14"/>
  <c r="AH62" i="14"/>
  <c r="AH39" i="14"/>
  <c r="AH15" i="14"/>
  <c r="AH185" i="14"/>
  <c r="AH199" i="14"/>
  <c r="AH195" i="14"/>
  <c r="AH156" i="14"/>
  <c r="AH21" i="14"/>
  <c r="AH207" i="14"/>
  <c r="AH44" i="14"/>
  <c r="AH23" i="14"/>
  <c r="AH127" i="14"/>
  <c r="AH192" i="14"/>
  <c r="AH115" i="14"/>
  <c r="AH131" i="14"/>
  <c r="AH117" i="14"/>
  <c r="AH245" i="14"/>
  <c r="AH214" i="14"/>
  <c r="AH204" i="14"/>
  <c r="AH212" i="14"/>
  <c r="AH228" i="14"/>
  <c r="AH177" i="14"/>
  <c r="AH66" i="14"/>
  <c r="AH98" i="14"/>
  <c r="AH163" i="14"/>
  <c r="AH226" i="14"/>
  <c r="AH80" i="14"/>
  <c r="AH19" i="14"/>
  <c r="AH120" i="14"/>
  <c r="AH104" i="14"/>
  <c r="AH178" i="14"/>
  <c r="AH24" i="14"/>
  <c r="AH12" i="14"/>
  <c r="AH157" i="14"/>
  <c r="AH72" i="14"/>
  <c r="AH154" i="14"/>
  <c r="AH123" i="14"/>
  <c r="AH235" i="14"/>
  <c r="AH145" i="14"/>
  <c r="AH220" i="14"/>
  <c r="AH53" i="14"/>
  <c r="AH64" i="14"/>
  <c r="AH247" i="14"/>
  <c r="AH149" i="14"/>
  <c r="AH105" i="14"/>
  <c r="AH126" i="14"/>
  <c r="AH144" i="14"/>
  <c r="AH198" i="14"/>
  <c r="AH229" i="14"/>
  <c r="AH159" i="14"/>
  <c r="AH11" i="14"/>
  <c r="AH70" i="14"/>
  <c r="AH118" i="14"/>
  <c r="AH124" i="14"/>
  <c r="AH87" i="14"/>
  <c r="AH155" i="14"/>
  <c r="AH7" i="14"/>
  <c r="AH27" i="14"/>
  <c r="AH139" i="14"/>
  <c r="AH103" i="14"/>
  <c r="AH241" i="14"/>
  <c r="AH205" i="14"/>
  <c r="AH184" i="14"/>
  <c r="AH97" i="14"/>
  <c r="AH43" i="14"/>
  <c r="AH202" i="14"/>
  <c r="AH222" i="14"/>
  <c r="AH81" i="14"/>
  <c r="AH189" i="14"/>
  <c r="AH136" i="14"/>
  <c r="AH41" i="14"/>
  <c r="AH55" i="14"/>
  <c r="AH68" i="14"/>
  <c r="H27" i="37"/>
  <c r="I71" i="86"/>
  <c r="L71" i="86" s="1"/>
  <c r="I58" i="86"/>
  <c r="L58" i="86" s="1"/>
  <c r="D52" i="37"/>
  <c r="G52" i="37" s="1"/>
  <c r="H3" i="86"/>
  <c r="K3" i="86" s="1"/>
  <c r="H40" i="86"/>
  <c r="K40" i="86" s="1"/>
  <c r="F15" i="43"/>
  <c r="G15" i="43" s="1"/>
  <c r="J15" i="43" s="1"/>
  <c r="F13" i="43"/>
  <c r="G13" i="43" s="1"/>
  <c r="J13" i="43" s="1"/>
  <c r="F14" i="43"/>
  <c r="G14" i="43" s="1"/>
  <c r="J14" i="43" s="1"/>
  <c r="D49" i="37"/>
  <c r="G49" i="37" s="1"/>
  <c r="I5" i="86"/>
  <c r="L5" i="86" s="1"/>
  <c r="G58" i="86"/>
  <c r="J58" i="86" s="1"/>
  <c r="H52" i="37"/>
  <c r="K52" i="37" s="1"/>
  <c r="I80" i="86"/>
  <c r="L80" i="86" s="1"/>
  <c r="E27" i="37"/>
  <c r="E11" i="37"/>
  <c r="O13" i="43"/>
  <c r="AD20" i="43" s="1"/>
  <c r="AE20" i="43" s="1"/>
  <c r="I50" i="86"/>
  <c r="L50" i="86" s="1"/>
  <c r="E14" i="37"/>
  <c r="E22" i="37"/>
  <c r="E16" i="37"/>
  <c r="E24" i="37"/>
  <c r="E26" i="37"/>
  <c r="E25" i="37"/>
  <c r="E9" i="37"/>
  <c r="E23" i="37"/>
  <c r="E20" i="37"/>
  <c r="E18" i="37"/>
  <c r="E21" i="37"/>
  <c r="E17" i="37"/>
  <c r="E19" i="37"/>
  <c r="E28" i="37"/>
  <c r="E10" i="37"/>
  <c r="I143" i="86"/>
  <c r="L143" i="86" s="1"/>
  <c r="H111" i="86"/>
  <c r="K111" i="86" s="1"/>
  <c r="G27" i="37"/>
  <c r="I44" i="86"/>
  <c r="L44" i="86" s="1"/>
  <c r="N24" i="37"/>
  <c r="I127" i="86"/>
  <c r="L127" i="86" s="1"/>
  <c r="J27" i="37"/>
  <c r="H63" i="86"/>
  <c r="K63" i="86" s="1"/>
  <c r="M27" i="37"/>
  <c r="I51" i="86"/>
  <c r="L51" i="86" s="1"/>
  <c r="G71" i="86"/>
  <c r="J71" i="86" s="1"/>
  <c r="G50" i="86"/>
  <c r="J50" i="86" s="1"/>
  <c r="H51" i="86"/>
  <c r="K51" i="86" s="1"/>
  <c r="H164" i="86"/>
  <c r="K164" i="86" s="1"/>
  <c r="G8" i="86"/>
  <c r="J8" i="86" s="1"/>
  <c r="H115" i="86"/>
  <c r="K115" i="86" s="1"/>
  <c r="L24" i="37"/>
  <c r="I40" i="86"/>
  <c r="L40" i="86" s="1"/>
  <c r="I3" i="86"/>
  <c r="L3" i="86" s="1"/>
  <c r="H58" i="86"/>
  <c r="K58" i="86" s="1"/>
  <c r="H94" i="86"/>
  <c r="K94" i="86" s="1"/>
  <c r="H87" i="86"/>
  <c r="K87" i="86" s="1"/>
  <c r="G124" i="86"/>
  <c r="J124" i="86" s="1"/>
  <c r="D42" i="37"/>
  <c r="G42" i="37" s="1"/>
  <c r="I158" i="86"/>
  <c r="L158" i="86" s="1"/>
  <c r="I121" i="86"/>
  <c r="L121" i="86" s="1"/>
  <c r="L46" i="37"/>
  <c r="O46" i="37" s="1"/>
  <c r="I100" i="86"/>
  <c r="L100" i="86" s="1"/>
  <c r="I64" i="86"/>
  <c r="L64" i="86" s="1"/>
  <c r="I19" i="86"/>
  <c r="L19" i="86" s="1"/>
  <c r="K24" i="37"/>
  <c r="G19" i="86"/>
  <c r="J19" i="86" s="1"/>
  <c r="O23" i="36"/>
  <c r="O21" i="36"/>
  <c r="K28" i="36"/>
  <c r="N28" i="36" s="1"/>
  <c r="N17" i="36"/>
  <c r="O22" i="36"/>
  <c r="O17" i="36"/>
  <c r="O19" i="36"/>
  <c r="AC18" i="43"/>
  <c r="N23" i="36"/>
  <c r="O13" i="36"/>
  <c r="G51" i="86"/>
  <c r="J51" i="86" s="1"/>
  <c r="G5" i="86"/>
  <c r="J5" i="86" s="1"/>
  <c r="AD24" i="66"/>
  <c r="I4" i="86"/>
  <c r="L4" i="86" s="1"/>
  <c r="I147" i="86"/>
  <c r="L147" i="86" s="1"/>
  <c r="H11" i="37"/>
  <c r="D24" i="37"/>
  <c r="I164" i="86"/>
  <c r="L164" i="86" s="1"/>
  <c r="D11" i="37"/>
  <c r="I63" i="86"/>
  <c r="L63" i="86" s="1"/>
  <c r="K17" i="37"/>
  <c r="G63" i="86"/>
  <c r="J63" i="86" s="1"/>
  <c r="H46" i="37"/>
  <c r="K46" i="37" s="1"/>
  <c r="H50" i="86"/>
  <c r="K50" i="86" s="1"/>
  <c r="H19" i="37"/>
  <c r="I160" i="86"/>
  <c r="L160" i="86" s="1"/>
  <c r="I6" i="86"/>
  <c r="L6" i="86" s="1"/>
  <c r="H40" i="37"/>
  <c r="K40" i="37" s="1"/>
  <c r="I142" i="86"/>
  <c r="L142" i="86" s="1"/>
  <c r="L48" i="37"/>
  <c r="O48" i="37" s="1"/>
  <c r="I27" i="86"/>
  <c r="L27" i="86" s="1"/>
  <c r="I112" i="86"/>
  <c r="L112" i="86" s="1"/>
  <c r="I2" i="86"/>
  <c r="L2" i="86" s="1"/>
  <c r="I128" i="86"/>
  <c r="L128" i="86" s="1"/>
  <c r="D19" i="37"/>
  <c r="I103" i="86"/>
  <c r="L103" i="86" s="1"/>
  <c r="I29" i="86"/>
  <c r="L29" i="86" s="1"/>
  <c r="M19" i="37"/>
  <c r="F26" i="37"/>
  <c r="I149" i="86"/>
  <c r="L149" i="86" s="1"/>
  <c r="I78" i="86"/>
  <c r="L78" i="86" s="1"/>
  <c r="I114" i="86"/>
  <c r="L114" i="86" s="1"/>
  <c r="I146" i="86"/>
  <c r="L146" i="86" s="1"/>
  <c r="D48" i="37"/>
  <c r="G48" i="37" s="1"/>
  <c r="F23" i="37"/>
  <c r="M17" i="37"/>
  <c r="I99" i="86"/>
  <c r="L99" i="86" s="1"/>
  <c r="I90" i="86"/>
  <c r="L90" i="86" s="1"/>
  <c r="I124" i="86"/>
  <c r="L124" i="86" s="1"/>
  <c r="G19" i="37"/>
  <c r="G24" i="37"/>
  <c r="H66" i="86"/>
  <c r="K66" i="86" s="1"/>
  <c r="L49" i="37"/>
  <c r="O49" i="37" s="1"/>
  <c r="AC17" i="43"/>
  <c r="H42" i="37"/>
  <c r="K42" i="37" s="1"/>
  <c r="I87" i="86"/>
  <c r="L87" i="86" s="1"/>
  <c r="I83" i="86"/>
  <c r="L83" i="86" s="1"/>
  <c r="G3" i="86"/>
  <c r="J3" i="86" s="1"/>
  <c r="H24" i="37"/>
  <c r="H49" i="37"/>
  <c r="K49" i="37" s="1"/>
  <c r="I152" i="86"/>
  <c r="L152" i="86" s="1"/>
  <c r="G93" i="86"/>
  <c r="J93" i="86" s="1"/>
  <c r="G20" i="37"/>
  <c r="H35" i="86"/>
  <c r="K35" i="86" s="1"/>
  <c r="H21" i="37"/>
  <c r="G14" i="37"/>
  <c r="I139" i="86"/>
  <c r="L139" i="86" s="1"/>
  <c r="I14" i="37"/>
  <c r="H14" i="37"/>
  <c r="L40" i="37"/>
  <c r="O40" i="37" s="1"/>
  <c r="I163" i="86"/>
  <c r="L163" i="86" s="1"/>
  <c r="I19" i="37"/>
  <c r="I98" i="86"/>
  <c r="L98" i="86" s="1"/>
  <c r="G151" i="86"/>
  <c r="J151" i="86" s="1"/>
  <c r="H151" i="86"/>
  <c r="K151" i="86" s="1"/>
  <c r="H44" i="86"/>
  <c r="K44" i="86" s="1"/>
  <c r="I159" i="86"/>
  <c r="L159" i="86" s="1"/>
  <c r="I144" i="86"/>
  <c r="L144" i="86" s="1"/>
  <c r="G64" i="86"/>
  <c r="J64" i="86" s="1"/>
  <c r="L37" i="37"/>
  <c r="O37" i="37" s="1"/>
  <c r="G143" i="86"/>
  <c r="J143" i="86" s="1"/>
  <c r="G115" i="86"/>
  <c r="J115" i="86" s="1"/>
  <c r="H8" i="86"/>
  <c r="K8" i="86" s="1"/>
  <c r="H13" i="86"/>
  <c r="K13" i="86" s="1"/>
  <c r="I26" i="37"/>
  <c r="G23" i="37"/>
  <c r="H51" i="37"/>
  <c r="K51" i="37" s="1"/>
  <c r="I126" i="86"/>
  <c r="L126" i="86" s="1"/>
  <c r="M11" i="37"/>
  <c r="I33" i="86"/>
  <c r="L33" i="86" s="1"/>
  <c r="M24" i="37"/>
  <c r="H48" i="37"/>
  <c r="K48" i="37" s="1"/>
  <c r="I134" i="86"/>
  <c r="L134" i="86" s="1"/>
  <c r="L34" i="37"/>
  <c r="O34" i="37" s="1"/>
  <c r="I37" i="86"/>
  <c r="L37" i="86" s="1"/>
  <c r="H37" i="86"/>
  <c r="K37" i="86" s="1"/>
  <c r="I97" i="86"/>
  <c r="L97" i="86" s="1"/>
  <c r="I65" i="86"/>
  <c r="L65" i="86" s="1"/>
  <c r="F17" i="37"/>
  <c r="D26" i="37"/>
  <c r="I72" i="86"/>
  <c r="L72" i="86" s="1"/>
  <c r="G54" i="86"/>
  <c r="J54" i="86" s="1"/>
  <c r="I67" i="86"/>
  <c r="L67" i="86" s="1"/>
  <c r="G17" i="37"/>
  <c r="F19" i="37"/>
  <c r="I88" i="86"/>
  <c r="L88" i="86" s="1"/>
  <c r="D17" i="37"/>
  <c r="I15" i="86"/>
  <c r="L15" i="86" s="1"/>
  <c r="I131" i="86"/>
  <c r="L131" i="86" s="1"/>
  <c r="I111" i="86"/>
  <c r="L111" i="86" s="1"/>
  <c r="I8" i="86"/>
  <c r="L8" i="86" s="1"/>
  <c r="I85" i="86"/>
  <c r="L85" i="86" s="1"/>
  <c r="I27" i="37"/>
  <c r="H5" i="86"/>
  <c r="K5" i="86" s="1"/>
  <c r="H155" i="86"/>
  <c r="K155" i="86" s="1"/>
  <c r="G129" i="86"/>
  <c r="J129" i="86" s="1"/>
  <c r="I35" i="86"/>
  <c r="L35" i="86" s="1"/>
  <c r="L44" i="37"/>
  <c r="O44" i="37" s="1"/>
  <c r="I120" i="86"/>
  <c r="L120" i="86" s="1"/>
  <c r="H17" i="37"/>
  <c r="I95" i="86"/>
  <c r="L95" i="86" s="1"/>
  <c r="AC21" i="43"/>
  <c r="AC20" i="43"/>
  <c r="M21" i="37"/>
  <c r="G98" i="86"/>
  <c r="J98" i="86" s="1"/>
  <c r="G8" i="37"/>
  <c r="M9" i="37"/>
  <c r="I166" i="86"/>
  <c r="L166" i="86" s="1"/>
  <c r="H117" i="86"/>
  <c r="K117" i="86" s="1"/>
  <c r="G23" i="86"/>
  <c r="J23" i="86" s="1"/>
  <c r="G146" i="86"/>
  <c r="G87" i="86"/>
  <c r="J87" i="86" s="1"/>
  <c r="G130" i="86"/>
  <c r="J130" i="86" s="1"/>
  <c r="H82" i="86"/>
  <c r="K82" i="86" s="1"/>
  <c r="H4" i="86"/>
  <c r="K4" i="86" s="1"/>
  <c r="I9" i="86"/>
  <c r="L9" i="86" s="1"/>
  <c r="I66" i="86"/>
  <c r="L66" i="86" s="1"/>
  <c r="F11" i="37"/>
  <c r="I18" i="37"/>
  <c r="G26" i="37"/>
  <c r="I150" i="86"/>
  <c r="L150" i="86" s="1"/>
  <c r="I89" i="86"/>
  <c r="L89" i="86" s="1"/>
  <c r="G11" i="37"/>
  <c r="I30" i="86"/>
  <c r="L30" i="86" s="1"/>
  <c r="L52" i="37"/>
  <c r="O52" i="37" s="1"/>
  <c r="H23" i="37"/>
  <c r="I17" i="37"/>
  <c r="D27" i="37"/>
  <c r="I116" i="86"/>
  <c r="L116" i="86" s="1"/>
  <c r="I21" i="86"/>
  <c r="L21" i="86" s="1"/>
  <c r="I155" i="86"/>
  <c r="L155" i="86" s="1"/>
  <c r="I36" i="86"/>
  <c r="L36" i="86" s="1"/>
  <c r="I157" i="86"/>
  <c r="L157" i="86" s="1"/>
  <c r="M18" i="37"/>
  <c r="I91" i="86"/>
  <c r="L91" i="86" s="1"/>
  <c r="I62" i="86"/>
  <c r="L62" i="86" s="1"/>
  <c r="G127" i="86"/>
  <c r="J127" i="86" s="1"/>
  <c r="G135" i="86"/>
  <c r="J135" i="86" s="1"/>
  <c r="I113" i="86"/>
  <c r="L113" i="86" s="1"/>
  <c r="M23" i="37"/>
  <c r="G66" i="86"/>
  <c r="J66" i="86" s="1"/>
  <c r="I12" i="86"/>
  <c r="L12" i="86" s="1"/>
  <c r="H16" i="37"/>
  <c r="L35" i="37"/>
  <c r="O35" i="37" s="1"/>
  <c r="I69" i="86"/>
  <c r="L69" i="86" s="1"/>
  <c r="F10" i="37"/>
  <c r="I18" i="86"/>
  <c r="L18" i="86" s="1"/>
  <c r="H47" i="37"/>
  <c r="K47" i="37" s="1"/>
  <c r="M16" i="37"/>
  <c r="I20" i="86"/>
  <c r="L20" i="86" s="1"/>
  <c r="L51" i="37"/>
  <c r="O51" i="37" s="1"/>
  <c r="I96" i="86"/>
  <c r="L96" i="86" s="1"/>
  <c r="D16" i="37"/>
  <c r="H22" i="37"/>
  <c r="F20" i="37"/>
  <c r="H156" i="86"/>
  <c r="K156" i="86" s="1"/>
  <c r="I22" i="86"/>
  <c r="L22" i="86" s="1"/>
  <c r="D45" i="37"/>
  <c r="G45" i="37" s="1"/>
  <c r="I23" i="37"/>
  <c r="D36" i="37"/>
  <c r="G36" i="37" s="1"/>
  <c r="I10" i="86"/>
  <c r="L10" i="86" s="1"/>
  <c r="H18" i="37"/>
  <c r="D9" i="37"/>
  <c r="H9" i="86"/>
  <c r="K9" i="86" s="1"/>
  <c r="I117" i="86"/>
  <c r="L117" i="86" s="1"/>
  <c r="H34" i="37"/>
  <c r="K34" i="37" s="1"/>
  <c r="E8" i="37"/>
  <c r="I9" i="37"/>
  <c r="D22" i="37"/>
  <c r="D20" i="37"/>
  <c r="I16" i="37"/>
  <c r="H44" i="37"/>
  <c r="K44" i="37" s="1"/>
  <c r="H41" i="37"/>
  <c r="K41" i="37" s="1"/>
  <c r="H26" i="37"/>
  <c r="F9" i="37"/>
  <c r="D34" i="37"/>
  <c r="G34" i="37" s="1"/>
  <c r="L47" i="37"/>
  <c r="O47" i="37" s="1"/>
  <c r="D8" i="37"/>
  <c r="I101" i="86"/>
  <c r="L101" i="86" s="1"/>
  <c r="M26" i="37"/>
  <c r="I156" i="86"/>
  <c r="L156" i="86" s="1"/>
  <c r="H35" i="37"/>
  <c r="K35" i="37" s="1"/>
  <c r="D40" i="37"/>
  <c r="G40" i="37" s="1"/>
  <c r="I79" i="86"/>
  <c r="L79" i="86" s="1"/>
  <c r="I141" i="86"/>
  <c r="L141" i="86" s="1"/>
  <c r="L41" i="37"/>
  <c r="O41" i="37" s="1"/>
  <c r="I92" i="86"/>
  <c r="L92" i="86" s="1"/>
  <c r="F8" i="37"/>
  <c r="F16" i="37"/>
  <c r="H9" i="37"/>
  <c r="I60" i="86"/>
  <c r="L60" i="86" s="1"/>
  <c r="D14" i="37"/>
  <c r="I82" i="86"/>
  <c r="L82" i="86" s="1"/>
  <c r="I14" i="86"/>
  <c r="L14" i="86" s="1"/>
  <c r="H20" i="37"/>
  <c r="D51" i="37"/>
  <c r="G51" i="37" s="1"/>
  <c r="I11" i="37"/>
  <c r="I68" i="86"/>
  <c r="L68" i="86" s="1"/>
  <c r="G16" i="37"/>
  <c r="F14" i="37"/>
  <c r="M8" i="37"/>
  <c r="I8" i="37"/>
  <c r="F22" i="37"/>
  <c r="I20" i="37"/>
  <c r="I70" i="86"/>
  <c r="L70" i="86" s="1"/>
  <c r="I107" i="86"/>
  <c r="L107" i="86" s="1"/>
  <c r="I168" i="86"/>
  <c r="L168" i="86" s="1"/>
  <c r="F18" i="37"/>
  <c r="I13" i="86"/>
  <c r="L13" i="86" s="1"/>
  <c r="I162" i="86"/>
  <c r="L162" i="86" s="1"/>
  <c r="H8" i="37"/>
  <c r="D18" i="37"/>
  <c r="I153" i="86"/>
  <c r="L153" i="86" s="1"/>
  <c r="D37" i="37"/>
  <c r="G37" i="37" s="1"/>
  <c r="H43" i="37"/>
  <c r="K43" i="37" s="1"/>
  <c r="I32" i="86"/>
  <c r="L32" i="86" s="1"/>
  <c r="I106" i="86"/>
  <c r="L106" i="86" s="1"/>
  <c r="I137" i="86"/>
  <c r="L137" i="86" s="1"/>
  <c r="I59" i="86"/>
  <c r="L59" i="86" s="1"/>
  <c r="I24" i="86"/>
  <c r="L24" i="86" s="1"/>
  <c r="L43" i="37"/>
  <c r="O43" i="37" s="1"/>
  <c r="I167" i="86"/>
  <c r="L167" i="86" s="1"/>
  <c r="I135" i="86"/>
  <c r="L135" i="86" s="1"/>
  <c r="I140" i="86"/>
  <c r="L140" i="86" s="1"/>
  <c r="D44" i="37"/>
  <c r="G44" i="37" s="1"/>
  <c r="I25" i="86"/>
  <c r="L25" i="86" s="1"/>
  <c r="D43" i="37"/>
  <c r="G43" i="37" s="1"/>
  <c r="I115" i="86"/>
  <c r="L115" i="86" s="1"/>
  <c r="G67" i="86"/>
  <c r="J67" i="86" s="1"/>
  <c r="G25" i="86"/>
  <c r="J25" i="86" s="1"/>
  <c r="D46" i="37"/>
  <c r="G46" i="37" s="1"/>
  <c r="G18" i="37"/>
  <c r="I102" i="86"/>
  <c r="L102" i="86" s="1"/>
  <c r="G36" i="86"/>
  <c r="J36" i="86" s="1"/>
  <c r="G158" i="86"/>
  <c r="J158" i="86" s="1"/>
  <c r="H80" i="86"/>
  <c r="K80" i="86" s="1"/>
  <c r="H83" i="86"/>
  <c r="K83" i="86" s="1"/>
  <c r="H37" i="37"/>
  <c r="K37" i="37" s="1"/>
  <c r="D41" i="37"/>
  <c r="G41" i="37" s="1"/>
  <c r="I34" i="86"/>
  <c r="L34" i="86" s="1"/>
  <c r="I93" i="86"/>
  <c r="L93" i="86" s="1"/>
  <c r="M14" i="37"/>
  <c r="L42" i="37"/>
  <c r="O42" i="37" s="1"/>
  <c r="I55" i="86"/>
  <c r="L55" i="86" s="1"/>
  <c r="I43" i="86"/>
  <c r="L43" i="86" s="1"/>
  <c r="I148" i="86"/>
  <c r="L148" i="86" s="1"/>
  <c r="H71" i="86"/>
  <c r="K71" i="86" s="1"/>
  <c r="H131" i="86"/>
  <c r="K131" i="86" s="1"/>
  <c r="H134" i="86"/>
  <c r="K134" i="86" s="1"/>
  <c r="G94" i="86"/>
  <c r="J94" i="86" s="1"/>
  <c r="G72" i="86"/>
  <c r="J72" i="86" s="1"/>
  <c r="G78" i="86"/>
  <c r="J78" i="86" s="1"/>
  <c r="G90" i="86"/>
  <c r="H127" i="86"/>
  <c r="K127" i="86" s="1"/>
  <c r="D21" i="37"/>
  <c r="G40" i="86"/>
  <c r="J40" i="86" s="1"/>
  <c r="G150" i="86"/>
  <c r="J150" i="86" s="1"/>
  <c r="I54" i="86"/>
  <c r="L54" i="86" s="1"/>
  <c r="I151" i="86"/>
  <c r="L151" i="86" s="1"/>
  <c r="I130" i="86"/>
  <c r="L130" i="86" s="1"/>
  <c r="I57" i="86"/>
  <c r="L57" i="86" s="1"/>
  <c r="G160" i="86"/>
  <c r="J160" i="86" s="1"/>
  <c r="K19" i="37"/>
  <c r="G62" i="86"/>
  <c r="J62" i="86" s="1"/>
  <c r="H90" i="86"/>
  <c r="K90" i="86" s="1"/>
  <c r="D35" i="37"/>
  <c r="G35" i="37" s="1"/>
  <c r="H85" i="86"/>
  <c r="K85" i="86" s="1"/>
  <c r="H120" i="86"/>
  <c r="K120" i="86" s="1"/>
  <c r="L21" i="37"/>
  <c r="H102" i="86"/>
  <c r="K102" i="86" s="1"/>
  <c r="H29" i="86"/>
  <c r="K29" i="86" s="1"/>
  <c r="H72" i="86"/>
  <c r="K72" i="86" s="1"/>
  <c r="G114" i="86"/>
  <c r="J114" i="86" s="1"/>
  <c r="G134" i="86"/>
  <c r="J134" i="86" s="1"/>
  <c r="G60" i="86"/>
  <c r="J60" i="86" s="1"/>
  <c r="G148" i="86"/>
  <c r="G32" i="86"/>
  <c r="J32" i="86" s="1"/>
  <c r="I23" i="86"/>
  <c r="L23" i="86" s="1"/>
  <c r="H45" i="37"/>
  <c r="K45" i="37" s="1"/>
  <c r="G22" i="86"/>
  <c r="J22" i="86" s="1"/>
  <c r="G27" i="86"/>
  <c r="J27" i="86" s="1"/>
  <c r="G101" i="86"/>
  <c r="J101" i="86" s="1"/>
  <c r="G20" i="86"/>
  <c r="J20" i="86" s="1"/>
  <c r="G147" i="86"/>
  <c r="G111" i="86"/>
  <c r="J111" i="86" s="1"/>
  <c r="G65" i="86"/>
  <c r="J65" i="86" s="1"/>
  <c r="H89" i="86"/>
  <c r="K89" i="86" s="1"/>
  <c r="H158" i="86"/>
  <c r="K158" i="86" s="1"/>
  <c r="G14" i="86"/>
  <c r="J14" i="86" s="1"/>
  <c r="H68" i="86"/>
  <c r="K68" i="86" s="1"/>
  <c r="H60" i="86"/>
  <c r="K60" i="86" s="1"/>
  <c r="H129" i="86"/>
  <c r="K129" i="86" s="1"/>
  <c r="J24" i="37"/>
  <c r="D47" i="37"/>
  <c r="G47" i="37" s="1"/>
  <c r="M22" i="37"/>
  <c r="I28" i="86"/>
  <c r="L28" i="86" s="1"/>
  <c r="G22" i="37"/>
  <c r="H36" i="37"/>
  <c r="K36" i="37" s="1"/>
  <c r="D10" i="37"/>
  <c r="L36" i="37"/>
  <c r="O36" i="37" s="1"/>
  <c r="L50" i="37"/>
  <c r="O50" i="37" s="1"/>
  <c r="G30" i="86"/>
  <c r="J30" i="86" s="1"/>
  <c r="H22" i="86"/>
  <c r="K22" i="86" s="1"/>
  <c r="G120" i="86"/>
  <c r="J120" i="86" s="1"/>
  <c r="G126" i="86"/>
  <c r="J126" i="86" s="1"/>
  <c r="G11" i="86"/>
  <c r="J11" i="86" s="1"/>
  <c r="G15" i="86"/>
  <c r="J15" i="86" s="1"/>
  <c r="G103" i="86"/>
  <c r="J103" i="86" s="1"/>
  <c r="G69" i="86"/>
  <c r="J69" i="86" s="1"/>
  <c r="L45" i="37"/>
  <c r="O45" i="37" s="1"/>
  <c r="G152" i="86"/>
  <c r="J152" i="86" s="1"/>
  <c r="G89" i="86"/>
  <c r="J89" i="86" s="1"/>
  <c r="G33" i="86"/>
  <c r="J33" i="86" s="1"/>
  <c r="H159" i="86"/>
  <c r="K159" i="86" s="1"/>
  <c r="G56" i="86"/>
  <c r="J56" i="86" s="1"/>
  <c r="H141" i="86"/>
  <c r="K141" i="86" s="1"/>
  <c r="D23" i="37"/>
  <c r="I11" i="86"/>
  <c r="L11" i="86" s="1"/>
  <c r="M10" i="37"/>
  <c r="H10" i="37"/>
  <c r="G9" i="37"/>
  <c r="I22" i="37"/>
  <c r="G28" i="86"/>
  <c r="J28" i="86" s="1"/>
  <c r="H25" i="37"/>
  <c r="H70" i="86"/>
  <c r="K70" i="86" s="1"/>
  <c r="H64" i="86"/>
  <c r="K64" i="86" s="1"/>
  <c r="H126" i="86"/>
  <c r="K126" i="86" s="1"/>
  <c r="G21" i="37"/>
  <c r="G4" i="86"/>
  <c r="J4" i="86" s="1"/>
  <c r="G153" i="86"/>
  <c r="J153" i="86" s="1"/>
  <c r="K21" i="37"/>
  <c r="G102" i="86"/>
  <c r="J102" i="86" s="1"/>
  <c r="H152" i="86"/>
  <c r="K152" i="86" s="1"/>
  <c r="H56" i="86"/>
  <c r="K56" i="86" s="1"/>
  <c r="H165" i="86"/>
  <c r="K165" i="86" s="1"/>
  <c r="H107" i="86"/>
  <c r="K107" i="86" s="1"/>
  <c r="J11" i="37"/>
  <c r="J8" i="37"/>
  <c r="G17" i="86"/>
  <c r="J17" i="86" s="1"/>
  <c r="L25" i="37"/>
  <c r="H11" i="86"/>
  <c r="K11" i="86" s="1"/>
  <c r="G25" i="37"/>
  <c r="I56" i="86"/>
  <c r="L56" i="86" s="1"/>
  <c r="H146" i="86"/>
  <c r="K146" i="86" s="1"/>
  <c r="D25" i="37"/>
  <c r="H113" i="86"/>
  <c r="K113" i="86" s="1"/>
  <c r="G141" i="86"/>
  <c r="N17" i="37"/>
  <c r="K26" i="37"/>
  <c r="K18" i="37"/>
  <c r="K11" i="37"/>
  <c r="H79" i="86"/>
  <c r="K79" i="86" s="1"/>
  <c r="H167" i="86"/>
  <c r="K167" i="86" s="1"/>
  <c r="N22" i="37"/>
  <c r="H18" i="86"/>
  <c r="K18" i="86" s="1"/>
  <c r="J25" i="37"/>
  <c r="H162" i="86"/>
  <c r="K162" i="86" s="1"/>
  <c r="H62" i="86"/>
  <c r="K62" i="86" s="1"/>
  <c r="G28" i="37"/>
  <c r="H39" i="86"/>
  <c r="K39" i="86" s="1"/>
  <c r="L18" i="37"/>
  <c r="H65" i="86"/>
  <c r="K65" i="86" s="1"/>
  <c r="M20" i="37"/>
  <c r="L27" i="37"/>
  <c r="H100" i="86"/>
  <c r="K100" i="86" s="1"/>
  <c r="H101" i="86"/>
  <c r="K101" i="86" s="1"/>
  <c r="L9" i="37"/>
  <c r="G163" i="86"/>
  <c r="J163" i="86" s="1"/>
  <c r="D28" i="37"/>
  <c r="G165" i="86"/>
  <c r="J165" i="86" s="1"/>
  <c r="G144" i="86"/>
  <c r="J144" i="86" s="1"/>
  <c r="G106" i="86"/>
  <c r="J106" i="86" s="1"/>
  <c r="G24" i="86"/>
  <c r="J24" i="86" s="1"/>
  <c r="L11" i="37"/>
  <c r="G85" i="86"/>
  <c r="J85" i="86" s="1"/>
  <c r="H92" i="86"/>
  <c r="K92" i="86" s="1"/>
  <c r="L10" i="37"/>
  <c r="J17" i="37"/>
  <c r="M25" i="37"/>
  <c r="L19" i="37"/>
  <c r="L20" i="37"/>
  <c r="H124" i="86"/>
  <c r="K124" i="86" s="1"/>
  <c r="H36" i="86"/>
  <c r="K36" i="86" s="1"/>
  <c r="H14" i="86"/>
  <c r="K14" i="86" s="1"/>
  <c r="H106" i="86"/>
  <c r="K106" i="86" s="1"/>
  <c r="H147" i="86"/>
  <c r="K147" i="86" s="1"/>
  <c r="H57" i="86"/>
  <c r="K57" i="86" s="1"/>
  <c r="H12" i="86"/>
  <c r="K12" i="86" s="1"/>
  <c r="H114" i="86"/>
  <c r="K114" i="86" s="1"/>
  <c r="H10" i="86"/>
  <c r="K10" i="86" s="1"/>
  <c r="H88" i="86"/>
  <c r="K88" i="86" s="1"/>
  <c r="G2" i="86"/>
  <c r="J2" i="86" s="1"/>
  <c r="G112" i="86"/>
  <c r="G55" i="86"/>
  <c r="J55" i="86" s="1"/>
  <c r="G21" i="86"/>
  <c r="J21" i="86" s="1"/>
  <c r="G57" i="86"/>
  <c r="J57" i="86" s="1"/>
  <c r="G10" i="86"/>
  <c r="G88" i="86"/>
  <c r="J88" i="86" s="1"/>
  <c r="G13" i="86"/>
  <c r="J13" i="86" s="1"/>
  <c r="F28" i="37"/>
  <c r="G116" i="86"/>
  <c r="J116" i="86" s="1"/>
  <c r="G113" i="86"/>
  <c r="G156" i="86"/>
  <c r="J156" i="86" s="1"/>
  <c r="H112" i="86"/>
  <c r="K112" i="86" s="1"/>
  <c r="N27" i="37"/>
  <c r="H116" i="86"/>
  <c r="K116" i="86" s="1"/>
  <c r="F21" i="37"/>
  <c r="H50" i="37"/>
  <c r="K50" i="37" s="1"/>
  <c r="I10" i="37"/>
  <c r="G10" i="37"/>
  <c r="D50" i="37"/>
  <c r="G50" i="37" s="1"/>
  <c r="L53" i="37"/>
  <c r="O53" i="37" s="1"/>
  <c r="I25" i="37"/>
  <c r="M28" i="37"/>
  <c r="H28" i="37"/>
  <c r="G99" i="86"/>
  <c r="J99" i="86" s="1"/>
  <c r="G100" i="86"/>
  <c r="J100" i="86" s="1"/>
  <c r="G140" i="86"/>
  <c r="J140" i="86" s="1"/>
  <c r="G121" i="86"/>
  <c r="J121" i="86" s="1"/>
  <c r="G12" i="86"/>
  <c r="J12" i="86" s="1"/>
  <c r="G142" i="86"/>
  <c r="J142" i="86" s="1"/>
  <c r="H59" i="86"/>
  <c r="K59" i="86" s="1"/>
  <c r="N11" i="37"/>
  <c r="H160" i="86"/>
  <c r="K160" i="86" s="1"/>
  <c r="K25" i="37"/>
  <c r="I136" i="86"/>
  <c r="L136" i="86" s="1"/>
  <c r="H17" i="86"/>
  <c r="K17" i="86" s="1"/>
  <c r="G96" i="86"/>
  <c r="J96" i="86" s="1"/>
  <c r="G167" i="86"/>
  <c r="J167" i="86" s="1"/>
  <c r="G131" i="86"/>
  <c r="J131" i="86" s="1"/>
  <c r="K16" i="37"/>
  <c r="G149" i="86"/>
  <c r="J149" i="86" s="1"/>
  <c r="G29" i="86"/>
  <c r="J29" i="86" s="1"/>
  <c r="N21" i="37"/>
  <c r="R15" i="43"/>
  <c r="G59" i="86"/>
  <c r="J59" i="86" s="1"/>
  <c r="K28" i="37"/>
  <c r="G128" i="86"/>
  <c r="J128" i="86" s="1"/>
  <c r="H27" i="86"/>
  <c r="K27" i="86" s="1"/>
  <c r="H148" i="86"/>
  <c r="K148" i="86" s="1"/>
  <c r="H98" i="86"/>
  <c r="K98" i="86" s="1"/>
  <c r="H24" i="86"/>
  <c r="K24" i="86" s="1"/>
  <c r="H96" i="86"/>
  <c r="K96" i="86" s="1"/>
  <c r="G97" i="86"/>
  <c r="J97" i="86" s="1"/>
  <c r="G136" i="86"/>
  <c r="J136" i="86" s="1"/>
  <c r="G95" i="86"/>
  <c r="J95" i="86" s="1"/>
  <c r="H32" i="86"/>
  <c r="K32" i="86" s="1"/>
  <c r="H140" i="86"/>
  <c r="K140" i="86" s="1"/>
  <c r="H157" i="86"/>
  <c r="K157" i="86" s="1"/>
  <c r="H121" i="86"/>
  <c r="K121" i="86" s="1"/>
  <c r="H28" i="86"/>
  <c r="K28" i="86" s="1"/>
  <c r="H142" i="86"/>
  <c r="K142" i="86" s="1"/>
  <c r="H153" i="86"/>
  <c r="K153" i="86" s="1"/>
  <c r="H97" i="86"/>
  <c r="K97" i="86" s="1"/>
  <c r="H91" i="86"/>
  <c r="K91" i="86" s="1"/>
  <c r="N23" i="37"/>
  <c r="J21" i="37"/>
  <c r="H103" i="86"/>
  <c r="K103" i="86" s="1"/>
  <c r="H54" i="86"/>
  <c r="K54" i="86" s="1"/>
  <c r="N25" i="37"/>
  <c r="H53" i="37"/>
  <c r="K53" i="37" s="1"/>
  <c r="J19" i="37"/>
  <c r="F25" i="37"/>
  <c r="N10" i="37"/>
  <c r="I165" i="86"/>
  <c r="L165" i="86" s="1"/>
  <c r="G91" i="86"/>
  <c r="J91" i="86" s="1"/>
  <c r="G9" i="86"/>
  <c r="G155" i="86"/>
  <c r="M17" i="36"/>
  <c r="N15" i="36"/>
  <c r="AL29" i="40"/>
  <c r="AM29" i="40"/>
  <c r="O25" i="36"/>
  <c r="O20" i="36"/>
  <c r="AO29" i="40"/>
  <c r="L22" i="37"/>
  <c r="L26" i="37"/>
  <c r="N20" i="37"/>
  <c r="N18" i="37"/>
  <c r="J26" i="37"/>
  <c r="J28" i="37"/>
  <c r="J10" i="37"/>
  <c r="J20" i="37"/>
  <c r="J14" i="37"/>
  <c r="J16" i="37"/>
  <c r="J23" i="37"/>
  <c r="J9" i="37"/>
  <c r="G137" i="86"/>
  <c r="J137" i="86" s="1"/>
  <c r="G168" i="86"/>
  <c r="J168" i="86" s="1"/>
  <c r="G34" i="86"/>
  <c r="J34" i="86" s="1"/>
  <c r="G107" i="86"/>
  <c r="J107" i="86" s="1"/>
  <c r="G117" i="86"/>
  <c r="G79" i="86"/>
  <c r="J79" i="86" s="1"/>
  <c r="G92" i="86"/>
  <c r="G159" i="86"/>
  <c r="J159" i="86" s="1"/>
  <c r="H130" i="86"/>
  <c r="K130" i="86" s="1"/>
  <c r="H95" i="86"/>
  <c r="K95" i="86" s="1"/>
  <c r="H128" i="86"/>
  <c r="K128" i="86" s="1"/>
  <c r="H2" i="86"/>
  <c r="K2" i="86" s="1"/>
  <c r="N8" i="37"/>
  <c r="N28" i="37"/>
  <c r="J22" i="37"/>
  <c r="N16" i="37"/>
  <c r="N14" i="37"/>
  <c r="K22" i="37"/>
  <c r="K8" i="37"/>
  <c r="G139" i="86"/>
  <c r="J139" i="86" s="1"/>
  <c r="G80" i="86"/>
  <c r="J80" i="86" s="1"/>
  <c r="G157" i="86"/>
  <c r="J157" i="86" s="1"/>
  <c r="K23" i="37"/>
  <c r="G18" i="86"/>
  <c r="J18" i="86" s="1"/>
  <c r="G162" i="86"/>
  <c r="J162" i="86" s="1"/>
  <c r="G82" i="86"/>
  <c r="K9" i="37"/>
  <c r="H69" i="86"/>
  <c r="K69" i="86" s="1"/>
  <c r="L16" i="37"/>
  <c r="H137" i="86"/>
  <c r="K137" i="86" s="1"/>
  <c r="G6" i="86"/>
  <c r="G166" i="86"/>
  <c r="J166" i="86" s="1"/>
  <c r="G35" i="86"/>
  <c r="J35" i="86" s="1"/>
  <c r="K10" i="37"/>
  <c r="H99" i="86"/>
  <c r="K99" i="86" s="1"/>
  <c r="L8" i="37"/>
  <c r="H139" i="86"/>
  <c r="K139" i="86" s="1"/>
  <c r="H25" i="86"/>
  <c r="K25" i="86" s="1"/>
  <c r="H168" i="86"/>
  <c r="K168" i="86" s="1"/>
  <c r="H55" i="86"/>
  <c r="K55" i="86" s="1"/>
  <c r="N26" i="37"/>
  <c r="N9" i="37"/>
  <c r="N19" i="37"/>
  <c r="H67" i="86"/>
  <c r="K67" i="86" s="1"/>
  <c r="H135" i="86"/>
  <c r="K135" i="86" s="1"/>
  <c r="H149" i="86"/>
  <c r="K149" i="86" s="1"/>
  <c r="H150" i="86"/>
  <c r="K150" i="86" s="1"/>
  <c r="L14" i="37"/>
  <c r="H20" i="86"/>
  <c r="K20" i="86" s="1"/>
  <c r="H163" i="86"/>
  <c r="K163" i="86" s="1"/>
  <c r="H33" i="86"/>
  <c r="K33" i="86" s="1"/>
  <c r="H78" i="86"/>
  <c r="K78" i="86" s="1"/>
  <c r="H6" i="86"/>
  <c r="K6" i="86" s="1"/>
  <c r="H166" i="86"/>
  <c r="K166" i="86" s="1"/>
  <c r="L17" i="37"/>
  <c r="H34" i="86"/>
  <c r="K34" i="86" s="1"/>
  <c r="H93" i="86"/>
  <c r="K93" i="86" s="1"/>
  <c r="H23" i="86"/>
  <c r="K23" i="86" s="1"/>
  <c r="H136" i="86"/>
  <c r="K136" i="86" s="1"/>
  <c r="H143" i="86"/>
  <c r="K143" i="86" s="1"/>
  <c r="J18" i="37"/>
  <c r="I28" i="37"/>
  <c r="D53" i="37"/>
  <c r="G53" i="37" s="1"/>
  <c r="G70" i="86"/>
  <c r="G68" i="86"/>
  <c r="J68" i="86" s="1"/>
  <c r="H144" i="86"/>
  <c r="K144" i="86" s="1"/>
  <c r="K14" i="37"/>
  <c r="K27" i="37"/>
  <c r="I21" i="37"/>
  <c r="L28" i="37"/>
  <c r="K20" i="37"/>
  <c r="H21" i="86"/>
  <c r="K21" i="86" s="1"/>
  <c r="G37" i="86"/>
  <c r="J37" i="86" s="1"/>
  <c r="L23" i="37"/>
  <c r="H15" i="86"/>
  <c r="K15" i="86" s="1"/>
  <c r="H30" i="86"/>
  <c r="K30" i="86" s="1"/>
  <c r="O9" i="36"/>
  <c r="AC24" i="66"/>
  <c r="AG24" i="66"/>
  <c r="Z24" i="66" s="1"/>
  <c r="AB24" i="66"/>
  <c r="M21" i="36"/>
  <c r="O15" i="36"/>
  <c r="M22" i="36"/>
  <c r="M27" i="36"/>
  <c r="O27" i="36"/>
  <c r="O18" i="36"/>
  <c r="N9" i="36"/>
  <c r="O16" i="36"/>
  <c r="N20" i="36"/>
  <c r="M20" i="36"/>
  <c r="N8" i="36"/>
  <c r="O8" i="36"/>
  <c r="N25" i="36"/>
  <c r="M25" i="36"/>
  <c r="M16" i="86"/>
  <c r="M53" i="86"/>
  <c r="M26" i="86"/>
  <c r="M47" i="86"/>
  <c r="M108" i="86"/>
  <c r="M45" i="86"/>
  <c r="M38" i="86"/>
  <c r="M77" i="86"/>
  <c r="M41" i="86"/>
  <c r="M110" i="86"/>
  <c r="M119" i="86"/>
  <c r="F19" i="43"/>
  <c r="G19" i="43" s="1"/>
  <c r="O15" i="43"/>
  <c r="P15" i="43" s="1"/>
  <c r="O14" i="43"/>
  <c r="AD21" i="43" s="1"/>
  <c r="AE21" i="43" s="1"/>
  <c r="F18" i="43"/>
  <c r="G18" i="43" s="1"/>
  <c r="J18" i="43" s="1"/>
  <c r="J138" i="86"/>
  <c r="M138" i="86"/>
  <c r="F16" i="43"/>
  <c r="J42" i="86"/>
  <c r="M42" i="86"/>
  <c r="M122" i="86"/>
  <c r="M109" i="86"/>
  <c r="J109" i="86"/>
  <c r="J44" i="86"/>
  <c r="M52" i="86"/>
  <c r="J52" i="86"/>
  <c r="J105" i="86"/>
  <c r="M105" i="86"/>
  <c r="M123" i="86"/>
  <c r="J123" i="86"/>
  <c r="J43" i="86"/>
  <c r="J31" i="86"/>
  <c r="M31" i="86"/>
  <c r="M7" i="86"/>
  <c r="M125" i="86"/>
  <c r="J125" i="86"/>
  <c r="J104" i="86"/>
  <c r="M104" i="86"/>
  <c r="M61" i="86"/>
  <c r="J61" i="86"/>
  <c r="J84" i="86"/>
  <c r="M84" i="86"/>
  <c r="J133" i="86"/>
  <c r="M133" i="86"/>
  <c r="J75" i="86"/>
  <c r="M75" i="86"/>
  <c r="J76" i="86"/>
  <c r="M76" i="86"/>
  <c r="F17" i="43"/>
  <c r="G17" i="43" s="1"/>
  <c r="J17" i="43" s="1"/>
  <c r="M118" i="86"/>
  <c r="M49" i="86"/>
  <c r="M132" i="86"/>
  <c r="J132" i="86"/>
  <c r="M46" i="86"/>
  <c r="M48" i="86"/>
  <c r="M145" i="86"/>
  <c r="J122" i="86"/>
  <c r="J154" i="86"/>
  <c r="M154" i="86"/>
  <c r="J83" i="86"/>
  <c r="J86" i="86"/>
  <c r="M86" i="86"/>
  <c r="M74" i="86"/>
  <c r="J39" i="86"/>
  <c r="J73" i="86"/>
  <c r="M73" i="86"/>
  <c r="M81" i="86"/>
  <c r="M161" i="86"/>
  <c r="N19" i="36"/>
  <c r="F40" i="40"/>
  <c r="J35" i="40" l="1"/>
  <c r="I36" i="40"/>
  <c r="I33" i="40"/>
  <c r="J33" i="40"/>
  <c r="J38" i="40"/>
  <c r="J39" i="40"/>
  <c r="J36" i="40"/>
  <c r="I37" i="40"/>
  <c r="I38" i="40"/>
  <c r="J37" i="40"/>
  <c r="J34" i="40"/>
  <c r="I35" i="40"/>
  <c r="I34" i="40"/>
  <c r="I39" i="40"/>
  <c r="S15" i="43"/>
  <c r="M28" i="36"/>
  <c r="L28" i="36"/>
  <c r="M58" i="86"/>
  <c r="M19" i="86"/>
  <c r="M71" i="86"/>
  <c r="M51" i="86"/>
  <c r="M50" i="86"/>
  <c r="M164" i="86"/>
  <c r="M63" i="86"/>
  <c r="M151" i="86"/>
  <c r="M9" i="86"/>
  <c r="M113" i="86"/>
  <c r="M87" i="86"/>
  <c r="M115" i="86"/>
  <c r="M3" i="86"/>
  <c r="Z19" i="43"/>
  <c r="AA19" i="43" s="1"/>
  <c r="J19" i="43"/>
  <c r="M60" i="86"/>
  <c r="M40" i="86"/>
  <c r="M44" i="86"/>
  <c r="M62" i="86"/>
  <c r="M146" i="86"/>
  <c r="M5" i="86"/>
  <c r="M111" i="86"/>
  <c r="M94" i="86"/>
  <c r="M8" i="86"/>
  <c r="M101" i="86"/>
  <c r="M155" i="86"/>
  <c r="M120" i="86"/>
  <c r="M147" i="86"/>
  <c r="M90" i="86"/>
  <c r="M127" i="86"/>
  <c r="M66" i="86"/>
  <c r="J146" i="86"/>
  <c r="J113" i="86"/>
  <c r="J90" i="86"/>
  <c r="M32" i="86"/>
  <c r="M158" i="86"/>
  <c r="M129" i="86"/>
  <c r="M148" i="86"/>
  <c r="M64" i="86"/>
  <c r="M82" i="86"/>
  <c r="D29" i="37"/>
  <c r="G29" i="37"/>
  <c r="J147" i="86"/>
  <c r="M89" i="86"/>
  <c r="M131" i="86"/>
  <c r="M134" i="86"/>
  <c r="M117" i="86"/>
  <c r="M65" i="86"/>
  <c r="M22" i="86"/>
  <c r="M83" i="86"/>
  <c r="M43" i="86"/>
  <c r="J148" i="86"/>
  <c r="M124" i="86"/>
  <c r="H29" i="37"/>
  <c r="M156" i="86"/>
  <c r="M141" i="86"/>
  <c r="M11" i="86"/>
  <c r="M167" i="86"/>
  <c r="M152" i="86"/>
  <c r="M4" i="86"/>
  <c r="M70" i="86"/>
  <c r="M72" i="86"/>
  <c r="O54" i="37"/>
  <c r="E29" i="37"/>
  <c r="J141" i="86"/>
  <c r="M85" i="86"/>
  <c r="M29" i="37"/>
  <c r="M17" i="86"/>
  <c r="M88" i="86"/>
  <c r="M126" i="86"/>
  <c r="M54" i="86"/>
  <c r="M36" i="86"/>
  <c r="M56" i="86"/>
  <c r="M13" i="86"/>
  <c r="M59" i="86"/>
  <c r="F29" i="37"/>
  <c r="M12" i="86"/>
  <c r="M160" i="86"/>
  <c r="J117" i="86"/>
  <c r="M102" i="86"/>
  <c r="M14" i="86"/>
  <c r="M39" i="86"/>
  <c r="J155" i="86"/>
  <c r="M140" i="86"/>
  <c r="M57" i="86"/>
  <c r="L54" i="37"/>
  <c r="I29" i="37"/>
  <c r="M10" i="86"/>
  <c r="M112" i="86"/>
  <c r="M80" i="86"/>
  <c r="M92" i="86"/>
  <c r="M29" i="86"/>
  <c r="J29" i="37"/>
  <c r="J112" i="86"/>
  <c r="K54" i="37"/>
  <c r="M142" i="86"/>
  <c r="M2" i="86"/>
  <c r="M116" i="86"/>
  <c r="J10" i="86"/>
  <c r="M153" i="86"/>
  <c r="M100" i="86"/>
  <c r="M55" i="86"/>
  <c r="M106" i="86"/>
  <c r="H54" i="37"/>
  <c r="K29" i="37"/>
  <c r="N29" i="37"/>
  <c r="M114" i="86"/>
  <c r="M69" i="86"/>
  <c r="M98" i="86"/>
  <c r="M165" i="86"/>
  <c r="M103" i="86"/>
  <c r="M97" i="86"/>
  <c r="M107" i="86"/>
  <c r="M91" i="86"/>
  <c r="J9" i="86"/>
  <c r="M121" i="86"/>
  <c r="M67" i="86"/>
  <c r="M159" i="86"/>
  <c r="M18" i="86"/>
  <c r="M28" i="86"/>
  <c r="M143" i="86"/>
  <c r="M27" i="86"/>
  <c r="M96" i="86"/>
  <c r="L29" i="37"/>
  <c r="M24" i="86"/>
  <c r="D54" i="37"/>
  <c r="M37" i="86"/>
  <c r="M139" i="86"/>
  <c r="M157" i="86"/>
  <c r="M79" i="86"/>
  <c r="M93" i="86"/>
  <c r="M33" i="86"/>
  <c r="M130" i="86"/>
  <c r="M162" i="86"/>
  <c r="M35" i="86"/>
  <c r="M135" i="86"/>
  <c r="M136" i="86"/>
  <c r="M20" i="86"/>
  <c r="M21" i="86"/>
  <c r="M68" i="86"/>
  <c r="M144" i="86"/>
  <c r="J70" i="86"/>
  <c r="M6" i="86"/>
  <c r="J82" i="86"/>
  <c r="M166" i="86"/>
  <c r="J6" i="86"/>
  <c r="J92" i="86"/>
  <c r="G54" i="37"/>
  <c r="M34" i="86"/>
  <c r="M168" i="86"/>
  <c r="M149" i="86"/>
  <c r="M150" i="86"/>
  <c r="M99" i="86"/>
  <c r="M128" i="86"/>
  <c r="M163" i="86"/>
  <c r="M95" i="86"/>
  <c r="M15" i="86"/>
  <c r="M23" i="86"/>
  <c r="M137" i="86"/>
  <c r="M25" i="86"/>
  <c r="M78" i="86"/>
  <c r="M30" i="86"/>
  <c r="O28" i="36"/>
  <c r="Z22" i="43"/>
  <c r="AA22" i="43" s="1"/>
  <c r="AD22" i="43"/>
  <c r="AE22" i="43" s="1"/>
  <c r="AD15" i="43"/>
  <c r="AE15" i="43" s="1"/>
  <c r="Z15" i="43"/>
  <c r="AA15" i="43" s="1"/>
  <c r="Z17" i="43"/>
  <c r="AA17" i="43" s="1"/>
  <c r="AD19" i="43"/>
  <c r="AE19" i="43" s="1"/>
  <c r="AD17" i="43"/>
  <c r="AE17" i="43" s="1"/>
  <c r="AD14" i="43"/>
  <c r="AE14" i="43" s="1"/>
  <c r="P14" i="43"/>
  <c r="S14" i="43" s="1"/>
  <c r="P13" i="43"/>
  <c r="AD18" i="43"/>
  <c r="AE18" i="43" s="1"/>
  <c r="Z18" i="43"/>
  <c r="AA18" i="43" s="1"/>
  <c r="AD13" i="43"/>
  <c r="AE13" i="43" s="1"/>
  <c r="G16" i="43"/>
  <c r="AD16" i="43"/>
  <c r="AE16" i="43" s="1"/>
  <c r="Z13" i="43"/>
  <c r="AA13" i="43" s="1"/>
  <c r="Z14" i="43"/>
  <c r="AA14" i="43" s="1"/>
  <c r="I40" i="40" l="1"/>
  <c r="J40" i="40"/>
  <c r="Z20" i="43"/>
  <c r="AA20" i="43" s="1"/>
  <c r="S13" i="43"/>
  <c r="Z21" i="43"/>
  <c r="AA21" i="43" s="1"/>
  <c r="Z16" i="43"/>
  <c r="AA16" i="43" s="1"/>
  <c r="J16" i="43"/>
</calcChain>
</file>

<file path=xl/sharedStrings.xml><?xml version="1.0" encoding="utf-8"?>
<sst xmlns="http://schemas.openxmlformats.org/spreadsheetml/2006/main" count="17734" uniqueCount="1476">
  <si>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</si>
  <si>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</si>
  <si>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</si>
  <si>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</si>
  <si>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</si>
  <si>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</si>
  <si>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</si>
  <si>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</si>
  <si>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</si>
  <si>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</si>
  <si>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</si>
  <si>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</si>
  <si>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</si>
  <si>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</si>
  <si>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</si>
  <si>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</si>
  <si>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</si>
  <si>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</si>
  <si>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</si>
  <si>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</si>
  <si>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</si>
  <si>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</si>
  <si>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</si>
  <si>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</si>
  <si>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</si>
  <si>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</si>
  <si>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</si>
  <si>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</si>
  <si>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</si>
  <si>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</si>
  <si>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</si>
  <si>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</si>
  <si>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</si>
  <si>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</si>
  <si>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</si>
  <si>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</si>
  <si>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</si>
  <si>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</si>
  <si>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</si>
  <si>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</si>
  <si>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</si>
  <si>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</si>
  <si>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</si>
  <si>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</si>
  <si>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</si>
  <si>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</si>
  <si>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</si>
  <si>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</si>
  <si>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</si>
  <si>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</si>
  <si>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</si>
  <si>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</si>
  <si>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</si>
  <si>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</si>
  <si>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</si>
  <si>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</si>
  <si>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</si>
  <si>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</si>
  <si>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</si>
  <si>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</si>
  <si>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</si>
  <si>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</si>
  <si>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</si>
  <si>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</si>
  <si>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</si>
  <si>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</si>
  <si>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</si>
  <si>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</si>
  <si>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</si>
  <si>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</si>
  <si>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</si>
  <si>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</si>
  <si>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</si>
  <si>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</si>
  <si>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</si>
  <si>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</si>
  <si>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</si>
  <si>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</si>
  <si>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</si>
  <si>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</si>
  <si>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</si>
  <si>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</si>
  <si>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</si>
  <si>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</si>
  <si>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</si>
  <si>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</si>
  <si>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</si>
  <si>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</si>
  <si>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</si>
  <si>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</si>
  <si>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</si>
  <si>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</si>
  <si>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</si>
  <si>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</si>
  <si>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</si>
  <si>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</si>
  <si>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</si>
  <si>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</si>
  <si>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</si>
  <si>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</si>
  <si>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</si>
  <si>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</si>
  <si>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</si>
  <si>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</si>
  <si>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</si>
  <si>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</si>
  <si>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</si>
  <si>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</si>
  <si>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</si>
  <si>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</si>
  <si>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</si>
  <si>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</si>
  <si>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</si>
  <si>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</si>
  <si>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</si>
  <si>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</si>
  <si>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</si>
  <si>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</si>
  <si>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</si>
  <si>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</si>
  <si>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</si>
  <si>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</si>
  <si>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</si>
  <si>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</si>
  <si>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</si>
  <si>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</si>
  <si>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</si>
  <si>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</si>
  <si>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</si>
  <si>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</si>
  <si>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</si>
  <si>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</si>
  <si>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</si>
  <si>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</si>
  <si>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</si>
  <si>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</si>
  <si>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</si>
  <si>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</si>
  <si>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</si>
  <si>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</si>
  <si>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</si>
  <si>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</si>
  <si>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</si>
  <si>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</si>
  <si>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</si>
  <si>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</si>
  <si>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</si>
  <si>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</si>
  <si>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</si>
  <si>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</si>
  <si>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</si>
  <si>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</si>
  <si>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</si>
  <si>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</si>
  <si>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</si>
  <si>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</si>
  <si>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</si>
  <si>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</si>
  <si>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</si>
  <si>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</si>
  <si>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</si>
  <si>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</si>
  <si>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</si>
  <si>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</si>
  <si>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</si>
  <si>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</si>
  <si>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</si>
  <si>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</si>
  <si>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</si>
  <si>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</si>
  <si>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</si>
  <si>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</si>
  <si>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</si>
  <si>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</si>
  <si>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</si>
  <si>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</si>
  <si>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</si>
  <si>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</si>
  <si>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</si>
  <si>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</si>
  <si>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</si>
  <si>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</si>
  <si>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</si>
  <si>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</si>
  <si>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</si>
  <si>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</si>
  <si>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</si>
  <si>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</si>
  <si>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</si>
  <si>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</si>
  <si>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</si>
  <si>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</si>
  <si>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</si>
  <si>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</si>
  <si>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</si>
  <si>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</si>
  <si>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</si>
  <si>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</si>
  <si>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</si>
  <si>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</si>
  <si>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</si>
  <si>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</si>
  <si>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</si>
  <si>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</si>
  <si>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</si>
  <si>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</si>
  <si>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</si>
  <si>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</si>
  <si>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</si>
  <si>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</si>
  <si>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</si>
  <si>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</si>
  <si>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</si>
  <si>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</si>
  <si>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</si>
  <si>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</si>
  <si>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</si>
  <si>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</si>
  <si>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</si>
  <si>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</si>
  <si>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</si>
  <si>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</si>
  <si>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</si>
  <si>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</si>
  <si>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</si>
  <si>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</si>
  <si>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</si>
  <si>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</si>
  <si>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</si>
  <si>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</si>
  <si>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</si>
  <si>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</si>
  <si>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</si>
  <si>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</si>
  <si>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</si>
  <si>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</si>
  <si>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</si>
  <si>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</si>
  <si>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</si>
  <si>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</si>
  <si>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</si>
  <si>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</si>
  <si>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</si>
  <si>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</si>
  <si>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</si>
  <si>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</si>
  <si>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</si>
  <si>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</si>
  <si>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</si>
  <si>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</si>
  <si>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</si>
  <si>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</si>
  <si>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</si>
  <si>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</si>
  <si>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</si>
  <si>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</si>
  <si>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</si>
  <si>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</si>
  <si>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</si>
  <si>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</si>
  <si>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</si>
  <si>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</si>
  <si>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</si>
  <si>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</si>
  <si>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</si>
  <si>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</si>
  <si>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</si>
  <si>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</si>
  <si>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</si>
  <si>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</si>
  <si>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</si>
  <si>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</si>
  <si>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</si>
  <si>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</si>
  <si>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</si>
  <si>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</si>
  <si>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</si>
  <si>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</si>
  <si>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</si>
  <si>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</si>
  <si>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</si>
  <si>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</si>
  <si>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</si>
  <si>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</si>
  <si>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</si>
  <si>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</si>
  <si>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</si>
  <si>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</si>
  <si>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</si>
  <si>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</si>
  <si>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</si>
  <si>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</si>
  <si>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</si>
  <si>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</si>
  <si>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</si>
  <si>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</si>
  <si>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</si>
  <si>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</si>
  <si>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</si>
  <si>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</si>
  <si>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</si>
  <si>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</si>
  <si>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</si>
  <si>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</si>
  <si>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</si>
  <si>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</si>
  <si>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</si>
  <si>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</si>
  <si>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</si>
  <si>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</si>
  <si>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</si>
  <si>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</si>
  <si>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</si>
  <si>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</si>
  <si>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</si>
  <si>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</si>
  <si>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</si>
  <si>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</si>
  <si>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</si>
  <si>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</si>
  <si>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</si>
  <si>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</si>
  <si>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</si>
  <si>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</si>
  <si>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</si>
  <si>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</si>
  <si>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</si>
  <si>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</si>
  <si>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</si>
  <si>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</si>
  <si>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</si>
  <si>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</si>
  <si>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</si>
  <si>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</si>
  <si>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</si>
  <si>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</si>
  <si>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</si>
  <si>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</si>
  <si>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</si>
  <si>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</si>
  <si>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</si>
  <si>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</si>
  <si>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</si>
  <si>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</si>
  <si>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</si>
  <si>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</si>
  <si>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</si>
  <si>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</si>
  <si>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</si>
  <si>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</si>
  <si>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</si>
  <si>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</si>
  <si>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</si>
  <si>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</si>
  <si>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</si>
  <si>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</si>
  <si>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</si>
  <si>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</si>
  <si>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</si>
  <si>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</si>
  <si>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</si>
  <si>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</si>
  <si>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</si>
  <si>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</si>
  <si>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</si>
  <si>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</si>
  <si>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</si>
  <si>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</si>
  <si>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</si>
  <si>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</si>
  <si>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</si>
  <si>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</si>
  <si>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</si>
  <si>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</si>
  <si>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</si>
  <si>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</si>
  <si>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</si>
  <si>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</si>
  <si>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</si>
  <si>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</si>
  <si>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</si>
  <si>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</si>
  <si>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</si>
  <si>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</si>
  <si>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</si>
  <si>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</si>
  <si>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</si>
  <si>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</si>
  <si>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</si>
  <si>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MMR015CMP023</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</si>
  <si>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</si>
  <si>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</si>
  <si>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</si>
  <si>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</si>
  <si>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</si>
  <si>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</si>
  <si>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</si>
  <si>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</si>
  <si>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</si>
  <si>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</si>
  <si>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</si>
  <si>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</si>
  <si>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</si>
  <si>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</si>
  <si>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</si>
  <si>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</si>
  <si>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</si>
  <si>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</si>
  <si>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</si>
  <si>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</si>
  <si>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</si>
  <si>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</si>
  <si>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</si>
  <si>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</si>
  <si>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</si>
  <si>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</si>
  <si>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</si>
  <si>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</si>
  <si>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</si>
  <si>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</si>
  <si>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</si>
  <si>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</si>
  <si>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</si>
  <si>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</si>
  <si>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</si>
  <si>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</si>
  <si>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</si>
  <si>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</si>
  <si>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</si>
  <si>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</si>
  <si>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</si>
  <si>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</si>
  <si>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</si>
  <si>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</si>
  <si>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</si>
  <si>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</si>
  <si>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</si>
  <si>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</si>
  <si>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</si>
  <si>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</si>
  <si>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</si>
  <si>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</si>
  <si>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</si>
  <si>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</si>
  <si>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</si>
  <si>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 of IDP</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</si>
  <si>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</si>
  <si>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</si>
  <si>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</si>
  <si>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</si>
  <si>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</si>
  <si>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</si>
  <si>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</si>
  <si>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</si>
  <si>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</si>
  <si>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</si>
  <si>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</si>
  <si>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</si>
  <si>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</si>
  <si>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</si>
  <si>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</si>
  <si>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</si>
  <si>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</si>
  <si>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</si>
  <si>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</si>
  <si>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</si>
  <si>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</si>
  <si>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</si>
  <si>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</si>
  <si>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</si>
  <si>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</si>
  <si>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</si>
  <si>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</si>
  <si>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</si>
  <si>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</si>
  <si>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</si>
  <si>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</si>
  <si>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</si>
  <si>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</si>
  <si>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</si>
  <si>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</si>
  <si>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</si>
  <si>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</si>
  <si>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</si>
  <si>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</si>
  <si>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</si>
  <si>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</si>
  <si>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</si>
  <si>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</si>
  <si>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</si>
  <si>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</si>
  <si>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</si>
  <si>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</si>
  <si>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</si>
  <si>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</si>
  <si>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</si>
  <si>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</si>
  <si>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</si>
  <si>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</si>
  <si>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</si>
  <si>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</si>
  <si>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</si>
  <si>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</si>
  <si>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</si>
  <si>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</si>
  <si>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</si>
  <si>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</si>
  <si>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</si>
  <si>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</si>
  <si>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</si>
  <si>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</si>
  <si>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</si>
  <si>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</si>
  <si>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</si>
  <si>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</si>
  <si>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</si>
  <si>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</si>
  <si>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</si>
  <si>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</si>
  <si>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</si>
  <si>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</si>
  <si>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</si>
  <si>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</si>
  <si>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</si>
  <si>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</si>
  <si>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</si>
  <si>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</si>
  <si>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</si>
  <si>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</si>
  <si>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</si>
  <si>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</si>
  <si>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</si>
  <si>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</si>
  <si>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</si>
  <si>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</si>
  <si>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</si>
  <si>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</si>
  <si>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</si>
  <si>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</si>
  <si>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</si>
  <si>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</si>
  <si>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</si>
  <si>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</si>
  <si>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</si>
  <si>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</si>
  <si>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</si>
  <si>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</si>
  <si>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</si>
  <si>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</si>
  <si>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</si>
  <si>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</si>
  <si>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</si>
  <si>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</si>
  <si>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</si>
  <si>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</si>
  <si>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</si>
  <si>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</si>
  <si>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</si>
  <si>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</si>
  <si>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</si>
  <si>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</si>
  <si>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</si>
  <si>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</si>
  <si>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</si>
  <si>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</si>
  <si>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</si>
  <si>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</si>
  <si>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</si>
  <si>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</si>
  <si>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</si>
  <si>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</si>
  <si>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</si>
  <si>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</si>
  <si>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</si>
  <si>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</si>
  <si>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</si>
  <si>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</si>
  <si>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</si>
  <si>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</si>
  <si>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</si>
  <si>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</si>
  <si>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</si>
  <si>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</si>
  <si>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</si>
  <si>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</si>
  <si>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</si>
  <si>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</si>
  <si>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</si>
  <si>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</si>
  <si>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</si>
  <si>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</si>
  <si>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</si>
  <si>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</si>
  <si>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</si>
  <si>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</si>
  <si>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</si>
  <si>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</si>
  <si>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</si>
  <si>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</si>
  <si>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</si>
  <si>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</si>
  <si>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</si>
  <si>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</si>
  <si>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</si>
  <si>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</si>
  <si>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</si>
  <si>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</si>
  <si>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</si>
  <si>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</si>
  <si>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</si>
  <si>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</si>
  <si>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</si>
  <si>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</si>
  <si>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</si>
  <si>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</si>
  <si>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</si>
  <si>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</si>
  <si>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</si>
  <si>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</si>
  <si>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</si>
  <si>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</si>
  <si>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</si>
  <si>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</si>
  <si>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</si>
  <si>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</si>
  <si>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</si>
  <si>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</si>
  <si>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</si>
  <si>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</si>
  <si>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</si>
  <si>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</si>
  <si>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</si>
  <si>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</si>
  <si>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</si>
  <si>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</si>
  <si>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</si>
  <si>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</si>
  <si>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</si>
  <si>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</si>
  <si>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</si>
  <si>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</si>
  <si>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</si>
  <si>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</si>
  <si>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</si>
  <si>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</si>
  <si>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</si>
  <si>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</si>
  <si>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</si>
  <si>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</si>
  <si>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</si>
  <si>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</si>
  <si>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</si>
  <si>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</si>
  <si>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</si>
  <si>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</si>
  <si>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</si>
  <si>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</si>
  <si>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</si>
  <si>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</si>
  <si>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</si>
  <si>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</si>
  <si>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</si>
  <si>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</si>
  <si>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</si>
  <si>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</si>
  <si>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</si>
  <si>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</si>
  <si>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</si>
  <si>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</si>
  <si>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</si>
  <si>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</si>
  <si>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</si>
  <si>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</si>
  <si>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</si>
  <si>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</si>
  <si>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</si>
  <si>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</si>
  <si>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</si>
  <si>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</si>
  <si>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</si>
  <si>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</si>
  <si>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</si>
  <si>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</si>
  <si>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</si>
  <si>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</si>
  <si>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</si>
  <si>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</si>
  <si>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</si>
  <si>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</si>
  <si>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</si>
  <si>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</si>
  <si>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</si>
  <si>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</si>
  <si>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</si>
  <si>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</si>
  <si>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</si>
  <si>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</si>
  <si>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</si>
  <si>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</si>
  <si>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</si>
  <si>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</si>
  <si>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</si>
  <si>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</si>
  <si>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</si>
  <si>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</si>
  <si>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</si>
  <si>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</si>
  <si>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</si>
  <si>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</si>
  <si>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</si>
  <si>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</si>
  <si>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</si>
  <si>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</si>
  <si>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</si>
  <si>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</si>
  <si>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</si>
  <si>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</si>
  <si>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</si>
  <si>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</si>
  <si>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</si>
  <si>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</si>
  <si>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</si>
  <si>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</si>
  <si>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</si>
  <si>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</si>
  <si>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</si>
  <si>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</si>
  <si>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</si>
  <si>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</si>
  <si>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</si>
  <si>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</si>
  <si>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</si>
  <si>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</si>
  <si>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</si>
  <si>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</si>
  <si>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</si>
  <si>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</si>
  <si>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</si>
  <si>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</si>
  <si>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</si>
  <si>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</si>
  <si>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</si>
  <si>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</si>
  <si>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</si>
  <si>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</si>
  <si>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</si>
  <si>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</si>
  <si>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</si>
  <si>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</si>
  <si>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</si>
  <si>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</si>
  <si>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</si>
  <si>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</si>
  <si>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</si>
  <si>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</si>
  <si>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</si>
  <si>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</si>
  <si>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</si>
  <si>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</si>
  <si>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</si>
  <si>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</si>
  <si>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</si>
  <si>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</si>
  <si>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Loi Je</t>
  </si>
  <si>
    <t>Pa Jau</t>
  </si>
  <si>
    <t>Kawng Hsa (Lwegel Sub-township)</t>
  </si>
  <si>
    <t>MMR001012033</t>
  </si>
  <si>
    <t>Mai Gyar Yang</t>
  </si>
  <si>
    <t>Hpawt Dawt</t>
  </si>
  <si>
    <t>MMR001002032</t>
  </si>
  <si>
    <t>Zai Aung</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</si>
  <si>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</si>
  <si>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</si>
  <si>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</si>
  <si>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</si>
  <si>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</si>
  <si>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</si>
  <si>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</si>
  <si>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</si>
  <si>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</si>
  <si>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</si>
  <si>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</si>
  <si>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</si>
  <si>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</si>
  <si>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</si>
  <si>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</si>
  <si>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</si>
  <si>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</si>
  <si>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</si>
  <si>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</si>
  <si>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</si>
  <si>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</si>
  <si>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</si>
  <si>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</si>
  <si>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</si>
  <si>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</si>
  <si>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</si>
  <si>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</si>
  <si>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</si>
  <si>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</si>
  <si>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</si>
  <si>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</si>
  <si>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</si>
  <si>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</si>
  <si>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</si>
  <si>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</si>
  <si>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</si>
  <si>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</si>
  <si>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</si>
  <si>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</si>
  <si>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</si>
  <si>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</si>
  <si>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</si>
  <si>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</si>
  <si>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</si>
  <si>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</si>
  <si>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</si>
  <si>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</si>
  <si>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</si>
  <si>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</si>
  <si>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Ward (2)</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</si>
  <si>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</si>
  <si>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</si>
  <si>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</si>
  <si>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</si>
  <si>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</si>
  <si>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</si>
  <si>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</si>
  <si>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</si>
  <si>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</si>
  <si>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</si>
  <si>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</si>
  <si>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</si>
  <si>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</si>
  <si>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</si>
  <si>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</si>
  <si>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</si>
  <si>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</si>
  <si>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</si>
  <si>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</si>
  <si>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</si>
  <si>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</si>
  <si>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</si>
  <si>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</si>
  <si>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</si>
  <si>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</si>
  <si>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</si>
  <si>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</si>
  <si>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</si>
  <si>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</si>
  <si>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</si>
  <si>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</si>
  <si>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</si>
  <si>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</si>
  <si>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</si>
  <si>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</si>
  <si>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</si>
  <si>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</si>
  <si>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</si>
  <si>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</si>
  <si>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</si>
  <si>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</si>
  <si>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</si>
  <si>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</si>
  <si>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</si>
  <si>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</si>
  <si>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</si>
  <si>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</si>
  <si>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</si>
  <si>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</si>
  <si>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</si>
  <si>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</si>
  <si>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</si>
  <si>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</si>
  <si>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</si>
  <si>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</si>
  <si>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</si>
  <si>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</si>
  <si>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</si>
  <si>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</si>
  <si>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</si>
  <si>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</si>
  <si>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</si>
  <si>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</si>
  <si>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</si>
  <si>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</si>
  <si>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</si>
  <si>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</si>
  <si>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</si>
  <si>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</si>
  <si>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</si>
  <si>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</si>
  <si>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</si>
  <si>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</si>
  <si>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</si>
  <si>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</si>
  <si>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Update data from OCHA IDPs List</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</si>
  <si>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</si>
  <si>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</si>
  <si>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</si>
  <si>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</si>
  <si>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</si>
  <si>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</si>
  <si>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</si>
  <si>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</si>
  <si>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</si>
  <si>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</si>
  <si>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</si>
  <si>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</si>
  <si>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</si>
  <si>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</si>
  <si>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</si>
  <si>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</si>
  <si>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</si>
  <si>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</si>
  <si>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</si>
  <si>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</si>
  <si>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</si>
  <si>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</si>
  <si>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</si>
  <si>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</si>
  <si>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</si>
  <si>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</si>
  <si>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</si>
  <si>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</si>
  <si>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</si>
  <si>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</si>
  <si>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</si>
  <si>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</si>
  <si>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</si>
  <si>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</si>
  <si>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</si>
  <si>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</si>
  <si>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</si>
  <si>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</si>
  <si>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</si>
  <si>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</si>
  <si>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</si>
  <si>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</si>
  <si>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</si>
  <si>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</si>
  <si>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</si>
  <si>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</si>
  <si>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</si>
  <si>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</si>
  <si>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</si>
  <si>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</si>
  <si>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</si>
  <si>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</si>
  <si>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</si>
  <si>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</si>
  <si>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</si>
  <si>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</si>
  <si>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</si>
  <si>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</si>
  <si>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</si>
  <si>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</si>
  <si>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</si>
  <si>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</si>
  <si>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</si>
  <si>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</si>
  <si>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</si>
  <si>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</si>
  <si>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</si>
  <si>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</si>
  <si>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</si>
  <si>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</si>
  <si>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</si>
  <si>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</si>
  <si>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</si>
  <si>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</si>
  <si>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</si>
  <si>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</si>
  <si>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</si>
  <si>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</si>
  <si>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</si>
  <si>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</si>
  <si>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</si>
  <si>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</si>
  <si>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</si>
  <si>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</si>
  <si>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</si>
  <si>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</si>
  <si>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</si>
  <si>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</si>
  <si>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</si>
  <si>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</si>
  <si>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</si>
  <si>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</si>
  <si>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</si>
  <si>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</si>
  <si>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</si>
  <si>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</si>
  <si>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</si>
  <si>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</si>
  <si>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</si>
  <si>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</si>
  <si>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</si>
  <si>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</si>
  <si>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</si>
  <si>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</si>
  <si>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</si>
  <si>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</si>
  <si>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</si>
  <si>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</si>
  <si>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</si>
  <si>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</si>
  <si>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</si>
  <si>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</si>
  <si>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</si>
  <si>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</si>
  <si>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</si>
  <si>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</si>
  <si>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</si>
  <si>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</si>
  <si>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</si>
  <si>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</si>
  <si>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</si>
  <si>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</si>
  <si>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</si>
  <si>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</si>
  <si>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</si>
  <si>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</si>
  <si>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</si>
  <si>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</si>
  <si>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</si>
  <si>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</si>
  <si>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</si>
  <si>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</si>
  <si>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</si>
  <si>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</si>
  <si>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</si>
  <si>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</si>
  <si>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</si>
  <si>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</si>
  <si>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</si>
  <si>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</si>
  <si>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</si>
  <si>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</si>
  <si>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</si>
  <si>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</si>
  <si>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</si>
  <si>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</si>
  <si>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</si>
  <si>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</si>
  <si>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</si>
  <si>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</si>
  <si>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</si>
  <si>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</si>
  <si>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</si>
  <si>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</si>
  <si>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</si>
  <si>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</si>
  <si>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</si>
  <si>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</si>
  <si>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</si>
  <si>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</si>
  <si>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</si>
  <si>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</si>
  <si>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</si>
  <si>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</si>
  <si>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</si>
  <si>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</si>
  <si>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</si>
  <si>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</si>
  <si>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</si>
  <si>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</si>
  <si>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</si>
  <si>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</si>
  <si>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</si>
  <si>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</si>
  <si>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</si>
  <si>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</si>
  <si>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</si>
  <si>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</si>
  <si>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</si>
  <si>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</si>
  <si>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</si>
  <si>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</si>
  <si>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</si>
  <si>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</si>
  <si>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</si>
  <si>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</si>
  <si>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</si>
  <si>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</si>
  <si>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</si>
  <si>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</si>
  <si>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</si>
  <si>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</si>
  <si>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</si>
  <si>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</si>
  <si>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</si>
  <si>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</si>
  <si>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</si>
  <si>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</si>
  <si>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</si>
  <si>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</si>
  <si>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</si>
  <si>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</si>
  <si>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</si>
  <si>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</si>
  <si>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</si>
  <si>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</si>
  <si>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</si>
  <si>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</si>
  <si>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</si>
  <si>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Population Update. Source: Save The Children.</t>
  </si>
  <si>
    <t>DFIT</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</si>
  <si>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</si>
  <si>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</si>
  <si>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</si>
  <si>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</si>
  <si>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</si>
  <si>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</si>
  <si>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</si>
  <si>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</si>
  <si>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</si>
  <si>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</si>
  <si>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</si>
  <si>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</si>
  <si>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</si>
  <si>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</si>
  <si>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</si>
  <si>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</si>
  <si>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</si>
  <si>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</si>
  <si>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</si>
  <si>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</si>
  <si>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</si>
  <si>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</si>
  <si>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</si>
  <si>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MR001009001</t>
  </si>
  <si>
    <t>(Multiple Items)</t>
  </si>
  <si>
    <t>Land Status</t>
  </si>
  <si>
    <t>Shelter Possible</t>
  </si>
  <si>
    <t>Sum of Shelter Possible</t>
  </si>
  <si>
    <t>Shelter Gap</t>
  </si>
  <si>
    <t>Sum of Shelter Gap</t>
  </si>
  <si>
    <t xml:space="preserve">Gap </t>
  </si>
  <si>
    <t>Possible Units</t>
  </si>
  <si>
    <t>Ma Gaung</t>
  </si>
  <si>
    <t>Nam Si In (Karmaing Sub-township)</t>
  </si>
  <si>
    <t>Mohnyin Town</t>
  </si>
  <si>
    <t>Pan Choe Hai</t>
  </si>
  <si>
    <t>Ton Hone Yang (Dawthponeyan Sub-township)</t>
  </si>
  <si>
    <t>Wein  Hkam (Lwegel Sub-township)</t>
  </si>
  <si>
    <t>Hpung Tang Kawng</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</si>
  <si>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</si>
  <si>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</si>
  <si>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</si>
  <si>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</si>
  <si>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</si>
  <si>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</si>
  <si>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</si>
  <si>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</si>
  <si>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</si>
  <si>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</si>
  <si>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</si>
  <si>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</si>
  <si>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</si>
  <si>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</si>
  <si>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</si>
  <si>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</si>
  <si>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</si>
  <si>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</si>
  <si>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</si>
  <si>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</si>
  <si>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</si>
  <si>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</si>
  <si>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</si>
  <si>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</si>
  <si>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</si>
  <si>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</si>
  <si>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</si>
  <si>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</si>
  <si>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</si>
  <si>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</si>
  <si>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</si>
  <si>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</si>
  <si>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</si>
  <si>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</si>
  <si>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Khaunglanhpu Total</t>
  </si>
  <si>
    <t>Mansi Total</t>
  </si>
  <si>
    <t>Mogaung Total</t>
  </si>
  <si>
    <t>Mohnyin Total</t>
  </si>
  <si>
    <t>Momauk Total</t>
  </si>
  <si>
    <t>Myitkyina Total</t>
  </si>
  <si>
    <t>Puta-O Total</t>
  </si>
  <si>
    <t>Shwegu Total</t>
  </si>
  <si>
    <t>Sumprabum Total</t>
  </si>
  <si>
    <t>Hseni Total</t>
  </si>
  <si>
    <t>Kutkai Total</t>
  </si>
  <si>
    <t>Manton Total</t>
  </si>
  <si>
    <t>Muse Total</t>
  </si>
  <si>
    <t>Namhkan Total</t>
  </si>
  <si>
    <t>Namtu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</si>
  <si>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</si>
  <si>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</si>
  <si>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</si>
  <si>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</si>
  <si>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</si>
  <si>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</si>
  <si>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</si>
  <si>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</si>
  <si>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</si>
  <si>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</si>
  <si>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</si>
  <si>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</si>
  <si>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</si>
  <si>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</si>
  <si>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</si>
  <si>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</si>
  <si>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</si>
  <si>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</si>
  <si>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</si>
  <si>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</si>
  <si>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</si>
  <si>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</si>
  <si>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</si>
  <si>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</si>
  <si>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</si>
  <si>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</si>
  <si>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</si>
  <si>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</si>
  <si>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</si>
  <si>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</si>
  <si>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</si>
  <si>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</si>
  <si>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</si>
  <si>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</si>
  <si>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</si>
  <si>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</si>
  <si>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</si>
  <si>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</si>
  <si>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</si>
  <si>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</si>
  <si>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</si>
  <si>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</si>
  <si>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</si>
  <si>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</si>
  <si>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 IDP Loc.</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</si>
  <si>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</si>
  <si>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</si>
  <si>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</si>
  <si>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</si>
  <si>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</si>
  <si>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</si>
  <si>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</si>
  <si>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</si>
  <si>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</si>
  <si>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</si>
  <si>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</si>
  <si>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</si>
  <si>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</si>
  <si>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</si>
  <si>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</si>
  <si>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</si>
  <si>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</si>
  <si>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</si>
  <si>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</si>
  <si>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</si>
  <si>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</si>
  <si>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</si>
  <si>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</si>
  <si>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</si>
  <si>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</si>
  <si>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</si>
  <si>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</si>
  <si>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</si>
  <si>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</si>
  <si>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</si>
  <si>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</si>
  <si>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</si>
  <si>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</si>
  <si>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MMR001005009</t>
  </si>
  <si>
    <t>MMR001002030</t>
  </si>
  <si>
    <t>MMR001002009</t>
  </si>
  <si>
    <t>MMR001007701</t>
  </si>
  <si>
    <t>MMR001009012</t>
  </si>
  <si>
    <t>MMR015011030</t>
  </si>
  <si>
    <t>MMR015011020</t>
  </si>
  <si>
    <t>MMR015009048</t>
  </si>
  <si>
    <t>MMR001012039</t>
  </si>
  <si>
    <t>MMR001012016</t>
  </si>
  <si>
    <t>MMR001012050</t>
  </si>
  <si>
    <t>25-Jun-2015 Update population. Data Source: KBC
Changed NGCA to GCA. Source: Programme Unit.</t>
  </si>
  <si>
    <t>25-Jun-15 Population update. Source: KBC
Update population. Source: Camp Profile.</t>
  </si>
  <si>
    <t>25-Jun-15 Population update. Source: KBC
Changed NGCA to GCA. Source: CCCM Unit</t>
  </si>
  <si>
    <t>25-Jun-15 Population update. Source: KBC
Population update. Source: KBC.</t>
  </si>
  <si>
    <t>Nam Jarap</t>
  </si>
  <si>
    <t>MMR015CMP218</t>
  </si>
  <si>
    <t>MMR001CMP234</t>
  </si>
  <si>
    <t>Lung Sut</t>
  </si>
  <si>
    <t>25-Jun-15 Relocate to Shatapru Thida Aye Baptist Church
Population update: Source: Camp Profile Round 2.</t>
  </si>
  <si>
    <t>25-Jun-15 Population update. Source : Shalom.
Population update: Source: Camp Profile Round 2.</t>
  </si>
  <si>
    <t>25-Jun-15 (Population update. Source : Shalom)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</si>
  <si>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</si>
  <si>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</si>
  <si>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</si>
  <si>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</si>
  <si>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</si>
  <si>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</si>
  <si>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</si>
  <si>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</si>
  <si>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</si>
  <si>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</si>
  <si>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</si>
  <si>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</si>
  <si>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</si>
  <si>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</si>
  <si>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</si>
  <si>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</si>
  <si>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</si>
  <si>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</si>
  <si>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</si>
  <si>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</si>
  <si>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</si>
  <si>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</si>
  <si>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</si>
  <si>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</si>
  <si>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</si>
  <si>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</si>
  <si>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</si>
  <si>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</si>
  <si>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</si>
  <si>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Flood</t>
  </si>
  <si>
    <t>19-Aug-15 Update pouplation from KBC
25-Jun-2015 Update population from KBC.
Update population according to KBC data</t>
  </si>
  <si>
    <t>19-Aug-15 Update population from KBC.
Update population according to KBC data</t>
  </si>
  <si>
    <t>19-Aug-15 Update population. Data Source: KBC.
25-Jun-2015 Update population. Data Source: KBC
Update population according to KBC data</t>
  </si>
  <si>
    <t>19-Aug-15 Population update. Source KBC.
25-Jun-15 New camp. Data Source : KBC</t>
  </si>
  <si>
    <t>19-Aug-15 Population update. Source: Shalom
25-Jun-15 (Population update. Source : Shalom)
Population update: Source: Camp Profile Round 2.</t>
  </si>
  <si>
    <t>19-Aug-15 Population update. Source: Shalom
25-Jun-15 (Population update. Source : Shalom)
2-Apr-15 (Population update, Source: UNHCR CCCM Mission)
Population update: Source: Camp Profile Round 2.</t>
  </si>
  <si>
    <t>19-Aug-15 Population update. Source Shalom.
25-Jun-15 Population update. Source Shalom.
Population update: Source: Camp Profile Round 2.</t>
  </si>
  <si>
    <t>19-Aug-15 Population update. Source: Shalom.
Update population. Source: Camp Profile.</t>
  </si>
  <si>
    <t>19-Aug-15 Population update. Source: Shalom.
25-Jun-15 Population update. Source : Shalom.</t>
  </si>
  <si>
    <t>19-Aug-2015. Update Population. Data Source; KMSS-BMO
Update population. Source UNHCR Bhamo</t>
  </si>
  <si>
    <t>19-Aug-2015. Update Population. Data Source; KMSS-BMO
Responsible Agency update. KMSS-MYT to KMSS-BMO.</t>
  </si>
  <si>
    <t>19-Aug-2015. Update Population. Data Source; KMSS-BMO
Population update: Source UNHCR-Bhamo</t>
  </si>
  <si>
    <t>19-Aug-2015. Update population. Data Source; KMSS-BMO
Population Update. Source: Save The Children.</t>
  </si>
  <si>
    <t>19-Aug-2015. Update Population. Data Source; KMSS-BMO
Population Update. Source: KMSS-BMO</t>
  </si>
  <si>
    <t>19-Aug-2015. Population Update. Data Source; KMSS-BMO
Population update: Source: Camp Profile Round 2.</t>
  </si>
  <si>
    <t>19-Aug-2015. Population Update. Data Source; KMSS-BMO
Population increased. Relocated from Momauk Catholic Church (St. Patrick) - MMR001CMP057</t>
  </si>
  <si>
    <t>19-Aug-15 (Population update. Source: MKSS-LSO)
25-Jun-15 (Population update. Source: KMSS-LSO)
Population updated. Source: Shelter unit.</t>
  </si>
  <si>
    <t>19-Aug-15 (Population update. Source: MKSS-LSO)
25-Jun-15 (Population update. Source: KMSS-LSO)
Population Update. Source: Save The Children.</t>
  </si>
  <si>
    <t>19-Aug-15 (Population update. Source: KMSS-LSO)
25-Jun-15 (Population update. Source: KMSS-LSO)
Population update. Changed NGCA to GCA. Source: CCCM Unit</t>
  </si>
  <si>
    <t>19-Aug-15 (Population update. Source: KMSS-LSO)
25-Jun-15 (Population update. Source: KMSS-LSO)
New Camp</t>
  </si>
  <si>
    <t>19-Aug-15 (Population update. Source KMSS-LSO)
25-Jun-15 (Population update. Source KMSS-LSO)
27-Mar-15 (Changed to GCA. Source UNHCR-Bhamo)
New camp. Source: KMSS-BMO</t>
  </si>
  <si>
    <t>19-Aug-15 (Population update. Data Source: KMSS-MYT)
2-Apr-15 (Population update, Source: UNHCR CCCM Mission)
Population Update. Source: KMSS-MYT</t>
  </si>
  <si>
    <t>19-Aug-15 (Population Update. Data Source: KMSS-BMO)
Population update: Source: Camp Profile Round 2.</t>
  </si>
  <si>
    <t>19 Aug 2015. Update Population. Data Source; KMSS-BMO
Population update: Source UNHCR-Bhamo</t>
  </si>
  <si>
    <t>19 Aug 2015. Udate Population. Date Source; KMSS-BMO
Population update: Source: KMSS-BMO</t>
  </si>
  <si>
    <t>19-Aug-15 Close. Source: CCCM Unit.
Population source: KMSS-BMO</t>
  </si>
  <si>
    <t>19-Aug-15 Update population. Source KMSS-BMO
Geo-Info update.</t>
  </si>
  <si>
    <t>Location</t>
  </si>
  <si>
    <t>Camps/Host Families</t>
  </si>
  <si>
    <t>Population update: Source: KMSS-BMO
Population Update. Source: Save The Children.</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</si>
  <si>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</si>
  <si>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</si>
  <si>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</si>
  <si>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</si>
  <si>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</si>
  <si>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Ndup Yang</t>
  </si>
  <si>
    <t>MMR001CMP238</t>
  </si>
  <si>
    <t>10/2/2015. New Camp. Data source: CCCM team-Ko Maran</t>
  </si>
  <si>
    <t>Salang Yang</t>
  </si>
  <si>
    <t>MMR001CMP239</t>
  </si>
  <si>
    <t>Replacement</t>
  </si>
  <si>
    <t>Replacement (YES/NO)</t>
  </si>
  <si>
    <t>YES</t>
  </si>
  <si>
    <t>NO</t>
  </si>
  <si>
    <t>14-Oct-15 Population update. Soruce; Hpakant Mission Report_WFP
19-Aug-15 Population update. Source: Shalom
2-Apr-15 (Population update, Source: UNHCR CCCM Mission)
Population update: Source: Camp Profile Round 2.</t>
  </si>
  <si>
    <t>14-Oct-15 Population update. Soruce; Hpakant Mission Report_WFP
19-Aug-15 Population update. Source: Shalom
25-Jun-15 (Population update. Source: Shalom)
2-Apr-15 (Population update, Source: UNHCR CCCM Mission)
Population update: Source: Camp Profile Round 2.</t>
  </si>
  <si>
    <t>14-Oct-15 Population update. Soruce; Hpakant Mission Report_WFP
25-Jun-15 Population update. Source: KBC
18-May-15 (Population update from field mission)
3-Apr-15 (Population update. Source: Camp Profile Round 3)
New camp</t>
  </si>
  <si>
    <t>14-Oct-15 Population update. Soruce; Hpakant Mission Report_WFP
19-Aug-15 Population update. Source: Shalom
25-Jun-15 (Population update. Source: Shalom)
Population update: Source: Camp Profile Round 2.
2-Apr-15 (Population update, Source: UNHCR CCCM Mission)</t>
  </si>
  <si>
    <t>14-Oct-15 Population update. Soruce; Hpakant Mission Report_WFP
25-Jun-15 Population update. Source: KBC
2-Apr-15 (Population update, Source: UNHCR CCCM Mission)
Update population according to KBC data</t>
  </si>
  <si>
    <t>14-Oct-15 Population update. Soruce; Hpakant Mission Report_WFP
19-Aug-15 Population updae. Source: Shalom.
25-Jun-15 (Population update. Source Shalom)
Population update: Source: Camp Profile Round 2.</t>
  </si>
  <si>
    <t>26.569633</t>
  </si>
  <si>
    <t>Data Source: La Nu (this data will not match as La Nu sent, need to confirmed again)</t>
  </si>
  <si>
    <t>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</si>
  <si>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</si>
  <si>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</si>
  <si>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23-Oct-15 (Population update. Data source: Monthly report by KMSS-MYT). Reason for changes; Arrive from the Daily Work.
19-Aug-15 (Population update. Data Source: KMSS-MYT) 
25-Jun-15 (Population update. Source: KMSS-MYT)</t>
  </si>
  <si>
    <t>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</si>
  <si>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</si>
  <si>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</si>
  <si>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</si>
  <si>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</si>
  <si>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</si>
  <si>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</si>
  <si>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9/Nov/15. Population update. Data source: monthly report by HAP
25-Jun-15 Population update. Source : Shalom.
Population update: Source: Camp Profile Round 2.</t>
  </si>
  <si>
    <t>9/Nov/15. Population Upate. Data source: monthly report by HAP.
19-Aug-15 Population update. Source: Shalom
25-Jun-15 Population update. Source : Shalom.
Population update: Source: Camp Profile Round 2.</t>
  </si>
  <si>
    <t>9/Nov/15. Population update. Data source: monthly report by HAP.
19-Aug-15 Update Population. Source: Shalom.
25-Jun-2015 Update population. Source : Shalom.
Population update: Source: Camp Profile Round 2.</t>
  </si>
  <si>
    <t>9/Nov/15. Population update. Data source: monthly report by HAP.
19-Aug-15 Update population. Source: Shalom
25-Jun-15 Population update. Source : Shalom.
Population update: Source: Camp Profile Round 2.</t>
  </si>
  <si>
    <t>9/Nov/15. Population update. Data source: monthly report by HAP.
19-Aug-15 Population update. Source: Shalom.
25-Jun-15 Population update. Source : Shalom.
Update population. Source: Camp Profile.</t>
  </si>
  <si>
    <t>9/Nov/15. Population update. Data source: monthly report by HAP.
19-Aug-15 Population update. Source: Shalom.
25-Jun-15 Population update. Source : Shalom.
Population update: Source: Camp Profile Round 2.</t>
  </si>
  <si>
    <t>9/Nov/15. Population update. Data source: monthly report by HAP.
19-Aug-15. Population update. Source: Shalom.
25-Jun-15 Population update. Source : Shalom.
Population update: Source: Camp Profile Round 2.</t>
  </si>
  <si>
    <t>9/Nov/15. Population update. Data source: monthly report by HAP.
19-Aug-15 Population update. Source: Shalom
25-Jun-15 (Population update. Source: Shalom)
2-Apr-15 (Population update, Source: UNHCR CCCM Mission)
Population update: Source: Camp Profile Round 2.</t>
  </si>
  <si>
    <t>9/Nov/15. Population update. Data source: monthly report by HAP.
19-Aug-15 Population updae. Source: Shalom
25-Jun-15 (Population update. Source : Shalom)
2-Apr-15 (Population update, Source: UNHCR CCCM Mission)
Update IDP population from Shalom data (Assistant CCCM Officer)</t>
  </si>
  <si>
    <t>9/Nov/15. Population update. Data source: monthly report by HAP.
14-Oct-15 Population update. Soruce; Hpakant Mission Report_WFP
25-Jun-15 (Population update. Source Shalom)
2-Apr-15 (Population update, Source: UNHCR CCCM Mission)
Population update: Source: Camp Profile Round 2.</t>
  </si>
  <si>
    <t>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</si>
  <si>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9/Nov/15. Population update. Data source: monthly report by HAP.
19-Aug-15 Population update. Source Shalom.
25-Jun-15 Population update. Source Shalom
Population update: Source: Camp Profile Round 2.</t>
  </si>
  <si>
    <t>9/Nov/15. Population update. Data source: monthly report by HAP.
19-Aug-15 Population update. Source: Shalom.
25-Jun-15 (Population update. Source : Shalom)
Population update: Source: Camp Profile Round 2.</t>
  </si>
  <si>
    <t>9/Nov/15. Population update. Data source: monthly report by HAP.
19-Aug-15 Update population. Data Source: Shalom.
25-Jun-2015 Update population. Data Source: KBC
Population update: Source: Camp Profile Round 2.</t>
  </si>
  <si>
    <t>9/Nov/15. Population update. Data source: monthly report by HAP.
19-Aug-15 Population update. Source: Shalom
25-Jun-15 (Population update. Source : Shalom)
Population update: Source UNHCR-Bhamo</t>
  </si>
  <si>
    <t>MMR001012703</t>
  </si>
  <si>
    <t>Dawthponeyan Boarding School</t>
  </si>
  <si>
    <t>MMR001CMP240</t>
  </si>
  <si>
    <t>9/Nov/15. Accomodation changes from Host families to Camp. Data source: mail by Maran Tang Nau.
19-Aug-15 (Population Udate. Data Source: KMSS-MYT)
25-Jun-2015 (New host families. Source: RRD)</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</si>
  <si>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</si>
  <si>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</si>
  <si>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</si>
  <si>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</si>
  <si>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</si>
  <si>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</si>
  <si>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9/Nov/15. Population update. Data source: mail from Pancy (WFP).
19-Mar-2015 (WFP has been providing this host families since 2013.)</t>
  </si>
  <si>
    <t>9/Nov/2015. Population update. Data source: mail from Pancy (WFP).
New added Boarding School</t>
  </si>
  <si>
    <t>Updated on 10/Nov/2015. Added jerry can data. Data source: mail by La Nu</t>
  </si>
  <si>
    <t>Updated on 11/Nov/2015. Added jerry can data. Data source: mail by Win Aung Htun</t>
  </si>
  <si>
    <t>Kan Si Village</t>
  </si>
  <si>
    <t>Updated on 11/Nov/2015. Added jerry can data. Data source: mail by Win Aung Htun.</t>
  </si>
  <si>
    <t>Resettlement place</t>
  </si>
  <si>
    <t>Mogaung Tsp</t>
  </si>
  <si>
    <t>Updated on 11/Nov/2015. Added jerry can data. Data source: mail by Win Aung Htun. For flood response</t>
  </si>
  <si>
    <t>Majibum Village</t>
  </si>
  <si>
    <t>Sumprabum village</t>
  </si>
  <si>
    <t>Updated on 11/Nov/2015. Added jerry can data. Data source: mail by Win Aung Htun. For new arrivals</t>
  </si>
  <si>
    <t>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</si>
  <si>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</si>
  <si>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</si>
  <si>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</si>
  <si>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</si>
  <si>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</si>
  <si>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</si>
  <si>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</si>
  <si>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2/Dec/2015 (Population update. Data source: Monthly report by KBC).
19-Aug-2015 Update population from KBC.
25-Jun-2015 Update population from KBC.
Checked with KBC data</t>
  </si>
  <si>
    <t>2/Dec/2015 (Population update. Data source: Monthly report by KBC).
19-Aug-15 Update population from KBC
25-Jun-2015 Update population. Data Source: KBC
Update population according to KBC data</t>
  </si>
  <si>
    <t>2/Dec/2015 (Population update. Data source: Monthly report by KBC).
19-Aug-2015 Update population from KBC.
25-Jun-2015 Update population from KBC.
Population updated. Source: Shelter unit.</t>
  </si>
  <si>
    <t>2/Dec/2015 (Population update. Data source: Monthly report by KBC).
25-Jun-2015 Update population. Data Source: KBC
Changed to Boarding School.</t>
  </si>
  <si>
    <t>2/Dec/2015 (Population update. Data source: Monthly report by KBC).
19-Aug-2015 Update population from KBC.
25-Jun-2015 Update population from KBC.
Update population according to KBC data</t>
  </si>
  <si>
    <t>2/Dec/2015 (Population update. Data source: Monthly report by KBC).
19-Aug-15 Update population from KBC.
25-Jun-2015 Update population from KBC.
Checked with KBC data</t>
  </si>
  <si>
    <t>2/Dec/2015. Population update. Data source: KBC.
19-Aug-15 - Update population from KBC.
25-Jun-2015 Update population from KBC.
Update population according to KBC data</t>
  </si>
  <si>
    <t>2/Dec/2015. Population update. Data source: KBC.
19-Aug-15 Update population from KBC.
25-Jun-2015 Update population from KBC.
Update population according to KBC data</t>
  </si>
  <si>
    <t>2/Dec/2015. Population update. Data source: KBC.
19-Aug-15 Update population from KBC
25-Jun-2015 Update population from KBC.
Update population according to KBC data</t>
  </si>
  <si>
    <t>2/Dec/2015. Population update. Data source: KBC.
Update population according to KBC data</t>
  </si>
  <si>
    <t>2/Dec/2015. Population update. Data source: KBC.
19-Aug-15 Update population from KBC.
25-Jun-2015 Update population from KBC.
Checked with KBC data</t>
  </si>
  <si>
    <t>2/Dec/2015. Population update. Data source: KBC.
19-Aug-15 Update population from KBC
25-Jun-2015 Update population from KBC.
Checked with KBC data</t>
  </si>
  <si>
    <t>2/Dec/2015. Population update. Data source: KBC.
19-Aug-2015 Update population from KBC.
25-Jun-2015 Update population from KBC.
Update population according to KBC data</t>
  </si>
  <si>
    <t>2/Dec/2015. Population update. Data source: KBC.
19-Aug-15 Update population from KBC.
25-Jun-2015 Update population. Data Source: KBC
Checked with KBC data</t>
  </si>
  <si>
    <t>2/Dec/2015. Population update. Data source: KBC.
19-Aug-15 Population update. Source: KBC.
25-Jun-15 Population update. Source: KBC
Update population according to KBC data</t>
  </si>
  <si>
    <t>2/Dec/2015. Population update. Data source: KBC.
25-Jun-2015 Update population. Data Source: KBC
Population update: Source: Camp Profile Round 2.</t>
  </si>
  <si>
    <t>2/Dec/2015. Population update. Data source: KBC.
25-Jun-15 Population update. Source: KBC
Population update: Source: Camp Profile Round 2.</t>
  </si>
  <si>
    <t>2/Dec/2015. Population update. Data source: KBC
25-Jun-2015 Update population. Data Source: KBC
Population update: Source: Camp Profile Round 2.</t>
  </si>
  <si>
    <t>2/Dec/2015. Population update. Data source: KBC
25-Jun-2015 Update population. Data Source: KBC
Population update: Source UNHCR-Bhamo</t>
  </si>
  <si>
    <t>2/Dec/2015. Population update. Data source: KBC
25-Jun-15 Population update. Source: KBC
Population Update. Source: Save The Children.</t>
  </si>
  <si>
    <t>2/Dec/2015. Population update. Data source: KBC
25-Jun-15 Population update. Source: KBC
27-Mar-15 (Changed to GCA. Source UNHCR-Bhamo)
Update population. Source: Camp Profile.</t>
  </si>
  <si>
    <t>2/Dec/2015. Population update. Data source: KBC
25-Jun-15 Population update. Source: KBC
Update population. Source: Camp Profile.</t>
  </si>
  <si>
    <t>2/Dec/2015. Population update. Data source: KBC
25-Jun-15 Population update. Source: KBC
New camp.</t>
  </si>
  <si>
    <t>2/Dec/2015. Population update. Data source: KBC
14-Oct-15 Population update. Soruce; Hpakant Mission Report_WFP
25-Jun-15 Population update. Source: KBC
2-Apr-15 (Population update, Source: UNHCR CCCM Mission)
Population Update. Source: KBC.</t>
  </si>
  <si>
    <t>2/Dec/2015. Population update. Data source: KBC
14-Oct-15 Population update. Soruce; Hpakant Mission Report_WFP
25-Jun-15 Population update. Source: KBC
2-Apr-15 (Population update, Source: UNHCR CCCM Mission)
Update population according to KBC data.</t>
  </si>
  <si>
    <t>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</si>
  <si>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2/Dec/2015. Population update. Data source: KBC
25-Jun-15 Population update. Source: KBC
2-Apr-15 (Population update, Source: UNHCR CCCM Mission)</t>
  </si>
  <si>
    <t>2/Dec/2015. Population update. Data source: KBC
25-Jun-15 Population update. Source: KBC
18-May-15 (Population update by field mission)
Source: CCCM Unit (Hpakant Assessement Mission)</t>
  </si>
  <si>
    <t>2/Dec/2015. Population update. Data source: KBC
25-Jun-15 Population update. Source: KBC
Update population according to KBC data</t>
  </si>
  <si>
    <t>2/Dec/2015. Population update. Data source: KBC
25-Jun-2015 Update population. Data Source: KBC
Update population according to KBC data</t>
  </si>
  <si>
    <t>Updated on 2/Dec/2015. Data source: mail by Win Aung Htun
Updated on 11/Nov/2015. Added jerry can data. Data source: mail by Win Aung Htun
Updated on 29/Sep/2015. 
Data Source: Lu Lu Awng and Win Aung Tun</t>
  </si>
  <si>
    <t>Updated on 2/Dec/2015. Data source: mail by Win Aung Htun
Updated on 29/Sep/2015. 
Data Source: Lu Lu Awng and Win Aung Tun</t>
  </si>
  <si>
    <t>Updated on 2/Dec/2015. Data source: mail by Win Aung Htun
Updated on 29/Sep/2015. 
Data Source: La Nu and Win Aung Tun</t>
  </si>
  <si>
    <t>Updated on 2/Dec/2015. Data source: mail by win aung tun</t>
  </si>
  <si>
    <t>13/Dec/2015. Population update. Data source: Mail by Ko Maran. Reason for pop changes: Following September 2016 conflict there was sudden increase of IDP pp in Mansi and Mahkawng
2/Dec/2015. Population update. Data source: KBC.
25-Jun-2015 Update population. Data Source: KBC
Population update: Source: Camp Profile Round 2.</t>
  </si>
  <si>
    <t>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</si>
  <si>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</si>
  <si>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</si>
  <si>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13/Dec/2015. Population update. Data source: Mail by Ko Maran. Reason for pop changes: data obtain from Protection team monitoring report  November 2015
2/Dec/2015. Population update. Data source: KBC
19-Aug-15 Population update. Source KBC.
25-Jun-15 New camp. Data Source : KBC</t>
  </si>
  <si>
    <t>13/Dec/2015. Population update. Data source: Mail by Ko Maran.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</si>
  <si>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13/Dec/15. Population update. Data source: Mail by Ko Maran. Reason for pop changes: IDP in the host who were registered in the Man Win Bapitst Church (cultural compound) camp established their own separate entity as IDP in the host. 
Population Update. Source: Save The Children.</t>
  </si>
  <si>
    <t>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</si>
</sst>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s>
  <fonts count="80"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sz val="11"/>
      <color theme="0"/>
      <name val="Calibri"/>
      <family val="2"/>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1"/>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sz val="9"/>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9"/>
      <color indexed="8"/>
      <name val="Calibri"/>
      <family val="2"/>
    </font>
    <font>
      <sz val="11"/>
      <color theme="2"/>
      <name val="Calibri"/>
      <family val="2"/>
      <scheme val="minor"/>
    </font>
    <font>
      <b/>
      <sz val="18"/>
      <color rgb="FF000000"/>
      <name val="Calibri"/>
      <family val="2"/>
      <scheme val="minor"/>
    </font>
    <font>
      <sz val="11"/>
      <color rgb="FFFF0000"/>
      <name val="Calibri"/>
      <family val="2"/>
    </font>
    <font>
      <sz val="11"/>
      <color rgb="FF00B050"/>
      <name val="Calibri"/>
      <family val="2"/>
    </font>
    <font>
      <sz val="11"/>
      <color theme="6" tint="-0.249977111117893"/>
      <name val="Calibri"/>
      <family val="2"/>
    </font>
    <font>
      <sz val="11"/>
      <color theme="3" tint="0.39997558519241921"/>
      <name val="Calibri"/>
      <family val="2"/>
    </font>
    <font>
      <sz val="11"/>
      <color rgb="FF00B050"/>
      <name val="Calibri"/>
      <family val="2"/>
      <scheme val="minor"/>
    </font>
    <font>
      <sz val="11"/>
      <color theme="3" tint="0.39997558519241921"/>
      <name val="Calibri"/>
      <family val="2"/>
      <scheme val="minor"/>
    </font>
    <font>
      <b/>
      <sz val="10"/>
      <color theme="8" tint="0.79998168889431442"/>
      <name val="Calibri"/>
      <family val="2"/>
      <scheme val="minor"/>
    </font>
    <font>
      <sz val="10"/>
      <color rgb="FFFF0000"/>
      <name val="Calibri"/>
      <family val="2"/>
      <scheme val="minor"/>
    </font>
    <font>
      <b/>
      <sz val="9"/>
      <color theme="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sz val="11"/>
      <color indexed="8"/>
      <name val="Calibri"/>
      <family val="2"/>
    </font>
    <font>
      <b/>
      <sz val="10"/>
      <name val="Arial"/>
      <family val="2"/>
    </font>
    <font>
      <sz val="11"/>
      <color indexed="8"/>
      <name val="Calibri"/>
      <family val="2"/>
    </font>
    <font>
      <sz val="11"/>
      <color indexed="8"/>
      <name val="Calibri"/>
      <family val="2"/>
      <scheme val="minor"/>
    </font>
    <font>
      <sz val="10"/>
      <name val="Calibri"/>
      <family val="2"/>
      <scheme val="minor"/>
    </font>
    <font>
      <sz val="10"/>
      <name val="Calibri"/>
      <family val="2"/>
      <scheme val="minor"/>
    </font>
    <font>
      <sz val="10"/>
      <name val="Calibri"/>
      <family val="2"/>
      <scheme val="minor"/>
    </font>
    <font>
      <sz val="10"/>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b/>
      <sz val="11"/>
      <color rgb="FF000000"/>
      <name val="Calibri"/>
      <family val="2"/>
      <scheme val="minor"/>
    </font>
    <font>
      <sz val="11"/>
      <color theme="0"/>
      <name val="Calibri"/>
      <family val="2"/>
      <scheme val="minor"/>
    </font>
    <font>
      <sz val="10"/>
      <name val="Calibri"/>
      <family val="2"/>
      <scheme val="minor"/>
    </font>
    <font>
      <b/>
      <sz val="14"/>
      <name val="Calibri"/>
      <family val="2"/>
      <scheme val="minor"/>
    </font>
    <font>
      <sz val="10.5"/>
      <color theme="1"/>
      <name val="Calibri"/>
      <family val="2"/>
    </font>
    <font>
      <sz val="10"/>
      <color rgb="FF1F497D"/>
      <name val="Calibri"/>
      <family val="2"/>
      <scheme val="minor"/>
    </font>
  </fonts>
  <fills count="4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bgColor theme="5"/>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theme="4"/>
      </left>
      <right/>
      <top/>
      <bottom/>
      <diagonal/>
    </border>
    <border>
      <left/>
      <right style="medium">
        <color theme="4"/>
      </right>
      <top/>
      <bottom/>
      <diagonal/>
    </border>
    <border>
      <left style="medium">
        <color theme="4"/>
      </left>
      <right/>
      <top style="medium">
        <color theme="4"/>
      </top>
      <bottom style="thin">
        <color theme="4" tint="0.39997558519241921"/>
      </bottom>
      <diagonal/>
    </border>
    <border>
      <left/>
      <right/>
      <top style="medium">
        <color theme="4"/>
      </top>
      <bottom style="thin">
        <color theme="4" tint="0.39997558519241921"/>
      </bottom>
      <diagonal/>
    </border>
    <border>
      <left/>
      <right style="medium">
        <color theme="4"/>
      </right>
      <top style="medium">
        <color theme="4"/>
      </top>
      <bottom style="thin">
        <color theme="4" tint="0.39997558519241921"/>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medium">
        <color theme="4"/>
      </right>
      <top style="thin">
        <color theme="4" tint="0.39997558519241921"/>
      </top>
      <bottom style="medium">
        <color theme="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s>
  <cellStyleXfs count="19">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8"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4" fillId="14" borderId="7" applyNumberFormat="0" applyAlignment="0" applyProtection="0"/>
    <xf numFmtId="43" fontId="23" fillId="0" borderId="0" applyFont="0" applyFill="0" applyBorder="0" applyAlignment="0" applyProtection="0"/>
    <xf numFmtId="0" fontId="30"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cellStyleXfs>
  <cellXfs count="886">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5" fillId="0" borderId="0" xfId="0" applyFont="1" applyFill="1"/>
    <xf numFmtId="0" fontId="0" fillId="10" borderId="0" xfId="0" applyFill="1"/>
    <xf numFmtId="0" fontId="13"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0" fillId="0" borderId="0" xfId="0" applyAlignment="1">
      <alignment horizontal="center"/>
    </xf>
    <xf numFmtId="0" fontId="13"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3" fillId="0" borderId="0" xfId="0" applyFont="1"/>
    <xf numFmtId="0" fontId="0" fillId="0" borderId="0" xfId="0" applyFill="1" applyBorder="1"/>
    <xf numFmtId="0" fontId="14" fillId="0" borderId="0" xfId="9" applyFill="1" applyBorder="1" applyAlignment="1">
      <alignment horizontal="center"/>
    </xf>
    <xf numFmtId="0" fontId="0" fillId="0" borderId="1" xfId="0" applyFill="1" applyBorder="1"/>
    <xf numFmtId="3" fontId="16" fillId="0" borderId="0" xfId="9" applyNumberFormat="1" applyFont="1" applyFill="1" applyBorder="1" applyAlignment="1">
      <alignment horizontal="center"/>
    </xf>
    <xf numFmtId="0" fontId="0" fillId="0" borderId="0" xfId="0" applyAlignment="1">
      <alignment horizontal="left"/>
    </xf>
    <xf numFmtId="0" fontId="12" fillId="0" borderId="0" xfId="9" applyFont="1" applyFill="1" applyBorder="1" applyAlignment="1">
      <alignment horizontal="center"/>
    </xf>
    <xf numFmtId="0" fontId="12" fillId="0" borderId="0" xfId="9" applyFont="1" applyFill="1" applyBorder="1" applyAlignment="1">
      <alignment horizontal="left"/>
    </xf>
    <xf numFmtId="165" fontId="0" fillId="0" borderId="0" xfId="7" applyNumberFormat="1" applyFont="1"/>
    <xf numFmtId="0" fontId="0" fillId="0" borderId="1" xfId="0" applyBorder="1"/>
    <xf numFmtId="9" fontId="0" fillId="0" borderId="1" xfId="8" applyFont="1"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xf numFmtId="0" fontId="0" fillId="0" borderId="0" xfId="0" applyAlignment="1">
      <alignment textRotation="90"/>
    </xf>
    <xf numFmtId="0" fontId="0" fillId="0" borderId="0" xfId="0"/>
    <xf numFmtId="0" fontId="9" fillId="0" borderId="0" xfId="6" applyFont="1" applyFill="1" applyBorder="1" applyAlignment="1">
      <alignment horizontal="center" vertical="center"/>
    </xf>
    <xf numFmtId="0" fontId="0" fillId="0" borderId="0" xfId="0" applyNumberFormat="1" applyBorder="1"/>
    <xf numFmtId="0" fontId="12" fillId="0" borderId="0" xfId="0" applyFont="1"/>
    <xf numFmtId="0" fontId="0" fillId="0" borderId="15" xfId="0" applyBorder="1"/>
    <xf numFmtId="0" fontId="0" fillId="0" borderId="16" xfId="0" applyBorder="1"/>
    <xf numFmtId="0" fontId="0" fillId="0" borderId="0" xfId="0"/>
    <xf numFmtId="0" fontId="0" fillId="0" borderId="0" xfId="0"/>
    <xf numFmtId="9" fontId="0" fillId="7" borderId="6" xfId="8" applyFont="1" applyFill="1" applyBorder="1"/>
    <xf numFmtId="165" fontId="0" fillId="0" borderId="1" xfId="7" applyNumberFormat="1" applyFont="1" applyBorder="1"/>
    <xf numFmtId="165" fontId="0" fillId="0" borderId="0" xfId="0" applyNumberFormat="1"/>
    <xf numFmtId="0" fontId="24" fillId="13" borderId="0" xfId="0" applyFont="1" applyFill="1"/>
    <xf numFmtId="0" fontId="0" fillId="13" borderId="0" xfId="0" applyFill="1"/>
    <xf numFmtId="0" fontId="25" fillId="13" borderId="0" xfId="0" applyFont="1" applyFill="1"/>
    <xf numFmtId="0" fontId="10" fillId="11" borderId="0" xfId="6" applyFont="1" applyFill="1" applyBorder="1" applyAlignment="1">
      <alignment vertical="center"/>
    </xf>
    <xf numFmtId="0" fontId="5" fillId="0" borderId="0" xfId="0" applyFont="1" applyBorder="1"/>
    <xf numFmtId="0" fontId="5" fillId="0" borderId="0" xfId="0" applyFont="1" applyFill="1" applyBorder="1"/>
    <xf numFmtId="0" fontId="27" fillId="0" borderId="0" xfId="6" applyFont="1" applyFill="1" applyBorder="1" applyAlignment="1">
      <alignment horizontal="left" vertical="center"/>
    </xf>
    <xf numFmtId="0" fontId="8" fillId="17" borderId="1" xfId="6" applyFill="1" applyBorder="1" applyAlignment="1">
      <alignment horizontal="center"/>
    </xf>
    <xf numFmtId="0" fontId="28" fillId="18" borderId="0" xfId="0" applyFont="1" applyFill="1"/>
    <xf numFmtId="17" fontId="0" fillId="10" borderId="0" xfId="0" applyNumberFormat="1" applyFill="1"/>
    <xf numFmtId="0" fontId="0" fillId="0" borderId="0" xfId="0"/>
    <xf numFmtId="0" fontId="0" fillId="0" borderId="0" xfId="0" applyAlignment="1">
      <alignment horizontal="right"/>
    </xf>
    <xf numFmtId="0" fontId="0" fillId="0" borderId="0" xfId="0"/>
    <xf numFmtId="9" fontId="0" fillId="0" borderId="0" xfId="0" applyNumberFormat="1" applyFill="1" applyBorder="1"/>
    <xf numFmtId="9" fontId="0" fillId="0" borderId="0" xfId="8" applyFont="1" applyFill="1" applyBorder="1"/>
    <xf numFmtId="0" fontId="0" fillId="0" borderId="0" xfId="0"/>
    <xf numFmtId="0" fontId="0" fillId="0" borderId="0" xfId="0" applyFont="1" applyFill="1" applyBorder="1"/>
    <xf numFmtId="9" fontId="29"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165" fontId="29" fillId="0" borderId="1" xfId="7" applyNumberFormat="1" applyFont="1" applyBorder="1"/>
    <xf numFmtId="0" fontId="0" fillId="0" borderId="0" xfId="0"/>
    <xf numFmtId="0" fontId="29" fillId="13" borderId="1" xfId="0" applyFont="1" applyFill="1" applyBorder="1" applyAlignment="1"/>
    <xf numFmtId="165" fontId="29" fillId="0" borderId="1" xfId="7" applyNumberFormat="1" applyFont="1" applyFill="1" applyBorder="1" applyAlignment="1"/>
    <xf numFmtId="0" fontId="35" fillId="11" borderId="0" xfId="6" applyFont="1" applyFill="1" applyBorder="1" applyAlignment="1">
      <alignment vertical="center"/>
    </xf>
    <xf numFmtId="0" fontId="10" fillId="10" borderId="0" xfId="6" applyFont="1" applyFill="1" applyBorder="1" applyAlignment="1">
      <alignment vertical="center"/>
    </xf>
    <xf numFmtId="9" fontId="39" fillId="27" borderId="1" xfId="8" applyFont="1" applyFill="1" applyBorder="1"/>
    <xf numFmtId="165" fontId="39" fillId="0" borderId="1" xfId="10" applyNumberFormat="1" applyFont="1" applyBorder="1"/>
    <xf numFmtId="165" fontId="39" fillId="0" borderId="1" xfId="0" applyNumberFormat="1" applyFont="1" applyBorder="1"/>
    <xf numFmtId="9" fontId="39" fillId="26" borderId="1" xfId="8" applyFont="1" applyFill="1" applyBorder="1"/>
    <xf numFmtId="0" fontId="41" fillId="18" borderId="0" xfId="0" applyFont="1" applyFill="1"/>
    <xf numFmtId="0" fontId="13" fillId="11" borderId="3"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3" fillId="11" borderId="37"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22" fillId="0" borderId="1" xfId="12" applyNumberFormat="1" applyFont="1" applyFill="1" applyBorder="1" applyAlignment="1">
      <alignment horizontal="right" vertical="center"/>
    </xf>
    <xf numFmtId="0" fontId="13" fillId="11" borderId="0" xfId="6"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31" fillId="0" borderId="0" xfId="6" applyFont="1" applyFill="1" applyBorder="1" applyAlignment="1">
      <alignment horizontal="center" vertical="center"/>
    </xf>
    <xf numFmtId="0" fontId="5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165" fontId="33" fillId="0" borderId="1" xfId="7" applyNumberFormat="1" applyFont="1" applyBorder="1"/>
    <xf numFmtId="165" fontId="29" fillId="0" borderId="0" xfId="7" applyNumberFormat="1" applyFont="1" applyFill="1" applyBorder="1"/>
    <xf numFmtId="0" fontId="29" fillId="35" borderId="1" xfId="0" applyFont="1" applyFill="1" applyBorder="1" applyAlignment="1">
      <alignment vertical="center" wrapText="1"/>
    </xf>
    <xf numFmtId="0" fontId="29" fillId="39" borderId="1" xfId="0" applyFont="1" applyFill="1" applyBorder="1" applyAlignment="1">
      <alignment vertical="center" wrapText="1"/>
    </xf>
    <xf numFmtId="0" fontId="29" fillId="38" borderId="1" xfId="0" applyFont="1" applyFill="1" applyBorder="1" applyAlignment="1">
      <alignment vertical="center" wrapText="1"/>
    </xf>
    <xf numFmtId="0" fontId="29" fillId="37" borderId="1" xfId="0" applyFont="1" applyFill="1" applyBorder="1" applyAlignment="1">
      <alignment vertical="center" wrapText="1"/>
    </xf>
    <xf numFmtId="0" fontId="29" fillId="0" borderId="0" xfId="0" applyFont="1" applyFill="1" applyBorder="1"/>
    <xf numFmtId="165" fontId="29" fillId="0" borderId="5" xfId="7" applyNumberFormat="1" applyFont="1" applyBorder="1"/>
    <xf numFmtId="0" fontId="51" fillId="40" borderId="18" xfId="0" applyFont="1" applyFill="1" applyBorder="1"/>
    <xf numFmtId="0" fontId="51" fillId="40" borderId="5" xfId="0" applyFont="1" applyFill="1" applyBorder="1"/>
    <xf numFmtId="0" fontId="29" fillId="0" borderId="18" xfId="0" applyFont="1" applyBorder="1"/>
    <xf numFmtId="165" fontId="33" fillId="0" borderId="18" xfId="7" applyNumberFormat="1" applyFont="1" applyBorder="1"/>
    <xf numFmtId="0" fontId="32" fillId="0" borderId="2" xfId="0" applyFont="1" applyBorder="1"/>
    <xf numFmtId="165" fontId="33" fillId="0" borderId="2" xfId="7" applyNumberFormat="1" applyFont="1" applyBorder="1"/>
    <xf numFmtId="0" fontId="52" fillId="36" borderId="1" xfId="0" applyFont="1" applyFill="1" applyBorder="1" applyAlignment="1">
      <alignment vertical="center" wrapText="1"/>
    </xf>
    <xf numFmtId="0" fontId="54" fillId="0" borderId="0" xfId="0" applyFont="1" applyFill="1" applyBorder="1"/>
    <xf numFmtId="0" fontId="0" fillId="0" borderId="0" xfId="0"/>
    <xf numFmtId="0" fontId="13" fillId="11" borderId="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15" fontId="0" fillId="0" borderId="0" xfId="0" applyNumberFormat="1" applyAlignment="1">
      <alignment horizontal="left" vertical="center"/>
    </xf>
    <xf numFmtId="0" fontId="0" fillId="0" borderId="0" xfId="0" applyFill="1" applyBorder="1" applyAlignment="1">
      <alignment vertical="center"/>
    </xf>
    <xf numFmtId="0" fontId="57" fillId="0" borderId="0" xfId="0" applyFont="1" applyAlignment="1">
      <alignment wrapText="1"/>
    </xf>
    <xf numFmtId="0" fontId="30" fillId="0" borderId="0" xfId="0" applyFont="1" applyAlignment="1">
      <alignment wrapText="1"/>
    </xf>
    <xf numFmtId="0" fontId="0" fillId="0" borderId="0" xfId="0" applyAlignment="1">
      <alignment wrapText="1"/>
    </xf>
    <xf numFmtId="0" fontId="53" fillId="0" borderId="0" xfId="6" applyFont="1" applyFill="1" applyBorder="1" applyAlignment="1">
      <alignment vertical="center"/>
    </xf>
    <xf numFmtId="0" fontId="55" fillId="0" borderId="0" xfId="6" applyFont="1" applyFill="1" applyBorder="1" applyAlignment="1">
      <alignment horizontal="center" vertical="center"/>
    </xf>
    <xf numFmtId="9" fontId="39" fillId="27" borderId="1" xfId="8" applyFont="1" applyFill="1" applyBorder="1" applyAlignment="1">
      <alignment horizontal="center" vertical="top"/>
    </xf>
    <xf numFmtId="0" fontId="38" fillId="26" borderId="1" xfId="0" applyFont="1" applyFill="1" applyBorder="1" applyAlignment="1">
      <alignment horizontal="center" vertical="top" wrapText="1"/>
    </xf>
    <xf numFmtId="0" fontId="12" fillId="0" borderId="1" xfId="0" applyNumberFormat="1" applyFont="1" applyFill="1" applyBorder="1"/>
    <xf numFmtId="0" fontId="12" fillId="0" borderId="1" xfId="0" applyFont="1" applyFill="1" applyBorder="1"/>
    <xf numFmtId="0" fontId="12" fillId="0" borderId="5" xfId="0" applyFont="1" applyFill="1" applyBorder="1"/>
    <xf numFmtId="0" fontId="0" fillId="0" borderId="5" xfId="0" applyNumberFormat="1" applyFont="1" applyFill="1" applyBorder="1"/>
    <xf numFmtId="0" fontId="0" fillId="0" borderId="1" xfId="0" applyNumberFormat="1" applyFont="1" applyFill="1" applyBorder="1"/>
    <xf numFmtId="0" fontId="0" fillId="0" borderId="1" xfId="0" applyFont="1" applyFill="1" applyBorder="1"/>
    <xf numFmtId="0" fontId="0" fillId="0" borderId="5" xfId="0" applyFont="1" applyFill="1" applyBorder="1"/>
    <xf numFmtId="0" fontId="0" fillId="0" borderId="0" xfId="0" applyAlignment="1">
      <alignment horizontal="center" vertical="center"/>
    </xf>
    <xf numFmtId="2" fontId="0" fillId="0" borderId="0" xfId="0" applyNumberFormat="1" applyAlignment="1"/>
    <xf numFmtId="0" fontId="3" fillId="11" borderId="0" xfId="0" applyFont="1" applyFill="1" applyBorder="1"/>
    <xf numFmtId="0" fontId="64" fillId="31" borderId="29" xfId="0" applyFont="1" applyFill="1" applyBorder="1"/>
    <xf numFmtId="0" fontId="65" fillId="31" borderId="30" xfId="0" applyFont="1" applyFill="1" applyBorder="1"/>
    <xf numFmtId="0" fontId="64" fillId="31" borderId="27" xfId="0" applyFont="1" applyFill="1" applyBorder="1"/>
    <xf numFmtId="0" fontId="65" fillId="31" borderId="31" xfId="0" applyFont="1" applyFill="1" applyBorder="1"/>
    <xf numFmtId="0" fontId="65" fillId="0" borderId="0" xfId="0" applyFont="1" applyFill="1"/>
    <xf numFmtId="0" fontId="64" fillId="0" borderId="39" xfId="0" applyFont="1" applyFill="1" applyBorder="1"/>
    <xf numFmtId="0" fontId="64" fillId="0" borderId="11" xfId="0" applyFont="1" applyFill="1" applyBorder="1"/>
    <xf numFmtId="0" fontId="64" fillId="0" borderId="40" xfId="0" applyFont="1" applyFill="1" applyBorder="1"/>
    <xf numFmtId="0" fontId="64" fillId="0" borderId="4" xfId="0" applyFont="1" applyFill="1" applyBorder="1"/>
    <xf numFmtId="0" fontId="64" fillId="0" borderId="33" xfId="0" applyFont="1" applyFill="1" applyBorder="1"/>
    <xf numFmtId="0" fontId="64" fillId="0" borderId="41" xfId="0" applyFont="1" applyFill="1" applyBorder="1"/>
    <xf numFmtId="0" fontId="64" fillId="0" borderId="24" xfId="0" applyFont="1" applyFill="1" applyBorder="1"/>
    <xf numFmtId="0" fontId="64" fillId="0" borderId="23" xfId="0" applyFont="1" applyFill="1" applyBorder="1"/>
    <xf numFmtId="0" fontId="64" fillId="0" borderId="26" xfId="0" applyFont="1" applyFill="1" applyBorder="1"/>
    <xf numFmtId="0" fontId="65" fillId="29" borderId="0" xfId="0" applyFont="1" applyFill="1" applyBorder="1"/>
    <xf numFmtId="0" fontId="65" fillId="0" borderId="0" xfId="0" applyFont="1" applyFill="1" applyBorder="1"/>
    <xf numFmtId="165" fontId="65" fillId="0" borderId="0" xfId="7" applyNumberFormat="1" applyFont="1" applyFill="1" applyBorder="1"/>
    <xf numFmtId="0" fontId="65" fillId="0" borderId="0" xfId="0" applyNumberFormat="1" applyFont="1" applyFill="1" applyBorder="1"/>
    <xf numFmtId="9" fontId="65" fillId="0" borderId="0" xfId="8" applyFont="1" applyFill="1" applyBorder="1"/>
    <xf numFmtId="0" fontId="64" fillId="0" borderId="3" xfId="0" applyNumberFormat="1" applyFont="1" applyFill="1" applyBorder="1"/>
    <xf numFmtId="1" fontId="64" fillId="0" borderId="2" xfId="0" applyNumberFormat="1" applyFont="1" applyFill="1" applyBorder="1"/>
    <xf numFmtId="165" fontId="66" fillId="0" borderId="0" xfId="7" applyNumberFormat="1" applyFont="1" applyFill="1" applyBorder="1"/>
    <xf numFmtId="0" fontId="65" fillId="30" borderId="0" xfId="0" applyFont="1" applyFill="1" applyBorder="1"/>
    <xf numFmtId="2" fontId="65" fillId="30" borderId="0" xfId="0" applyNumberFormat="1" applyFont="1" applyFill="1" applyBorder="1"/>
    <xf numFmtId="2" fontId="65" fillId="0" borderId="0" xfId="0" applyNumberFormat="1" applyFont="1" applyFill="1" applyBorder="1"/>
    <xf numFmtId="165" fontId="65" fillId="0" borderId="0" xfId="0" applyNumberFormat="1" applyFont="1" applyFill="1" applyBorder="1"/>
    <xf numFmtId="9" fontId="65" fillId="0" borderId="0" xfId="0" applyNumberFormat="1" applyFont="1" applyFill="1" applyBorder="1"/>
    <xf numFmtId="0" fontId="64" fillId="0" borderId="25" xfId="0" applyNumberFormat="1" applyFont="1" applyFill="1" applyBorder="1"/>
    <xf numFmtId="1" fontId="64" fillId="0" borderId="18" xfId="0" applyNumberFormat="1" applyFont="1" applyFill="1" applyBorder="1"/>
    <xf numFmtId="165" fontId="65"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31"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20" fillId="42" borderId="9" xfId="5" applyFont="1" applyFill="1" applyBorder="1" applyAlignment="1">
      <alignment horizontal="left" vertical="top"/>
    </xf>
    <xf numFmtId="0" fontId="12" fillId="42" borderId="0" xfId="0" applyFont="1" applyFill="1" applyAlignment="1">
      <alignment horizontal="left" vertical="top"/>
    </xf>
    <xf numFmtId="0" fontId="20" fillId="42" borderId="11" xfId="5" applyFont="1" applyFill="1" applyBorder="1" applyAlignment="1">
      <alignment horizontal="left" vertical="top"/>
    </xf>
    <xf numFmtId="171" fontId="20" fillId="42" borderId="11" xfId="5" applyNumberFormat="1" applyFont="1" applyFill="1" applyBorder="1" applyAlignment="1">
      <alignment horizontal="left" vertical="top"/>
    </xf>
    <xf numFmtId="0" fontId="69" fillId="22" borderId="1" xfId="0" applyFont="1" applyFill="1" applyBorder="1" applyAlignment="1">
      <alignment horizontal="center" wrapText="1"/>
    </xf>
    <xf numFmtId="0" fontId="69" fillId="22" borderId="1" xfId="0" applyFont="1" applyFill="1" applyBorder="1" applyAlignment="1">
      <alignment horizontal="center" vertical="top" wrapText="1"/>
    </xf>
    <xf numFmtId="0" fontId="70" fillId="23" borderId="1" xfId="0" applyFont="1" applyFill="1" applyBorder="1" applyAlignment="1">
      <alignment horizontal="center" vertical="top" wrapText="1"/>
    </xf>
    <xf numFmtId="0" fontId="69" fillId="24" borderId="1" xfId="0" applyFont="1" applyFill="1" applyBorder="1" applyAlignment="1">
      <alignment horizontal="center" vertical="top" wrapText="1"/>
    </xf>
    <xf numFmtId="0" fontId="69" fillId="25" borderId="1" xfId="0" applyFont="1" applyFill="1" applyBorder="1" applyAlignment="1">
      <alignment horizontal="center" vertical="top" wrapText="1"/>
    </xf>
    <xf numFmtId="0" fontId="70" fillId="26" borderId="1" xfId="0" applyFont="1" applyFill="1" applyBorder="1" applyAlignment="1">
      <alignment horizontal="center" vertical="top" wrapText="1"/>
    </xf>
    <xf numFmtId="0" fontId="71" fillId="0" borderId="1" xfId="0" applyFont="1" applyFill="1" applyBorder="1" applyAlignment="1">
      <alignment horizontal="left"/>
    </xf>
    <xf numFmtId="0" fontId="72" fillId="2" borderId="10" xfId="0" applyFont="1" applyFill="1" applyBorder="1" applyAlignment="1">
      <alignment horizontal="left"/>
    </xf>
    <xf numFmtId="165" fontId="72" fillId="0" borderId="1" xfId="10" applyNumberFormat="1" applyFont="1" applyFill="1" applyBorder="1" applyAlignment="1">
      <alignment horizontal="left"/>
    </xf>
    <xf numFmtId="165" fontId="73" fillId="0" borderId="1" xfId="10" applyNumberFormat="1" applyFont="1" applyBorder="1"/>
    <xf numFmtId="9" fontId="73" fillId="24" borderId="1" xfId="8" applyFont="1" applyFill="1" applyBorder="1"/>
    <xf numFmtId="9" fontId="73" fillId="25" borderId="1" xfId="8" applyFont="1" applyFill="1" applyBorder="1"/>
    <xf numFmtId="9" fontId="73" fillId="26" borderId="1" xfId="8" applyFont="1" applyFill="1" applyBorder="1"/>
    <xf numFmtId="0" fontId="74" fillId="0" borderId="0" xfId="0" applyFont="1" applyAlignment="1">
      <alignment horizontal="center" vertical="center" readingOrder="1"/>
    </xf>
    <xf numFmtId="17" fontId="3" fillId="10" borderId="0" xfId="0" applyNumberFormat="1" applyFont="1" applyFill="1" applyAlignment="1">
      <alignment horizontal="left"/>
    </xf>
    <xf numFmtId="165" fontId="12" fillId="0" borderId="0" xfId="9" applyNumberFormat="1" applyFont="1" applyFill="1" applyBorder="1" applyAlignment="1">
      <alignment horizontal="left"/>
    </xf>
    <xf numFmtId="0" fontId="0" fillId="41" borderId="0" xfId="0" applyFill="1" applyBorder="1"/>
    <xf numFmtId="49" fontId="22" fillId="0" borderId="1" xfId="12" applyNumberFormat="1" applyFon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vertical="center"/>
    </xf>
    <xf numFmtId="49" fontId="12"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2" fillId="0" borderId="1" xfId="14" applyNumberFormat="1" applyFont="1" applyFill="1" applyBorder="1" applyAlignment="1"/>
    <xf numFmtId="49" fontId="59" fillId="0" borderId="1" xfId="14" applyNumberFormat="1" applyFont="1" applyFill="1" applyBorder="1" applyAlignment="1"/>
    <xf numFmtId="49" fontId="1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2" fillId="0" borderId="1" xfId="14" applyFont="1" applyFill="1" applyBorder="1" applyAlignment="1"/>
    <xf numFmtId="0" fontId="12" fillId="0" borderId="1" xfId="0" applyFont="1" applyFill="1" applyBorder="1" applyAlignment="1">
      <alignment horizontal="left" vertical="center"/>
    </xf>
    <xf numFmtId="0" fontId="12" fillId="35" borderId="1" xfId="0" applyFont="1" applyFill="1" applyBorder="1"/>
    <xf numFmtId="0" fontId="0" fillId="20" borderId="1" xfId="0" applyFont="1" applyFill="1" applyBorder="1"/>
    <xf numFmtId="1" fontId="22" fillId="0" borderId="1" xfId="12" applyNumberFormat="1" applyFont="1" applyFill="1" applyBorder="1" applyAlignment="1">
      <alignment horizontal="right" vertical="center"/>
    </xf>
    <xf numFmtId="0" fontId="0" fillId="0" borderId="1" xfId="0" applyFill="1" applyBorder="1" applyAlignment="1">
      <alignment horizontal="left" vertical="center"/>
    </xf>
    <xf numFmtId="17" fontId="3" fillId="10" borderId="0" xfId="0" applyNumberFormat="1" applyFont="1" applyFill="1" applyAlignment="1">
      <alignment horizontal="left"/>
    </xf>
    <xf numFmtId="0" fontId="9" fillId="10" borderId="0" xfId="6" applyFont="1" applyFill="1" applyBorder="1" applyAlignment="1">
      <alignment horizontal="center" vertical="center"/>
    </xf>
    <xf numFmtId="0" fontId="42" fillId="10" borderId="0" xfId="0" applyFont="1" applyFill="1" applyAlignment="1">
      <alignment vertical="center" readingOrder="1"/>
    </xf>
    <xf numFmtId="0" fontId="54" fillId="41" borderId="0" xfId="0" applyFont="1" applyFill="1" applyBorder="1"/>
    <xf numFmtId="0" fontId="19" fillId="10" borderId="0" xfId="0" applyFont="1" applyFill="1" applyBorder="1" applyAlignment="1"/>
    <xf numFmtId="0" fontId="32" fillId="45" borderId="44" xfId="0" applyFont="1" applyFill="1" applyBorder="1"/>
    <xf numFmtId="0" fontId="32" fillId="10" borderId="45" xfId="0" applyFont="1" applyFill="1" applyBorder="1"/>
    <xf numFmtId="0" fontId="32" fillId="10" borderId="46" xfId="0" applyFont="1" applyFill="1" applyBorder="1"/>
    <xf numFmtId="0" fontId="29" fillId="10" borderId="42" xfId="0" applyFont="1" applyFill="1" applyBorder="1" applyAlignment="1">
      <alignment horizontal="left"/>
    </xf>
    <xf numFmtId="165" fontId="29" fillId="10" borderId="0" xfId="0" applyNumberFormat="1" applyFont="1" applyFill="1" applyBorder="1"/>
    <xf numFmtId="165" fontId="29" fillId="10" borderId="43" xfId="0" applyNumberFormat="1" applyFont="1" applyFill="1" applyBorder="1"/>
    <xf numFmtId="0" fontId="32" fillId="10" borderId="47" xfId="0" applyFont="1" applyFill="1" applyBorder="1" applyAlignment="1">
      <alignment horizontal="left"/>
    </xf>
    <xf numFmtId="165" fontId="32" fillId="10" borderId="48" xfId="0" applyNumberFormat="1" applyFont="1" applyFill="1" applyBorder="1"/>
    <xf numFmtId="165" fontId="32" fillId="10" borderId="49" xfId="0" applyNumberFormat="1" applyFont="1" applyFill="1" applyBorder="1"/>
    <xf numFmtId="0" fontId="0" fillId="10" borderId="0" xfId="0" applyFont="1" applyFill="1" applyBorder="1" applyAlignment="1">
      <alignment horizontal="center" vertical="center" wrapText="1"/>
    </xf>
    <xf numFmtId="0" fontId="4" fillId="10" borderId="0" xfId="0" applyFont="1" applyFill="1" applyBorder="1" applyAlignment="1"/>
    <xf numFmtId="0" fontId="0" fillId="10" borderId="0" xfId="0" applyFill="1" applyBorder="1" applyAlignment="1"/>
    <xf numFmtId="0" fontId="0" fillId="44" borderId="0" xfId="0" applyFill="1" applyBorder="1"/>
    <xf numFmtId="0" fontId="35" fillId="41" borderId="0" xfId="6" applyFont="1" applyFill="1" applyBorder="1" applyAlignment="1">
      <alignment vertical="center"/>
    </xf>
    <xf numFmtId="0" fontId="0" fillId="41" borderId="50" xfId="0" applyFill="1" applyBorder="1"/>
    <xf numFmtId="0" fontId="0" fillId="41" borderId="25" xfId="0" applyFill="1" applyBorder="1"/>
    <xf numFmtId="0" fontId="0" fillId="41" borderId="39" xfId="0" applyFill="1" applyBorder="1"/>
    <xf numFmtId="0" fontId="35" fillId="41" borderId="51" xfId="6" applyFont="1" applyFill="1" applyBorder="1" applyAlignment="1">
      <alignment vertical="center"/>
    </xf>
    <xf numFmtId="0" fontId="0" fillId="41" borderId="51" xfId="0" applyFill="1" applyBorder="1"/>
    <xf numFmtId="0" fontId="0" fillId="41" borderId="17" xfId="0" applyFill="1" applyBorder="1"/>
    <xf numFmtId="0" fontId="0" fillId="41" borderId="12" xfId="0" applyFill="1" applyBorder="1"/>
    <xf numFmtId="0" fontId="0" fillId="41" borderId="13" xfId="0" applyFill="1" applyBorder="1"/>
    <xf numFmtId="0" fontId="0" fillId="41" borderId="14" xfId="0" applyFill="1" applyBorder="1"/>
    <xf numFmtId="0" fontId="0" fillId="41" borderId="15" xfId="0" applyFill="1" applyBorder="1"/>
    <xf numFmtId="0" fontId="0" fillId="41" borderId="16" xfId="0" applyFill="1" applyBorder="1"/>
    <xf numFmtId="0" fontId="0" fillId="41" borderId="52" xfId="0" applyFill="1" applyBorder="1"/>
    <xf numFmtId="0" fontId="0" fillId="41" borderId="53" xfId="0" applyFill="1" applyBorder="1"/>
    <xf numFmtId="0" fontId="29" fillId="10" borderId="0" xfId="0" applyFont="1" applyFill="1" applyBorder="1"/>
    <xf numFmtId="0" fontId="0" fillId="0" borderId="54" xfId="0" applyBorder="1"/>
    <xf numFmtId="0" fontId="0" fillId="0" borderId="55" xfId="0" applyBorder="1"/>
    <xf numFmtId="0" fontId="0" fillId="10" borderId="55" xfId="0" applyFill="1" applyBorder="1"/>
    <xf numFmtId="0" fontId="10" fillId="44" borderId="16" xfId="6" applyFont="1" applyFill="1" applyBorder="1" applyAlignment="1">
      <alignment vertical="center"/>
    </xf>
    <xf numFmtId="0" fontId="0" fillId="44" borderId="16" xfId="0" applyFill="1" applyBorder="1"/>
    <xf numFmtId="0" fontId="0" fillId="44" borderId="56" xfId="0" applyFill="1" applyBorder="1"/>
    <xf numFmtId="0" fontId="0" fillId="44" borderId="15" xfId="0" applyFill="1" applyBorder="1"/>
    <xf numFmtId="0" fontId="0" fillId="44" borderId="54" xfId="0" applyFill="1" applyBorder="1"/>
    <xf numFmtId="0" fontId="0" fillId="44" borderId="55" xfId="0" applyFill="1" applyBorder="1"/>
    <xf numFmtId="0" fontId="10" fillId="41" borderId="0" xfId="6" applyFont="1" applyFill="1" applyBorder="1" applyAlignment="1">
      <alignment vertical="center"/>
    </xf>
    <xf numFmtId="0" fontId="0" fillId="10" borderId="16" xfId="0" applyFill="1" applyBorder="1"/>
    <xf numFmtId="0" fontId="17" fillId="10" borderId="0" xfId="0" applyFont="1" applyFill="1" applyBorder="1" applyAlignment="1">
      <alignment horizontal="center"/>
    </xf>
    <xf numFmtId="165" fontId="18" fillId="10" borderId="0" xfId="7" applyNumberFormat="1" applyFont="1" applyFill="1" applyBorder="1"/>
    <xf numFmtId="165" fontId="17" fillId="10" borderId="0" xfId="0" applyNumberFormat="1" applyFont="1" applyFill="1" applyBorder="1"/>
    <xf numFmtId="0" fontId="19" fillId="10" borderId="0" xfId="0" applyFont="1" applyFill="1" applyBorder="1"/>
    <xf numFmtId="0" fontId="0" fillId="10" borderId="56" xfId="0" applyFill="1" applyBorder="1"/>
    <xf numFmtId="0" fontId="0" fillId="10" borderId="15" xfId="0" applyFill="1" applyBorder="1"/>
    <xf numFmtId="0" fontId="0" fillId="10" borderId="54" xfId="0" applyFill="1" applyBorder="1"/>
    <xf numFmtId="0" fontId="0" fillId="10" borderId="55" xfId="0" applyFill="1" applyBorder="1" applyAlignment="1">
      <alignment horizontal="left"/>
    </xf>
    <xf numFmtId="165" fontId="0" fillId="10" borderId="55" xfId="0" applyNumberFormat="1" applyFill="1" applyBorder="1"/>
    <xf numFmtId="3" fontId="0" fillId="10" borderId="55" xfId="0" applyNumberFormat="1" applyFill="1" applyBorder="1"/>
    <xf numFmtId="0" fontId="0" fillId="10" borderId="55" xfId="0" applyNumberFormat="1" applyFill="1" applyBorder="1"/>
    <xf numFmtId="166" fontId="37" fillId="10" borderId="0" xfId="6" applyNumberFormat="1" applyFont="1" applyFill="1" applyBorder="1" applyAlignment="1">
      <alignment horizontal="left" vertical="center"/>
    </xf>
    <xf numFmtId="0" fontId="35" fillId="10" borderId="0" xfId="6" applyFont="1" applyFill="1" applyBorder="1" applyAlignment="1">
      <alignment vertical="center"/>
    </xf>
    <xf numFmtId="0" fontId="10" fillId="0" borderId="0" xfId="6" applyFont="1" applyFill="1" applyBorder="1" applyAlignment="1">
      <alignment vertical="center"/>
    </xf>
    <xf numFmtId="0" fontId="21" fillId="0" borderId="0" xfId="0" applyFont="1" applyFill="1" applyAlignment="1"/>
    <xf numFmtId="0" fontId="25" fillId="0" borderId="0" xfId="0" applyFont="1" applyFill="1"/>
    <xf numFmtId="0" fontId="34" fillId="41" borderId="0" xfId="6" applyFont="1" applyFill="1" applyBorder="1" applyAlignment="1">
      <alignment vertical="center"/>
    </xf>
    <xf numFmtId="166" fontId="37" fillId="41" borderId="0" xfId="6" applyNumberFormat="1" applyFont="1" applyFill="1" applyBorder="1" applyAlignment="1">
      <alignment vertical="center"/>
    </xf>
    <xf numFmtId="0" fontId="10" fillId="41" borderId="51" xfId="0" applyFont="1" applyFill="1" applyBorder="1"/>
    <xf numFmtId="0" fontId="12" fillId="41" borderId="51" xfId="0" applyFont="1" applyFill="1" applyBorder="1"/>
    <xf numFmtId="0" fontId="67" fillId="41" borderId="51" xfId="0" applyFont="1" applyFill="1" applyBorder="1" applyAlignment="1"/>
    <xf numFmtId="0" fontId="12" fillId="41" borderId="52" xfId="0" applyFont="1" applyFill="1" applyBorder="1"/>
    <xf numFmtId="0" fontId="12" fillId="41" borderId="53" xfId="0" applyFont="1" applyFill="1" applyBorder="1"/>
    <xf numFmtId="0" fontId="0" fillId="0" borderId="12" xfId="0" applyBorder="1"/>
    <xf numFmtId="0" fontId="0" fillId="0" borderId="13" xfId="0" applyBorder="1"/>
    <xf numFmtId="0" fontId="10" fillId="11" borderId="18" xfId="6" applyFont="1" applyFill="1" applyBorder="1" applyAlignment="1">
      <alignment vertical="center"/>
    </xf>
    <xf numFmtId="0" fontId="10" fillId="11" borderId="50" xfId="6" applyFont="1" applyFill="1" applyBorder="1" applyAlignment="1">
      <alignment vertical="center"/>
    </xf>
    <xf numFmtId="0" fontId="10" fillId="11" borderId="25" xfId="6" applyFont="1" applyFill="1" applyBorder="1" applyAlignment="1">
      <alignment vertical="center"/>
    </xf>
    <xf numFmtId="0" fontId="35" fillId="11" borderId="39" xfId="6" applyFont="1" applyFill="1" applyBorder="1" applyAlignment="1">
      <alignment vertical="center"/>
    </xf>
    <xf numFmtId="0" fontId="35" fillId="11" borderId="51" xfId="6" applyFont="1" applyFill="1" applyBorder="1" applyAlignment="1">
      <alignment vertical="center"/>
    </xf>
    <xf numFmtId="0" fontId="35" fillId="11" borderId="17" xfId="6" applyFont="1" applyFill="1" applyBorder="1" applyAlignment="1">
      <alignment vertical="center"/>
    </xf>
    <xf numFmtId="0" fontId="26" fillId="11" borderId="50" xfId="6" applyFont="1" applyFill="1" applyBorder="1" applyAlignment="1">
      <alignment vertical="center"/>
    </xf>
    <xf numFmtId="0" fontId="10" fillId="41" borderId="50" xfId="6" applyFont="1" applyFill="1" applyBorder="1" applyAlignment="1">
      <alignment vertical="center"/>
    </xf>
    <xf numFmtId="0" fontId="10" fillId="41" borderId="51" xfId="6" applyFont="1" applyFill="1" applyBorder="1" applyAlignment="1">
      <alignment vertical="center"/>
    </xf>
    <xf numFmtId="0" fontId="13" fillId="11" borderId="50" xfId="6" applyFont="1" applyFill="1" applyBorder="1" applyAlignment="1">
      <alignment horizontal="center" vertical="center"/>
    </xf>
    <xf numFmtId="0" fontId="49" fillId="11" borderId="50" xfId="6" applyFont="1" applyFill="1" applyBorder="1" applyAlignment="1">
      <alignment horizontal="center" vertical="center"/>
    </xf>
    <xf numFmtId="0" fontId="4" fillId="0" borderId="50" xfId="0" applyFont="1" applyBorder="1" applyAlignment="1">
      <alignment horizontal="center" vertical="center"/>
    </xf>
    <xf numFmtId="0" fontId="13" fillId="11" borderId="51" xfId="6" applyFont="1" applyFill="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10" fillId="11" borderId="39" xfId="6" applyFont="1" applyFill="1" applyBorder="1" applyAlignment="1">
      <alignment vertical="center"/>
    </xf>
    <xf numFmtId="166" fontId="37" fillId="11" borderId="23" xfId="6" applyNumberFormat="1" applyFont="1" applyFill="1" applyBorder="1" applyAlignment="1">
      <alignment horizontal="left" vertical="center"/>
    </xf>
    <xf numFmtId="166" fontId="37" fillId="11" borderId="51" xfId="6" applyNumberFormat="1" applyFont="1" applyFill="1" applyBorder="1" applyAlignment="1">
      <alignment horizontal="left" vertical="center"/>
    </xf>
    <xf numFmtId="0" fontId="9" fillId="41" borderId="51" xfId="6" applyFont="1" applyFill="1" applyBorder="1" applyAlignment="1">
      <alignment horizontal="left" vertical="center"/>
    </xf>
    <xf numFmtId="0" fontId="0" fillId="41" borderId="51" xfId="0" applyFill="1" applyBorder="1" applyAlignment="1">
      <alignment horizontal="left"/>
    </xf>
    <xf numFmtId="0" fontId="9" fillId="41" borderId="17" xfId="6" applyFont="1" applyFill="1" applyBorder="1" applyAlignment="1">
      <alignment horizontal="left" vertical="center"/>
    </xf>
    <xf numFmtId="0" fontId="10" fillId="11" borderId="4" xfId="6" applyFont="1" applyFill="1" applyBorder="1" applyAlignment="1">
      <alignment vertical="center"/>
    </xf>
    <xf numFmtId="166" fontId="77" fillId="11" borderId="23" xfId="6" applyNumberFormat="1" applyFont="1" applyFill="1" applyBorder="1" applyAlignment="1">
      <alignment vertical="center"/>
    </xf>
    <xf numFmtId="166" fontId="37" fillId="11" borderId="51" xfId="6" applyNumberFormat="1" applyFont="1" applyFill="1" applyBorder="1" applyAlignment="1">
      <alignment vertical="center"/>
    </xf>
    <xf numFmtId="0" fontId="9" fillId="41" borderId="17" xfId="6" applyFont="1" applyFill="1" applyBorder="1" applyAlignment="1">
      <alignment horizontal="center" vertical="center"/>
    </xf>
    <xf numFmtId="0" fontId="13" fillId="11" borderId="3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23" xfId="0" applyBorder="1"/>
    <xf numFmtId="0" fontId="0" fillId="0" borderId="17" xfId="0" applyBorder="1"/>
    <xf numFmtId="49" fontId="22" fillId="0" borderId="3" xfId="12" applyNumberFormat="1" applyFont="1" applyFill="1" applyBorder="1" applyAlignment="1">
      <alignment vertical="center" wrapText="1"/>
    </xf>
    <xf numFmtId="2" fontId="5" fillId="0" borderId="1" xfId="0" applyNumberFormat="1" applyFont="1" applyFill="1" applyBorder="1" applyAlignment="1">
      <alignment vertical="center"/>
    </xf>
    <xf numFmtId="49" fontId="0" fillId="0" borderId="1" xfId="0" applyNumberFormat="1" applyBorder="1" applyAlignment="1">
      <alignment vertical="center"/>
    </xf>
    <xf numFmtId="15" fontId="0" fillId="0" borderId="1" xfId="0" applyNumberFormat="1" applyFill="1" applyBorder="1" applyAlignment="1">
      <alignment vertical="center"/>
    </xf>
    <xf numFmtId="165" fontId="0" fillId="0" borderId="1" xfId="7" applyNumberFormat="1" applyFont="1" applyFill="1" applyBorder="1" applyAlignment="1">
      <alignment horizontal="left" vertical="center"/>
    </xf>
    <xf numFmtId="49" fontId="0" fillId="0" borderId="2" xfId="0" applyNumberFormat="1" applyFill="1" applyBorder="1" applyAlignment="1">
      <alignment horizontal="left" vertical="center"/>
    </xf>
    <xf numFmtId="1" fontId="0" fillId="0" borderId="1" xfId="0" applyNumberFormat="1" applyBorder="1" applyAlignment="1">
      <alignment horizontal="right" vertical="center"/>
    </xf>
    <xf numFmtId="1" fontId="0" fillId="0" borderId="1" xfId="0" applyNumberFormat="1" applyBorder="1" applyAlignment="1">
      <alignment vertical="center"/>
    </xf>
    <xf numFmtId="49" fontId="58" fillId="0" borderId="3" xfId="12" applyNumberFormat="1" applyFont="1" applyFill="1" applyBorder="1" applyAlignment="1">
      <alignment vertical="center" wrapText="1"/>
    </xf>
    <xf numFmtId="49" fontId="56" fillId="0" borderId="3" xfId="12" applyNumberFormat="1" applyFont="1" applyFill="1" applyBorder="1" applyAlignment="1">
      <alignment vertical="center" wrapText="1"/>
    </xf>
    <xf numFmtId="0" fontId="0" fillId="0" borderId="25" xfId="0" applyBorder="1"/>
    <xf numFmtId="0" fontId="10" fillId="41" borderId="0" xfId="6" applyFont="1" applyFill="1" applyBorder="1" applyAlignment="1">
      <alignment horizontal="right"/>
    </xf>
    <xf numFmtId="165" fontId="0" fillId="41" borderId="0" xfId="7" applyNumberFormat="1" applyFont="1" applyFill="1" applyBorder="1"/>
    <xf numFmtId="1" fontId="10" fillId="41" borderId="0" xfId="6" applyNumberFormat="1" applyFont="1" applyFill="1" applyBorder="1" applyAlignment="1">
      <alignment vertical="center"/>
    </xf>
    <xf numFmtId="2" fontId="10" fillId="41" borderId="0" xfId="6" applyNumberFormat="1" applyFont="1" applyFill="1" applyBorder="1" applyAlignment="1">
      <alignment vertical="center"/>
    </xf>
    <xf numFmtId="14" fontId="10" fillId="41" borderId="0" xfId="6" applyNumberFormat="1" applyFont="1" applyFill="1" applyBorder="1" applyAlignment="1">
      <alignment vertical="center"/>
    </xf>
    <xf numFmtId="0" fontId="7" fillId="0" borderId="54" xfId="5" applyFont="1" applyFill="1" applyBorder="1" applyAlignment="1">
      <alignment horizontal="center" vertical="center"/>
    </xf>
    <xf numFmtId="0" fontId="7" fillId="0" borderId="57" xfId="5" applyFont="1" applyFill="1" applyBorder="1" applyAlignment="1">
      <alignment horizontal="center" vertical="center"/>
    </xf>
    <xf numFmtId="0" fontId="7" fillId="0" borderId="58" xfId="5" applyFont="1" applyFill="1" applyBorder="1" applyAlignment="1">
      <alignment horizontal="center" vertical="center"/>
    </xf>
    <xf numFmtId="0" fontId="7" fillId="0" borderId="59" xfId="5" applyFont="1" applyFill="1" applyBorder="1" applyAlignment="1">
      <alignment horizontal="center" vertical="center"/>
    </xf>
    <xf numFmtId="0" fontId="7" fillId="0" borderId="60" xfId="5" applyFont="1" applyFill="1" applyBorder="1" applyAlignment="1">
      <alignment horizontal="center" vertical="center"/>
    </xf>
    <xf numFmtId="0" fontId="7" fillId="0" borderId="57" xfId="5" applyFont="1" applyFill="1" applyBorder="1" applyAlignment="1">
      <alignment horizontal="left" vertical="center"/>
    </xf>
    <xf numFmtId="0" fontId="7" fillId="0" borderId="55" xfId="5" applyFont="1" applyFill="1" applyBorder="1" applyAlignment="1">
      <alignment horizontal="left" vertical="center"/>
    </xf>
    <xf numFmtId="0" fontId="7" fillId="0" borderId="55" xfId="5" applyFont="1" applyFill="1" applyBorder="1" applyAlignment="1">
      <alignment horizontal="center" vertical="center"/>
    </xf>
    <xf numFmtId="0" fontId="0" fillId="0" borderId="55" xfId="0" applyBorder="1" applyAlignment="1">
      <alignment vertical="center"/>
    </xf>
    <xf numFmtId="0" fontId="7" fillId="0" borderId="57" xfId="5" applyFont="1" applyFill="1" applyBorder="1" applyAlignment="1">
      <alignment horizontal="right" vertical="center"/>
    </xf>
    <xf numFmtId="1" fontId="7" fillId="0" borderId="55" xfId="5" applyNumberFormat="1" applyFont="1" applyFill="1" applyBorder="1" applyAlignment="1">
      <alignment horizontal="right" vertical="center"/>
    </xf>
    <xf numFmtId="2" fontId="7" fillId="0" borderId="57" xfId="5" applyNumberFormat="1" applyFont="1" applyFill="1" applyBorder="1" applyAlignment="1">
      <alignment vertical="center"/>
    </xf>
    <xf numFmtId="0" fontId="0" fillId="0" borderId="57" xfId="0" applyBorder="1" applyAlignment="1">
      <alignment vertical="center"/>
    </xf>
    <xf numFmtId="14" fontId="0" fillId="0" borderId="55" xfId="0" applyNumberFormat="1" applyBorder="1" applyAlignment="1">
      <alignment vertical="center"/>
    </xf>
    <xf numFmtId="1" fontId="0" fillId="0" borderId="57" xfId="0" applyNumberFormat="1" applyBorder="1" applyAlignment="1">
      <alignment vertical="center"/>
    </xf>
    <xf numFmtId="0" fontId="7" fillId="0" borderId="58" xfId="5" applyFont="1" applyFill="1" applyBorder="1" applyAlignment="1">
      <alignment horizontal="left" vertical="center"/>
    </xf>
    <xf numFmtId="15" fontId="7" fillId="0" borderId="60" xfId="5" applyNumberFormat="1" applyFont="1" applyFill="1" applyBorder="1" applyAlignment="1">
      <alignment horizontal="left" vertical="center"/>
    </xf>
    <xf numFmtId="1" fontId="0" fillId="43" borderId="55" xfId="0" applyNumberFormat="1" applyFill="1" applyBorder="1" applyAlignment="1">
      <alignment vertical="center"/>
    </xf>
    <xf numFmtId="0" fontId="7" fillId="17" borderId="55" xfId="5" applyFont="1" applyFill="1" applyBorder="1" applyAlignment="1">
      <alignment horizontal="center" vertical="center"/>
    </xf>
    <xf numFmtId="165" fontId="7" fillId="17" borderId="57" xfId="7" applyNumberFormat="1" applyFont="1" applyFill="1" applyBorder="1" applyAlignment="1">
      <alignment horizontal="center" vertical="center"/>
    </xf>
    <xf numFmtId="165" fontId="7" fillId="17" borderId="56" xfId="7" applyNumberFormat="1" applyFont="1" applyFill="1" applyBorder="1" applyAlignment="1">
      <alignment horizontal="center" vertical="center"/>
    </xf>
    <xf numFmtId="0" fontId="10" fillId="41" borderId="18" xfId="6" applyFont="1" applyFill="1" applyBorder="1" applyAlignment="1">
      <alignment vertical="center"/>
    </xf>
    <xf numFmtId="0" fontId="10" fillId="41" borderId="50" xfId="6" applyFont="1" applyFill="1" applyBorder="1" applyAlignment="1">
      <alignment horizontal="left" vertical="center"/>
    </xf>
    <xf numFmtId="1" fontId="10" fillId="41" borderId="50" xfId="6" applyNumberFormat="1" applyFont="1" applyFill="1" applyBorder="1" applyAlignment="1">
      <alignment horizontal="left" vertical="center"/>
    </xf>
    <xf numFmtId="14" fontId="10" fillId="41" borderId="50" xfId="6" applyNumberFormat="1" applyFont="1" applyFill="1" applyBorder="1" applyAlignment="1">
      <alignment horizontal="left" vertical="center"/>
    </xf>
    <xf numFmtId="0" fontId="10" fillId="41" borderId="50" xfId="6" applyFont="1" applyFill="1" applyBorder="1" applyAlignment="1">
      <alignment horizontal="right"/>
    </xf>
    <xf numFmtId="165" fontId="0" fillId="41" borderId="50" xfId="7" applyNumberFormat="1" applyFont="1" applyFill="1" applyBorder="1"/>
    <xf numFmtId="0" fontId="34" fillId="41" borderId="4" xfId="6" applyFont="1" applyFill="1" applyBorder="1" applyAlignment="1">
      <alignment vertical="center"/>
    </xf>
    <xf numFmtId="1" fontId="10" fillId="41" borderId="51" xfId="6" applyNumberFormat="1" applyFont="1" applyFill="1" applyBorder="1" applyAlignment="1">
      <alignment vertical="center"/>
    </xf>
    <xf numFmtId="2" fontId="10" fillId="41" borderId="51" xfId="6" applyNumberFormat="1" applyFont="1" applyFill="1" applyBorder="1" applyAlignment="1">
      <alignment vertical="center"/>
    </xf>
    <xf numFmtId="14" fontId="10" fillId="41" borderId="51" xfId="6" applyNumberFormat="1" applyFont="1" applyFill="1" applyBorder="1" applyAlignment="1">
      <alignment vertical="center"/>
    </xf>
    <xf numFmtId="0" fontId="10" fillId="41" borderId="51" xfId="6" applyFont="1" applyFill="1" applyBorder="1" applyAlignment="1">
      <alignment horizontal="right"/>
    </xf>
    <xf numFmtId="165" fontId="0" fillId="41" borderId="51" xfId="7" applyNumberFormat="1" applyFont="1" applyFill="1" applyBorder="1"/>
    <xf numFmtId="0" fontId="0" fillId="0" borderId="3" xfId="0" applyBorder="1"/>
    <xf numFmtId="0" fontId="0" fillId="41" borderId="18" xfId="0" applyFill="1" applyBorder="1"/>
    <xf numFmtId="0" fontId="0" fillId="41" borderId="3" xfId="0" applyFill="1" applyBorder="1"/>
    <xf numFmtId="0" fontId="0" fillId="44" borderId="0" xfId="0" applyFill="1"/>
    <xf numFmtId="0" fontId="5" fillId="44" borderId="0" xfId="0" applyFont="1" applyFill="1" applyBorder="1"/>
    <xf numFmtId="0" fontId="9" fillId="44" borderId="0" xfId="6" applyFont="1" applyFill="1" applyBorder="1" applyAlignment="1">
      <alignment horizontal="center" vertical="center"/>
    </xf>
    <xf numFmtId="0" fontId="6" fillId="44" borderId="0" xfId="6" applyFont="1" applyFill="1" applyAlignment="1">
      <alignment vertical="center"/>
    </xf>
    <xf numFmtId="0" fontId="54" fillId="41" borderId="4" xfId="0" applyFont="1" applyFill="1" applyBorder="1"/>
    <xf numFmtId="0" fontId="54" fillId="41" borderId="39" xfId="0" applyFont="1" applyFill="1" applyBorder="1"/>
    <xf numFmtId="0" fontId="54" fillId="41" borderId="51" xfId="0" applyFont="1" applyFill="1" applyBorder="1"/>
    <xf numFmtId="0" fontId="54" fillId="41" borderId="17" xfId="0" applyFont="1" applyFill="1" applyBorder="1"/>
    <xf numFmtId="15" fontId="2" fillId="0" borderId="3" xfId="0" applyNumberFormat="1" applyFont="1" applyFill="1" applyBorder="1"/>
    <xf numFmtId="9" fontId="12" fillId="0" borderId="1" xfId="0" applyNumberFormat="1" applyFont="1" applyFill="1" applyBorder="1"/>
    <xf numFmtId="49" fontId="0" fillId="0" borderId="2" xfId="0" applyNumberFormat="1" applyFont="1" applyFill="1" applyBorder="1"/>
    <xf numFmtId="15" fontId="12" fillId="0" borderId="3" xfId="0" applyNumberFormat="1" applyFont="1" applyFill="1" applyBorder="1"/>
    <xf numFmtId="15" fontId="0" fillId="0" borderId="3" xfId="0" applyNumberFormat="1" applyFont="1" applyFill="1" applyBorder="1"/>
    <xf numFmtId="0" fontId="0" fillId="0" borderId="2" xfId="0" applyNumberFormat="1" applyFont="1" applyFill="1" applyBorder="1"/>
    <xf numFmtId="0" fontId="0" fillId="35" borderId="1" xfId="0" applyFont="1" applyFill="1" applyBorder="1"/>
    <xf numFmtId="9" fontId="0" fillId="0" borderId="1" xfId="0" applyNumberFormat="1" applyFont="1" applyFill="1" applyBorder="1"/>
    <xf numFmtId="15" fontId="0" fillId="0" borderId="25" xfId="0" applyNumberFormat="1" applyFont="1" applyFill="1" applyBorder="1"/>
    <xf numFmtId="15" fontId="12" fillId="3" borderId="17" xfId="0" applyNumberFormat="1" applyFont="1" applyFill="1" applyBorder="1" applyAlignment="1"/>
    <xf numFmtId="0" fontId="12" fillId="3" borderId="9" xfId="0" applyFont="1" applyFill="1" applyBorder="1" applyAlignment="1"/>
    <xf numFmtId="0" fontId="12" fillId="3" borderId="9" xfId="0" applyFont="1" applyFill="1" applyBorder="1" applyAlignment="1">
      <alignment wrapText="1"/>
    </xf>
    <xf numFmtId="0" fontId="12" fillId="11" borderId="9" xfId="0" applyFont="1" applyFill="1" applyBorder="1" applyAlignment="1">
      <alignment wrapText="1"/>
    </xf>
    <xf numFmtId="0" fontId="12" fillId="7" borderId="9" xfId="0" applyFont="1" applyFill="1" applyBorder="1" applyAlignment="1">
      <alignment wrapText="1"/>
    </xf>
    <xf numFmtId="0" fontId="12" fillId="12" borderId="9" xfId="0" applyFont="1" applyFill="1" applyBorder="1" applyAlignment="1">
      <alignment wrapText="1"/>
    </xf>
    <xf numFmtId="0" fontId="12" fillId="20" borderId="9" xfId="0" applyFont="1" applyFill="1" applyBorder="1" applyAlignment="1">
      <alignment wrapText="1"/>
    </xf>
    <xf numFmtId="0" fontId="12" fillId="17" borderId="9" xfId="0" applyFont="1" applyFill="1" applyBorder="1" applyAlignment="1">
      <alignment wrapText="1"/>
    </xf>
    <xf numFmtId="0" fontId="12" fillId="0" borderId="9" xfId="0" applyFont="1" applyFill="1" applyBorder="1" applyAlignment="1"/>
    <xf numFmtId="0" fontId="0" fillId="0" borderId="9" xfId="0" applyFill="1" applyBorder="1" applyAlignment="1"/>
    <xf numFmtId="0" fontId="12" fillId="12" borderId="23" xfId="0" applyFont="1" applyFill="1" applyBorder="1" applyAlignment="1">
      <alignment wrapText="1"/>
    </xf>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9" fillId="41" borderId="51"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left" vertical="center"/>
    </xf>
    <xf numFmtId="49"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9"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left" vertical="center" wrapText="1"/>
    </xf>
    <xf numFmtId="9" fontId="31" fillId="0" borderId="1" xfId="8" applyFont="1" applyFill="1" applyBorder="1" applyAlignment="1">
      <alignment horizontal="center" vertical="center"/>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60" fillId="0" borderId="1" xfId="0" applyNumberFormat="1" applyFont="1" applyFill="1" applyBorder="1" applyAlignment="1">
      <alignment horizontal="center" vertical="center"/>
    </xf>
    <xf numFmtId="9" fontId="60" fillId="0" borderId="1" xfId="0" applyNumberFormat="1" applyFont="1" applyFill="1" applyBorder="1" applyAlignment="1">
      <alignment horizontal="center" vertical="center"/>
    </xf>
    <xf numFmtId="49" fontId="61" fillId="0" borderId="1" xfId="0" applyNumberFormat="1" applyFont="1" applyFill="1" applyBorder="1" applyAlignment="1">
      <alignment horizontal="center" vertical="center"/>
    </xf>
    <xf numFmtId="9" fontId="61" fillId="0" borderId="1" xfId="0" applyNumberFormat="1" applyFont="1" applyFill="1" applyBorder="1" applyAlignment="1">
      <alignment horizontal="center" vertical="center"/>
    </xf>
    <xf numFmtId="49" fontId="62" fillId="0" borderId="1" xfId="0" applyNumberFormat="1" applyFont="1" applyFill="1" applyBorder="1" applyAlignment="1">
      <alignment horizontal="center" vertical="center"/>
    </xf>
    <xf numFmtId="9" fontId="62" fillId="0" borderId="1" xfId="0" applyNumberFormat="1" applyFont="1" applyFill="1" applyBorder="1" applyAlignment="1">
      <alignment horizontal="center" vertical="center"/>
    </xf>
    <xf numFmtId="49" fontId="63" fillId="0" borderId="1" xfId="0" applyNumberFormat="1" applyFont="1" applyFill="1" applyBorder="1" applyAlignment="1">
      <alignment horizontal="center" vertical="center"/>
    </xf>
    <xf numFmtId="9" fontId="63" fillId="0" borderId="1" xfId="0" applyNumberFormat="1" applyFont="1" applyFill="1" applyBorder="1" applyAlignment="1">
      <alignment horizontal="center" vertical="center"/>
    </xf>
    <xf numFmtId="0" fontId="76" fillId="0" borderId="1" xfId="0" applyFont="1" applyFill="1" applyBorder="1" applyAlignment="1">
      <alignment horizontal="center" vertical="center"/>
    </xf>
    <xf numFmtId="0" fontId="76" fillId="0" borderId="1" xfId="0" applyNumberFormat="1" applyFont="1" applyFill="1" applyBorder="1" applyAlignment="1">
      <alignment horizontal="center" vertical="center"/>
    </xf>
    <xf numFmtId="9" fontId="76" fillId="0" borderId="1" xfId="0" applyNumberFormat="1" applyFont="1" applyFill="1" applyBorder="1" applyAlignment="1">
      <alignment horizontal="center" vertical="center"/>
    </xf>
    <xf numFmtId="1" fontId="31" fillId="0" borderId="3" xfId="0" applyNumberFormat="1" applyFont="1" applyFill="1" applyBorder="1" applyAlignment="1">
      <alignment horizontal="center" vertical="center"/>
    </xf>
    <xf numFmtId="1" fontId="76" fillId="0" borderId="3" xfId="0" applyNumberFormat="1" applyFont="1" applyFill="1" applyBorder="1" applyAlignment="1">
      <alignment horizontal="center" vertical="center"/>
    </xf>
    <xf numFmtId="0" fontId="10" fillId="41" borderId="4" xfId="6" applyFont="1" applyFill="1" applyBorder="1" applyAlignment="1">
      <alignment vertical="center"/>
    </xf>
    <xf numFmtId="0" fontId="5" fillId="41" borderId="51"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2" fillId="10" borderId="15" xfId="0" applyFont="1" applyFill="1" applyBorder="1"/>
    <xf numFmtId="0" fontId="10" fillId="10" borderId="0" xfId="0" applyFont="1" applyFill="1" applyBorder="1"/>
    <xf numFmtId="0" fontId="12" fillId="10" borderId="0" xfId="0" applyFont="1" applyFill="1" applyBorder="1"/>
    <xf numFmtId="0" fontId="67" fillId="10" borderId="0" xfId="0" applyFont="1" applyFill="1" applyBorder="1" applyAlignment="1"/>
    <xf numFmtId="0" fontId="12" fillId="10" borderId="16" xfId="0" applyFont="1" applyFill="1" applyBorder="1"/>
    <xf numFmtId="0" fontId="21" fillId="10" borderId="0" xfId="0" applyFont="1" applyFill="1" applyBorder="1" applyAlignment="1"/>
    <xf numFmtId="0" fontId="38" fillId="23" borderId="1" xfId="0" applyFont="1" applyFill="1" applyBorder="1" applyAlignment="1">
      <alignment horizontal="center" vertical="top" wrapText="1"/>
    </xf>
    <xf numFmtId="9" fontId="38"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0" fillId="10" borderId="12" xfId="0" applyFill="1" applyBorder="1"/>
    <xf numFmtId="0" fontId="0" fillId="10" borderId="13" xfId="0" applyFill="1" applyBorder="1"/>
    <xf numFmtId="0" fontId="0" fillId="10" borderId="14" xfId="0" applyFill="1" applyBorder="1"/>
    <xf numFmtId="1" fontId="31" fillId="0" borderId="25"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NumberFormat="1" applyFont="1" applyFill="1" applyBorder="1" applyAlignment="1">
      <alignment horizontal="center" vertical="center"/>
    </xf>
    <xf numFmtId="9" fontId="31" fillId="0" borderId="5" xfId="0" applyNumberFormat="1" applyFont="1" applyFill="1" applyBorder="1" applyAlignment="1">
      <alignment horizontal="center" vertical="center"/>
    </xf>
    <xf numFmtId="0" fontId="22" fillId="0" borderId="3" xfId="12" applyFont="1" applyFill="1" applyBorder="1" applyAlignment="1">
      <alignment vertical="center" wrapText="1"/>
    </xf>
    <xf numFmtId="0" fontId="5" fillId="0" borderId="1" xfId="0" applyFont="1" applyFill="1" applyBorder="1" applyAlignment="1">
      <alignment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0" borderId="1" xfId="0" applyFill="1" applyBorder="1" applyAlignment="1">
      <alignment vertical="center"/>
    </xf>
    <xf numFmtId="0" fontId="22" fillId="0" borderId="1" xfId="12" applyNumberFormat="1" applyFont="1" applyFill="1" applyBorder="1" applyAlignment="1">
      <alignment horizontal="right" vertical="center"/>
    </xf>
    <xf numFmtId="0" fontId="0" fillId="0" borderId="1" xfId="0" applyNumberFormat="1" applyFill="1" applyBorder="1" applyAlignment="1">
      <alignment vertical="center"/>
    </xf>
    <xf numFmtId="0" fontId="0" fillId="0" borderId="1" xfId="0" applyFill="1" applyBorder="1" applyAlignment="1">
      <alignment horizontal="right" vertical="center"/>
    </xf>
    <xf numFmtId="168" fontId="43" fillId="0" borderId="1" xfId="12" applyNumberFormat="1" applyFont="1" applyFill="1" applyBorder="1" applyAlignment="1">
      <alignment horizontal="right" vertical="center"/>
    </xf>
    <xf numFmtId="0" fontId="22" fillId="0" borderId="1" xfId="12" applyNumberFormat="1" applyFont="1" applyFill="1" applyBorder="1" applyAlignment="1">
      <alignment vertical="center"/>
    </xf>
    <xf numFmtId="0" fontId="0" fillId="41" borderId="0" xfId="0" applyFill="1" applyBorder="1"/>
    <xf numFmtId="49" fontId="43" fillId="0" borderId="1" xfId="12" applyNumberFormat="1" applyFont="1" applyFill="1" applyBorder="1" applyAlignment="1">
      <alignment horizontal="right" vertical="center"/>
    </xf>
    <xf numFmtId="49" fontId="44" fillId="0" borderId="1" xfId="12" applyNumberFormat="1" applyFont="1" applyFill="1" applyBorder="1" applyAlignment="1">
      <alignment horizontal="right" vertical="center"/>
    </xf>
    <xf numFmtId="49" fontId="46" fillId="0" borderId="1" xfId="12" applyNumberFormat="1" applyFont="1" applyFill="1" applyBorder="1" applyAlignment="1">
      <alignment horizontal="right" vertical="center"/>
    </xf>
    <xf numFmtId="49" fontId="47" fillId="0" borderId="1" xfId="0" applyNumberFormat="1" applyFont="1" applyFill="1" applyBorder="1" applyAlignment="1">
      <alignment horizontal="right" vertical="center"/>
    </xf>
    <xf numFmtId="49" fontId="22" fillId="0" borderId="1" xfId="12"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49" fontId="45" fillId="0" borderId="1" xfId="12" applyNumberFormat="1" applyFont="1" applyFill="1" applyBorder="1" applyAlignment="1">
      <alignment horizontal="right" vertical="center"/>
    </xf>
    <xf numFmtId="49" fontId="48" fillId="0" borderId="1" xfId="0" applyNumberFormat="1" applyFont="1" applyFill="1" applyBorder="1" applyAlignment="1">
      <alignment horizontal="right" vertical="center"/>
    </xf>
    <xf numFmtId="49" fontId="22" fillId="0" borderId="1" xfId="12" applyNumberFormat="1" applyFont="1" applyFill="1" applyBorder="1" applyAlignment="1">
      <alignment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22" fillId="0" borderId="1" xfId="12" applyNumberFormat="1" applyFont="1" applyFill="1" applyBorder="1" applyAlignment="1">
      <alignment horizontal="left" vertical="center"/>
    </xf>
    <xf numFmtId="49" fontId="0" fillId="0" borderId="1" xfId="0" applyNumberFormat="1" applyFill="1" applyBorder="1" applyAlignment="1">
      <alignment vertical="center"/>
    </xf>
    <xf numFmtId="49" fontId="0" fillId="0" borderId="1" xfId="0" applyNumberFormat="1" applyFill="1" applyBorder="1" applyAlignment="1">
      <alignment horizontal="left" vertical="center" wrapText="1"/>
    </xf>
    <xf numFmtId="49" fontId="20" fillId="0" borderId="1" xfId="12" applyNumberFormat="1" applyFont="1" applyFill="1" applyBorder="1" applyAlignment="1">
      <alignment vertical="center" wrapText="1"/>
    </xf>
    <xf numFmtId="49" fontId="12" fillId="0" borderId="1" xfId="0" applyNumberFormat="1" applyFont="1" applyFill="1" applyBorder="1" applyAlignment="1">
      <alignment horizontal="left" vertical="center"/>
    </xf>
    <xf numFmtId="1" fontId="22" fillId="0" borderId="1" xfId="12" applyNumberFormat="1" applyFont="1" applyFill="1" applyBorder="1" applyAlignment="1">
      <alignment horizontal="right" vertical="center"/>
    </xf>
    <xf numFmtId="1" fontId="0" fillId="0" borderId="1" xfId="0" applyNumberFormat="1" applyFill="1" applyBorder="1" applyAlignment="1">
      <alignment horizontal="right" vertical="center"/>
    </xf>
    <xf numFmtId="1" fontId="0" fillId="0" borderId="1" xfId="0" applyNumberFormat="1" applyFill="1" applyBorder="1" applyAlignment="1">
      <alignment vertical="center"/>
    </xf>
    <xf numFmtId="1" fontId="22" fillId="0" borderId="1" xfId="12" applyNumberFormat="1" applyFont="1" applyFill="1" applyBorder="1" applyAlignment="1">
      <alignment vertical="center"/>
    </xf>
    <xf numFmtId="0" fontId="0" fillId="0" borderId="1" xfId="0" applyFill="1" applyBorder="1" applyAlignment="1">
      <alignment horizontal="left" vertical="center"/>
    </xf>
    <xf numFmtId="0" fontId="0" fillId="41" borderId="50" xfId="0" applyFill="1" applyBorder="1"/>
    <xf numFmtId="0" fontId="0" fillId="41" borderId="25" xfId="0" applyFill="1" applyBorder="1"/>
    <xf numFmtId="0" fontId="0" fillId="41"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54" xfId="0" applyBorder="1" applyAlignment="1">
      <alignment horizontal="left"/>
    </xf>
    <xf numFmtId="165" fontId="0" fillId="0" borderId="55" xfId="0" applyNumberFormat="1" applyBorder="1"/>
    <xf numFmtId="3" fontId="0" fillId="0" borderId="55" xfId="0" applyNumberFormat="1" applyBorder="1"/>
    <xf numFmtId="0" fontId="0" fillId="0" borderId="55" xfId="0" applyNumberFormat="1" applyBorder="1"/>
    <xf numFmtId="165" fontId="0" fillId="0" borderId="56" xfId="0" applyNumberFormat="1" applyBorder="1"/>
    <xf numFmtId="0" fontId="0" fillId="0" borderId="4" xfId="0" applyBorder="1"/>
    <xf numFmtId="0" fontId="0" fillId="0" borderId="39" xfId="0" applyBorder="1"/>
    <xf numFmtId="49" fontId="22" fillId="0" borderId="3" xfId="12" applyNumberFormat="1" applyFont="1" applyFill="1" applyBorder="1" applyAlignment="1">
      <alignment vertical="center" wrapText="1"/>
    </xf>
    <xf numFmtId="49" fontId="22" fillId="0" borderId="1" xfId="0" applyNumberFormat="1" applyFont="1" applyFill="1" applyBorder="1" applyAlignment="1">
      <alignment vertical="center" wrapText="1"/>
    </xf>
    <xf numFmtId="49" fontId="22" fillId="0" borderId="1" xfId="0" applyNumberFormat="1" applyFont="1" applyFill="1" applyBorder="1" applyAlignment="1">
      <alignment horizontal="right" vertical="center" wrapText="1"/>
    </xf>
    <xf numFmtId="0" fontId="22" fillId="0" borderId="1" xfId="15" applyFont="1" applyFill="1" applyBorder="1" applyAlignment="1">
      <alignment vertical="center"/>
    </xf>
    <xf numFmtId="0" fontId="0" fillId="0" borderId="1" xfId="0" applyNumberFormat="1" applyBorder="1" applyAlignment="1">
      <alignment horizontal="right" vertical="center"/>
    </xf>
    <xf numFmtId="2" fontId="5" fillId="0" borderId="1" xfId="0" applyNumberFormat="1" applyFont="1" applyFill="1" applyBorder="1" applyAlignment="1">
      <alignment vertical="center"/>
    </xf>
    <xf numFmtId="49" fontId="5" fillId="0" borderId="1" xfId="0" applyNumberFormat="1" applyFont="1" applyFill="1" applyBorder="1" applyAlignment="1">
      <alignment vertical="center"/>
    </xf>
    <xf numFmtId="49" fontId="0" fillId="0" borderId="1" xfId="0" applyNumberFormat="1" applyBorder="1" applyAlignment="1">
      <alignment vertical="center"/>
    </xf>
    <xf numFmtId="14" fontId="0" fillId="0" borderId="1" xfId="0" applyNumberFormat="1" applyBorder="1" applyAlignment="1" applyProtection="1">
      <alignment vertical="center"/>
    </xf>
    <xf numFmtId="1" fontId="0" fillId="0" borderId="1" xfId="0" applyNumberFormat="1" applyBorder="1" applyAlignment="1" applyProtection="1">
      <alignment vertical="center"/>
    </xf>
    <xf numFmtId="15" fontId="0" fillId="0" borderId="1" xfId="0" applyNumberFormat="1" applyFill="1" applyBorder="1" applyAlignment="1">
      <alignment vertical="center"/>
    </xf>
    <xf numFmtId="165" fontId="0" fillId="0" borderId="1" xfId="7" applyNumberFormat="1" applyFont="1" applyFill="1" applyBorder="1" applyAlignment="1">
      <alignment horizontal="left" vertical="center"/>
    </xf>
    <xf numFmtId="49" fontId="0" fillId="0" borderId="2" xfId="0" applyNumberFormat="1" applyFill="1" applyBorder="1" applyAlignment="1">
      <alignment horizontal="left" vertical="center"/>
    </xf>
    <xf numFmtId="0" fontId="1" fillId="0" borderId="1" xfId="15" applyFill="1" applyBorder="1" applyAlignment="1">
      <alignment vertical="center"/>
    </xf>
    <xf numFmtId="1" fontId="0" fillId="0" borderId="1" xfId="0" applyNumberFormat="1" applyBorder="1" applyAlignment="1">
      <alignment horizontal="right" vertical="center"/>
    </xf>
    <xf numFmtId="14" fontId="0" fillId="0" borderId="1" xfId="0" applyNumberFormat="1" applyBorder="1" applyAlignment="1">
      <alignment vertical="center"/>
    </xf>
    <xf numFmtId="1" fontId="0" fillId="0" borderId="1" xfId="0" applyNumberFormat="1" applyBorder="1" applyAlignment="1">
      <alignment vertical="center"/>
    </xf>
    <xf numFmtId="22" fontId="0" fillId="0" borderId="1" xfId="0" applyNumberFormat="1" applyFill="1" applyBorder="1" applyAlignment="1">
      <alignment vertical="center"/>
    </xf>
    <xf numFmtId="49" fontId="0" fillId="0" borderId="1" xfId="0" applyNumberFormat="1" applyFill="1" applyBorder="1" applyAlignment="1">
      <alignment horizontal="right" vertical="center"/>
    </xf>
    <xf numFmtId="49" fontId="12" fillId="0" borderId="1" xfId="0" applyNumberFormat="1" applyFont="1" applyFill="1" applyBorder="1" applyAlignment="1">
      <alignment vertical="center"/>
    </xf>
    <xf numFmtId="0" fontId="40" fillId="0" borderId="1" xfId="15" applyFont="1" applyFill="1" applyBorder="1" applyAlignment="1">
      <alignment vertical="center"/>
    </xf>
    <xf numFmtId="49" fontId="0" fillId="0" borderId="1" xfId="0" applyNumberFormat="1" applyFill="1" applyBorder="1" applyAlignment="1" applyProtection="1">
      <alignment horizontal="left" vertical="center"/>
      <protection locked="0"/>
    </xf>
    <xf numFmtId="14" fontId="0" fillId="0" borderId="1" xfId="0" applyNumberFormat="1" applyFill="1" applyBorder="1" applyAlignment="1">
      <alignment vertical="center"/>
    </xf>
    <xf numFmtId="22" fontId="0" fillId="0" borderId="1" xfId="0" applyNumberFormat="1" applyFill="1" applyBorder="1" applyAlignment="1">
      <alignment horizontal="left" vertical="center"/>
    </xf>
    <xf numFmtId="15" fontId="0" fillId="0" borderId="1" xfId="0" applyNumberFormat="1" applyFill="1" applyBorder="1" applyAlignment="1">
      <alignment vertical="center"/>
    </xf>
    <xf numFmtId="0" fontId="22" fillId="0" borderId="1" xfId="15" applyNumberFormat="1" applyFont="1" applyFill="1" applyBorder="1" applyAlignment="1">
      <alignment vertical="center"/>
    </xf>
    <xf numFmtId="49" fontId="5" fillId="0" borderId="1" xfId="0" applyNumberFormat="1" applyFont="1" applyFill="1" applyBorder="1" applyAlignment="1">
      <alignment horizontal="left" vertical="center"/>
    </xf>
    <xf numFmtId="49" fontId="22" fillId="0" borderId="1" xfId="0" applyNumberFormat="1" applyFont="1" applyFill="1" applyBorder="1" applyAlignment="1">
      <alignment vertical="center"/>
    </xf>
    <xf numFmtId="49" fontId="22" fillId="0" borderId="1" xfId="0" applyNumberFormat="1" applyFont="1" applyFill="1" applyBorder="1" applyAlignment="1">
      <alignment horizontal="right" vertical="center"/>
    </xf>
    <xf numFmtId="17" fontId="0" fillId="0" borderId="1" xfId="0" applyNumberFormat="1" applyFill="1" applyBorder="1" applyAlignment="1">
      <alignment vertical="center"/>
    </xf>
    <xf numFmtId="49" fontId="0" fillId="0" borderId="1" xfId="0" applyNumberFormat="1" applyFill="1" applyBorder="1" applyAlignment="1" applyProtection="1">
      <alignment vertical="center" wrapText="1"/>
      <protection locked="0"/>
    </xf>
    <xf numFmtId="49" fontId="0" fillId="0" borderId="1" xfId="0" applyNumberFormat="1" applyFill="1" applyBorder="1" applyAlignment="1" applyProtection="1">
      <alignment horizontal="right" vertical="center" wrapText="1"/>
      <protection locked="0"/>
    </xf>
    <xf numFmtId="49" fontId="0" fillId="0" borderId="1" xfId="0" applyNumberFormat="1" applyFill="1" applyBorder="1" applyAlignment="1" applyProtection="1">
      <alignment horizontal="right" vertical="center"/>
      <protection locked="0"/>
    </xf>
    <xf numFmtId="0" fontId="22" fillId="0" borderId="1" xfId="15" applyNumberFormat="1" applyFont="1" applyBorder="1" applyAlignment="1">
      <alignment vertical="center"/>
    </xf>
    <xf numFmtId="22" fontId="22" fillId="0" borderId="1" xfId="12" applyNumberFormat="1" applyFont="1" applyFill="1" applyBorder="1" applyAlignment="1">
      <alignment vertical="center" wrapText="1"/>
    </xf>
    <xf numFmtId="49" fontId="22" fillId="0" borderId="3" xfId="12" applyNumberFormat="1" applyFont="1" applyFill="1" applyBorder="1" applyAlignment="1">
      <alignment vertical="center"/>
    </xf>
    <xf numFmtId="0" fontId="1" fillId="43" borderId="1" xfId="15" applyFill="1" applyBorder="1" applyAlignment="1">
      <alignment vertical="center"/>
    </xf>
    <xf numFmtId="15" fontId="22" fillId="0" borderId="1" xfId="12" applyNumberFormat="1" applyFont="1" applyFill="1" applyBorder="1" applyAlignment="1">
      <alignment vertical="center" wrapText="1"/>
    </xf>
    <xf numFmtId="0" fontId="2" fillId="0" borderId="1" xfId="4" applyBorder="1" applyAlignment="1">
      <alignment vertical="center"/>
    </xf>
    <xf numFmtId="49" fontId="22" fillId="0" borderId="1" xfId="0" applyNumberFormat="1" applyFont="1" applyFill="1" applyBorder="1" applyAlignment="1">
      <alignment horizontal="left" vertical="center"/>
    </xf>
    <xf numFmtId="14" fontId="0" fillId="0" borderId="1" xfId="0" applyNumberFormat="1" applyFill="1" applyBorder="1" applyAlignment="1" applyProtection="1">
      <alignment vertical="center"/>
    </xf>
    <xf numFmtId="0" fontId="0" fillId="43" borderId="1" xfId="0" applyFill="1" applyBorder="1" applyAlignment="1">
      <alignment vertical="center"/>
    </xf>
    <xf numFmtId="1" fontId="0" fillId="0" borderId="1" xfId="0" applyNumberFormat="1" applyFill="1" applyBorder="1" applyAlignment="1" applyProtection="1">
      <alignment vertical="center"/>
    </xf>
    <xf numFmtId="0" fontId="0" fillId="0" borderId="1" xfId="0" applyNumberFormat="1" applyFill="1" applyBorder="1" applyAlignment="1">
      <alignment horizontal="left" vertical="center"/>
    </xf>
    <xf numFmtId="0" fontId="5" fillId="0" borderId="1" xfId="0" applyFont="1" applyFill="1" applyBorder="1" applyAlignment="1">
      <alignment horizontal="left" vertical="center"/>
    </xf>
    <xf numFmtId="0" fontId="0" fillId="0" borderId="2" xfId="0" applyNumberFormat="1" applyFill="1" applyBorder="1" applyAlignment="1">
      <alignment horizontal="left" vertical="center"/>
    </xf>
    <xf numFmtId="49" fontId="22" fillId="0" borderId="1" xfId="18" applyNumberFormat="1" applyFont="1" applyFill="1" applyBorder="1" applyAlignment="1"/>
    <xf numFmtId="49" fontId="0" fillId="0" borderId="5" xfId="0" applyNumberFormat="1" applyFill="1" applyBorder="1" applyAlignment="1">
      <alignment horizontal="left" vertical="center"/>
    </xf>
    <xf numFmtId="2" fontId="5" fillId="0" borderId="5" xfId="0" applyNumberFormat="1" applyFont="1" applyFill="1" applyBorder="1" applyAlignment="1">
      <alignment vertical="center"/>
    </xf>
    <xf numFmtId="49" fontId="0" fillId="0" borderId="5" xfId="0" applyNumberFormat="1" applyBorder="1" applyAlignment="1">
      <alignment vertical="center"/>
    </xf>
    <xf numFmtId="49" fontId="0" fillId="0" borderId="5" xfId="0" applyNumberFormat="1" applyFill="1" applyBorder="1" applyAlignment="1">
      <alignment vertical="center"/>
    </xf>
    <xf numFmtId="15" fontId="0" fillId="0" borderId="5" xfId="0" applyNumberFormat="1" applyFill="1" applyBorder="1" applyAlignment="1">
      <alignment vertical="center"/>
    </xf>
    <xf numFmtId="0" fontId="0" fillId="0" borderId="5" xfId="0" applyFill="1" applyBorder="1" applyAlignment="1">
      <alignment horizontal="left" vertical="center"/>
    </xf>
    <xf numFmtId="165" fontId="0" fillId="0" borderId="5" xfId="7" applyNumberFormat="1" applyFont="1" applyFill="1" applyBorder="1" applyAlignment="1">
      <alignment horizontal="left" vertical="center"/>
    </xf>
    <xf numFmtId="49" fontId="0" fillId="0" borderId="18" xfId="0" applyNumberFormat="1" applyFill="1" applyBorder="1" applyAlignment="1">
      <alignment horizontal="left" vertical="center"/>
    </xf>
    <xf numFmtId="0" fontId="0" fillId="0" borderId="50" xfId="0" applyBorder="1"/>
    <xf numFmtId="0" fontId="0" fillId="0" borderId="25" xfId="0" applyBorder="1"/>
    <xf numFmtId="0" fontId="0" fillId="10" borderId="25" xfId="0" applyFill="1" applyBorder="1"/>
    <xf numFmtId="0" fontId="0" fillId="10" borderId="18" xfId="0" applyFill="1" applyBorder="1"/>
    <xf numFmtId="0" fontId="0" fillId="11" borderId="50"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51" xfId="0" applyNumberFormat="1" applyFill="1" applyBorder="1"/>
    <xf numFmtId="0" fontId="0" fillId="0" borderId="2" xfId="0" pivotButton="1" applyBorder="1"/>
    <xf numFmtId="0" fontId="0" fillId="0" borderId="3" xfId="0" applyBorder="1"/>
    <xf numFmtId="0" fontId="0" fillId="41" borderId="18" xfId="0" applyFill="1" applyBorder="1"/>
    <xf numFmtId="0" fontId="0" fillId="41" borderId="4" xfId="0" applyFill="1" applyBorder="1"/>
    <xf numFmtId="0" fontId="0" fillId="41" borderId="4" xfId="0" applyFill="1" applyBorder="1" applyAlignment="1">
      <alignment horizontal="left"/>
    </xf>
    <xf numFmtId="0" fontId="0" fillId="41" borderId="23" xfId="0" applyFill="1" applyBorder="1" applyAlignment="1">
      <alignment horizontal="left"/>
    </xf>
    <xf numFmtId="3" fontId="0" fillId="41" borderId="51" xfId="0" applyNumberFormat="1" applyFill="1" applyBorder="1"/>
    <xf numFmtId="3" fontId="0" fillId="41" borderId="17" xfId="0" applyNumberFormat="1" applyFill="1" applyBorder="1"/>
    <xf numFmtId="0" fontId="0" fillId="41" borderId="3" xfId="0" applyFill="1" applyBorder="1"/>
    <xf numFmtId="165" fontId="0" fillId="41" borderId="0" xfId="0" applyNumberFormat="1" applyFill="1" applyBorder="1"/>
    <xf numFmtId="165" fontId="0" fillId="44" borderId="4" xfId="0" applyNumberFormat="1" applyFill="1" applyBorder="1" applyAlignment="1">
      <alignment horizontal="left"/>
    </xf>
    <xf numFmtId="165" fontId="0" fillId="44" borderId="0" xfId="0" applyNumberFormat="1" applyFill="1" applyBorder="1"/>
    <xf numFmtId="165" fontId="0" fillId="44" borderId="39" xfId="0" applyNumberFormat="1" applyFill="1" applyBorder="1"/>
    <xf numFmtId="0" fontId="0" fillId="44" borderId="4" xfId="0" applyFill="1" applyBorder="1" applyAlignment="1">
      <alignment horizontal="left"/>
    </xf>
    <xf numFmtId="3" fontId="0" fillId="44" borderId="0" xfId="0" applyNumberFormat="1" applyFill="1" applyBorder="1"/>
    <xf numFmtId="3" fontId="0" fillId="44" borderId="39" xfId="0" applyNumberFormat="1" applyFill="1" applyBorder="1"/>
    <xf numFmtId="0" fontId="0" fillId="41" borderId="2" xfId="0" applyFill="1" applyBorder="1"/>
    <xf numFmtId="10" fontId="0" fillId="41"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50"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51"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50" xfId="0" pivotButton="1" applyBorder="1" applyAlignment="1">
      <alignment horizontal="center" vertical="center" wrapText="1"/>
    </xf>
    <xf numFmtId="0" fontId="0" fillId="0" borderId="50" xfId="0" pivotButton="1" applyBorder="1" applyAlignment="1">
      <alignment vertical="center"/>
    </xf>
    <xf numFmtId="165" fontId="0" fillId="0" borderId="50" xfId="0" applyNumberFormat="1" applyBorder="1" applyAlignment="1">
      <alignment horizontal="center" vertical="center" wrapText="1"/>
    </xf>
    <xf numFmtId="0" fontId="75" fillId="36" borderId="23" xfId="0" applyFont="1" applyFill="1" applyBorder="1"/>
    <xf numFmtId="0" fontId="75" fillId="36" borderId="51" xfId="0" applyFont="1" applyFill="1" applyBorder="1"/>
    <xf numFmtId="165" fontId="75" fillId="36" borderId="51" xfId="0" applyNumberFormat="1" applyFont="1" applyFill="1" applyBorder="1"/>
    <xf numFmtId="165" fontId="75" fillId="36" borderId="17" xfId="0" applyNumberFormat="1" applyFont="1" applyFill="1" applyBorder="1"/>
    <xf numFmtId="165" fontId="0" fillId="0" borderId="1" xfId="0" applyNumberFormat="1" applyBorder="1"/>
    <xf numFmtId="0" fontId="0" fillId="0" borderId="5" xfId="0" applyBorder="1"/>
    <xf numFmtId="170" fontId="0" fillId="0" borderId="0" xfId="0" applyNumberFormat="1" applyBorder="1"/>
    <xf numFmtId="0" fontId="0" fillId="35" borderId="4" xfId="0" applyFill="1" applyBorder="1" applyAlignment="1">
      <alignment horizontal="left" indent="2"/>
    </xf>
    <xf numFmtId="165" fontId="0" fillId="35" borderId="0" xfId="0" applyNumberFormat="1" applyFill="1" applyBorder="1"/>
    <xf numFmtId="0" fontId="0" fillId="0" borderId="4" xfId="0" applyBorder="1" applyAlignment="1">
      <alignment horizontal="left" indent="2"/>
    </xf>
    <xf numFmtId="170" fontId="0" fillId="0" borderId="51" xfId="0" applyNumberFormat="1" applyBorder="1"/>
    <xf numFmtId="170" fontId="0" fillId="0" borderId="50" xfId="0" applyNumberFormat="1" applyBorder="1"/>
    <xf numFmtId="0" fontId="0" fillId="0" borderId="23" xfId="0" applyBorder="1" applyAlignment="1">
      <alignment horizontal="left" indent="2"/>
    </xf>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1" borderId="1" xfId="0" applyFill="1" applyBorder="1"/>
    <xf numFmtId="165" fontId="0" fillId="41" borderId="1" xfId="0" applyNumberFormat="1" applyFill="1" applyBorder="1"/>
    <xf numFmtId="165" fontId="0" fillId="0" borderId="8" xfId="0" applyNumberFormat="1" applyBorder="1"/>
    <xf numFmtId="170" fontId="0" fillId="0" borderId="8" xfId="0" applyNumberFormat="1" applyBorder="1"/>
    <xf numFmtId="165" fontId="0" fillId="35" borderId="50" xfId="0" applyNumberFormat="1" applyFill="1" applyBorder="1"/>
    <xf numFmtId="0" fontId="0" fillId="0" borderId="2" xfId="0" applyBorder="1" applyAlignment="1">
      <alignment horizontal="left"/>
    </xf>
    <xf numFmtId="0" fontId="0" fillId="0" borderId="2" xfId="0" applyBorder="1" applyAlignment="1">
      <alignment horizontal="left" indent="1"/>
    </xf>
    <xf numFmtId="0" fontId="0" fillId="35" borderId="18" xfId="0" applyFill="1" applyBorder="1" applyAlignment="1">
      <alignment horizontal="left" indent="2"/>
    </xf>
    <xf numFmtId="0" fontId="0" fillId="0" borderId="23" xfId="0" applyBorder="1" applyAlignment="1">
      <alignment horizontal="left" indent="1"/>
    </xf>
    <xf numFmtId="170" fontId="0" fillId="0" borderId="1" xfId="0" applyNumberFormat="1" applyBorder="1"/>
    <xf numFmtId="49" fontId="22" fillId="0" borderId="5" xfId="0" applyNumberFormat="1" applyFont="1" applyFill="1" applyBorder="1" applyAlignment="1">
      <alignment vertical="center"/>
    </xf>
    <xf numFmtId="49" fontId="22" fillId="0" borderId="5" xfId="0" applyNumberFormat="1" applyFont="1" applyFill="1" applyBorder="1" applyAlignment="1">
      <alignment horizontal="right" vertical="center"/>
    </xf>
    <xf numFmtId="0" fontId="0" fillId="0" borderId="0" xfId="0" applyAlignment="1"/>
    <xf numFmtId="0" fontId="5" fillId="0" borderId="0" xfId="0" applyFont="1" applyAlignment="1"/>
    <xf numFmtId="49" fontId="22" fillId="0" borderId="1" xfId="12" applyNumberFormat="1" applyFont="1" applyFill="1" applyBorder="1" applyAlignment="1">
      <alignment vertical="center"/>
    </xf>
    <xf numFmtId="0" fontId="22" fillId="0" borderId="3" xfId="12" applyFont="1" applyFill="1" applyBorder="1" applyAlignment="1">
      <alignment vertical="center"/>
    </xf>
    <xf numFmtId="49" fontId="12" fillId="0" borderId="5" xfId="0" applyNumberFormat="1" applyFont="1" applyFill="1" applyBorder="1"/>
    <xf numFmtId="49" fontId="12" fillId="0" borderId="5" xfId="14" applyNumberFormat="1" applyFont="1" applyFill="1" applyBorder="1" applyAlignment="1"/>
    <xf numFmtId="49" fontId="12" fillId="0" borderId="5" xfId="0" applyNumberFormat="1" applyFont="1" applyFill="1" applyBorder="1" applyAlignment="1">
      <alignment horizontal="left" vertical="center"/>
    </xf>
    <xf numFmtId="49" fontId="0" fillId="0" borderId="5" xfId="0" applyNumberFormat="1" applyFont="1" applyFill="1" applyBorder="1"/>
    <xf numFmtId="9" fontId="12" fillId="0" borderId="5" xfId="0" applyNumberFormat="1" applyFont="1" applyFill="1" applyBorder="1"/>
    <xf numFmtId="49" fontId="0" fillId="0" borderId="18" xfId="0" applyNumberFormat="1" applyFont="1" applyFill="1" applyBorder="1"/>
    <xf numFmtId="0" fontId="0" fillId="41"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31" fillId="0" borderId="5" xfId="0" applyNumberFormat="1" applyFont="1" applyFill="1" applyBorder="1" applyAlignment="1">
      <alignment horizontal="center" vertical="center"/>
    </xf>
    <xf numFmtId="49" fontId="31" fillId="0" borderId="5" xfId="0" applyNumberFormat="1" applyFont="1" applyFill="1" applyBorder="1" applyAlignment="1">
      <alignment horizontal="left" vertical="center"/>
    </xf>
    <xf numFmtId="0" fontId="0" fillId="0" borderId="50" xfId="0" pivotButton="1" applyBorder="1" applyAlignment="1">
      <alignment vertical="center" wrapText="1"/>
    </xf>
    <xf numFmtId="0" fontId="20" fillId="2" borderId="57" xfId="5" applyFont="1" applyFill="1" applyBorder="1" applyAlignment="1">
      <alignment horizontal="center" vertical="center"/>
    </xf>
    <xf numFmtId="0" fontId="20" fillId="2" borderId="55" xfId="5" applyFont="1" applyFill="1" applyBorder="1" applyAlignment="1">
      <alignment horizontal="center" vertical="center"/>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0" borderId="1" xfId="0" applyFill="1" applyBorder="1" applyAlignment="1">
      <alignment horizontal="left" vertical="center" wrapText="1"/>
    </xf>
    <xf numFmtId="0" fontId="22" fillId="0" borderId="1" xfId="0" applyNumberFormat="1" applyFont="1" applyFill="1" applyBorder="1" applyAlignment="1">
      <alignment horizontal="left" vertical="center"/>
    </xf>
    <xf numFmtId="0" fontId="0" fillId="0" borderId="1" xfId="0" applyNumberFormat="1" applyFill="1" applyBorder="1" applyAlignment="1">
      <alignment horizontal="right" vertical="center"/>
    </xf>
    <xf numFmtId="15" fontId="0" fillId="0" borderId="1" xfId="0" applyNumberFormat="1" applyFill="1" applyBorder="1" applyAlignment="1">
      <alignment horizontal="left" vertical="center"/>
    </xf>
    <xf numFmtId="0" fontId="0" fillId="33" borderId="0" xfId="0" applyFill="1" applyAlignment="1"/>
    <xf numFmtId="0" fontId="5" fillId="33" borderId="0" xfId="0" applyFont="1" applyFill="1" applyAlignment="1"/>
    <xf numFmtId="0" fontId="10" fillId="0" borderId="50" xfId="6" applyFont="1" applyFill="1" applyBorder="1" applyAlignment="1">
      <alignment vertical="center"/>
    </xf>
    <xf numFmtId="0" fontId="10" fillId="0" borderId="51" xfId="6" applyFont="1" applyFill="1" applyBorder="1" applyAlignment="1">
      <alignment vertical="center"/>
    </xf>
    <xf numFmtId="0" fontId="0" fillId="11" borderId="0" xfId="0" applyNumberFormat="1" applyFill="1"/>
    <xf numFmtId="0" fontId="0" fillId="11" borderId="0" xfId="0" applyFill="1" applyAlignment="1">
      <alignment horizontal="left"/>
    </xf>
    <xf numFmtId="165" fontId="0" fillId="41" borderId="17" xfId="0" applyNumberFormat="1" applyFill="1" applyBorder="1"/>
    <xf numFmtId="165" fontId="0" fillId="41" borderId="23" xfId="0" applyNumberFormat="1" applyFill="1" applyBorder="1" applyAlignment="1">
      <alignment horizontal="left"/>
    </xf>
    <xf numFmtId="165" fontId="0" fillId="41" borderId="51" xfId="0" applyNumberFormat="1" applyFill="1" applyBorder="1"/>
    <xf numFmtId="0" fontId="30" fillId="0" borderId="1" xfId="15" applyFont="1" applyFill="1" applyBorder="1" applyAlignment="1">
      <alignment vertical="center"/>
    </xf>
    <xf numFmtId="0" fontId="12" fillId="0" borderId="0" xfId="0" applyFont="1" applyBorder="1"/>
    <xf numFmtId="0" fontId="12" fillId="0" borderId="0" xfId="0" applyFont="1" applyFill="1" applyBorder="1"/>
    <xf numFmtId="0" fontId="12" fillId="0" borderId="0" xfId="0" applyFont="1" applyFill="1"/>
    <xf numFmtId="0" fontId="12" fillId="0" borderId="0" xfId="0" applyFont="1" applyAlignment="1"/>
    <xf numFmtId="0" fontId="12" fillId="33" borderId="0" xfId="0" applyFont="1" applyFill="1" applyAlignment="1"/>
    <xf numFmtId="168" fontId="0" fillId="0" borderId="1" xfId="7" applyNumberFormat="1" applyFont="1" applyBorder="1"/>
    <xf numFmtId="9" fontId="12" fillId="0" borderId="2" xfId="0" applyNumberFormat="1" applyFont="1" applyFill="1" applyBorder="1"/>
    <xf numFmtId="0" fontId="12" fillId="20" borderId="23" xfId="0" applyFont="1" applyFill="1" applyBorder="1" applyAlignment="1">
      <alignment wrapText="1"/>
    </xf>
    <xf numFmtId="15" fontId="0" fillId="0" borderId="1" xfId="0" applyNumberFormat="1" applyFill="1" applyBorder="1" applyAlignment="1">
      <alignment horizontal="right" vertical="center"/>
    </xf>
    <xf numFmtId="49" fontId="22" fillId="0" borderId="25" xfId="12" applyNumberFormat="1" applyFont="1" applyFill="1" applyBorder="1" applyAlignment="1">
      <alignment vertical="center" wrapText="1"/>
    </xf>
    <xf numFmtId="0" fontId="22" fillId="0" borderId="0" xfId="15" applyFont="1" applyFill="1" applyBorder="1" applyAlignment="1">
      <alignment vertical="center"/>
    </xf>
    <xf numFmtId="0" fontId="78" fillId="0" borderId="1" xfId="0" applyFont="1" applyBorder="1" applyAlignment="1">
      <alignment vertical="center" wrapText="1"/>
    </xf>
    <xf numFmtId="0" fontId="22" fillId="0" borderId="27" xfId="12" applyNumberFormat="1" applyFont="1" applyFill="1" applyBorder="1" applyAlignment="1">
      <alignment horizontal="right" vertical="center"/>
    </xf>
    <xf numFmtId="1" fontId="22" fillId="0" borderId="31" xfId="12" applyNumberFormat="1" applyFont="1" applyFill="1" applyBorder="1" applyAlignment="1">
      <alignment horizontal="right" vertical="center"/>
    </xf>
    <xf numFmtId="49" fontId="0" fillId="2" borderId="1" xfId="0" applyNumberFormat="1" applyFill="1" applyBorder="1" applyAlignment="1">
      <alignment horizontal="left" vertical="center"/>
    </xf>
    <xf numFmtId="0" fontId="0" fillId="10" borderId="3" xfId="0" applyFill="1" applyBorder="1"/>
    <xf numFmtId="0" fontId="0" fillId="10" borderId="2" xfId="0" applyFill="1" applyBorder="1"/>
    <xf numFmtId="49" fontId="22" fillId="0" borderId="25" xfId="12" applyNumberFormat="1" applyFont="1" applyFill="1" applyBorder="1" applyAlignment="1">
      <alignment vertical="center"/>
    </xf>
    <xf numFmtId="0" fontId="22" fillId="0" borderId="1" xfId="0" applyFont="1" applyFill="1" applyBorder="1" applyAlignment="1"/>
    <xf numFmtId="49" fontId="0" fillId="0" borderId="62" xfId="0" applyNumberFormat="1" applyFill="1" applyBorder="1" applyAlignment="1">
      <alignment vertical="center"/>
    </xf>
    <xf numFmtId="49" fontId="0" fillId="0" borderId="62" xfId="0" applyNumberFormat="1" applyFill="1" applyBorder="1" applyAlignment="1">
      <alignment horizontal="left" vertical="center"/>
    </xf>
    <xf numFmtId="49" fontId="22" fillId="0" borderId="0" xfId="0" applyNumberFormat="1" applyFont="1" applyFill="1" applyBorder="1" applyAlignment="1">
      <alignment vertical="center"/>
    </xf>
    <xf numFmtId="49" fontId="22" fillId="0" borderId="62" xfId="0" applyNumberFormat="1" applyFont="1" applyFill="1" applyBorder="1" applyAlignment="1">
      <alignment vertical="center" wrapText="1"/>
    </xf>
    <xf numFmtId="49" fontId="0" fillId="0" borderId="0" xfId="0" applyNumberFormat="1" applyFill="1" applyBorder="1" applyAlignment="1">
      <alignment vertical="center"/>
    </xf>
    <xf numFmtId="0" fontId="1" fillId="0" borderId="0" xfId="15" applyFill="1" applyBorder="1" applyAlignment="1">
      <alignment vertical="center"/>
    </xf>
    <xf numFmtId="172" fontId="22" fillId="0" borderId="1" xfId="0" applyNumberFormat="1" applyFont="1" applyFill="1" applyBorder="1" applyAlignment="1">
      <alignment horizontal="right"/>
    </xf>
    <xf numFmtId="0" fontId="22" fillId="0" borderId="62" xfId="15" applyFont="1" applyFill="1" applyBorder="1" applyAlignment="1">
      <alignment vertical="center"/>
    </xf>
    <xf numFmtId="0" fontId="22" fillId="0" borderId="5" xfId="15" applyFont="1" applyFill="1" applyBorder="1" applyAlignment="1">
      <alignment vertical="center"/>
    </xf>
    <xf numFmtId="0" fontId="0" fillId="0" borderId="5" xfId="0" applyNumberFormat="1" applyBorder="1" applyAlignment="1">
      <alignment horizontal="right" vertical="center"/>
    </xf>
    <xf numFmtId="0" fontId="78" fillId="0" borderId="27" xfId="0" applyFont="1" applyBorder="1" applyAlignment="1">
      <alignment vertical="center" wrapText="1"/>
    </xf>
    <xf numFmtId="0" fontId="0" fillId="0" borderId="5" xfId="0" applyNumberFormat="1" applyFill="1" applyBorder="1" applyAlignment="1">
      <alignment vertical="center"/>
    </xf>
    <xf numFmtId="0" fontId="78" fillId="0" borderId="31" xfId="0" applyFont="1" applyBorder="1" applyAlignment="1">
      <alignment vertical="center" wrapText="1"/>
    </xf>
    <xf numFmtId="1" fontId="0" fillId="0" borderId="5" xfId="0" applyNumberFormat="1" applyFill="1" applyBorder="1" applyAlignment="1">
      <alignment vertical="center"/>
    </xf>
    <xf numFmtId="49" fontId="5" fillId="0" borderId="5" xfId="0" applyNumberFormat="1" applyFont="1" applyFill="1" applyBorder="1" applyAlignment="1">
      <alignment horizontal="left" vertical="center"/>
    </xf>
    <xf numFmtId="14" fontId="0" fillId="0" borderId="5" xfId="0" applyNumberFormat="1" applyBorder="1" applyAlignment="1" applyProtection="1">
      <alignment vertical="center"/>
    </xf>
    <xf numFmtId="1" fontId="0" fillId="0" borderId="5" xfId="0" applyNumberFormat="1" applyBorder="1" applyAlignment="1" applyProtection="1">
      <alignment vertical="center"/>
    </xf>
    <xf numFmtId="49" fontId="47" fillId="0" borderId="5" xfId="0" applyNumberFormat="1" applyFont="1" applyFill="1" applyBorder="1" applyAlignment="1">
      <alignment horizontal="right" vertical="center"/>
    </xf>
    <xf numFmtId="49" fontId="0" fillId="0" borderId="5" xfId="0" applyNumberFormat="1" applyFill="1" applyBorder="1" applyAlignment="1">
      <alignment vertical="center" wrapText="1"/>
    </xf>
    <xf numFmtId="0" fontId="0" fillId="41" borderId="50" xfId="0" applyFill="1" applyBorder="1" applyAlignment="1">
      <alignment vertical="center"/>
    </xf>
    <xf numFmtId="1" fontId="0" fillId="41" borderId="50" xfId="0" applyNumberFormat="1" applyFill="1" applyBorder="1" applyAlignment="1">
      <alignment vertical="center"/>
    </xf>
    <xf numFmtId="0" fontId="0" fillId="41"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1" borderId="0" xfId="0" applyFill="1" applyBorder="1" applyAlignment="1">
      <alignment vertical="center"/>
    </xf>
    <xf numFmtId="1" fontId="0" fillId="41" borderId="0" xfId="0" applyNumberFormat="1" applyFill="1" applyBorder="1" applyAlignment="1">
      <alignment vertical="center"/>
    </xf>
    <xf numFmtId="0" fontId="0" fillId="41" borderId="39" xfId="0" applyFill="1" applyBorder="1" applyAlignment="1">
      <alignment vertical="center"/>
    </xf>
    <xf numFmtId="0" fontId="0" fillId="41" borderId="51" xfId="0" applyFill="1" applyBorder="1" applyAlignment="1">
      <alignment vertical="center"/>
    </xf>
    <xf numFmtId="1" fontId="0" fillId="41" borderId="51" xfId="0" applyNumberFormat="1" applyFill="1" applyBorder="1" applyAlignment="1">
      <alignment vertical="center"/>
    </xf>
    <xf numFmtId="0" fontId="0" fillId="41" borderId="17" xfId="0" applyFill="1" applyBorder="1" applyAlignment="1">
      <alignment vertical="center"/>
    </xf>
    <xf numFmtId="0" fontId="5" fillId="0" borderId="0" xfId="0" applyFont="1" applyFill="1" applyBorder="1" applyAlignment="1">
      <alignment vertical="center"/>
    </xf>
    <xf numFmtId="1" fontId="0" fillId="0" borderId="0" xfId="0" applyNumberForma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31" fillId="0" borderId="1" xfId="0" applyNumberFormat="1" applyFont="1" applyFill="1" applyBorder="1" applyAlignment="1">
      <alignment vertical="center"/>
    </xf>
    <xf numFmtId="49" fontId="31" fillId="0" borderId="1" xfId="0" applyNumberFormat="1" applyFont="1" applyFill="1" applyBorder="1" applyAlignment="1">
      <alignment vertical="center"/>
    </xf>
    <xf numFmtId="49" fontId="31" fillId="0" borderId="1" xfId="0" applyNumberFormat="1" applyFont="1" applyFill="1" applyBorder="1" applyAlignment="1">
      <alignment vertical="center" wrapText="1"/>
    </xf>
    <xf numFmtId="49" fontId="31" fillId="0" borderId="1" xfId="0" applyNumberFormat="1" applyFont="1" applyFill="1" applyBorder="1" applyAlignment="1">
      <alignment horizontal="right" vertical="center"/>
    </xf>
    <xf numFmtId="1" fontId="31" fillId="0" borderId="1" xfId="0" applyNumberFormat="1" applyFont="1" applyFill="1" applyBorder="1" applyAlignment="1">
      <alignment horizontal="right" vertical="center"/>
    </xf>
    <xf numFmtId="49" fontId="31" fillId="0" borderId="2" xfId="0" applyNumberFormat="1" applyFont="1" applyFill="1" applyBorder="1" applyAlignment="1">
      <alignment vertical="center"/>
    </xf>
    <xf numFmtId="0" fontId="0" fillId="0" borderId="0" xfId="0" applyFill="1" applyAlignment="1">
      <alignment vertical="center"/>
    </xf>
    <xf numFmtId="49" fontId="4" fillId="0" borderId="1" xfId="0" applyNumberFormat="1" applyFont="1" applyFill="1" applyBorder="1" applyAlignment="1">
      <alignment vertical="center"/>
    </xf>
    <xf numFmtId="0" fontId="4" fillId="0" borderId="1" xfId="0" applyFont="1" applyFill="1" applyBorder="1" applyAlignment="1">
      <alignment vertical="center"/>
    </xf>
    <xf numFmtId="49" fontId="60" fillId="0" borderId="1" xfId="0" applyNumberFormat="1" applyFont="1" applyFill="1" applyBorder="1" applyAlignment="1">
      <alignment horizontal="right" vertical="center"/>
    </xf>
    <xf numFmtId="1" fontId="60" fillId="0" borderId="1" xfId="0" applyNumberFormat="1" applyFont="1" applyFill="1" applyBorder="1" applyAlignment="1">
      <alignment horizontal="right" vertical="center"/>
    </xf>
    <xf numFmtId="0" fontId="31" fillId="0" borderId="1" xfId="0" applyFont="1" applyFill="1" applyBorder="1" applyAlignment="1">
      <alignment vertical="center"/>
    </xf>
    <xf numFmtId="0" fontId="0" fillId="0" borderId="0" xfId="0" applyAlignment="1">
      <alignment vertical="center"/>
    </xf>
    <xf numFmtId="0" fontId="31" fillId="0" borderId="1" xfId="0" applyNumberFormat="1" applyFont="1" applyFill="1" applyBorder="1" applyAlignment="1">
      <alignment horizontal="right" vertical="center"/>
    </xf>
    <xf numFmtId="0" fontId="31" fillId="0" borderId="2" xfId="0" applyFont="1" applyFill="1" applyBorder="1" applyAlignment="1">
      <alignment vertical="center"/>
    </xf>
    <xf numFmtId="49" fontId="61" fillId="0" borderId="1" xfId="0" applyNumberFormat="1" applyFont="1" applyFill="1" applyBorder="1" applyAlignment="1">
      <alignment horizontal="right" vertical="center"/>
    </xf>
    <xf numFmtId="1" fontId="61" fillId="0" borderId="1" xfId="0" applyNumberFormat="1" applyFont="1" applyFill="1" applyBorder="1" applyAlignment="1">
      <alignment horizontal="right" vertical="center"/>
    </xf>
    <xf numFmtId="49" fontId="61" fillId="0" borderId="1" xfId="0" applyNumberFormat="1" applyFont="1" applyFill="1" applyBorder="1" applyAlignment="1">
      <alignment vertical="center"/>
    </xf>
    <xf numFmtId="0" fontId="4" fillId="0" borderId="1" xfId="0" applyNumberFormat="1" applyFont="1" applyFill="1" applyBorder="1" applyAlignment="1">
      <alignment vertical="center"/>
    </xf>
    <xf numFmtId="49" fontId="62" fillId="0" borderId="1" xfId="0" applyNumberFormat="1" applyFont="1" applyFill="1" applyBorder="1" applyAlignment="1">
      <alignment horizontal="right" vertical="center"/>
    </xf>
    <xf numFmtId="1" fontId="62" fillId="0" borderId="1" xfId="0" applyNumberFormat="1" applyFont="1" applyFill="1" applyBorder="1" applyAlignment="1">
      <alignment horizontal="right" vertical="center"/>
    </xf>
    <xf numFmtId="49" fontId="62" fillId="0" borderId="1" xfId="0" applyNumberFormat="1" applyFont="1" applyFill="1" applyBorder="1" applyAlignment="1">
      <alignment vertical="center"/>
    </xf>
    <xf numFmtId="49" fontId="63" fillId="0" borderId="1" xfId="0" applyNumberFormat="1" applyFont="1" applyFill="1" applyBorder="1" applyAlignment="1">
      <alignment horizontal="right" vertical="center"/>
    </xf>
    <xf numFmtId="1" fontId="63" fillId="0" borderId="1" xfId="0" applyNumberFormat="1" applyFont="1" applyFill="1" applyBorder="1" applyAlignment="1">
      <alignment horizontal="right" vertical="center"/>
    </xf>
    <xf numFmtId="49" fontId="63" fillId="0" borderId="1" xfId="0" applyNumberFormat="1" applyFont="1" applyFill="1" applyBorder="1" applyAlignment="1">
      <alignment vertical="center"/>
    </xf>
    <xf numFmtId="169" fontId="76" fillId="0" borderId="1" xfId="0" applyNumberFormat="1" applyFont="1" applyFill="1" applyBorder="1" applyAlignment="1">
      <alignment vertical="center"/>
    </xf>
    <xf numFmtId="0" fontId="76" fillId="0" borderId="1" xfId="0" applyFont="1" applyFill="1" applyBorder="1" applyAlignment="1">
      <alignment vertical="center"/>
    </xf>
    <xf numFmtId="0" fontId="76" fillId="0" borderId="1" xfId="0" applyNumberFormat="1" applyFont="1" applyFill="1" applyBorder="1" applyAlignment="1">
      <alignment horizontal="right" vertical="center"/>
    </xf>
    <xf numFmtId="1" fontId="76" fillId="0" borderId="1" xfId="0" applyNumberFormat="1" applyFont="1" applyFill="1" applyBorder="1" applyAlignment="1">
      <alignment horizontal="right" vertical="center"/>
    </xf>
    <xf numFmtId="49" fontId="31" fillId="0" borderId="18" xfId="0" applyNumberFormat="1" applyFont="1" applyFill="1" applyBorder="1" applyAlignment="1">
      <alignment vertical="center"/>
    </xf>
    <xf numFmtId="169" fontId="31" fillId="0" borderId="5" xfId="0" applyNumberFormat="1" applyFont="1" applyFill="1" applyBorder="1" applyAlignment="1">
      <alignment vertical="center"/>
    </xf>
    <xf numFmtId="49" fontId="31" fillId="0" borderId="5" xfId="0" applyNumberFormat="1" applyFont="1" applyFill="1" applyBorder="1" applyAlignment="1">
      <alignment vertical="center"/>
    </xf>
    <xf numFmtId="0" fontId="31" fillId="0" borderId="5" xfId="0" applyFont="1" applyFill="1" applyBorder="1" applyAlignment="1">
      <alignment vertical="center"/>
    </xf>
    <xf numFmtId="1" fontId="31" fillId="0" borderId="5" xfId="0" applyNumberFormat="1" applyFont="1" applyFill="1" applyBorder="1" applyAlignment="1">
      <alignment horizontal="right" vertical="center"/>
    </xf>
    <xf numFmtId="49" fontId="31" fillId="0" borderId="5" xfId="0" applyNumberFormat="1" applyFont="1" applyFill="1" applyBorder="1" applyAlignment="1">
      <alignment vertical="center" wrapText="1"/>
    </xf>
    <xf numFmtId="0" fontId="12" fillId="0" borderId="0" xfId="0" applyFont="1" applyFill="1" applyAlignment="1">
      <alignment vertical="center"/>
    </xf>
    <xf numFmtId="1" fontId="0" fillId="0" borderId="0" xfId="0" applyNumberFormat="1" applyAlignment="1">
      <alignment vertical="center"/>
    </xf>
    <xf numFmtId="15" fontId="0" fillId="0" borderId="0" xfId="0" applyNumberFormat="1" applyAlignment="1">
      <alignment vertical="center"/>
    </xf>
    <xf numFmtId="0" fontId="79" fillId="0" borderId="1" xfId="0" applyFont="1" applyBorder="1" applyAlignment="1">
      <alignment vertical="center"/>
    </xf>
    <xf numFmtId="0" fontId="76" fillId="2" borderId="1" xfId="0" applyNumberFormat="1" applyFont="1" applyFill="1" applyBorder="1" applyAlignment="1">
      <alignment horizontal="center" vertical="center"/>
    </xf>
    <xf numFmtId="0" fontId="31" fillId="2" borderId="1" xfId="0" applyNumberFormat="1" applyFont="1" applyFill="1" applyBorder="1" applyAlignment="1">
      <alignment horizontal="center" vertical="center"/>
    </xf>
    <xf numFmtId="165" fontId="0" fillId="35" borderId="51" xfId="0" applyNumberFormat="1" applyFill="1" applyBorder="1"/>
    <xf numFmtId="0" fontId="0" fillId="35" borderId="23" xfId="0" applyFill="1" applyBorder="1" applyAlignment="1">
      <alignment horizontal="left" indent="2"/>
    </xf>
    <xf numFmtId="0" fontId="0" fillId="0" borderId="27" xfId="0" applyBorder="1" applyAlignment="1">
      <alignment textRotation="90"/>
    </xf>
    <xf numFmtId="0" fontId="0" fillId="2" borderId="0" xfId="0" applyFill="1" applyAlignment="1">
      <alignment vertical="center"/>
    </xf>
    <xf numFmtId="49" fontId="76" fillId="0" borderId="1" xfId="0" applyNumberFormat="1" applyFont="1" applyFill="1" applyBorder="1" applyAlignment="1">
      <alignment vertical="center"/>
    </xf>
    <xf numFmtId="49" fontId="31" fillId="0" borderId="5" xfId="0" applyNumberFormat="1" applyFont="1" applyFill="1" applyBorder="1" applyAlignment="1">
      <alignment horizontal="right" vertical="center"/>
    </xf>
    <xf numFmtId="49" fontId="31" fillId="0" borderId="2" xfId="0" applyNumberFormat="1" applyFont="1" applyFill="1" applyBorder="1" applyAlignment="1">
      <alignment vertical="center" wrapText="1"/>
    </xf>
    <xf numFmtId="0" fontId="76" fillId="0" borderId="2" xfId="0" applyFont="1" applyFill="1" applyBorder="1" applyAlignment="1">
      <alignment vertical="center"/>
    </xf>
    <xf numFmtId="0" fontId="12" fillId="0" borderId="0" xfId="0" applyFont="1" applyFill="1" applyBorder="1" applyAlignment="1">
      <alignment vertical="center"/>
    </xf>
    <xf numFmtId="0" fontId="15" fillId="19" borderId="0" xfId="0" applyFont="1" applyFill="1" applyAlignment="1">
      <alignment horizontal="center" vertical="center"/>
    </xf>
    <xf numFmtId="0" fontId="11" fillId="10" borderId="0" xfId="0" applyFont="1" applyFill="1" applyAlignment="1">
      <alignment horizontal="left"/>
    </xf>
    <xf numFmtId="0" fontId="15" fillId="16" borderId="0" xfId="0" applyFont="1" applyFill="1" applyAlignment="1">
      <alignment horizontal="center"/>
    </xf>
    <xf numFmtId="166" fontId="37" fillId="11" borderId="0" xfId="6" applyNumberFormat="1" applyFont="1" applyFill="1" applyBorder="1" applyAlignment="1">
      <alignment horizontal="left" vertical="center"/>
    </xf>
    <xf numFmtId="166" fontId="37" fillId="41" borderId="23" xfId="6" applyNumberFormat="1" applyFont="1" applyFill="1" applyBorder="1" applyAlignment="1">
      <alignment horizontal="left" vertical="center"/>
    </xf>
    <xf numFmtId="166" fontId="37" fillId="41" borderId="51" xfId="6" applyNumberFormat="1" applyFont="1" applyFill="1" applyBorder="1" applyAlignment="1">
      <alignment horizontal="left" vertical="center"/>
    </xf>
    <xf numFmtId="166" fontId="77" fillId="11" borderId="23" xfId="6" applyNumberFormat="1" applyFont="1" applyFill="1" applyBorder="1" applyAlignment="1">
      <alignment horizontal="center" vertical="center"/>
    </xf>
    <xf numFmtId="166" fontId="77" fillId="11" borderId="51" xfId="6" applyNumberFormat="1" applyFont="1" applyFill="1" applyBorder="1" applyAlignment="1">
      <alignment horizontal="center" vertical="center"/>
    </xf>
    <xf numFmtId="0" fontId="34" fillId="41" borderId="0" xfId="6" applyFont="1" applyFill="1" applyBorder="1" applyAlignment="1">
      <alignment horizontal="left" vertical="center"/>
    </xf>
    <xf numFmtId="0" fontId="10" fillId="41" borderId="0" xfId="6" applyFont="1" applyFill="1" applyBorder="1" applyAlignment="1">
      <alignment horizontal="left" vertical="center"/>
    </xf>
    <xf numFmtId="0" fontId="32" fillId="10" borderId="2" xfId="0" applyFont="1" applyFill="1" applyBorder="1" applyAlignment="1">
      <alignment horizontal="left" vertical="top"/>
    </xf>
    <xf numFmtId="0" fontId="32" fillId="10" borderId="8" xfId="0" applyFont="1" applyFill="1" applyBorder="1" applyAlignment="1">
      <alignment horizontal="left" vertical="top"/>
    </xf>
    <xf numFmtId="0" fontId="32" fillId="10" borderId="3" xfId="0" applyFont="1" applyFill="1" applyBorder="1" applyAlignment="1">
      <alignment horizontal="left" vertical="top"/>
    </xf>
    <xf numFmtId="0" fontId="34" fillId="41" borderId="4" xfId="6" applyFont="1" applyFill="1" applyBorder="1" applyAlignment="1">
      <alignment horizontal="left" vertical="center"/>
    </xf>
    <xf numFmtId="0" fontId="34" fillId="11" borderId="4" xfId="6" applyFont="1" applyFill="1" applyBorder="1" applyAlignment="1">
      <alignment horizontal="left" vertical="center"/>
    </xf>
    <xf numFmtId="0" fontId="34" fillId="11" borderId="0" xfId="6" applyFont="1" applyFill="1" applyBorder="1" applyAlignment="1">
      <alignment horizontal="left" vertical="center"/>
    </xf>
    <xf numFmtId="166" fontId="37" fillId="11" borderId="23" xfId="6" applyNumberFormat="1" applyFont="1" applyFill="1" applyBorder="1" applyAlignment="1">
      <alignment horizontal="left" vertical="center"/>
    </xf>
    <xf numFmtId="166" fontId="37" fillId="11" borderId="51" xfId="6" applyNumberFormat="1" applyFont="1" applyFill="1" applyBorder="1" applyAlignment="1">
      <alignment horizontal="left" vertical="center"/>
    </xf>
    <xf numFmtId="166" fontId="37" fillId="11" borderId="17" xfId="6" applyNumberFormat="1" applyFont="1" applyFill="1" applyBorder="1" applyAlignment="1">
      <alignment horizontal="left" vertical="center"/>
    </xf>
    <xf numFmtId="0" fontId="68" fillId="41" borderId="0" xfId="6" applyFont="1" applyFill="1" applyBorder="1" applyAlignment="1">
      <alignment horizontal="left" vertical="center"/>
    </xf>
    <xf numFmtId="0" fontId="27" fillId="0" borderId="4" xfId="6" applyFont="1" applyFill="1" applyBorder="1" applyAlignment="1">
      <alignment horizontal="left" vertical="center"/>
    </xf>
    <xf numFmtId="0" fontId="27"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 borderId="61" xfId="0" applyFill="1" applyBorder="1" applyAlignment="1">
      <alignment horizontal="center" textRotation="90"/>
    </xf>
    <xf numFmtId="0" fontId="0" fillId="3" borderId="57" xfId="0" applyFill="1" applyBorder="1" applyAlignment="1">
      <alignment horizontal="center" textRotation="90"/>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13" xfId="0" applyFill="1" applyBorder="1" applyAlignment="1">
      <alignment horizontal="center" textRotation="90"/>
    </xf>
    <xf numFmtId="0" fontId="0" fillId="3" borderId="55" xfId="0" applyFill="1" applyBorder="1" applyAlignment="1">
      <alignment horizontal="center" textRotation="90"/>
    </xf>
    <xf numFmtId="0" fontId="0" fillId="3" borderId="12" xfId="0" applyFill="1" applyBorder="1" applyAlignment="1">
      <alignment horizontal="center" textRotation="90"/>
    </xf>
    <xf numFmtId="0" fontId="0" fillId="3" borderId="54"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13" fillId="11" borderId="35"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3" xfId="0" applyFont="1" applyFill="1" applyBorder="1" applyAlignment="1">
      <alignment horizontal="center" vertical="center" wrapText="1"/>
    </xf>
    <xf numFmtId="166" fontId="27" fillId="41" borderId="0" xfId="6" applyNumberFormat="1" applyFont="1" applyFill="1" applyBorder="1" applyAlignment="1">
      <alignment horizontal="left" wrapText="1"/>
    </xf>
  </cellXfs>
  <cellStyles count="19">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1" xfId="5"/>
    <cellStyle name="Normal_Sheet3" xfId="14"/>
    <cellStyle name="Normal_Sheet3_1" xfId="12"/>
    <cellStyle name="Percent" xfId="8" builtinId="5"/>
  </cellStyles>
  <dxfs count="1024">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3"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vertical/>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3" formatCode="m/d/yyyy"/>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FF0000"/>
      </font>
      <numFmt numFmtId="30" formatCode="@"/>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FF0000"/>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color indexed="8"/>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left/>
        <right/>
        <top/>
        <bottom/>
        <vertical/>
        <horizontal/>
      </border>
    </dxf>
    <dxf>
      <fill>
        <patternFill>
          <bgColor rgb="FFFFFF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FF0000"/>
      <color rgb="FFDCE6F1"/>
      <color rgb="FFFFFFFF"/>
      <color rgb="FFFD2361"/>
      <color rgb="FFFFC800"/>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november 2015.xlsx]Camp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Analysis'!$P$12:$P$45</c:f>
              <c:multiLvlStrCache>
                <c:ptCount val="21"/>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lvl>
              </c:multiLvlStrCache>
            </c:multiLvlStrRef>
          </c:cat>
          <c:val>
            <c:numRef>
              <c:f>'Camp Analysis'!$Q$12:$Q$45</c:f>
              <c:numCache>
                <c:formatCode>General</c:formatCode>
                <c:ptCount val="21"/>
                <c:pt idx="0">
                  <c:v>8185</c:v>
                </c:pt>
                <c:pt idx="1">
                  <c:v>2570</c:v>
                </c:pt>
                <c:pt idx="2">
                  <c:v>3574</c:v>
                </c:pt>
                <c:pt idx="3">
                  <c:v>665</c:v>
                </c:pt>
                <c:pt idx="4">
                  <c:v>0</c:v>
                </c:pt>
                <c:pt idx="5">
                  <c:v>17</c:v>
                </c:pt>
                <c:pt idx="6">
                  <c:v>0</c:v>
                </c:pt>
                <c:pt idx="7">
                  <c:v>355</c:v>
                </c:pt>
                <c:pt idx="8">
                  <c:v>472</c:v>
                </c:pt>
                <c:pt idx="9">
                  <c:v>420</c:v>
                </c:pt>
                <c:pt idx="10">
                  <c:v>1211</c:v>
                </c:pt>
                <c:pt idx="11">
                  <c:v>561</c:v>
                </c:pt>
                <c:pt idx="12">
                  <c:v>394</c:v>
                </c:pt>
                <c:pt idx="13">
                  <c:v>2222</c:v>
                </c:pt>
                <c:pt idx="14">
                  <c:v>1232</c:v>
                </c:pt>
                <c:pt idx="15">
                  <c:v>3291</c:v>
                </c:pt>
                <c:pt idx="16">
                  <c:v>12643</c:v>
                </c:pt>
                <c:pt idx="17">
                  <c:v>24326</c:v>
                </c:pt>
                <c:pt idx="18">
                  <c:v>7446</c:v>
                </c:pt>
                <c:pt idx="19">
                  <c:v>1896</c:v>
                </c:pt>
                <c:pt idx="20">
                  <c:v>28892</c:v>
                </c:pt>
              </c:numCache>
            </c:numRef>
          </c:val>
        </c:ser>
        <c:dLbls>
          <c:showLegendKey val="0"/>
          <c:showVal val="0"/>
          <c:showCatName val="0"/>
          <c:showSerName val="0"/>
          <c:showPercent val="0"/>
          <c:showBubbleSize val="0"/>
        </c:dLbls>
        <c:gapWidth val="150"/>
        <c:axId val="346150552"/>
        <c:axId val="346150944"/>
      </c:barChart>
      <c:catAx>
        <c:axId val="346150552"/>
        <c:scaling>
          <c:orientation val="minMax"/>
        </c:scaling>
        <c:delete val="0"/>
        <c:axPos val="l"/>
        <c:numFmt formatCode="General" sourceLinked="0"/>
        <c:majorTickMark val="out"/>
        <c:minorTickMark val="none"/>
        <c:tickLblPos val="nextTo"/>
        <c:crossAx val="346150944"/>
        <c:crosses val="autoZero"/>
        <c:auto val="1"/>
        <c:lblAlgn val="ctr"/>
        <c:lblOffset val="100"/>
        <c:noMultiLvlLbl val="1"/>
      </c:catAx>
      <c:valAx>
        <c:axId val="346150944"/>
        <c:scaling>
          <c:orientation val="minMax"/>
        </c:scaling>
        <c:delete val="0"/>
        <c:axPos val="b"/>
        <c:majorGridlines/>
        <c:numFmt formatCode="General" sourceLinked="1"/>
        <c:majorTickMark val="out"/>
        <c:minorTickMark val="none"/>
        <c:tickLblPos val="nextTo"/>
        <c:crossAx val="346150552"/>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2384638035160944"/>
          <c:w val="0.3389589174721096"/>
          <c:h val="0.84739662382217174"/>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1"/>
              <c:layout>
                <c:manualLayout>
                  <c:x val="7.5798785959581456E-3"/>
                  <c:y val="-0.17775008352198393"/>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'CCCM Dashboard'!$AL$6:$AO$6</c:f>
              <c:strCache>
                <c:ptCount val="4"/>
                <c:pt idx="0">
                  <c:v>1-100</c:v>
                </c:pt>
                <c:pt idx="1">
                  <c:v>100-1k</c:v>
                </c:pt>
                <c:pt idx="2">
                  <c:v>1k-5k</c:v>
                </c:pt>
                <c:pt idx="3">
                  <c:v>5k-10k</c:v>
                </c:pt>
              </c:strCache>
            </c:strRef>
          </c:cat>
          <c:val>
            <c:numRef>
              <c:f>'CCCM Dashboard'!$AL$29:$AO$29</c:f>
              <c:numCache>
                <c:formatCode>0%</c:formatCode>
                <c:ptCount val="4"/>
                <c:pt idx="0">
                  <c:v>2.3018702695940453E-2</c:v>
                </c:pt>
                <c:pt idx="1">
                  <c:v>0.39336127270073601</c:v>
                </c:pt>
                <c:pt idx="2">
                  <c:v>0.42068555701507476</c:v>
                </c:pt>
                <c:pt idx="3">
                  <c:v>0.16293446758824878</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Dashboard'!$AL$35</c:f>
              <c:strCache>
                <c:ptCount val="1"/>
                <c:pt idx="0">
                  <c:v>1-100</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Dashboard'!$AL$36:$AL$56</c:f>
              <c:numCache>
                <c:formatCode>_-* #,##0_-;\-* #,##0_-;_-* "-"??_-;_-@_-</c:formatCode>
                <c:ptCount val="21"/>
                <c:pt idx="0">
                  <c:v>3</c:v>
                </c:pt>
                <c:pt idx="1">
                  <c:v>0</c:v>
                </c:pt>
                <c:pt idx="2">
                  <c:v>10</c:v>
                </c:pt>
                <c:pt idx="3">
                  <c:v>0</c:v>
                </c:pt>
                <c:pt idx="4">
                  <c:v>0</c:v>
                </c:pt>
                <c:pt idx="5">
                  <c:v>1</c:v>
                </c:pt>
                <c:pt idx="6">
                  <c:v>0</c:v>
                </c:pt>
                <c:pt idx="7">
                  <c:v>0</c:v>
                </c:pt>
                <c:pt idx="8">
                  <c:v>0</c:v>
                </c:pt>
                <c:pt idx="9">
                  <c:v>0</c:v>
                </c:pt>
                <c:pt idx="10">
                  <c:v>5</c:v>
                </c:pt>
                <c:pt idx="11">
                  <c:v>2</c:v>
                </c:pt>
                <c:pt idx="12">
                  <c:v>6</c:v>
                </c:pt>
                <c:pt idx="13">
                  <c:v>2</c:v>
                </c:pt>
                <c:pt idx="14">
                  <c:v>5</c:v>
                </c:pt>
                <c:pt idx="15">
                  <c:v>0</c:v>
                </c:pt>
                <c:pt idx="16">
                  <c:v>1</c:v>
                </c:pt>
                <c:pt idx="17">
                  <c:v>2</c:v>
                </c:pt>
                <c:pt idx="18">
                  <c:v>1</c:v>
                </c:pt>
                <c:pt idx="19">
                  <c:v>1</c:v>
                </c:pt>
                <c:pt idx="20">
                  <c:v>2</c:v>
                </c:pt>
              </c:numCache>
            </c:numRef>
          </c:val>
        </c:ser>
        <c:ser>
          <c:idx val="0"/>
          <c:order val="1"/>
          <c:tx>
            <c:strRef>
              <c:f>'CCCM Dashboard'!$AM$35</c:f>
              <c:strCache>
                <c:ptCount val="1"/>
                <c:pt idx="0">
                  <c:v>100-1k</c:v>
                </c:pt>
              </c:strCache>
            </c:strRef>
          </c:tx>
          <c:spPr>
            <a:solidFill>
              <a:srgbClr val="FFC000"/>
            </a:solidFill>
          </c:spPr>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Dashboard'!$AM$36:$AM$56</c:f>
              <c:numCache>
                <c:formatCode>_-* #,##0_-;\-* #,##0_-;_-* "-"??_-;_-@_-</c:formatCode>
                <c:ptCount val="21"/>
                <c:pt idx="0">
                  <c:v>6</c:v>
                </c:pt>
                <c:pt idx="1">
                  <c:v>5</c:v>
                </c:pt>
                <c:pt idx="2">
                  <c:v>10</c:v>
                </c:pt>
                <c:pt idx="3">
                  <c:v>2</c:v>
                </c:pt>
                <c:pt idx="4">
                  <c:v>0</c:v>
                </c:pt>
                <c:pt idx="5">
                  <c:v>0</c:v>
                </c:pt>
                <c:pt idx="6">
                  <c:v>9</c:v>
                </c:pt>
                <c:pt idx="7">
                  <c:v>0</c:v>
                </c:pt>
                <c:pt idx="8">
                  <c:v>6</c:v>
                </c:pt>
                <c:pt idx="9">
                  <c:v>2</c:v>
                </c:pt>
                <c:pt idx="10">
                  <c:v>1</c:v>
                </c:pt>
                <c:pt idx="11">
                  <c:v>2</c:v>
                </c:pt>
                <c:pt idx="12">
                  <c:v>8</c:v>
                </c:pt>
                <c:pt idx="13">
                  <c:v>4</c:v>
                </c:pt>
                <c:pt idx="14">
                  <c:v>18</c:v>
                </c:pt>
                <c:pt idx="15">
                  <c:v>5</c:v>
                </c:pt>
                <c:pt idx="16">
                  <c:v>1</c:v>
                </c:pt>
                <c:pt idx="17">
                  <c:v>1</c:v>
                </c:pt>
                <c:pt idx="18">
                  <c:v>2</c:v>
                </c:pt>
                <c:pt idx="19">
                  <c:v>2</c:v>
                </c:pt>
                <c:pt idx="20">
                  <c:v>14</c:v>
                </c:pt>
              </c:numCache>
            </c:numRef>
          </c:val>
        </c:ser>
        <c:ser>
          <c:idx val="1"/>
          <c:order val="2"/>
          <c:tx>
            <c:strRef>
              <c:f>'CCCM Dashboard'!$AN$35</c:f>
              <c:strCache>
                <c:ptCount val="1"/>
                <c:pt idx="0">
                  <c:v>1k - 5k</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Dashboard'!$AN$36:$AN$56</c:f>
              <c:numCache>
                <c:formatCode>_-* #,##0_-;\-* #,##0_-;_-* "-"??_-;_-@_-</c:formatCode>
                <c:ptCount val="21"/>
                <c:pt idx="0">
                  <c:v>2</c:v>
                </c:pt>
                <c:pt idx="1">
                  <c:v>0</c:v>
                </c:pt>
                <c:pt idx="2">
                  <c:v>0</c:v>
                </c:pt>
                <c:pt idx="3">
                  <c:v>0</c:v>
                </c:pt>
                <c:pt idx="4">
                  <c:v>0</c:v>
                </c:pt>
                <c:pt idx="5">
                  <c:v>0</c:v>
                </c:pt>
                <c:pt idx="6">
                  <c:v>0</c:v>
                </c:pt>
                <c:pt idx="7">
                  <c:v>0</c:v>
                </c:pt>
                <c:pt idx="8">
                  <c:v>6</c:v>
                </c:pt>
                <c:pt idx="9">
                  <c:v>0</c:v>
                </c:pt>
                <c:pt idx="10">
                  <c:v>0</c:v>
                </c:pt>
                <c:pt idx="11">
                  <c:v>0</c:v>
                </c:pt>
                <c:pt idx="12">
                  <c:v>6</c:v>
                </c:pt>
                <c:pt idx="13">
                  <c:v>0</c:v>
                </c:pt>
                <c:pt idx="14">
                  <c:v>1</c:v>
                </c:pt>
                <c:pt idx="15">
                  <c:v>0</c:v>
                </c:pt>
                <c:pt idx="16">
                  <c:v>0</c:v>
                </c:pt>
                <c:pt idx="17">
                  <c:v>0</c:v>
                </c:pt>
                <c:pt idx="18">
                  <c:v>1</c:v>
                </c:pt>
                <c:pt idx="19">
                  <c:v>0</c:v>
                </c:pt>
                <c:pt idx="20">
                  <c:v>6</c:v>
                </c:pt>
              </c:numCache>
            </c:numRef>
          </c:val>
        </c:ser>
        <c:ser>
          <c:idx val="2"/>
          <c:order val="3"/>
          <c:tx>
            <c:strRef>
              <c:f>'CCCM Dashboard'!$AO$35</c:f>
              <c:strCache>
                <c:ptCount val="1"/>
                <c:pt idx="0">
                  <c:v>5k-10k</c:v>
                </c:pt>
              </c:strCache>
            </c:strRef>
          </c:tx>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Dashboard'!$AO$36:$AO$56</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1</c:v>
                </c:pt>
              </c:numCache>
            </c:numRef>
          </c:val>
        </c:ser>
        <c:ser>
          <c:idx val="4"/>
          <c:order val="4"/>
          <c:tx>
            <c:strRef>
              <c:f>'CCCM Dashboard'!$AP$35</c:f>
              <c:strCache>
                <c:ptCount val="1"/>
                <c:pt idx="0">
                  <c:v>Unknown</c:v>
                </c:pt>
              </c:strCache>
            </c:strRef>
          </c:tx>
          <c:spPr>
            <a:solidFill>
              <a:schemeClr val="tx1"/>
            </a:solidFill>
          </c:spPr>
          <c:invertIfNegative val="0"/>
          <c:cat>
            <c:strRef>
              <c:f>'CCCM Dashboard'!$AK$36:$AK$56</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Dashboard'!$AP$36:$AP$56</c:f>
              <c:numCache>
                <c:formatCode>General</c:formatCode>
                <c:ptCount val="21"/>
                <c:pt idx="0">
                  <c:v>1</c:v>
                </c:pt>
                <c:pt idx="1">
                  <c:v>0</c:v>
                </c:pt>
                <c:pt idx="2">
                  <c:v>0</c:v>
                </c:pt>
                <c:pt idx="3">
                  <c:v>0</c:v>
                </c:pt>
                <c:pt idx="4">
                  <c:v>0</c:v>
                </c:pt>
                <c:pt idx="5">
                  <c:v>0</c:v>
                </c:pt>
                <c:pt idx="6">
                  <c:v>0</c:v>
                </c:pt>
                <c:pt idx="7">
                  <c:v>0</c:v>
                </c:pt>
                <c:pt idx="8">
                  <c:v>0</c:v>
                </c:pt>
                <c:pt idx="9">
                  <c:v>0</c:v>
                </c:pt>
                <c:pt idx="10">
                  <c:v>0</c:v>
                </c:pt>
                <c:pt idx="11">
                  <c:v>1</c:v>
                </c:pt>
                <c:pt idx="12">
                  <c:v>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396164400"/>
        <c:axId val="396164008"/>
      </c:barChart>
      <c:catAx>
        <c:axId val="396164400"/>
        <c:scaling>
          <c:orientation val="minMax"/>
        </c:scaling>
        <c:delete val="0"/>
        <c:axPos val="b"/>
        <c:numFmt formatCode="General" sourceLinked="0"/>
        <c:majorTickMark val="out"/>
        <c:minorTickMark val="none"/>
        <c:tickLblPos val="nextTo"/>
        <c:txPr>
          <a:bodyPr/>
          <a:lstStyle/>
          <a:p>
            <a:pPr>
              <a:defRPr sz="900"/>
            </a:pPr>
            <a:endParaRPr lang="en-US"/>
          </a:p>
        </c:txPr>
        <c:crossAx val="396164008"/>
        <c:crosses val="autoZero"/>
        <c:auto val="1"/>
        <c:lblAlgn val="ctr"/>
        <c:lblOffset val="100"/>
        <c:noMultiLvlLbl val="0"/>
      </c:catAx>
      <c:valAx>
        <c:axId val="396164008"/>
        <c:scaling>
          <c:orientation val="minMax"/>
        </c:scaling>
        <c:delete val="0"/>
        <c:axPos val="l"/>
        <c:majorGridlines/>
        <c:numFmt formatCode="_-* #,##0_-;\-* #,##0_-;_-* &quot;-&quot;??_-;_-@_-" sourceLinked="1"/>
        <c:majorTickMark val="out"/>
        <c:minorTickMark val="none"/>
        <c:tickLblPos val="nextTo"/>
        <c:crossAx val="396164400"/>
        <c:crosses val="autoZero"/>
        <c:crossBetween val="between"/>
      </c:valAx>
    </c:plotArea>
    <c:legend>
      <c:legendPos val="b"/>
      <c:layout>
        <c:manualLayout>
          <c:xMode val="edge"/>
          <c:yMode val="edge"/>
          <c:x val="5.0000031492115321E-2"/>
          <c:y val="0.92844988632826164"/>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308411536"/>
        <c:axId val="308411144"/>
      </c:barChart>
      <c:catAx>
        <c:axId val="308411536"/>
        <c:scaling>
          <c:orientation val="minMax"/>
        </c:scaling>
        <c:delete val="0"/>
        <c:axPos val="b"/>
        <c:majorTickMark val="none"/>
        <c:minorTickMark val="none"/>
        <c:tickLblPos val="nextTo"/>
        <c:crossAx val="308411144"/>
        <c:crosses val="autoZero"/>
        <c:auto val="1"/>
        <c:lblAlgn val="ctr"/>
        <c:lblOffset val="100"/>
        <c:noMultiLvlLbl val="0"/>
      </c:catAx>
      <c:valAx>
        <c:axId val="308411144"/>
        <c:scaling>
          <c:orientation val="minMax"/>
        </c:scaling>
        <c:delete val="0"/>
        <c:axPos val="l"/>
        <c:majorGridlines/>
        <c:numFmt formatCode="General" sourceLinked="1"/>
        <c:majorTickMark val="none"/>
        <c:minorTickMark val="none"/>
        <c:tickLblPos val="nextTo"/>
        <c:spPr>
          <a:ln w="9525">
            <a:noFill/>
          </a:ln>
        </c:spPr>
        <c:crossAx val="308411536"/>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Progress'!$N$7:$N$27</c:f>
              <c:numCache>
                <c:formatCode>0%</c:formatCode>
                <c:ptCount val="21"/>
                <c:pt idx="0">
                  <c:v>0.75201170446232624</c:v>
                </c:pt>
                <c:pt idx="1">
                  <c:v>0.35225048923679059</c:v>
                </c:pt>
                <c:pt idx="2">
                  <c:v>0.71961325966850831</c:v>
                </c:pt>
                <c:pt idx="3">
                  <c:v>0.22727272727272727</c:v>
                </c:pt>
                <c:pt idx="4">
                  <c:v>0</c:v>
                </c:pt>
                <c:pt idx="5">
                  <c:v>0</c:v>
                </c:pt>
                <c:pt idx="6">
                  <c:v>0.62390670553935856</c:v>
                </c:pt>
                <c:pt idx="7">
                  <c:v>0</c:v>
                </c:pt>
                <c:pt idx="8">
                  <c:v>0.71740008074283412</c:v>
                </c:pt>
                <c:pt idx="9">
                  <c:v>1.1594202898550725</c:v>
                </c:pt>
                <c:pt idx="10">
                  <c:v>0.70175438596491224</c:v>
                </c:pt>
                <c:pt idx="11">
                  <c:v>1.4</c:v>
                </c:pt>
                <c:pt idx="12">
                  <c:v>0.88483516483516489</c:v>
                </c:pt>
                <c:pt idx="13">
                  <c:v>0.81553398058252424</c:v>
                </c:pt>
                <c:pt idx="14">
                  <c:v>0.72375328083989499</c:v>
                </c:pt>
                <c:pt idx="15">
                  <c:v>0.4607329842931937</c:v>
                </c:pt>
                <c:pt idx="16">
                  <c:v>1</c:v>
                </c:pt>
                <c:pt idx="17">
                  <c:v>0</c:v>
                </c:pt>
                <c:pt idx="18">
                  <c:v>0.71544715447154472</c:v>
                </c:pt>
                <c:pt idx="19">
                  <c:v>0</c:v>
                </c:pt>
                <c:pt idx="20">
                  <c:v>0.69631326806915228</c:v>
                </c:pt>
              </c:numCache>
            </c:numRef>
          </c:val>
        </c:ser>
        <c:dLbls>
          <c:showLegendKey val="0"/>
          <c:showVal val="0"/>
          <c:showCatName val="0"/>
          <c:showSerName val="0"/>
          <c:showPercent val="0"/>
          <c:showBubbleSize val="0"/>
        </c:dLbls>
        <c:gapWidth val="75"/>
        <c:axId val="308409968"/>
        <c:axId val="308409576"/>
      </c:barChart>
      <c:catAx>
        <c:axId val="308409968"/>
        <c:scaling>
          <c:orientation val="minMax"/>
        </c:scaling>
        <c:delete val="0"/>
        <c:axPos val="b"/>
        <c:numFmt formatCode="General" sourceLinked="0"/>
        <c:majorTickMark val="none"/>
        <c:minorTickMark val="none"/>
        <c:tickLblPos val="nextTo"/>
        <c:crossAx val="308409576"/>
        <c:crosses val="autoZero"/>
        <c:auto val="1"/>
        <c:lblAlgn val="ctr"/>
        <c:lblOffset val="100"/>
        <c:noMultiLvlLbl val="0"/>
      </c:catAx>
      <c:valAx>
        <c:axId val="308409576"/>
        <c:scaling>
          <c:orientation val="minMax"/>
        </c:scaling>
        <c:delete val="0"/>
        <c:axPos val="l"/>
        <c:majorGridlines/>
        <c:numFmt formatCode="0%" sourceLinked="1"/>
        <c:majorTickMark val="none"/>
        <c:minorTickMark val="none"/>
        <c:tickLblPos val="nextTo"/>
        <c:spPr>
          <a:ln w="9525">
            <a:noFill/>
          </a:ln>
        </c:spPr>
        <c:crossAx val="308409968"/>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308411928"/>
        <c:axId val="308412320"/>
      </c:barChart>
      <c:catAx>
        <c:axId val="308411928"/>
        <c:scaling>
          <c:orientation val="minMax"/>
        </c:scaling>
        <c:delete val="0"/>
        <c:axPos val="b"/>
        <c:numFmt formatCode="General" sourceLinked="0"/>
        <c:majorTickMark val="out"/>
        <c:minorTickMark val="none"/>
        <c:tickLblPos val="nextTo"/>
        <c:crossAx val="308412320"/>
        <c:crosses val="autoZero"/>
        <c:auto val="1"/>
        <c:lblAlgn val="ctr"/>
        <c:lblOffset val="100"/>
        <c:noMultiLvlLbl val="0"/>
      </c:catAx>
      <c:valAx>
        <c:axId val="308412320"/>
        <c:scaling>
          <c:orientation val="minMax"/>
        </c:scaling>
        <c:delete val="0"/>
        <c:axPos val="l"/>
        <c:majorGridlines/>
        <c:numFmt formatCode="General" sourceLinked="1"/>
        <c:majorTickMark val="out"/>
        <c:minorTickMark val="none"/>
        <c:tickLblPos val="nextTo"/>
        <c:crossAx val="3084119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november 2015.xlsx]Shelter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Progress'!$B$83</c:f>
              <c:strCache>
                <c:ptCount val="1"/>
                <c:pt idx="0">
                  <c:v>Total</c:v>
                </c:pt>
              </c:strCache>
            </c:strRef>
          </c:tx>
          <c:invertIfNegative val="0"/>
          <c:cat>
            <c:strRef>
              <c:f>'Shelter Progress'!$A$84:$A$100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DFIT</c:v>
                </c:pt>
                <c:pt idx="14">
                  <c:v>COC</c:v>
                </c:pt>
                <c:pt idx="15">
                  <c:v>FSD</c:v>
                </c:pt>
              </c:strCache>
            </c:strRef>
          </c:cat>
          <c:val>
            <c:numRef>
              <c:f>'Shelter Progress'!$B$84:$B$100</c:f>
              <c:numCache>
                <c:formatCode>General</c:formatCode>
                <c:ptCount val="16"/>
                <c:pt idx="0">
                  <c:v>2368</c:v>
                </c:pt>
                <c:pt idx="1">
                  <c:v>7052</c:v>
                </c:pt>
                <c:pt idx="2">
                  <c:v>87</c:v>
                </c:pt>
                <c:pt idx="3">
                  <c:v>420</c:v>
                </c:pt>
                <c:pt idx="4">
                  <c:v>32</c:v>
                </c:pt>
                <c:pt idx="5">
                  <c:v>1041</c:v>
                </c:pt>
                <c:pt idx="6">
                  <c:v>822</c:v>
                </c:pt>
                <c:pt idx="7">
                  <c:v>289</c:v>
                </c:pt>
                <c:pt idx="8">
                  <c:v>32</c:v>
                </c:pt>
                <c:pt idx="9">
                  <c:v>12</c:v>
                </c:pt>
                <c:pt idx="10">
                  <c:v>10</c:v>
                </c:pt>
                <c:pt idx="11">
                  <c:v>0</c:v>
                </c:pt>
                <c:pt idx="12">
                  <c:v>132</c:v>
                </c:pt>
                <c:pt idx="13">
                  <c:v>350</c:v>
                </c:pt>
                <c:pt idx="14">
                  <c:v>20</c:v>
                </c:pt>
                <c:pt idx="15">
                  <c:v>269</c:v>
                </c:pt>
              </c:numCache>
            </c:numRef>
          </c:val>
        </c:ser>
        <c:dLbls>
          <c:showLegendKey val="0"/>
          <c:showVal val="0"/>
          <c:showCatName val="0"/>
          <c:showSerName val="0"/>
          <c:showPercent val="0"/>
          <c:showBubbleSize val="0"/>
        </c:dLbls>
        <c:gapWidth val="150"/>
        <c:overlap val="100"/>
        <c:axId val="154676264"/>
        <c:axId val="154676656"/>
      </c:barChart>
      <c:catAx>
        <c:axId val="154676264"/>
        <c:scaling>
          <c:orientation val="minMax"/>
        </c:scaling>
        <c:delete val="0"/>
        <c:axPos val="b"/>
        <c:numFmt formatCode="General" sourceLinked="0"/>
        <c:majorTickMark val="out"/>
        <c:minorTickMark val="none"/>
        <c:tickLblPos val="nextTo"/>
        <c:crossAx val="154676656"/>
        <c:crosses val="autoZero"/>
        <c:auto val="1"/>
        <c:lblAlgn val="ctr"/>
        <c:lblOffset val="100"/>
        <c:noMultiLvlLbl val="0"/>
      </c:catAx>
      <c:valAx>
        <c:axId val="154676656"/>
        <c:scaling>
          <c:orientation val="minMax"/>
        </c:scaling>
        <c:delete val="0"/>
        <c:axPos val="l"/>
        <c:majorGridlines/>
        <c:numFmt formatCode="General" sourceLinked="1"/>
        <c:majorTickMark val="out"/>
        <c:minorTickMark val="none"/>
        <c:tickLblPos val="nextTo"/>
        <c:crossAx val="1546762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20545073375262055"/>
          <c:w val="0.76165896262398292"/>
          <c:h val="0.58853431056966932"/>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Progress'!$L$7:$L$27</c:f>
              <c:numCache>
                <c:formatCode>_(* #,##0_);_(* \(#,##0\);_(* "-"??_);_(@_)</c:formatCode>
                <c:ptCount val="21"/>
                <c:pt idx="0">
                  <c:v>5411.4762253108993</c:v>
                </c:pt>
                <c:pt idx="1">
                  <c:v>905.28375733855182</c:v>
                </c:pt>
                <c:pt idx="2">
                  <c:v>2571.8977900552486</c:v>
                </c:pt>
                <c:pt idx="3">
                  <c:v>62.04545454545454</c:v>
                </c:pt>
                <c:pt idx="4">
                  <c:v>0</c:v>
                </c:pt>
                <c:pt idx="5">
                  <c:v>0</c:v>
                </c:pt>
                <c:pt idx="6">
                  <c:v>2053.2769679300291</c:v>
                </c:pt>
                <c:pt idx="7">
                  <c:v>0</c:v>
                </c:pt>
                <c:pt idx="8">
                  <c:v>8138.1865159467097</c:v>
                </c:pt>
                <c:pt idx="9">
                  <c:v>411.59420289855069</c:v>
                </c:pt>
                <c:pt idx="10">
                  <c:v>162.10526315789474</c:v>
                </c:pt>
                <c:pt idx="11">
                  <c:v>270.2</c:v>
                </c:pt>
                <c:pt idx="12">
                  <c:v>20098.145934065935</c:v>
                </c:pt>
                <c:pt idx="13">
                  <c:v>424.89320388349512</c:v>
                </c:pt>
                <c:pt idx="14">
                  <c:v>5389.0669291338581</c:v>
                </c:pt>
                <c:pt idx="15">
                  <c:v>873.54973821989529</c:v>
                </c:pt>
                <c:pt idx="16">
                  <c:v>41</c:v>
                </c:pt>
                <c:pt idx="17">
                  <c:v>0</c:v>
                </c:pt>
                <c:pt idx="18">
                  <c:v>358.4390243902439</c:v>
                </c:pt>
                <c:pt idx="19">
                  <c:v>0</c:v>
                </c:pt>
                <c:pt idx="20">
                  <c:v>16227.580712351592</c:v>
                </c:pt>
              </c:numCache>
            </c:numRef>
          </c:val>
        </c:ser>
        <c:dLbls>
          <c:showLegendKey val="0"/>
          <c:showVal val="0"/>
          <c:showCatName val="0"/>
          <c:showSerName val="0"/>
          <c:showPercent val="0"/>
          <c:showBubbleSize val="0"/>
        </c:dLbls>
        <c:gapWidth val="75"/>
        <c:overlap val="100"/>
        <c:axId val="154677440"/>
        <c:axId val="154680576"/>
      </c:barChart>
      <c:catAx>
        <c:axId val="154677440"/>
        <c:scaling>
          <c:orientation val="minMax"/>
        </c:scaling>
        <c:delete val="0"/>
        <c:axPos val="l"/>
        <c:numFmt formatCode="General" sourceLinked="0"/>
        <c:majorTickMark val="none"/>
        <c:minorTickMark val="none"/>
        <c:tickLblPos val="nextTo"/>
        <c:crossAx val="154680576"/>
        <c:crosses val="autoZero"/>
        <c:auto val="1"/>
        <c:lblAlgn val="ctr"/>
        <c:lblOffset val="100"/>
        <c:noMultiLvlLbl val="0"/>
      </c:catAx>
      <c:valAx>
        <c:axId val="154680576"/>
        <c:scaling>
          <c:orientation val="minMax"/>
          <c:min val="0"/>
        </c:scaling>
        <c:delete val="0"/>
        <c:axPos val="b"/>
        <c:numFmt formatCode="#,##0" sourceLinked="0"/>
        <c:majorTickMark val="cross"/>
        <c:minorTickMark val="none"/>
        <c:tickLblPos val="low"/>
        <c:spPr>
          <a:ln w="9525">
            <a:solidFill>
              <a:schemeClr val="accent1"/>
            </a:solidFill>
          </a:ln>
        </c:spPr>
        <c:crossAx val="154677440"/>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november 2015.xlsx]Shelter Progress!PivotTable5</c:name>
    <c:fmtId val="6"/>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21971330435638536"/>
          <c:y val="0.16930125097894724"/>
          <c:w val="0.75070251906783347"/>
          <c:h val="0.76072915459113499"/>
        </c:manualLayout>
      </c:layout>
      <c:barChart>
        <c:barDir val="bar"/>
        <c:grouping val="clustered"/>
        <c:varyColors val="0"/>
        <c:ser>
          <c:idx val="0"/>
          <c:order val="0"/>
          <c:tx>
            <c:strRef>
              <c:f>'Shelter Progress'!$I$83</c:f>
              <c:strCache>
                <c:ptCount val="1"/>
                <c:pt idx="0">
                  <c:v>Total</c:v>
                </c:pt>
              </c:strCache>
            </c:strRef>
          </c:tx>
          <c:invertIfNegative val="0"/>
          <c:cat>
            <c:strRef>
              <c:f>'Shelter Progress'!$H$84:$H$100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DFIT</c:v>
                </c:pt>
                <c:pt idx="14">
                  <c:v>COC</c:v>
                </c:pt>
                <c:pt idx="15">
                  <c:v>FSD</c:v>
                </c:pt>
              </c:strCache>
            </c:strRef>
          </c:cat>
          <c:val>
            <c:numRef>
              <c:f>'Shelter Progress'!$I$84:$I$100</c:f>
              <c:numCache>
                <c:formatCode>General</c:formatCode>
                <c:ptCount val="16"/>
                <c:pt idx="0">
                  <c:v>2368</c:v>
                </c:pt>
                <c:pt idx="1">
                  <c:v>7052</c:v>
                </c:pt>
                <c:pt idx="2">
                  <c:v>87</c:v>
                </c:pt>
                <c:pt idx="3">
                  <c:v>420</c:v>
                </c:pt>
                <c:pt idx="4">
                  <c:v>32</c:v>
                </c:pt>
                <c:pt idx="5">
                  <c:v>1041</c:v>
                </c:pt>
                <c:pt idx="6">
                  <c:v>822</c:v>
                </c:pt>
                <c:pt idx="7">
                  <c:v>289</c:v>
                </c:pt>
                <c:pt idx="8">
                  <c:v>32</c:v>
                </c:pt>
                <c:pt idx="9">
                  <c:v>12</c:v>
                </c:pt>
                <c:pt idx="10">
                  <c:v>10</c:v>
                </c:pt>
                <c:pt idx="11">
                  <c:v>0</c:v>
                </c:pt>
                <c:pt idx="12">
                  <c:v>132</c:v>
                </c:pt>
                <c:pt idx="13">
                  <c:v>350</c:v>
                </c:pt>
                <c:pt idx="14">
                  <c:v>20</c:v>
                </c:pt>
                <c:pt idx="15">
                  <c:v>269</c:v>
                </c:pt>
              </c:numCache>
            </c:numRef>
          </c:val>
        </c:ser>
        <c:dLbls>
          <c:showLegendKey val="0"/>
          <c:showVal val="0"/>
          <c:showCatName val="0"/>
          <c:showSerName val="0"/>
          <c:showPercent val="0"/>
          <c:showBubbleSize val="0"/>
        </c:dLbls>
        <c:gapWidth val="55"/>
        <c:axId val="154679400"/>
        <c:axId val="154680968"/>
      </c:barChart>
      <c:catAx>
        <c:axId val="154679400"/>
        <c:scaling>
          <c:orientation val="minMax"/>
        </c:scaling>
        <c:delete val="0"/>
        <c:axPos val="l"/>
        <c:numFmt formatCode="General" sourceLinked="0"/>
        <c:majorTickMark val="out"/>
        <c:minorTickMark val="none"/>
        <c:tickLblPos val="nextTo"/>
        <c:spPr>
          <a:ln>
            <a:noFill/>
          </a:ln>
        </c:spPr>
        <c:crossAx val="154680968"/>
        <c:crosses val="autoZero"/>
        <c:auto val="1"/>
        <c:lblAlgn val="ctr"/>
        <c:lblOffset val="100"/>
        <c:noMultiLvlLbl val="0"/>
      </c:catAx>
      <c:valAx>
        <c:axId val="154680968"/>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154679400"/>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november 2015.xlsx]Shelter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Agency)'!$E$8:$E$19</c:f>
              <c:strCache>
                <c:ptCount val="11"/>
                <c:pt idx="0">
                  <c:v>Caritas</c:v>
                </c:pt>
                <c:pt idx="1">
                  <c:v>CC</c:v>
                </c:pt>
                <c:pt idx="2">
                  <c:v>DRC</c:v>
                </c:pt>
                <c:pt idx="3">
                  <c:v>IRRC</c:v>
                </c:pt>
                <c:pt idx="4">
                  <c:v>KBC Zonal</c:v>
                </c:pt>
                <c:pt idx="5">
                  <c:v>Metta</c:v>
                </c:pt>
                <c:pt idx="6">
                  <c:v>Misereor</c:v>
                </c:pt>
                <c:pt idx="7">
                  <c:v>Oxfam</c:v>
                </c:pt>
                <c:pt idx="8">
                  <c:v>UNHCR</c:v>
                </c:pt>
                <c:pt idx="9">
                  <c:v>World Vision</c:v>
                </c:pt>
                <c:pt idx="10">
                  <c:v>Yedai Foundation</c:v>
                </c:pt>
              </c:strCache>
            </c:strRef>
          </c:cat>
          <c:val>
            <c:numRef>
              <c:f>'Shelter Summary (by Agency)'!$F$8:$F$19</c:f>
              <c:numCache>
                <c:formatCode>_-* #,##0_-;\-* #,##0_-;_-* "-"??_-;_-@_-</c:formatCode>
                <c:ptCount val="11"/>
                <c:pt idx="0">
                  <c:v>1041</c:v>
                </c:pt>
                <c:pt idx="1">
                  <c:v>289</c:v>
                </c:pt>
                <c:pt idx="2">
                  <c:v>2368</c:v>
                </c:pt>
                <c:pt idx="3">
                  <c:v>32</c:v>
                </c:pt>
                <c:pt idx="4">
                  <c:v>32</c:v>
                </c:pt>
                <c:pt idx="5">
                  <c:v>822</c:v>
                </c:pt>
                <c:pt idx="6">
                  <c:v>12</c:v>
                </c:pt>
                <c:pt idx="7">
                  <c:v>420</c:v>
                </c:pt>
                <c:pt idx="8">
                  <c:v>7052</c:v>
                </c:pt>
                <c:pt idx="9">
                  <c:v>87</c:v>
                </c:pt>
                <c:pt idx="10">
                  <c:v>10</c:v>
                </c:pt>
              </c:numCache>
            </c:numRef>
          </c:val>
        </c:ser>
        <c:dLbls>
          <c:showLegendKey val="0"/>
          <c:showVal val="0"/>
          <c:showCatName val="0"/>
          <c:showSerName val="0"/>
          <c:showPercent val="0"/>
          <c:showBubbleSize val="0"/>
        </c:dLbls>
        <c:gapWidth val="150"/>
        <c:overlap val="100"/>
        <c:axId val="334506288"/>
        <c:axId val="334505896"/>
      </c:barChart>
      <c:catAx>
        <c:axId val="334506288"/>
        <c:scaling>
          <c:orientation val="minMax"/>
        </c:scaling>
        <c:delete val="0"/>
        <c:axPos val="b"/>
        <c:numFmt formatCode="General" sourceLinked="0"/>
        <c:majorTickMark val="out"/>
        <c:minorTickMark val="none"/>
        <c:tickLblPos val="nextTo"/>
        <c:crossAx val="334505896"/>
        <c:crosses val="autoZero"/>
        <c:auto val="1"/>
        <c:lblAlgn val="ctr"/>
        <c:lblOffset val="100"/>
        <c:noMultiLvlLbl val="0"/>
      </c:catAx>
      <c:valAx>
        <c:axId val="334505896"/>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334506288"/>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2"/>
              <c:layout>
                <c:manualLayout>
                  <c:x val="0.12752496154304624"/>
                  <c:y val="0.10181859507517793"/>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Gaps'!$S$7,'Shelter Coverage &amp; Gaps'!$S$9:$S$10)</c:f>
              <c:strCache>
                <c:ptCount val="3"/>
                <c:pt idx="0">
                  <c:v>#Covered</c:v>
                </c:pt>
                <c:pt idx="1">
                  <c:v>#Gap</c:v>
                </c:pt>
                <c:pt idx="2">
                  <c:v>#Land Issue</c:v>
                </c:pt>
              </c:strCache>
            </c:strRef>
          </c:cat>
          <c:val>
            <c:numRef>
              <c:f>('Shelter Coverage &amp; Gaps'!$T$7,'Shelter Coverage &amp; Gaps'!$T$9:$T$10)</c:f>
              <c:numCache>
                <c:formatCode>_-* #,##0_-;\-* #,##0_-;_-* "-"??_-;_-@_-</c:formatCode>
                <c:ptCount val="3"/>
                <c:pt idx="0">
                  <c:v>11597</c:v>
                </c:pt>
                <c:pt idx="1">
                  <c:v>5986</c:v>
                </c:pt>
                <c:pt idx="2">
                  <c:v>111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5840681863257957"/>
          <c:y val="0.36150408145732416"/>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34504720"/>
        <c:axId val="334504328"/>
      </c:barChart>
      <c:catAx>
        <c:axId val="334504720"/>
        <c:scaling>
          <c:orientation val="minMax"/>
        </c:scaling>
        <c:delete val="0"/>
        <c:axPos val="l"/>
        <c:majorTickMark val="none"/>
        <c:minorTickMark val="none"/>
        <c:tickLblPos val="nextTo"/>
        <c:crossAx val="334504328"/>
        <c:crosses val="autoZero"/>
        <c:auto val="1"/>
        <c:lblAlgn val="ctr"/>
        <c:lblOffset val="100"/>
        <c:noMultiLvlLbl val="0"/>
      </c:catAx>
      <c:valAx>
        <c:axId val="334504328"/>
        <c:scaling>
          <c:orientation val="minMax"/>
        </c:scaling>
        <c:delete val="0"/>
        <c:axPos val="b"/>
        <c:majorGridlines/>
        <c:numFmt formatCode="General" sourceLinked="1"/>
        <c:majorTickMark val="none"/>
        <c:minorTickMark val="none"/>
        <c:tickLblPos val="nextTo"/>
        <c:crossAx val="334504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Summary'!$G$12</c:f>
              <c:strCache>
                <c:ptCount val="1"/>
                <c:pt idx="0">
                  <c:v>% Distributed</c:v>
                </c:pt>
              </c:strCache>
            </c:strRef>
          </c:tx>
          <c:spPr>
            <a:solidFill>
              <a:srgbClr val="25FF88"/>
            </a:solidFill>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Summary'!$G$13:$G$19</c:f>
              <c:numCache>
                <c:formatCode>0%</c:formatCode>
                <c:ptCount val="7"/>
                <c:pt idx="0">
                  <c:v>0</c:v>
                </c:pt>
                <c:pt idx="1">
                  <c:v>0</c:v>
                </c:pt>
                <c:pt idx="2">
                  <c:v>0</c:v>
                </c:pt>
                <c:pt idx="3">
                  <c:v>0</c:v>
                </c:pt>
                <c:pt idx="4">
                  <c:v>0</c:v>
                </c:pt>
                <c:pt idx="5">
                  <c:v>0</c:v>
                </c:pt>
                <c:pt idx="6">
                  <c:v>0</c:v>
                </c:pt>
              </c:numCache>
            </c:numRef>
          </c:val>
        </c:ser>
        <c:ser>
          <c:idx val="3"/>
          <c:order val="1"/>
          <c:tx>
            <c:strRef>
              <c:f>'NFI Summary'!$I$12</c:f>
              <c:strCache>
                <c:ptCount val="1"/>
                <c:pt idx="0">
                  <c:v>% In Stock</c:v>
                </c:pt>
              </c:strCache>
            </c:strRef>
          </c:tx>
          <c:spPr>
            <a:solidFill>
              <a:schemeClr val="accent1">
                <a:lumMod val="40000"/>
                <a:lumOff val="60000"/>
              </a:schemeClr>
            </a:solidFill>
            <a:ln>
              <a:noFill/>
            </a:ln>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Summary'!$I$13:$I$19</c:f>
              <c:numCache>
                <c:formatCode>0%</c:formatCode>
                <c:ptCount val="7"/>
                <c:pt idx="0">
                  <c:v>3.3393939393939394</c:v>
                </c:pt>
                <c:pt idx="1">
                  <c:v>2.9797979797979797</c:v>
                </c:pt>
                <c:pt idx="2">
                  <c:v>4.6838383838383839</c:v>
                </c:pt>
                <c:pt idx="3">
                  <c:v>2.3858585858585859</c:v>
                </c:pt>
                <c:pt idx="4">
                  <c:v>2.0969696969696972</c:v>
                </c:pt>
                <c:pt idx="5">
                  <c:v>1.898989898989899</c:v>
                </c:pt>
                <c:pt idx="6">
                  <c:v>1.9579797979797979</c:v>
                </c:pt>
              </c:numCache>
            </c:numRef>
          </c:val>
        </c:ser>
        <c:ser>
          <c:idx val="0"/>
          <c:order val="2"/>
          <c:tx>
            <c:strRef>
              <c:f>'NFI Summary'!$J$12</c:f>
              <c:strCache>
                <c:ptCount val="1"/>
                <c:pt idx="0">
                  <c:v>% Gap</c:v>
                </c:pt>
              </c:strCache>
            </c:strRef>
          </c:tx>
          <c:spPr>
            <a:solidFill>
              <a:srgbClr val="FD2361"/>
            </a:solidFill>
          </c:spPr>
          <c:invertIfNegative val="0"/>
          <c:val>
            <c:numRef>
              <c:f>'NFI Summary'!$J$13:$J$19</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55"/>
        <c:overlap val="100"/>
        <c:axId val="347175320"/>
        <c:axId val="347172576"/>
      </c:barChart>
      <c:catAx>
        <c:axId val="347175320"/>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47172576"/>
        <c:crosses val="autoZero"/>
        <c:auto val="1"/>
        <c:lblAlgn val="ctr"/>
        <c:lblOffset val="0"/>
        <c:noMultiLvlLbl val="0"/>
      </c:catAx>
      <c:valAx>
        <c:axId val="34717257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47175320"/>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november 2015.xlsx]NFI Distribution (by Tship)!PivotTable3</c:name>
    <c:fmtId val="5"/>
  </c:pivotSource>
  <c:chart>
    <c:title>
      <c:tx>
        <c:rich>
          <a:bodyPr/>
          <a:lstStyle/>
          <a:p>
            <a:pPr>
              <a:defRPr/>
            </a:pPr>
            <a:r>
              <a:rPr lang="en-US"/>
              <a:t>Per Organization</a:t>
            </a:r>
          </a:p>
        </c:rich>
      </c:tx>
      <c:layout>
        <c:manualLayout>
          <c:xMode val="edge"/>
          <c:yMode val="edge"/>
          <c:x val="0.24105387074477277"/>
          <c:y val="6.2992073910700053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0.13372462817147857"/>
          <c:y val="4.2416490334892996E-2"/>
          <c:w val="0.56123337707786525"/>
          <c:h val="0.68340359530308714"/>
        </c:manualLayout>
      </c:layout>
      <c:barChart>
        <c:barDir val="col"/>
        <c:grouping val="clustered"/>
        <c:varyColors val="0"/>
        <c:ser>
          <c:idx val="0"/>
          <c:order val="0"/>
          <c:tx>
            <c:strRef>
              <c:f>'NFI Distribution (by Tship)'!$B$62</c:f>
              <c:strCache>
                <c:ptCount val="1"/>
                <c:pt idx="0">
                  <c:v>Mosquito net </c:v>
                </c:pt>
              </c:strCache>
            </c:strRef>
          </c:tx>
          <c:invertIfNegative val="0"/>
          <c:cat>
            <c:strRef>
              <c:f>'NFI Distribution (by Tship)'!$A$63:$A$64</c:f>
              <c:strCache>
                <c:ptCount val="1"/>
                <c:pt idx="0">
                  <c:v>UNHCR</c:v>
                </c:pt>
              </c:strCache>
            </c:strRef>
          </c:cat>
          <c:val>
            <c:numRef>
              <c:f>'NFI Distribution (by Tship)'!$B$63:$B$64</c:f>
              <c:numCache>
                <c:formatCode>_-* #,##0_-;\-* #,##0_-;_-* "-"??_-;_-@_-</c:formatCode>
                <c:ptCount val="1"/>
                <c:pt idx="0">
                  <c:v>540</c:v>
                </c:pt>
              </c:numCache>
            </c:numRef>
          </c:val>
        </c:ser>
        <c:ser>
          <c:idx val="1"/>
          <c:order val="1"/>
          <c:tx>
            <c:strRef>
              <c:f>'NFI Distribution (by Tship)'!$C$62</c:f>
              <c:strCache>
                <c:ptCount val="1"/>
                <c:pt idx="0">
                  <c:v>Tarpaulin</c:v>
                </c:pt>
              </c:strCache>
            </c:strRef>
          </c:tx>
          <c:invertIfNegative val="0"/>
          <c:cat>
            <c:strRef>
              <c:f>'NFI Distribution (by Tship)'!$A$63:$A$64</c:f>
              <c:strCache>
                <c:ptCount val="1"/>
                <c:pt idx="0">
                  <c:v>UNHCR</c:v>
                </c:pt>
              </c:strCache>
            </c:strRef>
          </c:cat>
          <c:val>
            <c:numRef>
              <c:f>'NFI Distribution (by Tship)'!$C$63:$C$64</c:f>
              <c:numCache>
                <c:formatCode>_-* #,##0_-;\-* #,##0_-;_-* "-"??_-;_-@_-</c:formatCode>
                <c:ptCount val="1"/>
                <c:pt idx="0">
                  <c:v>200</c:v>
                </c:pt>
              </c:numCache>
            </c:numRef>
          </c:val>
        </c:ser>
        <c:ser>
          <c:idx val="2"/>
          <c:order val="2"/>
          <c:tx>
            <c:strRef>
              <c:f>'NFI Distribution (by Tship)'!$D$62</c:f>
              <c:strCache>
                <c:ptCount val="1"/>
                <c:pt idx="0">
                  <c:v>Blanket</c:v>
                </c:pt>
              </c:strCache>
            </c:strRef>
          </c:tx>
          <c:invertIfNegative val="0"/>
          <c:cat>
            <c:strRef>
              <c:f>'NFI Distribution (by Tship)'!$A$63:$A$64</c:f>
              <c:strCache>
                <c:ptCount val="1"/>
                <c:pt idx="0">
                  <c:v>UNHCR</c:v>
                </c:pt>
              </c:strCache>
            </c:strRef>
          </c:cat>
          <c:val>
            <c:numRef>
              <c:f>'NFI Distribution (by Tship)'!$D$63:$D$64</c:f>
              <c:numCache>
                <c:formatCode>_-* #,##0_-;\-* #,##0_-;_-* "-"??_-;_-@_-</c:formatCode>
                <c:ptCount val="1"/>
                <c:pt idx="0">
                  <c:v>865</c:v>
                </c:pt>
              </c:numCache>
            </c:numRef>
          </c:val>
        </c:ser>
        <c:ser>
          <c:idx val="3"/>
          <c:order val="3"/>
          <c:tx>
            <c:strRef>
              <c:f>'NFI Distribution (by Tship)'!$E$62</c:f>
              <c:strCache>
                <c:ptCount val="1"/>
                <c:pt idx="0">
                  <c:v>Kitchen Set</c:v>
                </c:pt>
              </c:strCache>
            </c:strRef>
          </c:tx>
          <c:invertIfNegative val="0"/>
          <c:cat>
            <c:strRef>
              <c:f>'NFI Distribution (by Tship)'!$A$63:$A$64</c:f>
              <c:strCache>
                <c:ptCount val="1"/>
                <c:pt idx="0">
                  <c:v>UNHCR</c:v>
                </c:pt>
              </c:strCache>
            </c:strRef>
          </c:cat>
          <c:val>
            <c:numRef>
              <c:f>'NFI Distribution (by Tship)'!$E$63:$E$64</c:f>
              <c:numCache>
                <c:formatCode>_-* #,##0_-;\-* #,##0_-;_-* "-"??_-;_-@_-</c:formatCode>
                <c:ptCount val="1"/>
                <c:pt idx="0">
                  <c:v>200</c:v>
                </c:pt>
              </c:numCache>
            </c:numRef>
          </c:val>
        </c:ser>
        <c:ser>
          <c:idx val="4"/>
          <c:order val="4"/>
          <c:tx>
            <c:strRef>
              <c:f>'NFI Distribution (by Tship)'!$F$62</c:f>
              <c:strCache>
                <c:ptCount val="1"/>
                <c:pt idx="0">
                  <c:v>Plastic Bucket </c:v>
                </c:pt>
              </c:strCache>
            </c:strRef>
          </c:tx>
          <c:invertIfNegative val="0"/>
          <c:cat>
            <c:strRef>
              <c:f>'NFI Distribution (by Tship)'!$A$63:$A$64</c:f>
              <c:strCache>
                <c:ptCount val="1"/>
                <c:pt idx="0">
                  <c:v>UNHCR</c:v>
                </c:pt>
              </c:strCache>
            </c:strRef>
          </c:cat>
          <c:val>
            <c:numRef>
              <c:f>'NFI Distribution (by Tship)'!$F$63:$F$64</c:f>
              <c:numCache>
                <c:formatCode>_-* #,##0_-;\-* #,##0_-;_-* "-"??_-;_-@_-</c:formatCode>
                <c:ptCount val="1"/>
                <c:pt idx="0">
                  <c:v>200</c:v>
                </c:pt>
              </c:numCache>
            </c:numRef>
          </c:val>
        </c:ser>
        <c:ser>
          <c:idx val="5"/>
          <c:order val="5"/>
          <c:tx>
            <c:strRef>
              <c:f>'NFI Distribution (by Tship)'!$G$62</c:f>
              <c:strCache>
                <c:ptCount val="1"/>
                <c:pt idx="0">
                  <c:v>Plastic Mat </c:v>
                </c:pt>
              </c:strCache>
            </c:strRef>
          </c:tx>
          <c:invertIfNegative val="0"/>
          <c:cat>
            <c:strRef>
              <c:f>'NFI Distribution (by Tship)'!$A$63:$A$64</c:f>
              <c:strCache>
                <c:ptCount val="1"/>
                <c:pt idx="0">
                  <c:v>UNHCR</c:v>
                </c:pt>
              </c:strCache>
            </c:strRef>
          </c:cat>
          <c:val>
            <c:numRef>
              <c:f>'NFI Distribution (by Tship)'!$G$63:$G$64</c:f>
              <c:numCache>
                <c:formatCode>_-* #,##0_-;\-* #,##0_-;_-* "-"??_-;_-@_-</c:formatCode>
                <c:ptCount val="1"/>
                <c:pt idx="0">
                  <c:v>975</c:v>
                </c:pt>
              </c:numCache>
            </c:numRef>
          </c:val>
        </c:ser>
        <c:dLbls>
          <c:showLegendKey val="0"/>
          <c:showVal val="0"/>
          <c:showCatName val="0"/>
          <c:showSerName val="0"/>
          <c:showPercent val="0"/>
          <c:showBubbleSize val="0"/>
        </c:dLbls>
        <c:gapWidth val="150"/>
        <c:axId val="347172184"/>
        <c:axId val="347172968"/>
      </c:barChart>
      <c:catAx>
        <c:axId val="347172184"/>
        <c:scaling>
          <c:orientation val="minMax"/>
        </c:scaling>
        <c:delete val="0"/>
        <c:axPos val="b"/>
        <c:numFmt formatCode="General" sourceLinked="0"/>
        <c:majorTickMark val="out"/>
        <c:minorTickMark val="none"/>
        <c:tickLblPos val="nextTo"/>
        <c:crossAx val="347172968"/>
        <c:crosses val="autoZero"/>
        <c:auto val="1"/>
        <c:lblAlgn val="ctr"/>
        <c:lblOffset val="100"/>
        <c:noMultiLvlLbl val="0"/>
      </c:catAx>
      <c:valAx>
        <c:axId val="347172968"/>
        <c:scaling>
          <c:orientation val="minMax"/>
        </c:scaling>
        <c:delete val="0"/>
        <c:axPos val="l"/>
        <c:majorGridlines/>
        <c:numFmt formatCode="_-* #,##0_-;\-* #,##0_-;_-* &quot;-&quot;??_-;_-@_-" sourceLinked="1"/>
        <c:majorTickMark val="out"/>
        <c:minorTickMark val="none"/>
        <c:tickLblPos val="nextTo"/>
        <c:crossAx val="347172184"/>
        <c:crosses val="autoZero"/>
        <c:crossBetween val="between"/>
      </c:valAx>
    </c:plotArea>
    <c:legend>
      <c:legendPos val="r"/>
      <c:layout>
        <c:manualLayout>
          <c:xMode val="edge"/>
          <c:yMode val="edge"/>
          <c:x val="0.70043357218032565"/>
          <c:y val="2.6869178193169082E-2"/>
          <c:w val="0.29690288713910762"/>
          <c:h val="0.9391539292882507"/>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november 2015.xlsx]NFI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19441928669936981"/>
          <c:y val="7.7606730131991097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clustered"/>
        <c:varyColors val="0"/>
        <c:ser>
          <c:idx val="0"/>
          <c:order val="0"/>
          <c:tx>
            <c:strRef>
              <c:f>'NFI Distribution (by Tship)'!$B$72</c:f>
              <c:strCache>
                <c:ptCount val="1"/>
                <c:pt idx="0">
                  <c:v>Winter Clothes Adult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Tship)'!$B$73:$B$79</c:f>
              <c:numCache>
                <c:formatCode>_-* #,##0_-;\-* #,##0_-;_-* "-"??_-;_-@_-</c:formatCode>
                <c:ptCount val="6"/>
                <c:pt idx="1">
                  <c:v>944</c:v>
                </c:pt>
                <c:pt idx="2">
                  <c:v>941</c:v>
                </c:pt>
                <c:pt idx="4">
                  <c:v>1155</c:v>
                </c:pt>
                <c:pt idx="5">
                  <c:v>1632</c:v>
                </c:pt>
              </c:numCache>
            </c:numRef>
          </c:val>
        </c:ser>
        <c:ser>
          <c:idx val="1"/>
          <c:order val="1"/>
          <c:tx>
            <c:strRef>
              <c:f>'NFI Distribution (by Tship)'!$C$72</c:f>
              <c:strCache>
                <c:ptCount val="1"/>
                <c:pt idx="0">
                  <c:v>Winter Clothes Children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Tship)'!$C$73:$C$79</c:f>
              <c:numCache>
                <c:formatCode>_-* #,##0_-;\-* #,##0_-;_-* "-"??_-;_-@_-</c:formatCode>
                <c:ptCount val="6"/>
                <c:pt idx="1">
                  <c:v>553</c:v>
                </c:pt>
                <c:pt idx="2">
                  <c:v>619</c:v>
                </c:pt>
                <c:pt idx="3">
                  <c:v>1333</c:v>
                </c:pt>
                <c:pt idx="4">
                  <c:v>2263</c:v>
                </c:pt>
                <c:pt idx="5">
                  <c:v>2421</c:v>
                </c:pt>
              </c:numCache>
            </c:numRef>
          </c:val>
        </c:ser>
        <c:ser>
          <c:idx val="2"/>
          <c:order val="2"/>
          <c:tx>
            <c:strRef>
              <c:f>'NFI Distribution (by Tship)'!$D$72</c:f>
              <c:strCache>
                <c:ptCount val="1"/>
                <c:pt idx="0">
                  <c:v>Winter Blanket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Tship)'!$D$73:$D$79</c:f>
              <c:numCache>
                <c:formatCode>_-* #,##0_-;\-* #,##0_-;_-* "-"??_-;_-@_-</c:formatCode>
                <c:ptCount val="6"/>
                <c:pt idx="0">
                  <c:v>684</c:v>
                </c:pt>
                <c:pt idx="2">
                  <c:v>549</c:v>
                </c:pt>
                <c:pt idx="4">
                  <c:v>3418</c:v>
                </c:pt>
                <c:pt idx="5">
                  <c:v>3070</c:v>
                </c:pt>
              </c:numCache>
            </c:numRef>
          </c:val>
        </c:ser>
        <c:dLbls>
          <c:showLegendKey val="0"/>
          <c:showVal val="0"/>
          <c:showCatName val="0"/>
          <c:showSerName val="0"/>
          <c:showPercent val="0"/>
          <c:showBubbleSize val="0"/>
        </c:dLbls>
        <c:gapWidth val="150"/>
        <c:axId val="347171792"/>
        <c:axId val="324022352"/>
      </c:barChart>
      <c:catAx>
        <c:axId val="347171792"/>
        <c:scaling>
          <c:orientation val="minMax"/>
        </c:scaling>
        <c:delete val="0"/>
        <c:axPos val="b"/>
        <c:numFmt formatCode="General" sourceLinked="0"/>
        <c:majorTickMark val="out"/>
        <c:minorTickMark val="none"/>
        <c:tickLblPos val="nextTo"/>
        <c:txPr>
          <a:bodyPr/>
          <a:lstStyle/>
          <a:p>
            <a:pPr>
              <a:defRPr sz="800"/>
            </a:pPr>
            <a:endParaRPr lang="en-US"/>
          </a:p>
        </c:txPr>
        <c:crossAx val="324022352"/>
        <c:crosses val="autoZero"/>
        <c:auto val="1"/>
        <c:lblAlgn val="ctr"/>
        <c:lblOffset val="100"/>
        <c:noMultiLvlLbl val="0"/>
      </c:catAx>
      <c:valAx>
        <c:axId val="324022352"/>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47171792"/>
        <c:crosses val="autoZero"/>
        <c:crossBetween val="between"/>
      </c:valAx>
    </c:plotArea>
    <c:legend>
      <c:legendPos val="r"/>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Summary'!$P$12</c:f>
              <c:strCache>
                <c:ptCount val="1"/>
                <c:pt idx="0">
                  <c:v>% Distributed</c:v>
                </c:pt>
              </c:strCache>
            </c:strRef>
          </c:tx>
          <c:spPr>
            <a:solidFill>
              <a:srgbClr val="25FF88"/>
            </a:solidFill>
          </c:spPr>
          <c:invertIfNegative val="0"/>
          <c:cat>
            <c:strRef>
              <c:f>'NFI Summary'!$L$13:$L$15</c:f>
              <c:strCache>
                <c:ptCount val="3"/>
                <c:pt idx="0">
                  <c:v>Winter Clothes Adult</c:v>
                </c:pt>
                <c:pt idx="1">
                  <c:v>Winter Clothes Children</c:v>
                </c:pt>
                <c:pt idx="2">
                  <c:v>Winter Blanket</c:v>
                </c:pt>
              </c:strCache>
            </c:strRef>
          </c:cat>
          <c:val>
            <c:numRef>
              <c:f>'NFI Summary'!$P$13:$P$15</c:f>
              <c:numCache>
                <c:formatCode>0%</c:formatCode>
                <c:ptCount val="3"/>
                <c:pt idx="0">
                  <c:v>0.6887044967880086</c:v>
                </c:pt>
                <c:pt idx="1">
                  <c:v>0.54246966452533907</c:v>
                </c:pt>
                <c:pt idx="2">
                  <c:v>0.57735546038543895</c:v>
                </c:pt>
              </c:numCache>
            </c:numRef>
          </c:val>
        </c:ser>
        <c:ser>
          <c:idx val="3"/>
          <c:order val="1"/>
          <c:tx>
            <c:strRef>
              <c:f>'NFI Summary'!$R$12</c:f>
              <c:strCache>
                <c:ptCount val="1"/>
                <c:pt idx="0">
                  <c:v>% In Stock</c:v>
                </c:pt>
              </c:strCache>
            </c:strRef>
          </c:tx>
          <c:spPr>
            <a:solidFill>
              <a:schemeClr val="accent1">
                <a:lumMod val="40000"/>
                <a:lumOff val="60000"/>
              </a:schemeClr>
            </a:solidFill>
            <a:ln>
              <a:noFill/>
            </a:ln>
          </c:spPr>
          <c:invertIfNegative val="0"/>
          <c:cat>
            <c:strRef>
              <c:f>'NFI Summary'!$L$13:$L$15</c:f>
              <c:strCache>
                <c:ptCount val="3"/>
                <c:pt idx="0">
                  <c:v>Winter Clothes Adult</c:v>
                </c:pt>
                <c:pt idx="1">
                  <c:v>Winter Clothes Children</c:v>
                </c:pt>
                <c:pt idx="2">
                  <c:v>Winter Blanket</c:v>
                </c:pt>
              </c:strCache>
            </c:strRef>
          </c:cat>
          <c:val>
            <c:numRef>
              <c:f>'NFI Summary'!$R$13:$R$15</c:f>
              <c:numCache>
                <c:formatCode>0%</c:formatCode>
                <c:ptCount val="3"/>
                <c:pt idx="0">
                  <c:v>0</c:v>
                </c:pt>
                <c:pt idx="1">
                  <c:v>0</c:v>
                </c:pt>
                <c:pt idx="2">
                  <c:v>0.2818522483940043</c:v>
                </c:pt>
              </c:numCache>
            </c:numRef>
          </c:val>
        </c:ser>
        <c:ser>
          <c:idx val="0"/>
          <c:order val="2"/>
          <c:tx>
            <c:strRef>
              <c:f>'NFI Summary'!$S$12</c:f>
              <c:strCache>
                <c:ptCount val="1"/>
                <c:pt idx="0">
                  <c:v>% Gap</c:v>
                </c:pt>
              </c:strCache>
            </c:strRef>
          </c:tx>
          <c:spPr>
            <a:solidFill>
              <a:srgbClr val="FD2361"/>
            </a:solidFill>
          </c:spPr>
          <c:invertIfNegative val="0"/>
          <c:cat>
            <c:strRef>
              <c:f>'NFI Summary'!$L$13:$L$15</c:f>
              <c:strCache>
                <c:ptCount val="3"/>
                <c:pt idx="0">
                  <c:v>Winter Clothes Adult</c:v>
                </c:pt>
                <c:pt idx="1">
                  <c:v>Winter Clothes Children</c:v>
                </c:pt>
                <c:pt idx="2">
                  <c:v>Winter Blanket</c:v>
                </c:pt>
              </c:strCache>
            </c:strRef>
          </c:cat>
          <c:val>
            <c:numRef>
              <c:f>'NFI Summary'!$S$13:$S$15</c:f>
              <c:numCache>
                <c:formatCode>0%</c:formatCode>
                <c:ptCount val="3"/>
                <c:pt idx="0">
                  <c:v>0.3112955032119914</c:v>
                </c:pt>
                <c:pt idx="1">
                  <c:v>0.45753033547466093</c:v>
                </c:pt>
                <c:pt idx="2">
                  <c:v>0.14079229122055675</c:v>
                </c:pt>
              </c:numCache>
            </c:numRef>
          </c:val>
        </c:ser>
        <c:dLbls>
          <c:showLegendKey val="0"/>
          <c:showVal val="0"/>
          <c:showCatName val="0"/>
          <c:showSerName val="0"/>
          <c:showPercent val="0"/>
          <c:showBubbleSize val="0"/>
        </c:dLbls>
        <c:gapWidth val="55"/>
        <c:overlap val="100"/>
        <c:axId val="324020784"/>
        <c:axId val="324022744"/>
      </c:barChart>
      <c:catAx>
        <c:axId val="324020784"/>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24022744"/>
        <c:crosses val="autoZero"/>
        <c:auto val="1"/>
        <c:lblAlgn val="ctr"/>
        <c:lblOffset val="0"/>
        <c:noMultiLvlLbl val="0"/>
      </c:catAx>
      <c:valAx>
        <c:axId val="32402274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24020784"/>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List (printable)'!A1"/><Relationship Id="rId3" Type="http://schemas.openxmlformats.org/officeDocument/2006/relationships/image" Target="../media/image9.png"/><Relationship Id="rId7" Type="http://schemas.openxmlformats.org/officeDocument/2006/relationships/hyperlink" Target="#'Camp List'!A1"/><Relationship Id="rId2" Type="http://schemas.openxmlformats.org/officeDocument/2006/relationships/image" Target="../media/image6.png"/><Relationship Id="rId1" Type="http://schemas.openxmlformats.org/officeDocument/2006/relationships/chart" Target="../charts/chart2.xml"/><Relationship Id="rId6" Type="http://schemas.openxmlformats.org/officeDocument/2006/relationships/hyperlink" Target="#Home!A1"/><Relationship Id="rId5" Type="http://schemas.openxmlformats.org/officeDocument/2006/relationships/hyperlink" Target="#'CCCM Dashboard'!A1"/><Relationship Id="rId10" Type="http://schemas.openxmlformats.org/officeDocument/2006/relationships/image" Target="../media/image11.png"/><Relationship Id="rId4" Type="http://schemas.openxmlformats.org/officeDocument/2006/relationships/chart" Target="../charts/chart3.xml"/><Relationship Id="rId9" Type="http://schemas.openxmlformats.org/officeDocument/2006/relationships/hyperlink" Target="#'Camp Analysis'!A1"/></Relationships>
</file>

<file path=xl/drawings/_rels/drawing7.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8.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13.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57150</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142875</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283633</xdr:colOff>
      <xdr:row>0</xdr:row>
      <xdr:rowOff>613833</xdr:rowOff>
    </xdr:from>
    <xdr:to>
      <xdr:col>8</xdr:col>
      <xdr:colOff>631032</xdr:colOff>
      <xdr:row>2</xdr:row>
      <xdr:rowOff>31750</xdr:rowOff>
    </xdr:to>
    <xdr:grpSp>
      <xdr:nvGrpSpPr>
        <xdr:cNvPr id="6" name="Group 5"/>
        <xdr:cNvGrpSpPr/>
      </xdr:nvGrpSpPr>
      <xdr:grpSpPr>
        <a:xfrm>
          <a:off x="6736821" y="528108"/>
          <a:ext cx="2597680" cy="218017"/>
          <a:chOff x="6500812" y="317500"/>
          <a:chExt cx="6186806" cy="57546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5</xdr:row>
      <xdr:rowOff>52667</xdr:rowOff>
    </xdr:from>
    <xdr:to>
      <xdr:col>10</xdr:col>
      <xdr:colOff>487176</xdr:colOff>
      <xdr:row>31</xdr:row>
      <xdr:rowOff>36978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4161118" y="872191"/>
          <a:ext cx="4757083"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333376</xdr:rowOff>
    </xdr:from>
    <xdr:to>
      <xdr:col>7</xdr:col>
      <xdr:colOff>428625</xdr:colOff>
      <xdr:row>2</xdr:row>
      <xdr:rowOff>295275</xdr:rowOff>
    </xdr:to>
    <xdr:grpSp>
      <xdr:nvGrpSpPr>
        <xdr:cNvPr id="2" name="Group 1"/>
        <xdr:cNvGrpSpPr/>
      </xdr:nvGrpSpPr>
      <xdr:grpSpPr>
        <a:xfrm>
          <a:off x="5740400" y="523876"/>
          <a:ext cx="3228975" cy="32173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599470</xdr:colOff>
      <xdr:row>0</xdr:row>
      <xdr:rowOff>21166</xdr:rowOff>
    </xdr:from>
    <xdr:to>
      <xdr:col>6</xdr:col>
      <xdr:colOff>382120</xdr:colOff>
      <xdr:row>1</xdr:row>
      <xdr:rowOff>755</xdr:rowOff>
    </xdr:to>
    <xdr:sp macro="" textlink="">
      <xdr:nvSpPr>
        <xdr:cNvPr id="5" name="Rounded Rectangle 4">
          <a:hlinkClick xmlns:r="http://schemas.openxmlformats.org/officeDocument/2006/relationships" r:id="rId3"/>
        </xdr:cNvPr>
        <xdr:cNvSpPr/>
      </xdr:nvSpPr>
      <xdr:spPr>
        <a:xfrm>
          <a:off x="6609745" y="21166"/>
          <a:ext cx="15828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687525</xdr:colOff>
      <xdr:row>0</xdr:row>
      <xdr:rowOff>393851</xdr:rowOff>
    </xdr:to>
    <xdr:sp macro="" textlink="">
      <xdr:nvSpPr>
        <xdr:cNvPr id="6" name="Rounded Rectangle 5">
          <a:hlinkClick xmlns:r="http://schemas.openxmlformats.org/officeDocument/2006/relationships" r:id="rId4"/>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822779</xdr:colOff>
      <xdr:row>0</xdr:row>
      <xdr:rowOff>21166</xdr:rowOff>
    </xdr:from>
    <xdr:to>
      <xdr:col>2</xdr:col>
      <xdr:colOff>1524000</xdr:colOff>
      <xdr:row>1</xdr:row>
      <xdr:rowOff>9525</xdr:rowOff>
    </xdr:to>
    <xdr:sp macro="" textlink="">
      <xdr:nvSpPr>
        <xdr:cNvPr id="7" name="Rounded Rectangle 6">
          <a:hlinkClick xmlns:r="http://schemas.openxmlformats.org/officeDocument/2006/relationships" r:id="rId5"/>
        </xdr:cNvPr>
        <xdr:cNvSpPr/>
      </xdr:nvSpPr>
      <xdr:spPr>
        <a:xfrm>
          <a:off x="1575254" y="21166"/>
          <a:ext cx="1548946" cy="17885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1700843</xdr:colOff>
      <xdr:row>0</xdr:row>
      <xdr:rowOff>21166</xdr:rowOff>
    </xdr:from>
    <xdr:to>
      <xdr:col>3</xdr:col>
      <xdr:colOff>7118</xdr:colOff>
      <xdr:row>1</xdr:row>
      <xdr:rowOff>755</xdr:rowOff>
    </xdr:to>
    <xdr:sp macro="" textlink="">
      <xdr:nvSpPr>
        <xdr:cNvPr id="8" name="Rounded Rectangle 7">
          <a:hlinkClick xmlns:r="http://schemas.openxmlformats.org/officeDocument/2006/relationships" r:id="rId6"/>
        </xdr:cNvPr>
        <xdr:cNvSpPr/>
      </xdr:nvSpPr>
      <xdr:spPr>
        <a:xfrm>
          <a:off x="3301043" y="21166"/>
          <a:ext cx="1440000"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178607</xdr:colOff>
      <xdr:row>0</xdr:row>
      <xdr:rowOff>21166</xdr:rowOff>
    </xdr:from>
    <xdr:to>
      <xdr:col>4</xdr:col>
      <xdr:colOff>408932</xdr:colOff>
      <xdr:row>1</xdr:row>
      <xdr:rowOff>755</xdr:rowOff>
    </xdr:to>
    <xdr:sp macro="" textlink="">
      <xdr:nvSpPr>
        <xdr:cNvPr id="9" name="Rounded Rectangle 8">
          <a:hlinkClick xmlns:r="http://schemas.openxmlformats.org/officeDocument/2006/relationships" r:id="rId7"/>
        </xdr:cNvPr>
        <xdr:cNvSpPr/>
      </xdr:nvSpPr>
      <xdr:spPr>
        <a:xfrm>
          <a:off x="4912532" y="21166"/>
          <a:ext cx="15066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504825</xdr:colOff>
      <xdr:row>10</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104775</xdr:colOff>
      <xdr:row>5</xdr:row>
      <xdr:rowOff>41282</xdr:rowOff>
    </xdr:from>
    <xdr:to>
      <xdr:col>9</xdr:col>
      <xdr:colOff>85724</xdr:colOff>
      <xdr:row>10</xdr:row>
      <xdr:rowOff>9525</xdr:rowOff>
    </xdr:to>
    <xdr:grpSp>
      <xdr:nvGrpSpPr>
        <xdr:cNvPr id="2" name="Group 1"/>
        <xdr:cNvGrpSpPr/>
      </xdr:nvGrpSpPr>
      <xdr:grpSpPr>
        <a:xfrm>
          <a:off x="231775" y="1427699"/>
          <a:ext cx="5209116" cy="1090076"/>
          <a:chOff x="15065375" y="1682751"/>
          <a:chExt cx="3508375" cy="896015"/>
        </a:xfrm>
      </xdr:grpSpPr>
      <xdr:grpSp>
        <xdr:nvGrpSpPr>
          <xdr:cNvPr id="3" name="Group 2"/>
          <xdr:cNvGrpSpPr/>
        </xdr:nvGrpSpPr>
        <xdr:grpSpPr>
          <a:xfrm>
            <a:off x="15065376" y="2147039"/>
            <a:ext cx="3508374" cy="431727"/>
            <a:chOff x="3977473" y="11269983"/>
            <a:chExt cx="1965263" cy="24907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3"/>
              <a:ext cx="1202466"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E$33">
          <xdr:nvSpPr>
            <xdr:cNvPr id="6" name="Rectangle 5"/>
            <xdr:cNvSpPr/>
          </xdr:nvSpPr>
          <xdr:spPr>
            <a:xfrm>
              <a:off x="5158544" y="11296634"/>
              <a:ext cx="78419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EB59508-310A-4848-8A83-84EE70A9C7EB}" type="TxLink">
                <a:rPr lang="en-US" sz="1800" b="1">
                  <a:latin typeface="+mn-lt"/>
                </a:rPr>
                <a:pPr algn="ctr"/>
                <a:t> 95,922 </a:t>
              </a:fld>
              <a:endParaRPr lang="en-US" sz="1800" b="1">
                <a:latin typeface="+mn-lt"/>
              </a:endParaRPr>
            </a:p>
          </xdr:txBody>
        </xdr:sp>
      </xdr:grpSp>
      <xdr:grpSp>
        <xdr:nvGrpSpPr>
          <xdr:cNvPr id="15" name="Group 14"/>
          <xdr:cNvGrpSpPr/>
        </xdr:nvGrpSpPr>
        <xdr:grpSpPr>
          <a:xfrm>
            <a:off x="15065375" y="1682751"/>
            <a:ext cx="3499842" cy="476259"/>
            <a:chOff x="3977473" y="11269985"/>
            <a:chExt cx="1978388" cy="234969"/>
          </a:xfrm>
          <a:effectLst>
            <a:outerShdw blurRad="63500" sx="102000" sy="102000" algn="ctr" rotWithShape="0">
              <a:prstClr val="black">
                <a:alpha val="40000"/>
              </a:prstClr>
            </a:outerShdw>
          </a:effectLst>
        </xdr:grpSpPr>
        <xdr:sp macro="" textlink="$F$33">
          <xdr:nvSpPr>
            <xdr:cNvPr id="16" name="Rectangle 15"/>
            <xdr:cNvSpPr/>
          </xdr:nvSpPr>
          <xdr:spPr>
            <a:xfrm>
              <a:off x="5174156" y="11296623"/>
              <a:ext cx="78170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90C0CD4D-F895-4D26-8AF1-0F097E483D17}" type="TxLink">
                <a:rPr lang="en-US" sz="1800" b="1">
                  <a:latin typeface="+mn-lt"/>
                </a:rPr>
                <a:pPr algn="ctr"/>
                <a:t> 167 </a:t>
              </a:fld>
              <a:endParaRPr lang="en-US" sz="1800" b="1">
                <a:latin typeface="+mn-lt"/>
              </a:endParaRPr>
            </a:p>
          </xdr:txBody>
        </xdr:sp>
        <xdr:sp macro="" textlink="">
          <xdr:nvSpPr>
            <xdr:cNvPr id="17" name="Rectangle 16"/>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77473" y="11269985"/>
              <a:ext cx="1208678"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a:t>
              </a:r>
              <a:endParaRPr lang="en-GB" sz="1100" b="1">
                <a:solidFill>
                  <a:schemeClr val="dk1"/>
                </a:solidFill>
                <a:effectLst/>
                <a:latin typeface="+mn-lt"/>
                <a:ea typeface="+mn-ea"/>
                <a:cs typeface="Calibri" pitchFamily="34" charset="0"/>
              </a:endParaRPr>
            </a:p>
            <a:p>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2</xdr:col>
      <xdr:colOff>0</xdr:colOff>
      <xdr:row>40</xdr:row>
      <xdr:rowOff>59529</xdr:rowOff>
    </xdr:from>
    <xdr:to>
      <xdr:col>19</xdr:col>
      <xdr:colOff>447675</xdr:colOff>
      <xdr:row>42</xdr:row>
      <xdr:rowOff>57150</xdr:rowOff>
    </xdr:to>
    <xdr:grpSp>
      <xdr:nvGrpSpPr>
        <xdr:cNvPr id="11" name="Group 10"/>
        <xdr:cNvGrpSpPr/>
      </xdr:nvGrpSpPr>
      <xdr:grpSpPr>
        <a:xfrm>
          <a:off x="243417" y="8303946"/>
          <a:ext cx="10882841" cy="378621"/>
          <a:chOff x="11907" y="7524748"/>
          <a:chExt cx="8977312" cy="452443"/>
        </a:xfrm>
      </xdr:grpSpPr>
      <xdr:sp macro="" textlink="">
        <xdr:nvSpPr>
          <xdr:cNvPr id="1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19" name="Group 18"/>
          <xdr:cNvGrpSpPr/>
        </xdr:nvGrpSpPr>
        <xdr:grpSpPr>
          <a:xfrm>
            <a:off x="11907" y="7536611"/>
            <a:ext cx="8941593" cy="440580"/>
            <a:chOff x="6083301" y="9200285"/>
            <a:chExt cx="7309756" cy="333607"/>
          </a:xfrm>
        </xdr:grpSpPr>
        <xdr:sp macro="" textlink="">
          <xdr:nvSpPr>
            <xdr:cNvPr id="20" name="TextBox 19"/>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21" name="TextBox 20"/>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22" name="TextBox 21"/>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9</xdr:col>
      <xdr:colOff>212725</xdr:colOff>
      <xdr:row>5</xdr:row>
      <xdr:rowOff>23813</xdr:rowOff>
    </xdr:from>
    <xdr:to>
      <xdr:col>13</xdr:col>
      <xdr:colOff>19049</xdr:colOff>
      <xdr:row>10</xdr:row>
      <xdr:rowOff>76200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380999</xdr:colOff>
      <xdr:row>3</xdr:row>
      <xdr:rowOff>111125</xdr:rowOff>
    </xdr:from>
    <xdr:to>
      <xdr:col>19</xdr:col>
      <xdr:colOff>327024</xdr:colOff>
      <xdr:row>4</xdr:row>
      <xdr:rowOff>120650</xdr:rowOff>
    </xdr:to>
    <xdr:grpSp>
      <xdr:nvGrpSpPr>
        <xdr:cNvPr id="223" name="Group 222"/>
        <xdr:cNvGrpSpPr/>
      </xdr:nvGrpSpPr>
      <xdr:grpSpPr>
        <a:xfrm>
          <a:off x="7302499" y="841375"/>
          <a:ext cx="3703108" cy="432858"/>
          <a:chOff x="6500812" y="317500"/>
          <a:chExt cx="6186806" cy="575469"/>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186530</xdr:colOff>
      <xdr:row>30</xdr:row>
      <xdr:rowOff>43657</xdr:rowOff>
    </xdr:from>
    <xdr:to>
      <xdr:col>19</xdr:col>
      <xdr:colOff>298449</xdr:colOff>
      <xdr:row>39</xdr:row>
      <xdr:rowOff>193675</xdr:rowOff>
    </xdr:to>
    <xdr:sp macro="" textlink="">
      <xdr:nvSpPr>
        <xdr:cNvPr id="8" name="Rounded Rectangle 7"/>
        <xdr:cNvSpPr/>
      </xdr:nvSpPr>
      <xdr:spPr>
        <a:xfrm>
          <a:off x="7600155" y="6377782"/>
          <a:ext cx="3366294" cy="1864518"/>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55%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7</xdr:col>
      <xdr:colOff>55959</xdr:colOff>
      <xdr:row>10</xdr:row>
      <xdr:rowOff>0</xdr:rowOff>
    </xdr:from>
    <xdr:to>
      <xdr:col>13</xdr:col>
      <xdr:colOff>2382</xdr:colOff>
      <xdr:row>24</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285145</xdr:colOff>
      <xdr:row>2</xdr:row>
      <xdr:rowOff>21166</xdr:rowOff>
    </xdr:from>
    <xdr:to>
      <xdr:col>17</xdr:col>
      <xdr:colOff>429745</xdr:colOff>
      <xdr:row>2</xdr:row>
      <xdr:rowOff>381755</xdr:rowOff>
    </xdr:to>
    <xdr:sp macro="" textlink="">
      <xdr:nvSpPr>
        <xdr:cNvPr id="27" name="Rounded Rectangle 26">
          <a:hlinkClick xmlns:r="http://schemas.openxmlformats.org/officeDocument/2006/relationships" r:id="rId5"/>
        </xdr:cNvPr>
        <xdr:cNvSpPr/>
      </xdr:nvSpPr>
      <xdr:spPr>
        <a:xfrm>
          <a:off x="7457470" y="21166"/>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2</xdr:col>
      <xdr:colOff>0</xdr:colOff>
      <xdr:row>2</xdr:row>
      <xdr:rowOff>33262</xdr:rowOff>
    </xdr:from>
    <xdr:to>
      <xdr:col>4</xdr:col>
      <xdr:colOff>144600</xdr:colOff>
      <xdr:row>2</xdr:row>
      <xdr:rowOff>393851</xdr:rowOff>
    </xdr:to>
    <xdr:sp macro="" textlink="">
      <xdr:nvSpPr>
        <xdr:cNvPr id="28" name="Rounded Rectangle 27">
          <a:hlinkClick xmlns:r="http://schemas.openxmlformats.org/officeDocument/2006/relationships" r:id="rId6"/>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537029</xdr:colOff>
      <xdr:row>2</xdr:row>
      <xdr:rowOff>21166</xdr:rowOff>
    </xdr:from>
    <xdr:to>
      <xdr:col>7</xdr:col>
      <xdr:colOff>395879</xdr:colOff>
      <xdr:row>2</xdr:row>
      <xdr:rowOff>381755</xdr:rowOff>
    </xdr:to>
    <xdr:sp macro="" textlink="">
      <xdr:nvSpPr>
        <xdr:cNvPr id="29" name="Rounded Rectangle 28">
          <a:hlinkClick xmlns:r="http://schemas.openxmlformats.org/officeDocument/2006/relationships" r:id="rId7"/>
        </xdr:cNvPr>
        <xdr:cNvSpPr/>
      </xdr:nvSpPr>
      <xdr:spPr>
        <a:xfrm>
          <a:off x="2070554" y="297391"/>
          <a:ext cx="12114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300668</xdr:colOff>
      <xdr:row>2</xdr:row>
      <xdr:rowOff>21166</xdr:rowOff>
    </xdr:from>
    <xdr:to>
      <xdr:col>11</xdr:col>
      <xdr:colOff>254768</xdr:colOff>
      <xdr:row>2</xdr:row>
      <xdr:rowOff>381755</xdr:rowOff>
    </xdr:to>
    <xdr:sp macro="" textlink="">
      <xdr:nvSpPr>
        <xdr:cNvPr id="32" name="Rounded Rectangle 31">
          <a:hlinkClick xmlns:r="http://schemas.openxmlformats.org/officeDocument/2006/relationships" r:id="rId8"/>
        </xdr:cNvPr>
        <xdr:cNvSpPr/>
      </xdr:nvSpPr>
      <xdr:spPr>
        <a:xfrm>
          <a:off x="3672518" y="297391"/>
          <a:ext cx="144952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12</xdr:col>
      <xdr:colOff>150032</xdr:colOff>
      <xdr:row>2</xdr:row>
      <xdr:rowOff>21166</xdr:rowOff>
    </xdr:from>
    <xdr:to>
      <xdr:col>14</xdr:col>
      <xdr:colOff>427982</xdr:colOff>
      <xdr:row>2</xdr:row>
      <xdr:rowOff>381755</xdr:rowOff>
    </xdr:to>
    <xdr:sp macro="" textlink="">
      <xdr:nvSpPr>
        <xdr:cNvPr id="33" name="Rounded Rectangle 32">
          <a:hlinkClick xmlns:r="http://schemas.openxmlformats.org/officeDocument/2006/relationships" r:id="rId9"/>
        </xdr:cNvPr>
        <xdr:cNvSpPr/>
      </xdr:nvSpPr>
      <xdr:spPr>
        <a:xfrm>
          <a:off x="5531657" y="297391"/>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10</xdr:col>
      <xdr:colOff>66675</xdr:colOff>
      <xdr:row>31</xdr:row>
      <xdr:rowOff>19050</xdr:rowOff>
    </xdr:from>
    <xdr:to>
      <xdr:col>12</xdr:col>
      <xdr:colOff>409575</xdr:colOff>
      <xdr:row>39</xdr:row>
      <xdr:rowOff>171450</xdr:rowOff>
    </xdr:to>
    <xdr:sp macro="" textlink="">
      <xdr:nvSpPr>
        <xdr:cNvPr id="36" name="Rounded Rectangle 35"/>
        <xdr:cNvSpPr/>
      </xdr:nvSpPr>
      <xdr:spPr>
        <a:xfrm>
          <a:off x="4429125" y="6257925"/>
          <a:ext cx="1371600" cy="1704975"/>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6</xdr:col>
      <xdr:colOff>57149</xdr:colOff>
      <xdr:row>29</xdr:row>
      <xdr:rowOff>180975</xdr:rowOff>
    </xdr:from>
    <xdr:to>
      <xdr:col>12</xdr:col>
      <xdr:colOff>504825</xdr:colOff>
      <xdr:row>30</xdr:row>
      <xdr:rowOff>180975</xdr:rowOff>
    </xdr:to>
    <xdr:sp macro="" textlink="">
      <xdr:nvSpPr>
        <xdr:cNvPr id="37" name="Rounded Rectangle 36"/>
        <xdr:cNvSpPr/>
      </xdr:nvSpPr>
      <xdr:spPr>
        <a:xfrm>
          <a:off x="2647949" y="6038850"/>
          <a:ext cx="3000376" cy="190500"/>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Distance</a:t>
          </a:r>
          <a:r>
            <a:rPr lang="en-US" sz="900" b="1" baseline="0">
              <a:solidFill>
                <a:sysClr val="windowText" lastClr="000000"/>
              </a:solidFill>
              <a:effectLst/>
              <a:latin typeface="+mn-lt"/>
              <a:ea typeface="+mn-ea"/>
              <a:cs typeface="+mn-cs"/>
            </a:rPr>
            <a:t> to the nearest town</a:t>
          </a:r>
          <a:endParaRPr lang="en-US" sz="900" b="1">
            <a:solidFill>
              <a:sysClr val="windowText" lastClr="000000"/>
            </a:solidFill>
            <a:effectLst/>
            <a:latin typeface="+mn-lt"/>
            <a:ea typeface="+mn-ea"/>
            <a:cs typeface="+mn-cs"/>
          </a:endParaRPr>
        </a:p>
      </xdr:txBody>
    </xdr:sp>
    <xdr:clientData/>
  </xdr:twoCellAnchor>
  <xdr:twoCellAnchor>
    <xdr:from>
      <xdr:col>7</xdr:col>
      <xdr:colOff>190500</xdr:colOff>
      <xdr:row>10</xdr:row>
      <xdr:rowOff>66675</xdr:rowOff>
    </xdr:from>
    <xdr:to>
      <xdr:col>12</xdr:col>
      <xdr:colOff>466725</xdr:colOff>
      <xdr:row>11</xdr:row>
      <xdr:rowOff>104774</xdr:rowOff>
    </xdr:to>
    <xdr:sp macro="" textlink="">
      <xdr:nvSpPr>
        <xdr:cNvPr id="39" name="Rounded Rectangle 38"/>
        <xdr:cNvSpPr/>
      </xdr:nvSpPr>
      <xdr:spPr>
        <a:xfrm>
          <a:off x="2838450" y="2295525"/>
          <a:ext cx="2771775" cy="22859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 of camps by size of population in different townships</a:t>
          </a:r>
        </a:p>
      </xdr:txBody>
    </xdr:sp>
    <xdr:clientData/>
  </xdr:twoCellAnchor>
  <xdr:twoCellAnchor>
    <xdr:from>
      <xdr:col>7</xdr:col>
      <xdr:colOff>0</xdr:colOff>
      <xdr:row>24</xdr:row>
      <xdr:rowOff>171450</xdr:rowOff>
    </xdr:from>
    <xdr:to>
      <xdr:col>13</xdr:col>
      <xdr:colOff>0</xdr:colOff>
      <xdr:row>25</xdr:row>
      <xdr:rowOff>190499</xdr:rowOff>
    </xdr:to>
    <xdr:sp macro="" textlink="">
      <xdr:nvSpPr>
        <xdr:cNvPr id="40" name="Rounded Rectangle 39"/>
        <xdr:cNvSpPr/>
      </xdr:nvSpPr>
      <xdr:spPr>
        <a:xfrm>
          <a:off x="2647950" y="5076825"/>
          <a:ext cx="3257550" cy="20954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Size of Locations</a:t>
          </a:r>
        </a:p>
      </xdr:txBody>
    </xdr:sp>
    <xdr:clientData/>
  </xdr:twoCellAnchor>
  <xdr:twoCellAnchor>
    <xdr:from>
      <xdr:col>13</xdr:col>
      <xdr:colOff>158750</xdr:colOff>
      <xdr:row>5</xdr:row>
      <xdr:rowOff>127000</xdr:rowOff>
    </xdr:from>
    <xdr:to>
      <xdr:col>19</xdr:col>
      <xdr:colOff>434975</xdr:colOff>
      <xdr:row>29</xdr:row>
      <xdr:rowOff>88900</xdr:rowOff>
    </xdr:to>
    <xdr:grpSp>
      <xdr:nvGrpSpPr>
        <xdr:cNvPr id="9" name="Group 8"/>
        <xdr:cNvGrpSpPr/>
      </xdr:nvGrpSpPr>
      <xdr:grpSpPr>
        <a:xfrm>
          <a:off x="7598833" y="1513417"/>
          <a:ext cx="3514725" cy="4713816"/>
          <a:chOff x="7800975" y="1524000"/>
          <a:chExt cx="3514725" cy="4714875"/>
        </a:xfrm>
      </xdr:grpSpPr>
      <xdr:pic>
        <xdr:nvPicPr>
          <xdr:cNvPr id="46" name="Picture 4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800975" y="1524000"/>
            <a:ext cx="3514725" cy="4714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TextBox 1"/>
          <xdr:cNvSpPr txBox="1">
            <a:spLocks/>
          </xdr:cNvSpPr>
        </xdr:nvSpPr>
        <xdr:spPr>
          <a:xfrm>
            <a:off x="8934450" y="1562100"/>
            <a:ext cx="1955006" cy="385762"/>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00" b="1" baseline="0">
                <a:latin typeface="+mn-lt"/>
              </a:rPr>
              <a:t>Kachin and Northern Shan</a:t>
            </a:r>
          </a:p>
          <a:p>
            <a:pPr algn="ctr"/>
            <a:r>
              <a:rPr lang="en-GB" sz="1000" b="1" baseline="0">
                <a:latin typeface="+mn-lt"/>
              </a:rPr>
              <a:t># of IDPs by Towship</a:t>
            </a:r>
            <a:endParaRPr lang="en-GB" sz="1000" b="1">
              <a:latin typeface="+mn-lt"/>
            </a:endParaRPr>
          </a:p>
        </xdr:txBody>
      </xdr:sp>
    </xdr:grpSp>
    <xdr:clientData/>
  </xdr:twoCellAnchor>
</xdr:wsDr>
</file>

<file path=xl/drawings/drawing6.xml><?xml version="1.0" encoding="utf-8"?>
<c:userShapes xmlns:c="http://schemas.openxmlformats.org/drawingml/2006/chart">
  <cdr:absSizeAnchor xmlns:cdr="http://schemas.openxmlformats.org/drawingml/2006/chartDrawing">
    <cdr:from>
      <cdr:x>0</cdr:x>
      <cdr:y>0.01286</cdr:y>
    </cdr:from>
    <cdr:ext cx="2208211" cy="107056"/>
    <cdr:sp macro="" textlink="">
      <cdr:nvSpPr>
        <cdr:cNvPr id="4" name="TextBox 3"/>
        <cdr:cNvSpPr txBox="1">
          <a:spLocks xmlns:a="http://schemas.openxmlformats.org/drawingml/2006/main"/>
        </cdr:cNvSpPr>
      </cdr:nvSpPr>
      <cdr:spPr>
        <a:xfrm xmlns:a="http://schemas.openxmlformats.org/drawingml/2006/main">
          <a:off x="0" y="15975"/>
          <a:ext cx="2208211" cy="10705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991295" y="340179"/>
          <a:ext cx="8535059" cy="565264"/>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171450</xdr:colOff>
      <xdr:row>32</xdr:row>
      <xdr:rowOff>57149</xdr:rowOff>
    </xdr:from>
    <xdr:to>
      <xdr:col>16</xdr:col>
      <xdr:colOff>9525</xdr:colOff>
      <xdr:row>51</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95251</xdr:colOff>
      <xdr:row>57</xdr:row>
      <xdr:rowOff>11906</xdr:rowOff>
    </xdr:from>
    <xdr:to>
      <xdr:col>15</xdr:col>
      <xdr:colOff>1</xdr:colOff>
      <xdr:row>74</xdr:row>
      <xdr:rowOff>173831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32</xdr:row>
      <xdr:rowOff>71437</xdr:rowOff>
    </xdr:from>
    <xdr:to>
      <xdr:col>7</xdr:col>
      <xdr:colOff>154781</xdr:colOff>
      <xdr:row>51</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540875"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0</xdr:colOff>
      <xdr:row>57</xdr:row>
      <xdr:rowOff>13607</xdr:rowOff>
    </xdr:from>
    <xdr:to>
      <xdr:col>5</xdr:col>
      <xdr:colOff>59531</xdr:colOff>
      <xdr:row>74</xdr:row>
      <xdr:rowOff>180295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390525</xdr:colOff>
      <xdr:row>26</xdr:row>
      <xdr:rowOff>9525</xdr:rowOff>
    </xdr:from>
    <xdr:to>
      <xdr:col>6</xdr:col>
      <xdr:colOff>1587</xdr:colOff>
      <xdr:row>54</xdr:row>
      <xdr:rowOff>9525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1.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2.xml><?xml version="1.0" encoding="utf-8"?>
<xdr:wsDr xmlns:xdr="http://schemas.openxmlformats.org/drawingml/2006/spreadsheetDrawing" xmlns:a="http://schemas.openxmlformats.org/drawingml/2006/main">
  <xdr:twoCellAnchor editAs="oneCell">
    <xdr:from>
      <xdr:col>8</xdr:col>
      <xdr:colOff>183599</xdr:colOff>
      <xdr:row>11</xdr:row>
      <xdr:rowOff>62700</xdr:rowOff>
    </xdr:from>
    <xdr:to>
      <xdr:col>14</xdr:col>
      <xdr:colOff>90859</xdr:colOff>
      <xdr:row>50</xdr:row>
      <xdr:rowOff>36404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7424" y="2415375"/>
          <a:ext cx="4622135" cy="6688829"/>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004073" y="867964"/>
          <a:ext cx="3591153" cy="428625"/>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2</xdr:col>
      <xdr:colOff>94554</xdr:colOff>
      <xdr:row>50</xdr:row>
      <xdr:rowOff>93853</xdr:rowOff>
    </xdr:from>
    <xdr:to>
      <xdr:col>14</xdr:col>
      <xdr:colOff>136071</xdr:colOff>
      <xdr:row>52</xdr:row>
      <xdr:rowOff>188827</xdr:rowOff>
    </xdr:to>
    <xdr:grpSp>
      <xdr:nvGrpSpPr>
        <xdr:cNvPr id="6" name="Group 5"/>
        <xdr:cNvGrpSpPr/>
      </xdr:nvGrpSpPr>
      <xdr:grpSpPr>
        <a:xfrm>
          <a:off x="380304" y="9161653"/>
          <a:ext cx="8394942" cy="475974"/>
          <a:chOff x="57610" y="11352338"/>
          <a:chExt cx="9057815" cy="238182"/>
        </a:xfrm>
      </xdr:grpSpPr>
      <xdr:sp macro="" textlink="">
        <xdr:nvSpPr>
          <xdr:cNvPr id="45" name="Line 2"/>
          <xdr:cNvSpPr>
            <a:spLocks noChangeShapeType="1"/>
          </xdr:cNvSpPr>
        </xdr:nvSpPr>
        <xdr:spPr bwMode="auto">
          <a:xfrm flipV="1">
            <a:off x="196277" y="11352338"/>
            <a:ext cx="8919148" cy="20407"/>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5" name="Group 4"/>
          <xdr:cNvGrpSpPr/>
        </xdr:nvGrpSpPr>
        <xdr:grpSpPr>
          <a:xfrm>
            <a:off x="57610" y="11374090"/>
            <a:ext cx="8866397" cy="216430"/>
            <a:chOff x="57610" y="11269315"/>
            <a:chExt cx="8866397" cy="216430"/>
          </a:xfrm>
        </xdr:grpSpPr>
        <xdr:sp macro="" textlink="">
          <xdr:nvSpPr>
            <xdr:cNvPr id="48" name="TextBox 47"/>
            <xdr:cNvSpPr txBox="1"/>
          </xdr:nvSpPr>
          <xdr:spPr>
            <a:xfrm>
              <a:off x="57610" y="11269316"/>
              <a:ext cx="3288785" cy="18390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2563535" y="11279196"/>
              <a:ext cx="3911654" cy="20654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7328407" y="11269315"/>
              <a:ext cx="1595600" cy="20754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47</xdr:row>
      <xdr:rowOff>74084</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199041</xdr:colOff>
      <xdr:row>11</xdr:row>
      <xdr:rowOff>91648</xdr:rowOff>
    </xdr:from>
    <xdr:to>
      <xdr:col>9</xdr:col>
      <xdr:colOff>956296</xdr:colOff>
      <xdr:row>25</xdr:row>
      <xdr:rowOff>95811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95250</xdr:colOff>
      <xdr:row>6</xdr:row>
      <xdr:rowOff>45893</xdr:rowOff>
    </xdr:from>
    <xdr:to>
      <xdr:col>7</xdr:col>
      <xdr:colOff>463551</xdr:colOff>
      <xdr:row>14</xdr:row>
      <xdr:rowOff>9163</xdr:rowOff>
    </xdr:to>
    <xdr:grpSp>
      <xdr:nvGrpSpPr>
        <xdr:cNvPr id="4" name="Group 3"/>
        <xdr:cNvGrpSpPr/>
      </xdr:nvGrpSpPr>
      <xdr:grpSpPr>
        <a:xfrm>
          <a:off x="257175" y="1503218"/>
          <a:ext cx="3663951" cy="1344395"/>
          <a:chOff x="13464536" y="3170464"/>
          <a:chExt cx="5303561"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400" b="1">
                  <a:solidFill>
                    <a:schemeClr val="dk1"/>
                  </a:solidFill>
                  <a:latin typeface="+mn-lt"/>
                  <a:ea typeface="+mn-ea"/>
                  <a:cs typeface="+mn-cs"/>
                </a:rPr>
                <a:t>#</a:t>
              </a:r>
              <a:r>
                <a:rPr lang="en-GB" sz="1400" b="1" baseline="0">
                  <a:solidFill>
                    <a:schemeClr val="dk1"/>
                  </a:solidFill>
                  <a:latin typeface="+mn-lt"/>
                  <a:ea typeface="+mn-ea"/>
                  <a:cs typeface="+mn-cs"/>
                </a:rPr>
                <a:t> Households still not covered by the Cluster</a:t>
              </a:r>
              <a:endParaRPr lang="en-GB" sz="14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779998" y="3170464"/>
            <a:ext cx="988099" cy="1295551"/>
            <a:chOff x="13294952" y="3238499"/>
            <a:chExt cx="988099" cy="1295551"/>
          </a:xfrm>
        </xdr:grpSpPr>
        <xdr:sp macro="" textlink="$T$5">
          <xdr:nvSpPr>
            <xdr:cNvPr id="66" name="Rectangle 65"/>
            <xdr:cNvSpPr/>
          </xdr:nvSpPr>
          <xdr:spPr>
            <a:xfrm>
              <a:off x="13299490" y="32384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138 </a:t>
              </a:fld>
              <a:endParaRPr lang="en-GB" sz="1400" b="1">
                <a:solidFill>
                  <a:schemeClr val="dk1"/>
                </a:solidFill>
                <a:latin typeface="+mn-lt"/>
                <a:ea typeface="+mn-ea"/>
                <a:cs typeface="+mn-cs"/>
              </a:endParaRPr>
            </a:p>
          </xdr:txBody>
        </xdr:sp>
        <xdr:sp macro="" textlink="$T$4">
          <xdr:nvSpPr>
            <xdr:cNvPr id="67" name="Rectangle 66"/>
            <xdr:cNvSpPr/>
          </xdr:nvSpPr>
          <xdr:spPr>
            <a:xfrm>
              <a:off x="13294952" y="3562349"/>
              <a:ext cx="988099"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300" b="1">
                  <a:solidFill>
                    <a:schemeClr val="dk1"/>
                  </a:solidFill>
                  <a:latin typeface="+mn-lt"/>
                  <a:ea typeface="+mn-ea"/>
                  <a:cs typeface="+mn-cs"/>
                </a:rPr>
                <a:pPr marL="0" indent="0" algn="r"/>
                <a:t> 17,694 </a:t>
              </a:fld>
              <a:endParaRPr lang="en-GB" sz="1300" b="1">
                <a:solidFill>
                  <a:schemeClr val="dk1"/>
                </a:solidFill>
                <a:latin typeface="+mn-lt"/>
                <a:ea typeface="+mn-ea"/>
                <a:cs typeface="+mn-cs"/>
              </a:endParaRPr>
            </a:p>
          </xdr:txBody>
        </xdr:sp>
        <xdr:sp macro="" textlink="$T$8">
          <xdr:nvSpPr>
            <xdr:cNvPr id="68" name="Rectangle 67"/>
            <xdr:cNvSpPr/>
          </xdr:nvSpPr>
          <xdr:spPr>
            <a:xfrm>
              <a:off x="13299490" y="38861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6,097 </a:t>
              </a:fld>
              <a:endParaRPr lang="en-GB" sz="1400" b="1">
                <a:solidFill>
                  <a:schemeClr val="dk1"/>
                </a:solidFill>
                <a:latin typeface="+mn-lt"/>
                <a:ea typeface="+mn-ea"/>
                <a:cs typeface="+mn-cs"/>
              </a:endParaRPr>
            </a:p>
          </xdr:txBody>
        </xdr:sp>
        <xdr:sp macro="" textlink="$T$9">
          <xdr:nvSpPr>
            <xdr:cNvPr id="69" name="Rectangle 68"/>
            <xdr:cNvSpPr/>
          </xdr:nvSpPr>
          <xdr:spPr>
            <a:xfrm>
              <a:off x="13299490" y="4210050"/>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5,986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18</xdr:col>
          <xdr:colOff>19050</xdr:colOff>
          <xdr:row>32</xdr:row>
          <xdr:rowOff>38100</xdr:rowOff>
        </xdr:from>
        <xdr:to>
          <xdr:col>19</xdr:col>
          <xdr:colOff>238125</xdr:colOff>
          <xdr:row>33</xdr:row>
          <xdr:rowOff>123825</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974527</xdr:colOff>
      <xdr:row>39</xdr:row>
      <xdr:rowOff>123613</xdr:rowOff>
    </xdr:from>
    <xdr:to>
      <xdr:col>10</xdr:col>
      <xdr:colOff>142235</xdr:colOff>
      <xdr:row>41</xdr:row>
      <xdr:rowOff>134620</xdr:rowOff>
    </xdr:to>
    <xdr:grpSp>
      <xdr:nvGrpSpPr>
        <xdr:cNvPr id="78" name="Bhamo"/>
        <xdr:cNvGrpSpPr/>
      </xdr:nvGrpSpPr>
      <xdr:grpSpPr>
        <a:xfrm>
          <a:off x="5898952" y="7095913"/>
          <a:ext cx="234508" cy="392007"/>
          <a:chOff x="13959520" y="6638598"/>
          <a:chExt cx="235841" cy="392007"/>
        </a:xfrm>
      </xdr:grpSpPr>
      <xdr:sp macro="" textlink="">
        <xdr:nvSpPr>
          <xdr:cNvPr id="79" name="V_1"/>
          <xdr:cNvSpPr/>
        </xdr:nvSpPr>
        <xdr:spPr>
          <a:xfrm>
            <a:off x="13959520" y="6638598"/>
            <a:ext cx="54000" cy="39200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90904"/>
            <a:ext cx="54000" cy="1397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61" y="6983615"/>
            <a:ext cx="54000" cy="4699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454712</xdr:colOff>
      <xdr:row>26</xdr:row>
      <xdr:rowOff>32613</xdr:rowOff>
    </xdr:from>
    <xdr:to>
      <xdr:col>12</xdr:col>
      <xdr:colOff>80953</xdr:colOff>
      <xdr:row>27</xdr:row>
      <xdr:rowOff>26552</xdr:rowOff>
    </xdr:to>
    <xdr:grpSp>
      <xdr:nvGrpSpPr>
        <xdr:cNvPr id="82" name="Chipwi"/>
        <xdr:cNvGrpSpPr/>
      </xdr:nvGrpSpPr>
      <xdr:grpSpPr>
        <a:xfrm>
          <a:off x="7512737" y="4604613"/>
          <a:ext cx="235841" cy="155864"/>
          <a:chOff x="13959520" y="7728174"/>
          <a:chExt cx="235841" cy="157247"/>
        </a:xfrm>
      </xdr:grpSpPr>
      <xdr:sp macro="" textlink="">
        <xdr:nvSpPr>
          <xdr:cNvPr id="83" name="V_1"/>
          <xdr:cNvSpPr/>
        </xdr:nvSpPr>
        <xdr:spPr>
          <a:xfrm>
            <a:off x="13959520" y="7792662"/>
            <a:ext cx="54000" cy="7687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1" y="7728174"/>
            <a:ext cx="54000" cy="14136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1" y="788542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110888</xdr:colOff>
      <xdr:row>28</xdr:row>
      <xdr:rowOff>32492</xdr:rowOff>
    </xdr:from>
    <xdr:to>
      <xdr:col>9</xdr:col>
      <xdr:colOff>363184</xdr:colOff>
      <xdr:row>29</xdr:row>
      <xdr:rowOff>41980</xdr:rowOff>
    </xdr:to>
    <xdr:grpSp>
      <xdr:nvGrpSpPr>
        <xdr:cNvPr id="86" name="Hpakant"/>
        <xdr:cNvGrpSpPr/>
      </xdr:nvGrpSpPr>
      <xdr:grpSpPr>
        <a:xfrm>
          <a:off x="5035313" y="4928342"/>
          <a:ext cx="252296" cy="171413"/>
          <a:chOff x="13959520" y="11637464"/>
          <a:chExt cx="235841" cy="172605"/>
        </a:xfrm>
      </xdr:grpSpPr>
      <xdr:sp macro="" textlink="">
        <xdr:nvSpPr>
          <xdr:cNvPr id="87" name="V_1"/>
          <xdr:cNvSpPr/>
        </xdr:nvSpPr>
        <xdr:spPr>
          <a:xfrm>
            <a:off x="13959520" y="11637464"/>
            <a:ext cx="54000" cy="16326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655367"/>
            <a:ext cx="54000" cy="14536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10069"/>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175711</xdr:colOff>
      <xdr:row>45</xdr:row>
      <xdr:rowOff>97451</xdr:rowOff>
    </xdr:from>
    <xdr:to>
      <xdr:col>11</xdr:col>
      <xdr:colOff>407246</xdr:colOff>
      <xdr:row>46</xdr:row>
      <xdr:rowOff>73642</xdr:rowOff>
    </xdr:to>
    <xdr:grpSp>
      <xdr:nvGrpSpPr>
        <xdr:cNvPr id="90" name="Kutkai"/>
        <xdr:cNvGrpSpPr/>
      </xdr:nvGrpSpPr>
      <xdr:grpSpPr>
        <a:xfrm>
          <a:off x="7233736" y="8212751"/>
          <a:ext cx="231535" cy="166691"/>
          <a:chOff x="13959520" y="4227528"/>
          <a:chExt cx="235841" cy="166691"/>
        </a:xfrm>
      </xdr:grpSpPr>
      <xdr:sp macro="" textlink="">
        <xdr:nvSpPr>
          <xdr:cNvPr id="91" name="V_1"/>
          <xdr:cNvSpPr/>
        </xdr:nvSpPr>
        <xdr:spPr>
          <a:xfrm>
            <a:off x="13959520" y="4227528"/>
            <a:ext cx="54000" cy="1524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4241923"/>
            <a:ext cx="54000" cy="13800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394219"/>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293448</xdr:colOff>
      <xdr:row>40</xdr:row>
      <xdr:rowOff>130553</xdr:rowOff>
    </xdr:from>
    <xdr:to>
      <xdr:col>10</xdr:col>
      <xdr:colOff>532767</xdr:colOff>
      <xdr:row>43</xdr:row>
      <xdr:rowOff>169077</xdr:rowOff>
    </xdr:to>
    <xdr:grpSp>
      <xdr:nvGrpSpPr>
        <xdr:cNvPr id="94" name="mansi"/>
        <xdr:cNvGrpSpPr/>
      </xdr:nvGrpSpPr>
      <xdr:grpSpPr>
        <a:xfrm>
          <a:off x="6284673" y="7293353"/>
          <a:ext cx="239319" cy="610024"/>
          <a:chOff x="13959520" y="7766595"/>
          <a:chExt cx="235841" cy="605897"/>
        </a:xfrm>
      </xdr:grpSpPr>
      <xdr:sp macro="" textlink="">
        <xdr:nvSpPr>
          <xdr:cNvPr id="95" name="V_1"/>
          <xdr:cNvSpPr/>
        </xdr:nvSpPr>
        <xdr:spPr>
          <a:xfrm>
            <a:off x="13959520" y="7766595"/>
            <a:ext cx="54000" cy="60589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936885"/>
            <a:ext cx="54000" cy="4356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72492"/>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385125</xdr:colOff>
      <xdr:row>30</xdr:row>
      <xdr:rowOff>189512</xdr:rowOff>
    </xdr:from>
    <xdr:to>
      <xdr:col>10</xdr:col>
      <xdr:colOff>628757</xdr:colOff>
      <xdr:row>39</xdr:row>
      <xdr:rowOff>31400</xdr:rowOff>
    </xdr:to>
    <xdr:grpSp>
      <xdr:nvGrpSpPr>
        <xdr:cNvPr id="98" name="Momauk"/>
        <xdr:cNvGrpSpPr/>
      </xdr:nvGrpSpPr>
      <xdr:grpSpPr>
        <a:xfrm>
          <a:off x="6376350" y="5437787"/>
          <a:ext cx="243632" cy="1565913"/>
          <a:chOff x="13959520" y="7349568"/>
          <a:chExt cx="235841" cy="1538844"/>
        </a:xfrm>
      </xdr:grpSpPr>
      <xdr:sp macro="" textlink="">
        <xdr:nvSpPr>
          <xdr:cNvPr id="99" name="V_1"/>
          <xdr:cNvSpPr/>
        </xdr:nvSpPr>
        <xdr:spPr>
          <a:xfrm>
            <a:off x="13959520" y="7349568"/>
            <a:ext cx="54000" cy="153884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534383"/>
            <a:ext cx="54000" cy="35402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888407"/>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54952</xdr:colOff>
      <xdr:row>29</xdr:row>
      <xdr:rowOff>86384</xdr:rowOff>
    </xdr:from>
    <xdr:to>
      <xdr:col>10</xdr:col>
      <xdr:colOff>293776</xdr:colOff>
      <xdr:row>31</xdr:row>
      <xdr:rowOff>144701</xdr:rowOff>
    </xdr:to>
    <xdr:grpSp>
      <xdr:nvGrpSpPr>
        <xdr:cNvPr id="102" name="Myitkyina"/>
        <xdr:cNvGrpSpPr/>
      </xdr:nvGrpSpPr>
      <xdr:grpSpPr>
        <a:xfrm>
          <a:off x="6046177" y="5144159"/>
          <a:ext cx="238824" cy="439317"/>
          <a:chOff x="13959520" y="12544720"/>
          <a:chExt cx="235841" cy="439317"/>
        </a:xfrm>
      </xdr:grpSpPr>
      <xdr:sp macro="" textlink="">
        <xdr:nvSpPr>
          <xdr:cNvPr id="103" name="V_1"/>
          <xdr:cNvSpPr/>
        </xdr:nvSpPr>
        <xdr:spPr>
          <a:xfrm>
            <a:off x="13959520" y="12544720"/>
            <a:ext cx="54000" cy="42502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749614"/>
            <a:ext cx="54000" cy="22013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2984037"/>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472208</xdr:colOff>
      <xdr:row>45</xdr:row>
      <xdr:rowOff>3343</xdr:rowOff>
    </xdr:from>
    <xdr:to>
      <xdr:col>10</xdr:col>
      <xdr:colOff>708049</xdr:colOff>
      <xdr:row>45</xdr:row>
      <xdr:rowOff>97327</xdr:rowOff>
    </xdr:to>
    <xdr:grpSp>
      <xdr:nvGrpSpPr>
        <xdr:cNvPr id="106" name="Namhkan"/>
        <xdr:cNvGrpSpPr/>
      </xdr:nvGrpSpPr>
      <xdr:grpSpPr>
        <a:xfrm>
          <a:off x="6463433" y="8118643"/>
          <a:ext cx="235841" cy="93984"/>
          <a:chOff x="13959520" y="4459126"/>
          <a:chExt cx="235841" cy="93984"/>
        </a:xfrm>
      </xdr:grpSpPr>
      <xdr:sp macro="" textlink="">
        <xdr:nvSpPr>
          <xdr:cNvPr id="107" name="V_1"/>
          <xdr:cNvSpPr/>
        </xdr:nvSpPr>
        <xdr:spPr>
          <a:xfrm>
            <a:off x="13959520" y="4485374"/>
            <a:ext cx="54000" cy="677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459126"/>
            <a:ext cx="54000" cy="9398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53110"/>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631908</xdr:colOff>
      <xdr:row>24</xdr:row>
      <xdr:rowOff>57930</xdr:rowOff>
    </xdr:from>
    <xdr:to>
      <xdr:col>10</xdr:col>
      <xdr:colOff>867749</xdr:colOff>
      <xdr:row>32</xdr:row>
      <xdr:rowOff>2264</xdr:rowOff>
    </xdr:to>
    <xdr:grpSp>
      <xdr:nvGrpSpPr>
        <xdr:cNvPr id="110" name="Waingmaw"/>
        <xdr:cNvGrpSpPr/>
      </xdr:nvGrpSpPr>
      <xdr:grpSpPr>
        <a:xfrm>
          <a:off x="6623133" y="4306080"/>
          <a:ext cx="235841" cy="1325459"/>
          <a:chOff x="13959520" y="9786009"/>
          <a:chExt cx="235841" cy="1299873"/>
        </a:xfrm>
      </xdr:grpSpPr>
      <xdr:sp macro="" textlink="">
        <xdr:nvSpPr>
          <xdr:cNvPr id="111" name="V_1"/>
          <xdr:cNvSpPr/>
        </xdr:nvSpPr>
        <xdr:spPr>
          <a:xfrm>
            <a:off x="13959520" y="9786009"/>
            <a:ext cx="54000" cy="129987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392562"/>
            <a:ext cx="54000" cy="693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08588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19</xdr:col>
      <xdr:colOff>560916</xdr:colOff>
      <xdr:row>36</xdr:row>
      <xdr:rowOff>179917</xdr:rowOff>
    </xdr:from>
    <xdr:to>
      <xdr:col>19</xdr:col>
      <xdr:colOff>796757</xdr:colOff>
      <xdr:row>38</xdr:row>
      <xdr:rowOff>158918</xdr:rowOff>
    </xdr:to>
    <xdr:grpSp>
      <xdr:nvGrpSpPr>
        <xdr:cNvPr id="70" name="Shelter_Situation_Group"/>
        <xdr:cNvGrpSpPr/>
      </xdr:nvGrpSpPr>
      <xdr:grpSpPr>
        <a:xfrm>
          <a:off x="11057466" y="6580717"/>
          <a:ext cx="235841" cy="360001"/>
          <a:chOff x="13959520" y="5708810"/>
          <a:chExt cx="235841" cy="360001"/>
        </a:xfrm>
      </xdr:grpSpPr>
      <xdr:sp macro="" textlink="">
        <xdr:nvSpPr>
          <xdr:cNvPr id="71"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2"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3"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198360</xdr:colOff>
      <xdr:row>48</xdr:row>
      <xdr:rowOff>188668</xdr:rowOff>
    </xdr:from>
    <xdr:to>
      <xdr:col>11</xdr:col>
      <xdr:colOff>434201</xdr:colOff>
      <xdr:row>49</xdr:row>
      <xdr:rowOff>14153</xdr:rowOff>
    </xdr:to>
    <xdr:grpSp>
      <xdr:nvGrpSpPr>
        <xdr:cNvPr id="74" name="Hseni"/>
        <xdr:cNvGrpSpPr/>
      </xdr:nvGrpSpPr>
      <xdr:grpSpPr>
        <a:xfrm>
          <a:off x="7256385" y="8875468"/>
          <a:ext cx="235841" cy="15985"/>
          <a:chOff x="13959520" y="6054413"/>
          <a:chExt cx="235841" cy="15985"/>
        </a:xfrm>
      </xdr:grpSpPr>
      <xdr:sp macro="" textlink="">
        <xdr:nvSpPr>
          <xdr:cNvPr id="75" name="V_1"/>
          <xdr:cNvSpPr/>
        </xdr:nvSpPr>
        <xdr:spPr>
          <a:xfrm>
            <a:off x="13959520" y="6064579"/>
            <a:ext cx="54000" cy="42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54413"/>
            <a:ext cx="54000" cy="1439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7039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19</xdr:col>
      <xdr:colOff>713316</xdr:colOff>
      <xdr:row>37</xdr:row>
      <xdr:rowOff>141817</xdr:rowOff>
    </xdr:from>
    <xdr:to>
      <xdr:col>20</xdr:col>
      <xdr:colOff>25232</xdr:colOff>
      <xdr:row>39</xdr:row>
      <xdr:rowOff>120818</xdr:rowOff>
    </xdr:to>
    <xdr:grpSp>
      <xdr:nvGrpSpPr>
        <xdr:cNvPr id="114" name="Mansi"/>
        <xdr:cNvGrpSpPr/>
      </xdr:nvGrpSpPr>
      <xdr:grpSpPr>
        <a:xfrm>
          <a:off x="11209866" y="6733117"/>
          <a:ext cx="235841" cy="360001"/>
          <a:chOff x="13959520" y="5708810"/>
          <a:chExt cx="235841" cy="360001"/>
        </a:xfrm>
      </xdr:grpSpPr>
      <xdr:sp macro="" textlink="">
        <xdr:nvSpPr>
          <xdr:cNvPr id="115"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6"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7"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477125" y="285750"/>
          <a:ext cx="6524625" cy="687917"/>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27125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19</xdr:row>
      <xdr:rowOff>47625</xdr:rowOff>
    </xdr:from>
    <xdr:to>
      <xdr:col>10</xdr:col>
      <xdr:colOff>276676</xdr:colOff>
      <xdr:row>27</xdr:row>
      <xdr:rowOff>152401</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92075</xdr:rowOff>
    </xdr:from>
    <xdr:to>
      <xdr:col>18</xdr:col>
      <xdr:colOff>438150</xdr:colOff>
      <xdr:row>4</xdr:row>
      <xdr:rowOff>110671</xdr:rowOff>
    </xdr:to>
    <xdr:grpSp>
      <xdr:nvGrpSpPr>
        <xdr:cNvPr id="22" name="Group 21"/>
        <xdr:cNvGrpSpPr/>
      </xdr:nvGrpSpPr>
      <xdr:grpSpPr>
        <a:xfrm>
          <a:off x="5832475" y="873125"/>
          <a:ext cx="3321050" cy="437696"/>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2</xdr:col>
      <xdr:colOff>0</xdr:colOff>
      <xdr:row>37</xdr:row>
      <xdr:rowOff>63520</xdr:rowOff>
    </xdr:from>
    <xdr:to>
      <xdr:col>18</xdr:col>
      <xdr:colOff>352425</xdr:colOff>
      <xdr:row>38</xdr:row>
      <xdr:rowOff>225825</xdr:rowOff>
    </xdr:to>
    <xdr:grpSp>
      <xdr:nvGrpSpPr>
        <xdr:cNvPr id="32" name="Group 31"/>
        <xdr:cNvGrpSpPr/>
      </xdr:nvGrpSpPr>
      <xdr:grpSpPr>
        <a:xfrm>
          <a:off x="304800" y="7750195"/>
          <a:ext cx="8763000" cy="352805"/>
          <a:chOff x="11907" y="7524748"/>
          <a:chExt cx="8977312" cy="270043"/>
        </a:xfrm>
        <a:solidFill>
          <a:srgbClr val="FFFFFF"/>
        </a:solidFill>
        <a:effectLst/>
      </xdr:grpSpPr>
      <xdr:sp macro="" textlink="">
        <xdr:nvSpPr>
          <xdr:cNvPr id="33" name="Line 2"/>
          <xdr:cNvSpPr>
            <a:spLocks noChangeShapeType="1"/>
          </xdr:cNvSpPr>
        </xdr:nvSpPr>
        <xdr:spPr bwMode="auto">
          <a:xfrm>
            <a:off x="47625" y="7524748"/>
            <a:ext cx="8941594" cy="1"/>
          </a:xfrm>
          <a:prstGeom prst="line">
            <a:avLst/>
          </a:prstGeom>
          <a:grpFill/>
          <a:ln w="12700">
            <a:solidFill>
              <a:srgbClr val="808080"/>
            </a:solidFill>
            <a:round/>
            <a:headEnd/>
            <a:tailEnd/>
          </a:ln>
          <a:extLst/>
        </xdr:spPr>
      </xdr:sp>
      <xdr:grpSp>
        <xdr:nvGrpSpPr>
          <xdr:cNvPr id="34" name="Group 33"/>
          <xdr:cNvGrpSpPr/>
        </xdr:nvGrpSpPr>
        <xdr:grpSpPr>
          <a:xfrm>
            <a:off x="11907" y="7536625"/>
            <a:ext cx="8941593" cy="258166"/>
            <a:chOff x="6083301" y="9200286"/>
            <a:chExt cx="7309756" cy="195483"/>
          </a:xfrm>
          <a:grpFill/>
        </xdr:grpSpPr>
        <xdr:sp macro="" textlink="">
          <xdr:nvSpPr>
            <xdr:cNvPr id="35" name="TextBox 34"/>
            <xdr:cNvSpPr txBox="1"/>
          </xdr:nvSpPr>
          <xdr:spPr>
            <a:xfrm>
              <a:off x="6083301" y="9200286"/>
              <a:ext cx="3601345" cy="19548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6" y="920794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2</xdr:col>
      <xdr:colOff>1</xdr:colOff>
      <xdr:row>28</xdr:row>
      <xdr:rowOff>19050</xdr:rowOff>
    </xdr:from>
    <xdr:to>
      <xdr:col>10</xdr:col>
      <xdr:colOff>276676</xdr:colOff>
      <xdr:row>36</xdr:row>
      <xdr:rowOff>171450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38101</xdr:colOff>
      <xdr:row>28</xdr:row>
      <xdr:rowOff>19049</xdr:rowOff>
    </xdr:from>
    <xdr:to>
      <xdr:col>19</xdr:col>
      <xdr:colOff>451</xdr:colOff>
      <xdr:row>36</xdr:row>
      <xdr:rowOff>171450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7</xdr:row>
      <xdr:rowOff>9524</xdr:rowOff>
    </xdr:from>
    <xdr:to>
      <xdr:col>10</xdr:col>
      <xdr:colOff>0</xdr:colOff>
      <xdr:row>10</xdr:row>
      <xdr:rowOff>67349</xdr:rowOff>
    </xdr:to>
    <xdr:sp macro="" textlink="">
      <xdr:nvSpPr>
        <xdr:cNvPr id="25" name="Rounded Rectangle 24"/>
        <xdr:cNvSpPr/>
      </xdr:nvSpPr>
      <xdr:spPr>
        <a:xfrm>
          <a:off x="38100" y="1609724"/>
          <a:ext cx="3981450"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38100</xdr:rowOff>
    </xdr:from>
    <xdr:to>
      <xdr:col>18</xdr:col>
      <xdr:colOff>447675</xdr:colOff>
      <xdr:row>10</xdr:row>
      <xdr:rowOff>95925</xdr:rowOff>
    </xdr:to>
    <xdr:sp macro="" textlink="">
      <xdr:nvSpPr>
        <xdr:cNvPr id="28" name="Rounded Rectangle 27"/>
        <xdr:cNvSpPr/>
      </xdr:nvSpPr>
      <xdr:spPr>
        <a:xfrm>
          <a:off x="4486275" y="1638300"/>
          <a:ext cx="4314825"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19</xdr:row>
      <xdr:rowOff>38100</xdr:rowOff>
    </xdr:from>
    <xdr:to>
      <xdr:col>18</xdr:col>
      <xdr:colOff>476250</xdr:colOff>
      <xdr:row>27</xdr:row>
      <xdr:rowOff>142876</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152401</xdr:colOff>
      <xdr:row>7</xdr:row>
      <xdr:rowOff>9524</xdr:rowOff>
    </xdr:from>
    <xdr:to>
      <xdr:col>6</xdr:col>
      <xdr:colOff>247651</xdr:colOff>
      <xdr:row>10</xdr:row>
      <xdr:rowOff>67349</xdr:rowOff>
    </xdr:to>
    <xdr:sp macro="" textlink="$W$4">
      <xdr:nvSpPr>
        <xdr:cNvPr id="39" name="Rounded Rectangle 38"/>
        <xdr:cNvSpPr/>
      </xdr:nvSpPr>
      <xdr:spPr>
        <a:xfrm>
          <a:off x="1885951" y="1609724"/>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fld id="{866AAD63-F696-4B61-B8A1-8F667A21ADA1}" type="TxLink">
            <a:rPr lang="en-US" sz="800">
              <a:solidFill>
                <a:schemeClr val="tx2">
                  <a:lumMod val="40000"/>
                  <a:lumOff val="60000"/>
                </a:schemeClr>
              </a:solidFill>
              <a:latin typeface="Franklin Gothic Demi" pitchFamily="34" charset="0"/>
            </a:rPr>
            <a:pPr algn="l"/>
            <a:t> 495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7</xdr:row>
      <xdr:rowOff>38100</xdr:rowOff>
    </xdr:from>
    <xdr:to>
      <xdr:col>14</xdr:col>
      <xdr:colOff>438150</xdr:colOff>
      <xdr:row>10</xdr:row>
      <xdr:rowOff>95925</xdr:rowOff>
    </xdr:to>
    <xdr:sp macro="" textlink="$W$5">
      <xdr:nvSpPr>
        <xdr:cNvPr id="41" name="Rounded Rectangle 40"/>
        <xdr:cNvSpPr/>
      </xdr:nvSpPr>
      <xdr:spPr>
        <a:xfrm>
          <a:off x="6410325" y="1638300"/>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1,868 </a:t>
          </a:fld>
          <a:endParaRPr lang="en-US" sz="800">
            <a:solidFill>
              <a:schemeClr val="tx2">
                <a:lumMod val="40000"/>
                <a:lumOff val="60000"/>
              </a:schemeClr>
            </a:solidFill>
            <a:latin typeface="Franklin Gothic Demi"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11</xdr:col>
      <xdr:colOff>212725</xdr:colOff>
      <xdr:row>38</xdr:row>
      <xdr:rowOff>86483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7150"/>
          <a:ext cx="7032625" cy="9440033"/>
        </a:xfrm>
        <a:prstGeom prst="rect">
          <a:avLst/>
        </a:prstGeom>
        <a:ln>
          <a:solidFill>
            <a:srgbClr val="C00000"/>
          </a:solidFill>
        </a:ln>
      </xdr:spPr>
    </xdr:pic>
    <xdr:clientData/>
  </xdr:twoCellAnchor>
  <xdr:twoCellAnchor>
    <xdr:from>
      <xdr:col>24</xdr:col>
      <xdr:colOff>581458</xdr:colOff>
      <xdr:row>27</xdr:row>
      <xdr:rowOff>37056</xdr:rowOff>
    </xdr:from>
    <xdr:to>
      <xdr:col>27</xdr:col>
      <xdr:colOff>174530</xdr:colOff>
      <xdr:row>32</xdr:row>
      <xdr:rowOff>156445</xdr:rowOff>
    </xdr:to>
    <xdr:grpSp>
      <xdr:nvGrpSpPr>
        <xdr:cNvPr id="3" name="Group 2"/>
        <xdr:cNvGrpSpPr/>
      </xdr:nvGrpSpPr>
      <xdr:grpSpPr>
        <a:xfrm>
          <a:off x="14697508" y="6723606"/>
          <a:ext cx="2926822" cy="135763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19</xdr:col>
          <xdr:colOff>457200</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20</xdr:col>
      <xdr:colOff>227363</xdr:colOff>
      <xdr:row>25</xdr:row>
      <xdr:rowOff>169783</xdr:rowOff>
    </xdr:to>
    <xdr:grpSp>
      <xdr:nvGrpSpPr>
        <xdr:cNvPr id="10" name="Location"/>
        <xdr:cNvGrpSpPr/>
      </xdr:nvGrpSpPr>
      <xdr:grpSpPr>
        <a:xfrm>
          <a:off x="9873013" y="5970508"/>
          <a:ext cx="128905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113243</xdr:colOff>
      <xdr:row>0</xdr:row>
      <xdr:rowOff>97367</xdr:rowOff>
    </xdr:from>
    <xdr:to>
      <xdr:col>2</xdr:col>
      <xdr:colOff>456143</xdr:colOff>
      <xdr:row>6</xdr:row>
      <xdr:rowOff>30692</xdr:rowOff>
    </xdr:to>
    <xdr:grpSp>
      <xdr:nvGrpSpPr>
        <xdr:cNvPr id="7" name="Group 6"/>
        <xdr:cNvGrpSpPr/>
      </xdr:nvGrpSpPr>
      <xdr:grpSpPr>
        <a:xfrm>
          <a:off x="113243" y="97367"/>
          <a:ext cx="2019300" cy="141922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149228</xdr:rowOff>
    </xdr:from>
    <xdr:to>
      <xdr:col>5</xdr:col>
      <xdr:colOff>120650</xdr:colOff>
      <xdr:row>29</xdr:row>
      <xdr:rowOff>102505</xdr:rowOff>
    </xdr:to>
    <xdr:grpSp>
      <xdr:nvGrpSpPr>
        <xdr:cNvPr id="825" name="Bhamo_G"/>
        <xdr:cNvGrpSpPr/>
      </xdr:nvGrpSpPr>
      <xdr:grpSpPr>
        <a:xfrm>
          <a:off x="2308225" y="6588128"/>
          <a:ext cx="1260475" cy="696227"/>
          <a:chOff x="12380951" y="1798445"/>
          <a:chExt cx="1893717" cy="2074070"/>
        </a:xfrm>
      </xdr:grpSpPr>
      <xdr:sp macro="" textlink="">
        <xdr:nvSpPr>
          <xdr:cNvPr id="826" name="Oval"/>
          <xdr:cNvSpPr/>
        </xdr:nvSpPr>
        <xdr:spPr>
          <a:xfrm>
            <a:off x="13044964" y="2266824"/>
            <a:ext cx="565691" cy="116390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3">
        <xdr:nvSpPr>
          <xdr:cNvPr id="827" name="Pop" hidden="1"/>
          <xdr:cNvSpPr txBox="1"/>
        </xdr:nvSpPr>
        <xdr:spPr>
          <a:xfrm>
            <a:off x="12959414" y="1825042"/>
            <a:ext cx="708964"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DCD6F17-A8C4-4C7E-800E-B5A0280E2BDD}"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8,185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3">
        <xdr:nvSpPr>
          <xdr:cNvPr id="828" name="N_Camp" hidden="1"/>
          <xdr:cNvSpPr txBox="1"/>
        </xdr:nvSpPr>
        <xdr:spPr>
          <a:xfrm>
            <a:off x="13337142" y="2479835"/>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8711B49-D646-4171-800C-B8B6E23FBB0C}" type="TxLink">
              <a:rPr lang="en-US" sz="1200" b="0" i="0" u="none" strike="noStrike">
                <a:solidFill>
                  <a:srgbClr val="000000"/>
                </a:solidFill>
                <a:latin typeface="Arial Black" panose="020B0A04020102020204" pitchFamily="34" charset="0"/>
                <a:cs typeface="Arial" pitchFamily="34" charset="0"/>
              </a:rPr>
              <a:pPr algn="r"/>
              <a:t>11 cps</a:t>
            </a:fld>
            <a:endParaRPr lang="en-US" sz="1200" i="1">
              <a:solidFill>
                <a:schemeClr val="tx1"/>
              </a:solidFill>
              <a:latin typeface="Arial Black" panose="020B0A04020102020204" pitchFamily="34" charset="0"/>
              <a:cs typeface="Arial" pitchFamily="34" charset="0"/>
            </a:endParaRPr>
          </a:p>
        </xdr:txBody>
      </xdr:sp>
      <xdr:sp macro="" textlink="U3">
        <xdr:nvSpPr>
          <xdr:cNvPr id="829" name="Site"/>
          <xdr:cNvSpPr txBox="1"/>
        </xdr:nvSpPr>
        <xdr:spPr>
          <a:xfrm>
            <a:off x="12380951" y="1798445"/>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23348A7-8759-4643-83F6-B3C034435650}"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Bhamo</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30" name="Cluster"/>
          <xdr:cNvGrpSpPr/>
        </xdr:nvGrpSpPr>
        <xdr:grpSpPr>
          <a:xfrm>
            <a:off x="12477748" y="2348604"/>
            <a:ext cx="1732609" cy="380242"/>
            <a:chOff x="12477748" y="2348604"/>
            <a:chExt cx="1732609" cy="380242"/>
          </a:xfrm>
        </xdr:grpSpPr>
        <xdr:grpSp>
          <xdr:nvGrpSpPr>
            <xdr:cNvPr id="831" name="Shelter_G"/>
            <xdr:cNvGrpSpPr/>
          </xdr:nvGrpSpPr>
          <xdr:grpSpPr>
            <a:xfrm>
              <a:off x="12477748" y="2367654"/>
              <a:ext cx="332972" cy="361192"/>
              <a:chOff x="8585625" y="4782769"/>
              <a:chExt cx="147154" cy="166659"/>
            </a:xfrm>
          </xdr:grpSpPr>
          <xdr:pic>
            <xdr:nvPicPr>
              <xdr:cNvPr id="83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3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32" name="NFI_G"/>
            <xdr:cNvGrpSpPr/>
          </xdr:nvGrpSpPr>
          <xdr:grpSpPr>
            <a:xfrm>
              <a:off x="13877376" y="2348604"/>
              <a:ext cx="332981" cy="361192"/>
              <a:chOff x="8250078" y="5375644"/>
              <a:chExt cx="147158" cy="166659"/>
            </a:xfrm>
          </xdr:grpSpPr>
          <xdr:pic>
            <xdr:nvPicPr>
              <xdr:cNvPr id="83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3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6</xdr:col>
      <xdr:colOff>184150</xdr:colOff>
      <xdr:row>15</xdr:row>
      <xdr:rowOff>101603</xdr:rowOff>
    </xdr:from>
    <xdr:to>
      <xdr:col>8</xdr:col>
      <xdr:colOff>339725</xdr:colOff>
      <xdr:row>18</xdr:row>
      <xdr:rowOff>54880</xdr:rowOff>
    </xdr:to>
    <xdr:grpSp>
      <xdr:nvGrpSpPr>
        <xdr:cNvPr id="837" name="Chipwi_G"/>
        <xdr:cNvGrpSpPr/>
      </xdr:nvGrpSpPr>
      <xdr:grpSpPr>
        <a:xfrm>
          <a:off x="4298950" y="3816353"/>
          <a:ext cx="1279525" cy="696227"/>
          <a:chOff x="12380951" y="1798445"/>
          <a:chExt cx="1893717" cy="2074072"/>
        </a:xfrm>
      </xdr:grpSpPr>
      <xdr:sp macro="" textlink="">
        <xdr:nvSpPr>
          <xdr:cNvPr id="838" name="Oval"/>
          <xdr:cNvSpPr/>
        </xdr:nvSpPr>
        <xdr:spPr>
          <a:xfrm>
            <a:off x="13175855" y="2536131"/>
            <a:ext cx="303910" cy="6252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4">
        <xdr:nvSpPr>
          <xdr:cNvPr id="839" name="Pop" hidden="1"/>
          <xdr:cNvSpPr txBox="1"/>
        </xdr:nvSpPr>
        <xdr:spPr>
          <a:xfrm>
            <a:off x="12959414" y="1825042"/>
            <a:ext cx="708964" cy="204747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E897D33-1CF4-4F8C-B64F-4EC8F17E278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2,570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4">
        <xdr:nvSpPr>
          <xdr:cNvPr id="840" name="N_Camp" hidden="1"/>
          <xdr:cNvSpPr txBox="1"/>
        </xdr:nvSpPr>
        <xdr:spPr>
          <a:xfrm>
            <a:off x="13337142" y="2479836"/>
            <a:ext cx="836058"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62BC12A-C9BA-44F7-85F4-A5E4BCB4C4B9}" type="TxLink">
              <a:rPr lang="en-US" sz="1200" b="0" i="0" u="none" strike="noStrike">
                <a:solidFill>
                  <a:srgbClr val="000000"/>
                </a:solidFill>
                <a:latin typeface="Arial Black" panose="020B0A04020102020204" pitchFamily="34" charset="0"/>
                <a:cs typeface="Arial" pitchFamily="34" charset="0"/>
              </a:rPr>
              <a:pPr algn="r"/>
              <a:t>6 cps</a:t>
            </a:fld>
            <a:endParaRPr lang="en-US" sz="1200" i="1">
              <a:solidFill>
                <a:schemeClr val="tx1"/>
              </a:solidFill>
              <a:latin typeface="Arial Black" panose="020B0A04020102020204" pitchFamily="34" charset="0"/>
              <a:cs typeface="Arial" pitchFamily="34" charset="0"/>
            </a:endParaRPr>
          </a:p>
        </xdr:txBody>
      </xdr:sp>
      <xdr:sp macro="" textlink="U4">
        <xdr:nvSpPr>
          <xdr:cNvPr id="841" name="Site"/>
          <xdr:cNvSpPr txBox="1"/>
        </xdr:nvSpPr>
        <xdr:spPr>
          <a:xfrm>
            <a:off x="12380951" y="1798445"/>
            <a:ext cx="1893717"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90CA978-C6A8-41C7-B9E3-E817B2ADE5C6}"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Chipwi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42" name="Cluster"/>
          <xdr:cNvGrpSpPr/>
        </xdr:nvGrpSpPr>
        <xdr:grpSpPr>
          <a:xfrm>
            <a:off x="12477748" y="2348604"/>
            <a:ext cx="1732609" cy="380242"/>
            <a:chOff x="12477748" y="2348604"/>
            <a:chExt cx="1732609" cy="380242"/>
          </a:xfrm>
        </xdr:grpSpPr>
        <xdr:grpSp>
          <xdr:nvGrpSpPr>
            <xdr:cNvPr id="843" name="Shelter_G"/>
            <xdr:cNvGrpSpPr/>
          </xdr:nvGrpSpPr>
          <xdr:grpSpPr>
            <a:xfrm>
              <a:off x="12477748" y="2367654"/>
              <a:ext cx="332972" cy="361192"/>
              <a:chOff x="8585625" y="4782769"/>
              <a:chExt cx="147154" cy="166659"/>
            </a:xfrm>
          </xdr:grpSpPr>
          <xdr:pic>
            <xdr:nvPicPr>
              <xdr:cNvPr id="84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4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44" name="NFI_G"/>
            <xdr:cNvGrpSpPr/>
          </xdr:nvGrpSpPr>
          <xdr:grpSpPr>
            <a:xfrm>
              <a:off x="13877376" y="2348604"/>
              <a:ext cx="332981" cy="361192"/>
              <a:chOff x="8250078" y="5375644"/>
              <a:chExt cx="147158" cy="166659"/>
            </a:xfrm>
          </xdr:grpSpPr>
          <xdr:pic>
            <xdr:nvPicPr>
              <xdr:cNvPr id="84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4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1</xdr:col>
      <xdr:colOff>219075</xdr:colOff>
      <xdr:row>15</xdr:row>
      <xdr:rowOff>127003</xdr:rowOff>
    </xdr:from>
    <xdr:to>
      <xdr:col>3</xdr:col>
      <xdr:colOff>88900</xdr:colOff>
      <xdr:row>18</xdr:row>
      <xdr:rowOff>80280</xdr:rowOff>
    </xdr:to>
    <xdr:grpSp>
      <xdr:nvGrpSpPr>
        <xdr:cNvPr id="849" name="Hpakant_G"/>
        <xdr:cNvGrpSpPr/>
      </xdr:nvGrpSpPr>
      <xdr:grpSpPr>
        <a:xfrm>
          <a:off x="1076325" y="3841753"/>
          <a:ext cx="1260475" cy="696227"/>
          <a:chOff x="12380951" y="1797114"/>
          <a:chExt cx="1893717" cy="2108237"/>
        </a:xfrm>
      </xdr:grpSpPr>
      <xdr:sp macro="" textlink="">
        <xdr:nvSpPr>
          <xdr:cNvPr id="850" name="Oval"/>
          <xdr:cNvSpPr/>
        </xdr:nvSpPr>
        <xdr:spPr>
          <a:xfrm>
            <a:off x="13147604" y="2478008"/>
            <a:ext cx="360410" cy="74154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5">
        <xdr:nvSpPr>
          <xdr:cNvPr id="851" name="Pop" hidden="1"/>
          <xdr:cNvSpPr txBox="1"/>
        </xdr:nvSpPr>
        <xdr:spPr>
          <a:xfrm>
            <a:off x="12959414" y="1824148"/>
            <a:ext cx="708964" cy="20812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12B2265-0C4E-47DD-8655-3A7AE193575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3,574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5">
        <xdr:nvSpPr>
          <xdr:cNvPr id="852" name="N_Camp" hidden="1"/>
          <xdr:cNvSpPr txBox="1"/>
        </xdr:nvSpPr>
        <xdr:spPr>
          <a:xfrm>
            <a:off x="13337142" y="2489728"/>
            <a:ext cx="836058" cy="7671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5B931AB-4DF0-459B-BED1-6771C559C67B}" type="TxLink">
              <a:rPr lang="en-US" sz="1200" b="0" i="0" u="none" strike="noStrike">
                <a:solidFill>
                  <a:srgbClr val="000000"/>
                </a:solidFill>
                <a:latin typeface="Arial Black" panose="020B0A04020102020204" pitchFamily="34" charset="0"/>
                <a:cs typeface="Arial" pitchFamily="34" charset="0"/>
              </a:rPr>
              <a:pPr algn="r"/>
              <a:t>20 cps</a:t>
            </a:fld>
            <a:endParaRPr lang="en-US" sz="1200" i="1">
              <a:solidFill>
                <a:schemeClr val="tx1"/>
              </a:solidFill>
              <a:latin typeface="Arial Black" panose="020B0A04020102020204" pitchFamily="34" charset="0"/>
              <a:cs typeface="Arial" pitchFamily="34" charset="0"/>
            </a:endParaRPr>
          </a:p>
        </xdr:txBody>
      </xdr:sp>
      <xdr:sp macro="" textlink="U5">
        <xdr:nvSpPr>
          <xdr:cNvPr id="853" name="Site"/>
          <xdr:cNvSpPr txBox="1"/>
        </xdr:nvSpPr>
        <xdr:spPr>
          <a:xfrm>
            <a:off x="12380951" y="1797114"/>
            <a:ext cx="1893717" cy="7671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4A27E1-2EBF-4D3D-BC29-2CE389CBE59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Hpakant</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54" name="Cluster"/>
          <xdr:cNvGrpSpPr/>
        </xdr:nvGrpSpPr>
        <xdr:grpSpPr>
          <a:xfrm>
            <a:off x="12477748" y="2348604"/>
            <a:ext cx="1732609" cy="380242"/>
            <a:chOff x="12477748" y="2348604"/>
            <a:chExt cx="1732609" cy="380242"/>
          </a:xfrm>
        </xdr:grpSpPr>
        <xdr:grpSp>
          <xdr:nvGrpSpPr>
            <xdr:cNvPr id="855" name="Shelter_G"/>
            <xdr:cNvGrpSpPr/>
          </xdr:nvGrpSpPr>
          <xdr:grpSpPr>
            <a:xfrm>
              <a:off x="12477748" y="2367654"/>
              <a:ext cx="332972" cy="361192"/>
              <a:chOff x="8585625" y="4782769"/>
              <a:chExt cx="147154" cy="166659"/>
            </a:xfrm>
          </xdr:grpSpPr>
          <xdr:pic>
            <xdr:nvPicPr>
              <xdr:cNvPr id="85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56" name="NFI_G"/>
            <xdr:cNvGrpSpPr/>
          </xdr:nvGrpSpPr>
          <xdr:grpSpPr>
            <a:xfrm>
              <a:off x="13877376" y="2348604"/>
              <a:ext cx="332981" cy="361192"/>
              <a:chOff x="8250078" y="5375644"/>
              <a:chExt cx="147158" cy="166659"/>
            </a:xfrm>
          </xdr:grpSpPr>
          <xdr:pic>
            <xdr:nvPicPr>
              <xdr:cNvPr id="85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354965</xdr:colOff>
      <xdr:row>34</xdr:row>
      <xdr:rowOff>28901</xdr:rowOff>
    </xdr:from>
    <xdr:to>
      <xdr:col>7</xdr:col>
      <xdr:colOff>384810</xdr:colOff>
      <xdr:row>36</xdr:row>
      <xdr:rowOff>128635</xdr:rowOff>
    </xdr:to>
    <xdr:grpSp>
      <xdr:nvGrpSpPr>
        <xdr:cNvPr id="861" name="Hseni_G"/>
        <xdr:cNvGrpSpPr/>
      </xdr:nvGrpSpPr>
      <xdr:grpSpPr>
        <a:xfrm>
          <a:off x="3921125" y="8319461"/>
          <a:ext cx="1279525" cy="587414"/>
          <a:chOff x="12380951" y="1797809"/>
          <a:chExt cx="1893717" cy="1781112"/>
        </a:xfrm>
      </xdr:grpSpPr>
      <xdr:sp macro="" textlink="">
        <xdr:nvSpPr>
          <xdr:cNvPr id="862" name="Oval"/>
          <xdr:cNvSpPr/>
        </xdr:nvSpPr>
        <xdr:spPr>
          <a:xfrm>
            <a:off x="13250012" y="2539798"/>
            <a:ext cx="155594" cy="31801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6">
        <xdr:nvSpPr>
          <xdr:cNvPr id="863" name="Pop" hidden="1"/>
          <xdr:cNvSpPr txBox="1"/>
        </xdr:nvSpPr>
        <xdr:spPr>
          <a:xfrm>
            <a:off x="12959414" y="2152862"/>
            <a:ext cx="708964" cy="142605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7F2B92-BA90-4358-A7FF-4D1CA0B1DC42}"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665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6">
        <xdr:nvSpPr>
          <xdr:cNvPr id="864" name="N_Camp" hidden="1"/>
          <xdr:cNvSpPr txBox="1"/>
        </xdr:nvSpPr>
        <xdr:spPr>
          <a:xfrm>
            <a:off x="13337142" y="2490358"/>
            <a:ext cx="836058" cy="76814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233296D-F4AA-4321-845A-15BAFB6FB27F}" type="TxLink">
              <a:rPr lang="en-US" sz="1200" b="0" i="0" u="none" strike="noStrike">
                <a:solidFill>
                  <a:srgbClr val="000000"/>
                </a:solidFill>
                <a:latin typeface="Arial Black" panose="020B0A04020102020204" pitchFamily="34" charset="0"/>
                <a:cs typeface="Arial" pitchFamily="34" charset="0"/>
              </a:rPr>
              <a:pPr algn="r"/>
              <a:t>2 cps</a:t>
            </a:fld>
            <a:endParaRPr lang="en-US" sz="1200" i="1">
              <a:solidFill>
                <a:schemeClr val="tx1"/>
              </a:solidFill>
              <a:latin typeface="Arial Black" panose="020B0A04020102020204" pitchFamily="34" charset="0"/>
              <a:cs typeface="Arial" pitchFamily="34" charset="0"/>
            </a:endParaRPr>
          </a:p>
        </xdr:txBody>
      </xdr:sp>
      <xdr:sp macro="" textlink="U6">
        <xdr:nvSpPr>
          <xdr:cNvPr id="865" name="Site"/>
          <xdr:cNvSpPr txBox="1"/>
        </xdr:nvSpPr>
        <xdr:spPr>
          <a:xfrm>
            <a:off x="12380951" y="1797809"/>
            <a:ext cx="1893717" cy="76814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7C07D38-0D4E-4B31-86E1-D4002BB6AFA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Hseni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66" name="Cluster"/>
          <xdr:cNvGrpSpPr/>
        </xdr:nvGrpSpPr>
        <xdr:grpSpPr>
          <a:xfrm>
            <a:off x="12477748" y="2348604"/>
            <a:ext cx="1732609" cy="380242"/>
            <a:chOff x="12477748" y="2348604"/>
            <a:chExt cx="1732609" cy="380242"/>
          </a:xfrm>
        </xdr:grpSpPr>
        <xdr:grpSp>
          <xdr:nvGrpSpPr>
            <xdr:cNvPr id="867" name="Shelter_G"/>
            <xdr:cNvGrpSpPr/>
          </xdr:nvGrpSpPr>
          <xdr:grpSpPr>
            <a:xfrm>
              <a:off x="12477748" y="2367654"/>
              <a:ext cx="332972" cy="361192"/>
              <a:chOff x="8585625" y="4782769"/>
              <a:chExt cx="147154" cy="166659"/>
            </a:xfrm>
          </xdr:grpSpPr>
          <xdr:pic>
            <xdr:nvPicPr>
              <xdr:cNvPr id="87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68" name="NFI_G"/>
            <xdr:cNvGrpSpPr/>
          </xdr:nvGrpSpPr>
          <xdr:grpSpPr>
            <a:xfrm>
              <a:off x="13877376" y="2348604"/>
              <a:ext cx="332981" cy="361192"/>
              <a:chOff x="8250078" y="5375644"/>
              <a:chExt cx="147158" cy="166659"/>
            </a:xfrm>
          </xdr:grpSpPr>
          <xdr:pic>
            <xdr:nvPicPr>
              <xdr:cNvPr id="86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130175</xdr:colOff>
      <xdr:row>13</xdr:row>
      <xdr:rowOff>32611</xdr:rowOff>
    </xdr:from>
    <xdr:to>
      <xdr:col>7</xdr:col>
      <xdr:colOff>190500</xdr:colOff>
      <xdr:row>15</xdr:row>
      <xdr:rowOff>19376</xdr:rowOff>
    </xdr:to>
    <xdr:grpSp>
      <xdr:nvGrpSpPr>
        <xdr:cNvPr id="873" name="Injangyang_G"/>
        <xdr:cNvGrpSpPr/>
      </xdr:nvGrpSpPr>
      <xdr:grpSpPr>
        <a:xfrm>
          <a:off x="3578225" y="3252061"/>
          <a:ext cx="1279525" cy="482065"/>
          <a:chOff x="12380951" y="1798446"/>
          <a:chExt cx="1893717" cy="1436077"/>
        </a:xfrm>
      </xdr:grpSpPr>
      <xdr:sp macro="" textlink="">
        <xdr:nvSpPr>
          <xdr:cNvPr id="874"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7">
        <xdr:nvSpPr>
          <xdr:cNvPr id="875" name="Pop" hidden="1"/>
          <xdr:cNvSpPr txBox="1"/>
        </xdr:nvSpPr>
        <xdr:spPr>
          <a:xfrm>
            <a:off x="12959414" y="2471437"/>
            <a:ext cx="708964" cy="754685"/>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3D69DC9-B7AA-4B3F-89B8-8332ED56AB70}"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7">
        <xdr:nvSpPr>
          <xdr:cNvPr id="876" name="N_Camp" hidden="1"/>
          <xdr:cNvSpPr txBox="1"/>
        </xdr:nvSpPr>
        <xdr:spPr>
          <a:xfrm>
            <a:off x="13337142" y="2479838"/>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040A4B3-774C-4F6A-AA9A-B350E0603B2F}" type="TxLink">
              <a:rPr lang="en-US" sz="1200" b="0" i="0" u="none" strike="noStrike">
                <a:solidFill>
                  <a:srgbClr val="000000"/>
                </a:solidFill>
                <a:latin typeface="Arial Black" panose="020B0A04020102020204" pitchFamily="34" charset="0"/>
                <a:cs typeface="Arial" pitchFamily="34" charset="0"/>
              </a:rPr>
              <a:pPr algn="r"/>
              <a:t>0 cp</a:t>
            </a:fld>
            <a:endParaRPr lang="en-US" sz="1200" i="1">
              <a:solidFill>
                <a:schemeClr val="tx1"/>
              </a:solidFill>
              <a:latin typeface="Arial Black" panose="020B0A04020102020204" pitchFamily="34" charset="0"/>
              <a:cs typeface="Arial" pitchFamily="34" charset="0"/>
            </a:endParaRPr>
          </a:p>
        </xdr:txBody>
      </xdr:sp>
      <xdr:sp macro="" textlink="U7">
        <xdr:nvSpPr>
          <xdr:cNvPr id="877" name="Site"/>
          <xdr:cNvSpPr txBox="1"/>
        </xdr:nvSpPr>
        <xdr:spPr>
          <a:xfrm>
            <a:off x="12380951" y="1798446"/>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8DF6A06-5617-49EC-9D2A-0C9130CA870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Injangyang</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78" name="Cluster"/>
          <xdr:cNvGrpSpPr/>
        </xdr:nvGrpSpPr>
        <xdr:grpSpPr>
          <a:xfrm>
            <a:off x="12477748" y="2348604"/>
            <a:ext cx="1732609" cy="380242"/>
            <a:chOff x="12477748" y="2348604"/>
            <a:chExt cx="1732609" cy="380242"/>
          </a:xfrm>
        </xdr:grpSpPr>
        <xdr:grpSp>
          <xdr:nvGrpSpPr>
            <xdr:cNvPr id="879" name="Shelter_G"/>
            <xdr:cNvGrpSpPr/>
          </xdr:nvGrpSpPr>
          <xdr:grpSpPr>
            <a:xfrm>
              <a:off x="12477748" y="2367654"/>
              <a:ext cx="332972" cy="361192"/>
              <a:chOff x="8585625" y="4782769"/>
              <a:chExt cx="147154" cy="166659"/>
            </a:xfrm>
          </xdr:grpSpPr>
          <xdr:pic>
            <xdr:nvPicPr>
              <xdr:cNvPr id="88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80" name="NFI_G"/>
            <xdr:cNvGrpSpPr/>
          </xdr:nvGrpSpPr>
          <xdr:grpSpPr>
            <a:xfrm>
              <a:off x="13877376" y="2348604"/>
              <a:ext cx="332981" cy="361192"/>
              <a:chOff x="8250078" y="5375644"/>
              <a:chExt cx="147158" cy="166659"/>
            </a:xfrm>
          </xdr:grpSpPr>
          <xdr:pic>
            <xdr:nvPicPr>
              <xdr:cNvPr id="88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6</xdr:col>
      <xdr:colOff>237490</xdr:colOff>
      <xdr:row>7</xdr:row>
      <xdr:rowOff>174163</xdr:rowOff>
    </xdr:from>
    <xdr:to>
      <xdr:col>10</xdr:col>
      <xdr:colOff>182880</xdr:colOff>
      <xdr:row>9</xdr:row>
      <xdr:rowOff>165149</xdr:rowOff>
    </xdr:to>
    <xdr:grpSp>
      <xdr:nvGrpSpPr>
        <xdr:cNvPr id="885" name="Khaunglanhpu_G"/>
        <xdr:cNvGrpSpPr/>
      </xdr:nvGrpSpPr>
      <xdr:grpSpPr>
        <a:xfrm>
          <a:off x="4489450" y="1881043"/>
          <a:ext cx="2063750" cy="478666"/>
          <a:chOff x="12380951" y="1792747"/>
          <a:chExt cx="1893717" cy="1447469"/>
        </a:xfrm>
      </xdr:grpSpPr>
      <xdr:sp macro="" textlink="">
        <xdr:nvSpPr>
          <xdr:cNvPr id="886"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8">
        <xdr:nvSpPr>
          <xdr:cNvPr id="887" name="Pop" hidden="1"/>
          <xdr:cNvSpPr txBox="1"/>
        </xdr:nvSpPr>
        <xdr:spPr>
          <a:xfrm>
            <a:off x="12959414" y="2465742"/>
            <a:ext cx="708964" cy="7660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25C5EEF-56E7-43B0-824F-23FA1ECC2BB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17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8">
        <xdr:nvSpPr>
          <xdr:cNvPr id="888" name="N_Camp" hidden="1"/>
          <xdr:cNvSpPr txBox="1"/>
        </xdr:nvSpPr>
        <xdr:spPr>
          <a:xfrm>
            <a:off x="13337142" y="2474143"/>
            <a:ext cx="836058" cy="76607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DCA2372F-7AD7-4127-9FB2-2CAFF724F76D}" type="TxLink">
              <a:rPr lang="en-US" sz="1200" b="0" i="0" u="none" strike="noStrike">
                <a:solidFill>
                  <a:srgbClr val="000000"/>
                </a:solidFill>
                <a:latin typeface="Arial Black" panose="020B0A04020102020204" pitchFamily="34" charset="0"/>
                <a:cs typeface="Arial" pitchFamily="34" charset="0"/>
              </a:rPr>
              <a:pPr algn="r"/>
              <a:t>1 cp</a:t>
            </a:fld>
            <a:endParaRPr lang="en-US" sz="1200" i="1">
              <a:solidFill>
                <a:schemeClr val="tx1"/>
              </a:solidFill>
              <a:latin typeface="Arial Black" panose="020B0A04020102020204" pitchFamily="34" charset="0"/>
              <a:cs typeface="Arial" pitchFamily="34" charset="0"/>
            </a:endParaRPr>
          </a:p>
        </xdr:txBody>
      </xdr:sp>
      <xdr:sp macro="" textlink="U8">
        <xdr:nvSpPr>
          <xdr:cNvPr id="889" name="Site"/>
          <xdr:cNvSpPr txBox="1"/>
        </xdr:nvSpPr>
        <xdr:spPr>
          <a:xfrm>
            <a:off x="12380951" y="1792747"/>
            <a:ext cx="1893717" cy="76607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9885536-BEEF-4FC9-8F64-F77F9A2C2C4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Khaunglanhpu</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890" name="Cluster"/>
          <xdr:cNvGrpSpPr/>
        </xdr:nvGrpSpPr>
        <xdr:grpSpPr>
          <a:xfrm>
            <a:off x="12477748" y="2348604"/>
            <a:ext cx="1732609" cy="380242"/>
            <a:chOff x="12477748" y="2348604"/>
            <a:chExt cx="1732609" cy="380242"/>
          </a:xfrm>
        </xdr:grpSpPr>
        <xdr:grpSp>
          <xdr:nvGrpSpPr>
            <xdr:cNvPr id="891" name="Shelter_G"/>
            <xdr:cNvGrpSpPr/>
          </xdr:nvGrpSpPr>
          <xdr:grpSpPr>
            <a:xfrm>
              <a:off x="12477748" y="2367654"/>
              <a:ext cx="332972" cy="361192"/>
              <a:chOff x="8585625" y="4782769"/>
              <a:chExt cx="147154" cy="166659"/>
            </a:xfrm>
          </xdr:grpSpPr>
          <xdr:pic>
            <xdr:nvPicPr>
              <xdr:cNvPr id="89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8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892" name="NFI_G"/>
            <xdr:cNvGrpSpPr/>
          </xdr:nvGrpSpPr>
          <xdr:grpSpPr>
            <a:xfrm>
              <a:off x="13877376" y="2348604"/>
              <a:ext cx="332981" cy="361192"/>
              <a:chOff x="8250078" y="5375644"/>
              <a:chExt cx="147158" cy="166659"/>
            </a:xfrm>
          </xdr:grpSpPr>
          <xdr:pic>
            <xdr:nvPicPr>
              <xdr:cNvPr id="89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8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473075</xdr:colOff>
      <xdr:row>31</xdr:row>
      <xdr:rowOff>190503</xdr:rowOff>
    </xdr:from>
    <xdr:to>
      <xdr:col>7</xdr:col>
      <xdr:colOff>533400</xdr:colOff>
      <xdr:row>34</xdr:row>
      <xdr:rowOff>143780</xdr:rowOff>
    </xdr:to>
    <xdr:grpSp>
      <xdr:nvGrpSpPr>
        <xdr:cNvPr id="897" name="Kutkai_G"/>
        <xdr:cNvGrpSpPr/>
      </xdr:nvGrpSpPr>
      <xdr:grpSpPr>
        <a:xfrm>
          <a:off x="3921125" y="7867653"/>
          <a:ext cx="1279525" cy="696227"/>
          <a:chOff x="12380951" y="1798445"/>
          <a:chExt cx="1893717" cy="2074070"/>
        </a:xfrm>
      </xdr:grpSpPr>
      <xdr:sp macro="" textlink="">
        <xdr:nvSpPr>
          <xdr:cNvPr id="898" name="Oval"/>
          <xdr:cNvSpPr/>
        </xdr:nvSpPr>
        <xdr:spPr>
          <a:xfrm>
            <a:off x="13168485" y="2520972"/>
            <a:ext cx="318647" cy="6556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9">
        <xdr:nvSpPr>
          <xdr:cNvPr id="899" name="Pop" hidden="1"/>
          <xdr:cNvSpPr txBox="1"/>
        </xdr:nvSpPr>
        <xdr:spPr>
          <a:xfrm>
            <a:off x="12959414" y="1825042"/>
            <a:ext cx="708964"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80ADA6E-6C08-47A9-BDCC-1154BA2263F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3,291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9">
        <xdr:nvSpPr>
          <xdr:cNvPr id="900" name="N_Camp" hidden="1"/>
          <xdr:cNvSpPr txBox="1"/>
        </xdr:nvSpPr>
        <xdr:spPr>
          <a:xfrm>
            <a:off x="13337142" y="2479835"/>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9FE5A7D-1CCE-49DA-A199-4F253D78C4B5}" type="TxLink">
              <a:rPr lang="en-US" sz="1200" b="0" i="0" u="none" strike="noStrike">
                <a:solidFill>
                  <a:srgbClr val="000000"/>
                </a:solidFill>
                <a:latin typeface="Arial Black" panose="020B0A04020102020204" pitchFamily="34" charset="0"/>
                <a:cs typeface="Arial" pitchFamily="34" charset="0"/>
              </a:rPr>
              <a:pPr algn="r"/>
              <a:t>9 cps</a:t>
            </a:fld>
            <a:endParaRPr lang="en-US" sz="1200" i="1">
              <a:solidFill>
                <a:schemeClr val="tx1"/>
              </a:solidFill>
              <a:latin typeface="Arial Black" panose="020B0A04020102020204" pitchFamily="34" charset="0"/>
              <a:cs typeface="Arial" pitchFamily="34" charset="0"/>
            </a:endParaRPr>
          </a:p>
        </xdr:txBody>
      </xdr:sp>
      <xdr:sp macro="" textlink="U9">
        <xdr:nvSpPr>
          <xdr:cNvPr id="901" name="Site"/>
          <xdr:cNvSpPr txBox="1"/>
        </xdr:nvSpPr>
        <xdr:spPr>
          <a:xfrm>
            <a:off x="12380951" y="1798445"/>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84EE349-EF60-4490-8690-D92A00CD7D89}"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Kutkai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02" name="Cluster"/>
          <xdr:cNvGrpSpPr/>
        </xdr:nvGrpSpPr>
        <xdr:grpSpPr>
          <a:xfrm>
            <a:off x="12477748" y="2348604"/>
            <a:ext cx="1732609" cy="380242"/>
            <a:chOff x="12477748" y="2348604"/>
            <a:chExt cx="1732609" cy="380242"/>
          </a:xfrm>
        </xdr:grpSpPr>
        <xdr:grpSp>
          <xdr:nvGrpSpPr>
            <xdr:cNvPr id="903" name="Shelter_G"/>
            <xdr:cNvGrpSpPr/>
          </xdr:nvGrpSpPr>
          <xdr:grpSpPr>
            <a:xfrm>
              <a:off x="12477748" y="2367654"/>
              <a:ext cx="332972" cy="361192"/>
              <a:chOff x="8585625" y="4782769"/>
              <a:chExt cx="147154" cy="166659"/>
            </a:xfrm>
          </xdr:grpSpPr>
          <xdr:pic>
            <xdr:nvPicPr>
              <xdr:cNvPr id="90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04" name="NFI_G"/>
            <xdr:cNvGrpSpPr/>
          </xdr:nvGrpSpPr>
          <xdr:grpSpPr>
            <a:xfrm>
              <a:off x="13877376" y="2348604"/>
              <a:ext cx="332981" cy="361192"/>
              <a:chOff x="8250078" y="5375644"/>
              <a:chExt cx="147158" cy="166659"/>
            </a:xfrm>
          </xdr:grpSpPr>
          <xdr:pic>
            <xdr:nvPicPr>
              <xdr:cNvPr id="90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104775</xdr:colOff>
      <xdr:row>6</xdr:row>
      <xdr:rowOff>99286</xdr:rowOff>
    </xdr:from>
    <xdr:to>
      <xdr:col>7</xdr:col>
      <xdr:colOff>165100</xdr:colOff>
      <xdr:row>8</xdr:row>
      <xdr:rowOff>194541</xdr:rowOff>
    </xdr:to>
    <xdr:grpSp>
      <xdr:nvGrpSpPr>
        <xdr:cNvPr id="909" name="Machanbaw_G"/>
        <xdr:cNvGrpSpPr/>
      </xdr:nvGrpSpPr>
      <xdr:grpSpPr>
        <a:xfrm>
          <a:off x="3552825" y="1585186"/>
          <a:ext cx="1279525" cy="590555"/>
          <a:chOff x="12380951" y="1798446"/>
          <a:chExt cx="1893717" cy="1759272"/>
        </a:xfrm>
      </xdr:grpSpPr>
      <xdr:sp macro="" textlink="">
        <xdr:nvSpPr>
          <xdr:cNvPr id="910"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0">
        <xdr:nvSpPr>
          <xdr:cNvPr id="911" name="Pop" hidden="1"/>
          <xdr:cNvSpPr txBox="1"/>
        </xdr:nvSpPr>
        <xdr:spPr>
          <a:xfrm>
            <a:off x="12959414" y="2471438"/>
            <a:ext cx="708964" cy="75468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93176D7-D636-4FE8-8F5A-8EFBA2999D9E}"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0">
        <xdr:nvSpPr>
          <xdr:cNvPr id="912" name="N_Camp" hidden="1"/>
          <xdr:cNvSpPr txBox="1"/>
        </xdr:nvSpPr>
        <xdr:spPr>
          <a:xfrm>
            <a:off x="13337142" y="2156637"/>
            <a:ext cx="836058" cy="140108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22A029B-2269-4E3A-AD57-D86345788CBB}" type="TxLink">
              <a:rPr lang="en-US" sz="1200" b="0" i="0" u="none" strike="noStrike">
                <a:solidFill>
                  <a:srgbClr val="000000"/>
                </a:solidFill>
                <a:latin typeface="Arial Black" panose="020B0A04020102020204" pitchFamily="34" charset="0"/>
                <a:cs typeface="Arial" pitchFamily="34" charset="0"/>
              </a:rPr>
              <a:pPr algn="r"/>
              <a:t>Bhamo</a:t>
            </a:fld>
            <a:endParaRPr lang="en-US" sz="1200" i="1">
              <a:solidFill>
                <a:schemeClr val="tx1"/>
              </a:solidFill>
              <a:latin typeface="Arial Black" panose="020B0A04020102020204" pitchFamily="34" charset="0"/>
              <a:cs typeface="Arial" pitchFamily="34" charset="0"/>
            </a:endParaRPr>
          </a:p>
        </xdr:txBody>
      </xdr:sp>
      <xdr:sp macro="" textlink="U10">
        <xdr:nvSpPr>
          <xdr:cNvPr id="913" name="Site"/>
          <xdr:cNvSpPr txBox="1"/>
        </xdr:nvSpPr>
        <xdr:spPr>
          <a:xfrm>
            <a:off x="12380951" y="1798446"/>
            <a:ext cx="1893717"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0A9CB4E-C33C-43A7-804C-9C796CB16006}"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Machanbaw</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14" name="Cluster"/>
          <xdr:cNvGrpSpPr/>
        </xdr:nvGrpSpPr>
        <xdr:grpSpPr>
          <a:xfrm>
            <a:off x="12477748" y="2348604"/>
            <a:ext cx="1732609" cy="380242"/>
            <a:chOff x="12477748" y="2348604"/>
            <a:chExt cx="1732609" cy="380242"/>
          </a:xfrm>
        </xdr:grpSpPr>
        <xdr:grpSp>
          <xdr:nvGrpSpPr>
            <xdr:cNvPr id="915" name="Shelter_G"/>
            <xdr:cNvGrpSpPr/>
          </xdr:nvGrpSpPr>
          <xdr:grpSpPr>
            <a:xfrm>
              <a:off x="12477748" y="2367654"/>
              <a:ext cx="332972" cy="361192"/>
              <a:chOff x="8585625" y="4782769"/>
              <a:chExt cx="147154" cy="166659"/>
            </a:xfrm>
          </xdr:grpSpPr>
          <xdr:pic>
            <xdr:nvPicPr>
              <xdr:cNvPr id="91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16" name="NFI_G"/>
            <xdr:cNvGrpSpPr/>
          </xdr:nvGrpSpPr>
          <xdr:grpSpPr>
            <a:xfrm>
              <a:off x="13877376" y="2348604"/>
              <a:ext cx="332981" cy="361192"/>
              <a:chOff x="8250078" y="5375644"/>
              <a:chExt cx="147158" cy="166659"/>
            </a:xfrm>
          </xdr:grpSpPr>
          <xdr:pic>
            <xdr:nvPicPr>
              <xdr:cNvPr id="91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3</xdr:col>
      <xdr:colOff>466725</xdr:colOff>
      <xdr:row>28</xdr:row>
      <xdr:rowOff>168278</xdr:rowOff>
    </xdr:from>
    <xdr:to>
      <xdr:col>5</xdr:col>
      <xdr:colOff>527050</xdr:colOff>
      <xdr:row>31</xdr:row>
      <xdr:rowOff>121555</xdr:rowOff>
    </xdr:to>
    <xdr:grpSp>
      <xdr:nvGrpSpPr>
        <xdr:cNvPr id="921" name="Mansi_G"/>
        <xdr:cNvGrpSpPr/>
      </xdr:nvGrpSpPr>
      <xdr:grpSpPr>
        <a:xfrm>
          <a:off x="2714625" y="7102478"/>
          <a:ext cx="1260475" cy="696227"/>
          <a:chOff x="12380951" y="1798445"/>
          <a:chExt cx="1893717" cy="2074069"/>
        </a:xfrm>
      </xdr:grpSpPr>
      <xdr:sp macro="" textlink="">
        <xdr:nvSpPr>
          <xdr:cNvPr id="922" name="Oval"/>
          <xdr:cNvSpPr/>
        </xdr:nvSpPr>
        <xdr:spPr>
          <a:xfrm>
            <a:off x="12972947" y="2118653"/>
            <a:ext cx="709725" cy="146025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1">
        <xdr:nvSpPr>
          <xdr:cNvPr id="923" name="Pop" hidden="1"/>
          <xdr:cNvSpPr txBox="1"/>
        </xdr:nvSpPr>
        <xdr:spPr>
          <a:xfrm>
            <a:off x="12959414" y="1825042"/>
            <a:ext cx="708964" cy="204747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CEADD31-539E-439B-AB72-59DE303C45EE}"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12,643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1">
        <xdr:nvSpPr>
          <xdr:cNvPr id="924" name="N_Camp" hidden="1"/>
          <xdr:cNvSpPr txBox="1"/>
        </xdr:nvSpPr>
        <xdr:spPr>
          <a:xfrm>
            <a:off x="13337142" y="2479835"/>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44E2ACE-82EC-420A-A5B4-8EF44E1DF6B3}" type="TxLink">
              <a:rPr lang="en-US" sz="1200" b="0" i="0" u="none" strike="noStrike">
                <a:solidFill>
                  <a:srgbClr val="000000"/>
                </a:solidFill>
                <a:latin typeface="Arial Black" panose="020B0A04020102020204" pitchFamily="34" charset="0"/>
                <a:cs typeface="Arial" pitchFamily="34" charset="0"/>
              </a:rPr>
              <a:pPr algn="r"/>
              <a:t>12 cps</a:t>
            </a:fld>
            <a:endParaRPr lang="en-US" sz="1200" i="1">
              <a:solidFill>
                <a:schemeClr val="tx1"/>
              </a:solidFill>
              <a:latin typeface="Arial Black" panose="020B0A04020102020204" pitchFamily="34" charset="0"/>
              <a:cs typeface="Arial" pitchFamily="34" charset="0"/>
            </a:endParaRPr>
          </a:p>
        </xdr:txBody>
      </xdr:sp>
      <xdr:sp macro="" textlink="U11">
        <xdr:nvSpPr>
          <xdr:cNvPr id="925" name="Site"/>
          <xdr:cNvSpPr txBox="1"/>
        </xdr:nvSpPr>
        <xdr:spPr>
          <a:xfrm>
            <a:off x="12380951" y="1798445"/>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4F36F19-B8DB-4B42-A9B8-FC06A9E13A6E}"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Mansi</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26" name="Cluster"/>
          <xdr:cNvGrpSpPr/>
        </xdr:nvGrpSpPr>
        <xdr:grpSpPr>
          <a:xfrm>
            <a:off x="12477748" y="2348604"/>
            <a:ext cx="1732609" cy="380242"/>
            <a:chOff x="12477748" y="2348604"/>
            <a:chExt cx="1732609" cy="380242"/>
          </a:xfrm>
        </xdr:grpSpPr>
        <xdr:grpSp>
          <xdr:nvGrpSpPr>
            <xdr:cNvPr id="927" name="Shelter_G"/>
            <xdr:cNvGrpSpPr/>
          </xdr:nvGrpSpPr>
          <xdr:grpSpPr>
            <a:xfrm>
              <a:off x="12477748" y="2367654"/>
              <a:ext cx="332972" cy="361192"/>
              <a:chOff x="8585625" y="4782769"/>
              <a:chExt cx="147154" cy="166659"/>
            </a:xfrm>
          </xdr:grpSpPr>
          <xdr:pic>
            <xdr:nvPicPr>
              <xdr:cNvPr id="93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28" name="NFI_G"/>
            <xdr:cNvGrpSpPr/>
          </xdr:nvGrpSpPr>
          <xdr:grpSpPr>
            <a:xfrm>
              <a:off x="13877376" y="2348604"/>
              <a:ext cx="332981" cy="361192"/>
              <a:chOff x="8250078" y="5375644"/>
              <a:chExt cx="147158" cy="166659"/>
            </a:xfrm>
          </xdr:grpSpPr>
          <xdr:pic>
            <xdr:nvPicPr>
              <xdr:cNvPr id="92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3</xdr:col>
      <xdr:colOff>301625</xdr:colOff>
      <xdr:row>33</xdr:row>
      <xdr:rowOff>32611</xdr:rowOff>
    </xdr:from>
    <xdr:to>
      <xdr:col>5</xdr:col>
      <xdr:colOff>361950</xdr:colOff>
      <xdr:row>35</xdr:row>
      <xdr:rowOff>125046</xdr:rowOff>
    </xdr:to>
    <xdr:grpSp>
      <xdr:nvGrpSpPr>
        <xdr:cNvPr id="933" name="Manton_G"/>
        <xdr:cNvGrpSpPr/>
      </xdr:nvGrpSpPr>
      <xdr:grpSpPr>
        <a:xfrm>
          <a:off x="2549525" y="8205061"/>
          <a:ext cx="1260475" cy="587735"/>
          <a:chOff x="12380951" y="1798445"/>
          <a:chExt cx="1893717" cy="1750871"/>
        </a:xfrm>
      </xdr:grpSpPr>
      <xdr:sp macro="" textlink="">
        <xdr:nvSpPr>
          <xdr:cNvPr id="934" name="Oval"/>
          <xdr:cNvSpPr/>
        </xdr:nvSpPr>
        <xdr:spPr>
          <a:xfrm>
            <a:off x="13270968" y="2582628"/>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2">
        <xdr:nvSpPr>
          <xdr:cNvPr id="935" name="Pop" hidden="1"/>
          <xdr:cNvSpPr txBox="1"/>
        </xdr:nvSpPr>
        <xdr:spPr>
          <a:xfrm>
            <a:off x="12959414" y="2148235"/>
            <a:ext cx="708964" cy="140108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A2E6DEE-BFAE-488E-B37D-A319E155256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355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2">
        <xdr:nvSpPr>
          <xdr:cNvPr id="936" name="N_Camp" hidden="1"/>
          <xdr:cNvSpPr txBox="1"/>
        </xdr:nvSpPr>
        <xdr:spPr>
          <a:xfrm>
            <a:off x="13337142" y="2479835"/>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26D4BA6-71A5-4C15-AD21-62A34420356F}" type="TxLink">
              <a:rPr lang="en-US" sz="1200" b="0" i="0" u="none" strike="noStrike">
                <a:solidFill>
                  <a:srgbClr val="000000"/>
                </a:solidFill>
                <a:latin typeface="Arial Black" panose="020B0A04020102020204" pitchFamily="34" charset="0"/>
                <a:cs typeface="Arial" pitchFamily="34" charset="0"/>
              </a:rPr>
              <a:pPr algn="r"/>
              <a:t>2 cps</a:t>
            </a:fld>
            <a:endParaRPr lang="en-US" sz="1200" i="1">
              <a:solidFill>
                <a:schemeClr val="tx1"/>
              </a:solidFill>
              <a:latin typeface="Arial Black" panose="020B0A04020102020204" pitchFamily="34" charset="0"/>
              <a:cs typeface="Arial" pitchFamily="34" charset="0"/>
            </a:endParaRPr>
          </a:p>
        </xdr:txBody>
      </xdr:sp>
      <xdr:sp macro="" textlink="U12">
        <xdr:nvSpPr>
          <xdr:cNvPr id="937" name="Site"/>
          <xdr:cNvSpPr txBox="1"/>
        </xdr:nvSpPr>
        <xdr:spPr>
          <a:xfrm>
            <a:off x="12380951" y="1798445"/>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0B84F97-6347-4C24-A327-9AD9C3E25EA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Manton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38" name="Cluster"/>
          <xdr:cNvGrpSpPr/>
        </xdr:nvGrpSpPr>
        <xdr:grpSpPr>
          <a:xfrm>
            <a:off x="12477748" y="2348604"/>
            <a:ext cx="1732609" cy="380242"/>
            <a:chOff x="12477748" y="2348604"/>
            <a:chExt cx="1732609" cy="380242"/>
          </a:xfrm>
        </xdr:grpSpPr>
        <xdr:grpSp>
          <xdr:nvGrpSpPr>
            <xdr:cNvPr id="939" name="Shelter_G"/>
            <xdr:cNvGrpSpPr/>
          </xdr:nvGrpSpPr>
          <xdr:grpSpPr>
            <a:xfrm>
              <a:off x="12477748" y="2367654"/>
              <a:ext cx="332972" cy="361192"/>
              <a:chOff x="8585625" y="4782769"/>
              <a:chExt cx="147154" cy="166659"/>
            </a:xfrm>
          </xdr:grpSpPr>
          <xdr:pic>
            <xdr:nvPicPr>
              <xdr:cNvPr id="94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40" name="NFI_G"/>
            <xdr:cNvGrpSpPr/>
          </xdr:nvGrpSpPr>
          <xdr:grpSpPr>
            <a:xfrm>
              <a:off x="13877376" y="2348604"/>
              <a:ext cx="332981" cy="361192"/>
              <a:chOff x="8250078" y="5375644"/>
              <a:chExt cx="147158" cy="166659"/>
            </a:xfrm>
          </xdr:grpSpPr>
          <xdr:pic>
            <xdr:nvPicPr>
              <xdr:cNvPr id="94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2</xdr:col>
      <xdr:colOff>263525</xdr:colOff>
      <xdr:row>18</xdr:row>
      <xdr:rowOff>215727</xdr:rowOff>
    </xdr:from>
    <xdr:to>
      <xdr:col>4</xdr:col>
      <xdr:colOff>381000</xdr:colOff>
      <xdr:row>21</xdr:row>
      <xdr:rowOff>63885</xdr:rowOff>
    </xdr:to>
    <xdr:grpSp>
      <xdr:nvGrpSpPr>
        <xdr:cNvPr id="945" name="Mogaung_G"/>
        <xdr:cNvGrpSpPr/>
      </xdr:nvGrpSpPr>
      <xdr:grpSpPr>
        <a:xfrm>
          <a:off x="1939925" y="4673427"/>
          <a:ext cx="1260475" cy="591108"/>
          <a:chOff x="12380951" y="1803997"/>
          <a:chExt cx="1893717" cy="1735014"/>
        </a:xfrm>
      </xdr:grpSpPr>
      <xdr:sp macro="" textlink="">
        <xdr:nvSpPr>
          <xdr:cNvPr id="946" name="Oval"/>
          <xdr:cNvSpPr/>
        </xdr:nvSpPr>
        <xdr:spPr>
          <a:xfrm>
            <a:off x="13269545" y="2579720"/>
            <a:ext cx="116531" cy="23817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3">
        <xdr:nvSpPr>
          <xdr:cNvPr id="947" name="Pop" hidden="1"/>
          <xdr:cNvSpPr txBox="1"/>
        </xdr:nvSpPr>
        <xdr:spPr>
          <a:xfrm>
            <a:off x="12959414" y="2158541"/>
            <a:ext cx="708964" cy="138047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7C5C63-46EA-4648-8C2D-BF15DA99E544}"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472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3">
        <xdr:nvSpPr>
          <xdr:cNvPr id="948" name="N_Camp" hidden="1"/>
          <xdr:cNvSpPr txBox="1"/>
        </xdr:nvSpPr>
        <xdr:spPr>
          <a:xfrm>
            <a:off x="13337142" y="2485387"/>
            <a:ext cx="836058" cy="74358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A500BA3-45AD-45E6-8EC6-D340F9709E28}" type="TxLink">
              <a:rPr lang="en-US" sz="1200" b="0" i="0" u="none" strike="noStrike">
                <a:solidFill>
                  <a:srgbClr val="000000"/>
                </a:solidFill>
                <a:latin typeface="Arial Black" panose="020B0A04020102020204" pitchFamily="34" charset="0"/>
                <a:cs typeface="Arial" pitchFamily="34" charset="0"/>
              </a:rPr>
              <a:pPr algn="r"/>
              <a:t>6 cps</a:t>
            </a:fld>
            <a:endParaRPr lang="en-US" sz="1200" i="1">
              <a:solidFill>
                <a:schemeClr val="tx1"/>
              </a:solidFill>
              <a:latin typeface="Arial Black" panose="020B0A04020102020204" pitchFamily="34" charset="0"/>
              <a:cs typeface="Arial" pitchFamily="34" charset="0"/>
            </a:endParaRPr>
          </a:p>
        </xdr:txBody>
      </xdr:sp>
      <xdr:sp macro="" textlink="U13">
        <xdr:nvSpPr>
          <xdr:cNvPr id="949" name="Site"/>
          <xdr:cNvSpPr txBox="1"/>
        </xdr:nvSpPr>
        <xdr:spPr>
          <a:xfrm>
            <a:off x="12380951" y="1803997"/>
            <a:ext cx="1893717" cy="74358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1C367A6-AEB3-45A1-911D-E47E312E0E26}"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Mogaung</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50" name="Cluster"/>
          <xdr:cNvGrpSpPr/>
        </xdr:nvGrpSpPr>
        <xdr:grpSpPr>
          <a:xfrm>
            <a:off x="12477748" y="2348604"/>
            <a:ext cx="1732609" cy="380242"/>
            <a:chOff x="12477748" y="2348604"/>
            <a:chExt cx="1732609" cy="380242"/>
          </a:xfrm>
        </xdr:grpSpPr>
        <xdr:grpSp>
          <xdr:nvGrpSpPr>
            <xdr:cNvPr id="951" name="Shelter_G"/>
            <xdr:cNvGrpSpPr/>
          </xdr:nvGrpSpPr>
          <xdr:grpSpPr>
            <a:xfrm>
              <a:off x="12477748" y="2367654"/>
              <a:ext cx="332972" cy="361192"/>
              <a:chOff x="8585625" y="4782769"/>
              <a:chExt cx="147154" cy="166659"/>
            </a:xfrm>
          </xdr:grpSpPr>
          <xdr:pic>
            <xdr:nvPicPr>
              <xdr:cNvPr id="95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52" name="NFI_G"/>
            <xdr:cNvGrpSpPr/>
          </xdr:nvGrpSpPr>
          <xdr:grpSpPr>
            <a:xfrm>
              <a:off x="13877376" y="2348604"/>
              <a:ext cx="332981" cy="361192"/>
              <a:chOff x="8250078" y="5375644"/>
              <a:chExt cx="147158" cy="166659"/>
            </a:xfrm>
          </xdr:grpSpPr>
          <xdr:pic>
            <xdr:nvPicPr>
              <xdr:cNvPr id="95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1</xdr:col>
      <xdr:colOff>219075</xdr:colOff>
      <xdr:row>21</xdr:row>
      <xdr:rowOff>237952</xdr:rowOff>
    </xdr:from>
    <xdr:to>
      <xdr:col>3</xdr:col>
      <xdr:colOff>88900</xdr:colOff>
      <xdr:row>24</xdr:row>
      <xdr:rowOff>86110</xdr:rowOff>
    </xdr:to>
    <xdr:grpSp>
      <xdr:nvGrpSpPr>
        <xdr:cNvPr id="957" name="Mohnyin_G"/>
        <xdr:cNvGrpSpPr/>
      </xdr:nvGrpSpPr>
      <xdr:grpSpPr>
        <a:xfrm>
          <a:off x="1076325" y="5438602"/>
          <a:ext cx="1260475" cy="591108"/>
          <a:chOff x="12380951" y="1803997"/>
          <a:chExt cx="1893717" cy="1735017"/>
        </a:xfrm>
      </xdr:grpSpPr>
      <xdr:sp macro="" textlink="">
        <xdr:nvSpPr>
          <xdr:cNvPr id="958" name="Oval"/>
          <xdr:cNvSpPr/>
        </xdr:nvSpPr>
        <xdr:spPr>
          <a:xfrm>
            <a:off x="13260081" y="2560381"/>
            <a:ext cx="135456" cy="2768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4">
        <xdr:nvSpPr>
          <xdr:cNvPr id="959" name="Pop" hidden="1"/>
          <xdr:cNvSpPr txBox="1"/>
        </xdr:nvSpPr>
        <xdr:spPr>
          <a:xfrm>
            <a:off x="12959414" y="2158542"/>
            <a:ext cx="708964" cy="138047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5618769-8276-4C66-82A1-E0F5E71491B2}"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420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4">
        <xdr:nvSpPr>
          <xdr:cNvPr id="960" name="N_Camp" hidden="1"/>
          <xdr:cNvSpPr txBox="1"/>
        </xdr:nvSpPr>
        <xdr:spPr>
          <a:xfrm>
            <a:off x="13337142" y="2485388"/>
            <a:ext cx="836058" cy="74358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612516F-0C7A-4366-9650-07DA4A9358D0}" type="TxLink">
              <a:rPr lang="en-US" sz="1200" b="0" i="0" u="none" strike="noStrike">
                <a:solidFill>
                  <a:srgbClr val="000000"/>
                </a:solidFill>
                <a:latin typeface="Arial Black" panose="020B0A04020102020204" pitchFamily="34" charset="0"/>
                <a:cs typeface="Arial" pitchFamily="34" charset="0"/>
              </a:rPr>
              <a:pPr algn="r"/>
              <a:t>4 cps</a:t>
            </a:fld>
            <a:endParaRPr lang="en-US" sz="1200" i="1">
              <a:solidFill>
                <a:schemeClr val="tx1"/>
              </a:solidFill>
              <a:latin typeface="Arial Black" panose="020B0A04020102020204" pitchFamily="34" charset="0"/>
              <a:cs typeface="Arial" pitchFamily="34" charset="0"/>
            </a:endParaRPr>
          </a:p>
        </xdr:txBody>
      </xdr:sp>
      <xdr:sp macro="" textlink="U14">
        <xdr:nvSpPr>
          <xdr:cNvPr id="961" name="Site"/>
          <xdr:cNvSpPr txBox="1"/>
        </xdr:nvSpPr>
        <xdr:spPr>
          <a:xfrm>
            <a:off x="12380951" y="1803997"/>
            <a:ext cx="1893717" cy="74358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B936AA9-9F2F-49EF-B88D-257A1E5FD3B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Mohnyin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62" name="Cluster"/>
          <xdr:cNvGrpSpPr/>
        </xdr:nvGrpSpPr>
        <xdr:grpSpPr>
          <a:xfrm>
            <a:off x="12477748" y="2348604"/>
            <a:ext cx="1732609" cy="380242"/>
            <a:chOff x="12477748" y="2348604"/>
            <a:chExt cx="1732609" cy="380242"/>
          </a:xfrm>
        </xdr:grpSpPr>
        <xdr:grpSp>
          <xdr:nvGrpSpPr>
            <xdr:cNvPr id="963" name="Shelter_G"/>
            <xdr:cNvGrpSpPr/>
          </xdr:nvGrpSpPr>
          <xdr:grpSpPr>
            <a:xfrm>
              <a:off x="12477748" y="2367654"/>
              <a:ext cx="332972" cy="361192"/>
              <a:chOff x="8585625" y="4782769"/>
              <a:chExt cx="147154" cy="166659"/>
            </a:xfrm>
          </xdr:grpSpPr>
          <xdr:pic>
            <xdr:nvPicPr>
              <xdr:cNvPr id="96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64" name="NFI_G"/>
            <xdr:cNvGrpSpPr/>
          </xdr:nvGrpSpPr>
          <xdr:grpSpPr>
            <a:xfrm>
              <a:off x="13877376" y="2348604"/>
              <a:ext cx="332981" cy="361192"/>
              <a:chOff x="8250078" y="5375644"/>
              <a:chExt cx="147158" cy="166659"/>
            </a:xfrm>
          </xdr:grpSpPr>
          <xdr:pic>
            <xdr:nvPicPr>
              <xdr:cNvPr id="96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22225</xdr:colOff>
      <xdr:row>24</xdr:row>
      <xdr:rowOff>130178</xdr:rowOff>
    </xdr:from>
    <xdr:to>
      <xdr:col>5</xdr:col>
      <xdr:colOff>654050</xdr:colOff>
      <xdr:row>27</xdr:row>
      <xdr:rowOff>83455</xdr:rowOff>
    </xdr:to>
    <xdr:grpSp>
      <xdr:nvGrpSpPr>
        <xdr:cNvPr id="969" name="Momauk_G"/>
        <xdr:cNvGrpSpPr/>
      </xdr:nvGrpSpPr>
      <xdr:grpSpPr>
        <a:xfrm>
          <a:off x="2841625" y="6073778"/>
          <a:ext cx="1260475" cy="696227"/>
          <a:chOff x="12380951" y="1798443"/>
          <a:chExt cx="1893717" cy="2074070"/>
        </a:xfrm>
      </xdr:grpSpPr>
      <xdr:sp macro="" textlink="">
        <xdr:nvSpPr>
          <xdr:cNvPr id="970" name="Oval"/>
          <xdr:cNvSpPr/>
        </xdr:nvSpPr>
        <xdr:spPr>
          <a:xfrm>
            <a:off x="12859021" y="1884248"/>
            <a:ext cx="937578" cy="19290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5">
        <xdr:nvSpPr>
          <xdr:cNvPr id="971" name="Pop" hidden="1"/>
          <xdr:cNvSpPr txBox="1"/>
        </xdr:nvSpPr>
        <xdr:spPr>
          <a:xfrm>
            <a:off x="12959414" y="1825040"/>
            <a:ext cx="708964"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3B96152-AEAE-4D34-A16A-A8737E27154D}"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24,326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5">
        <xdr:nvSpPr>
          <xdr:cNvPr id="972" name="N_Camp" hidden="1"/>
          <xdr:cNvSpPr txBox="1"/>
        </xdr:nvSpPr>
        <xdr:spPr>
          <a:xfrm>
            <a:off x="13337142" y="2479833"/>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DD167953-18B7-46D9-9533-942CDB971178}" type="TxLink">
              <a:rPr lang="en-US" sz="1200" b="0" i="0" u="none" strike="noStrike">
                <a:solidFill>
                  <a:srgbClr val="000000"/>
                </a:solidFill>
                <a:latin typeface="Arial Black" panose="020B0A04020102020204" pitchFamily="34" charset="0"/>
                <a:cs typeface="Arial" pitchFamily="34" charset="0"/>
              </a:rPr>
              <a:pPr algn="r"/>
              <a:t>22 cps</a:t>
            </a:fld>
            <a:endParaRPr lang="en-US" sz="1200" i="1">
              <a:solidFill>
                <a:schemeClr val="tx1"/>
              </a:solidFill>
              <a:latin typeface="Arial Black" panose="020B0A04020102020204" pitchFamily="34" charset="0"/>
              <a:cs typeface="Arial" pitchFamily="34" charset="0"/>
            </a:endParaRPr>
          </a:p>
        </xdr:txBody>
      </xdr:sp>
      <xdr:sp macro="" textlink="U15">
        <xdr:nvSpPr>
          <xdr:cNvPr id="973" name="Site"/>
          <xdr:cNvSpPr txBox="1"/>
        </xdr:nvSpPr>
        <xdr:spPr>
          <a:xfrm>
            <a:off x="12380951" y="1798443"/>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3EAFAF6-4D4C-4DD9-9AE3-2F5A6900328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Momauk</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74" name="Cluster"/>
          <xdr:cNvGrpSpPr/>
        </xdr:nvGrpSpPr>
        <xdr:grpSpPr>
          <a:xfrm>
            <a:off x="12477748" y="2348604"/>
            <a:ext cx="1732609" cy="380242"/>
            <a:chOff x="12477748" y="2348604"/>
            <a:chExt cx="1732609" cy="380242"/>
          </a:xfrm>
        </xdr:grpSpPr>
        <xdr:grpSp>
          <xdr:nvGrpSpPr>
            <xdr:cNvPr id="975" name="Shelter_G"/>
            <xdr:cNvGrpSpPr/>
          </xdr:nvGrpSpPr>
          <xdr:grpSpPr>
            <a:xfrm>
              <a:off x="12477748" y="2367654"/>
              <a:ext cx="332972" cy="361192"/>
              <a:chOff x="8585625" y="4782769"/>
              <a:chExt cx="147154" cy="166659"/>
            </a:xfrm>
          </xdr:grpSpPr>
          <xdr:pic>
            <xdr:nvPicPr>
              <xdr:cNvPr id="97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8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76" name="NFI_G"/>
            <xdr:cNvGrpSpPr/>
          </xdr:nvGrpSpPr>
          <xdr:grpSpPr>
            <a:xfrm>
              <a:off x="13877376" y="2348604"/>
              <a:ext cx="332981" cy="361192"/>
              <a:chOff x="8250078" y="5375644"/>
              <a:chExt cx="147158" cy="166659"/>
            </a:xfrm>
          </xdr:grpSpPr>
          <xdr:pic>
            <xdr:nvPicPr>
              <xdr:cNvPr id="97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7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5</xdr:col>
      <xdr:colOff>511175</xdr:colOff>
      <xdr:row>28</xdr:row>
      <xdr:rowOff>219079</xdr:rowOff>
    </xdr:from>
    <xdr:to>
      <xdr:col>8</xdr:col>
      <xdr:colOff>9525</xdr:colOff>
      <xdr:row>31</xdr:row>
      <xdr:rowOff>172355</xdr:rowOff>
    </xdr:to>
    <xdr:grpSp>
      <xdr:nvGrpSpPr>
        <xdr:cNvPr id="981" name="Muse_G"/>
        <xdr:cNvGrpSpPr/>
      </xdr:nvGrpSpPr>
      <xdr:grpSpPr>
        <a:xfrm>
          <a:off x="3959225" y="7153279"/>
          <a:ext cx="1289050" cy="696226"/>
          <a:chOff x="12380951" y="1798446"/>
          <a:chExt cx="1893717" cy="2074067"/>
        </a:xfrm>
      </xdr:grpSpPr>
      <xdr:sp macro="" textlink="">
        <xdr:nvSpPr>
          <xdr:cNvPr id="982" name="Oval"/>
          <xdr:cNvSpPr/>
        </xdr:nvSpPr>
        <xdr:spPr>
          <a:xfrm>
            <a:off x="13217457" y="2621728"/>
            <a:ext cx="220705" cy="45409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6">
        <xdr:nvSpPr>
          <xdr:cNvPr id="983" name="Pop" hidden="1"/>
          <xdr:cNvSpPr txBox="1"/>
        </xdr:nvSpPr>
        <xdr:spPr>
          <a:xfrm>
            <a:off x="12959414" y="1825040"/>
            <a:ext cx="708965"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D6B90F1-4C1F-44C0-A8CD-9B582EB93477}"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1,211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6">
        <xdr:nvSpPr>
          <xdr:cNvPr id="984" name="N_Camp" hidden="1"/>
          <xdr:cNvSpPr txBox="1"/>
        </xdr:nvSpPr>
        <xdr:spPr>
          <a:xfrm>
            <a:off x="13337143" y="2479836"/>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FA0E8-E242-440A-8D4D-7C8888C9AAEC}" type="TxLink">
              <a:rPr lang="en-US" sz="1200" b="0" i="0" u="none" strike="noStrike">
                <a:solidFill>
                  <a:srgbClr val="000000"/>
                </a:solidFill>
                <a:latin typeface="Arial Black" panose="020B0A04020102020204" pitchFamily="34" charset="0"/>
                <a:cs typeface="Arial" pitchFamily="34" charset="0"/>
              </a:rPr>
              <a:pPr algn="r"/>
              <a:t>8 cps</a:t>
            </a:fld>
            <a:endParaRPr lang="en-US" sz="1200" i="1">
              <a:solidFill>
                <a:schemeClr val="tx1"/>
              </a:solidFill>
              <a:latin typeface="Arial Black" panose="020B0A04020102020204" pitchFamily="34" charset="0"/>
              <a:cs typeface="Arial" pitchFamily="34" charset="0"/>
            </a:endParaRPr>
          </a:p>
        </xdr:txBody>
      </xdr:sp>
      <xdr:sp macro="" textlink="U16">
        <xdr:nvSpPr>
          <xdr:cNvPr id="985" name="Site"/>
          <xdr:cNvSpPr txBox="1"/>
        </xdr:nvSpPr>
        <xdr:spPr>
          <a:xfrm>
            <a:off x="12380951" y="1798446"/>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D316DD5-FC82-4BF4-B33B-75869D9E26FB}"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Muse</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86" name="Cluster"/>
          <xdr:cNvGrpSpPr/>
        </xdr:nvGrpSpPr>
        <xdr:grpSpPr>
          <a:xfrm>
            <a:off x="12477748" y="2348604"/>
            <a:ext cx="1732609" cy="380242"/>
            <a:chOff x="12477748" y="2348604"/>
            <a:chExt cx="1732609" cy="380242"/>
          </a:xfrm>
        </xdr:grpSpPr>
        <xdr:grpSp>
          <xdr:nvGrpSpPr>
            <xdr:cNvPr id="987" name="Shelter_G"/>
            <xdr:cNvGrpSpPr/>
          </xdr:nvGrpSpPr>
          <xdr:grpSpPr>
            <a:xfrm>
              <a:off x="12477748" y="2367654"/>
              <a:ext cx="332972" cy="361192"/>
              <a:chOff x="8585625" y="4782769"/>
              <a:chExt cx="147154" cy="166659"/>
            </a:xfrm>
          </xdr:grpSpPr>
          <xdr:pic>
            <xdr:nvPicPr>
              <xdr:cNvPr id="99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99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988" name="NFI_G"/>
            <xdr:cNvGrpSpPr/>
          </xdr:nvGrpSpPr>
          <xdr:grpSpPr>
            <a:xfrm>
              <a:off x="13877376" y="2348604"/>
              <a:ext cx="332981" cy="361192"/>
              <a:chOff x="8250078" y="5375644"/>
              <a:chExt cx="147158" cy="166659"/>
            </a:xfrm>
          </xdr:grpSpPr>
          <xdr:pic>
            <xdr:nvPicPr>
              <xdr:cNvPr id="98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99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3</xdr:col>
      <xdr:colOff>352425</xdr:colOff>
      <xdr:row>20</xdr:row>
      <xdr:rowOff>21084</xdr:rowOff>
    </xdr:from>
    <xdr:to>
      <xdr:col>5</xdr:col>
      <xdr:colOff>412750</xdr:colOff>
      <xdr:row>22</xdr:row>
      <xdr:rowOff>224742</xdr:rowOff>
    </xdr:to>
    <xdr:grpSp>
      <xdr:nvGrpSpPr>
        <xdr:cNvPr id="993" name="Myitkyina_G"/>
        <xdr:cNvGrpSpPr/>
      </xdr:nvGrpSpPr>
      <xdr:grpSpPr>
        <a:xfrm>
          <a:off x="2600325" y="4974084"/>
          <a:ext cx="1260475" cy="698958"/>
          <a:chOff x="12380951" y="1802955"/>
          <a:chExt cx="1893717" cy="2057327"/>
        </a:xfrm>
      </xdr:grpSpPr>
      <xdr:sp macro="" textlink="">
        <xdr:nvSpPr>
          <xdr:cNvPr id="994" name="Oval"/>
          <xdr:cNvSpPr/>
        </xdr:nvSpPr>
        <xdr:spPr>
          <a:xfrm>
            <a:off x="13076558" y="2331828"/>
            <a:ext cx="502504" cy="103390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7">
        <xdr:nvSpPr>
          <xdr:cNvPr id="995" name="Pop" hidden="1"/>
          <xdr:cNvSpPr txBox="1"/>
        </xdr:nvSpPr>
        <xdr:spPr>
          <a:xfrm>
            <a:off x="12959414" y="1837272"/>
            <a:ext cx="708964" cy="202301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D719019-EFC5-4418-B124-1735F2CDF95B}"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7,446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7">
        <xdr:nvSpPr>
          <xdr:cNvPr id="996" name="N_Camp" hidden="1"/>
          <xdr:cNvSpPr txBox="1"/>
        </xdr:nvSpPr>
        <xdr:spPr>
          <a:xfrm>
            <a:off x="13337142" y="2484342"/>
            <a:ext cx="836058" cy="74566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CD4433E-C71C-4853-8AA5-C6427D79DF42}" type="TxLink">
              <a:rPr lang="en-US" sz="1200" b="0" i="0" u="none" strike="noStrike">
                <a:solidFill>
                  <a:srgbClr val="000000"/>
                </a:solidFill>
                <a:latin typeface="Arial Black" panose="020B0A04020102020204" pitchFamily="34" charset="0"/>
                <a:cs typeface="Arial" pitchFamily="34" charset="0"/>
              </a:rPr>
              <a:pPr algn="r"/>
              <a:t>24 cps</a:t>
            </a:fld>
            <a:endParaRPr lang="en-US" sz="1200" i="1">
              <a:solidFill>
                <a:schemeClr val="tx1"/>
              </a:solidFill>
              <a:latin typeface="Arial Black" panose="020B0A04020102020204" pitchFamily="34" charset="0"/>
              <a:cs typeface="Arial" pitchFamily="34" charset="0"/>
            </a:endParaRPr>
          </a:p>
        </xdr:txBody>
      </xdr:sp>
      <xdr:sp macro="" textlink="U17">
        <xdr:nvSpPr>
          <xdr:cNvPr id="997" name="Site"/>
          <xdr:cNvSpPr txBox="1"/>
        </xdr:nvSpPr>
        <xdr:spPr>
          <a:xfrm>
            <a:off x="12380951" y="1802955"/>
            <a:ext cx="1893717" cy="74566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452BBF-2957-45DC-B07D-4A8AAD66CAA9}"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Myitkyina</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998" name="Cluster"/>
          <xdr:cNvGrpSpPr/>
        </xdr:nvGrpSpPr>
        <xdr:grpSpPr>
          <a:xfrm>
            <a:off x="12477748" y="2348604"/>
            <a:ext cx="1732609" cy="380242"/>
            <a:chOff x="12477748" y="2348604"/>
            <a:chExt cx="1732609" cy="380242"/>
          </a:xfrm>
        </xdr:grpSpPr>
        <xdr:grpSp>
          <xdr:nvGrpSpPr>
            <xdr:cNvPr id="999" name="Shelter_G"/>
            <xdr:cNvGrpSpPr/>
          </xdr:nvGrpSpPr>
          <xdr:grpSpPr>
            <a:xfrm>
              <a:off x="12477748" y="2367654"/>
              <a:ext cx="332972" cy="361192"/>
              <a:chOff x="8585625" y="4782769"/>
              <a:chExt cx="147154" cy="166659"/>
            </a:xfrm>
          </xdr:grpSpPr>
          <xdr:pic>
            <xdr:nvPicPr>
              <xdr:cNvPr id="100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00" name="NFI_G"/>
            <xdr:cNvGrpSpPr/>
          </xdr:nvGrpSpPr>
          <xdr:grpSpPr>
            <a:xfrm>
              <a:off x="13877376" y="2348604"/>
              <a:ext cx="332981" cy="361192"/>
              <a:chOff x="8250078" y="5375644"/>
              <a:chExt cx="147158" cy="166659"/>
            </a:xfrm>
          </xdr:grpSpPr>
          <xdr:pic>
            <xdr:nvPicPr>
              <xdr:cNvPr id="100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314325</xdr:colOff>
      <xdr:row>30</xdr:row>
      <xdr:rowOff>187328</xdr:rowOff>
    </xdr:from>
    <xdr:to>
      <xdr:col>6</xdr:col>
      <xdr:colOff>288925</xdr:colOff>
      <xdr:row>33</xdr:row>
      <xdr:rowOff>140605</xdr:rowOff>
    </xdr:to>
    <xdr:grpSp>
      <xdr:nvGrpSpPr>
        <xdr:cNvPr id="1005" name="Namhkan_G"/>
        <xdr:cNvGrpSpPr/>
      </xdr:nvGrpSpPr>
      <xdr:grpSpPr>
        <a:xfrm>
          <a:off x="3133725" y="7616828"/>
          <a:ext cx="1270000" cy="696227"/>
          <a:chOff x="12380951" y="1798445"/>
          <a:chExt cx="1893717" cy="2074071"/>
        </a:xfrm>
      </xdr:grpSpPr>
      <xdr:sp macro="" textlink="">
        <xdr:nvSpPr>
          <xdr:cNvPr id="1006" name="Oval"/>
          <xdr:cNvSpPr/>
        </xdr:nvSpPr>
        <xdr:spPr>
          <a:xfrm>
            <a:off x="13199035" y="2583828"/>
            <a:ext cx="257548" cy="52990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8">
        <xdr:nvSpPr>
          <xdr:cNvPr id="1007" name="Pop" hidden="1"/>
          <xdr:cNvSpPr txBox="1"/>
        </xdr:nvSpPr>
        <xdr:spPr>
          <a:xfrm>
            <a:off x="12959414" y="1825042"/>
            <a:ext cx="708964" cy="204747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4AD68D1-33DF-434A-A91C-49D0C33F6ED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1,896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8">
        <xdr:nvSpPr>
          <xdr:cNvPr id="1008" name="N_Camp" hidden="1"/>
          <xdr:cNvSpPr txBox="1"/>
        </xdr:nvSpPr>
        <xdr:spPr>
          <a:xfrm>
            <a:off x="13337142" y="2479835"/>
            <a:ext cx="836058"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C3B7838-B7A8-4B09-A073-76E98731080F}" type="TxLink">
              <a:rPr lang="en-US" sz="1200" b="0" i="0" u="none" strike="noStrike">
                <a:solidFill>
                  <a:srgbClr val="000000"/>
                </a:solidFill>
                <a:latin typeface="Arial Black" panose="020B0A04020102020204" pitchFamily="34" charset="0"/>
                <a:cs typeface="Arial" pitchFamily="34" charset="0"/>
              </a:rPr>
              <a:pPr algn="r"/>
              <a:t>5 cps</a:t>
            </a:fld>
            <a:endParaRPr lang="en-US" sz="1200" i="1">
              <a:solidFill>
                <a:schemeClr val="tx1"/>
              </a:solidFill>
              <a:latin typeface="Arial Black" panose="020B0A04020102020204" pitchFamily="34" charset="0"/>
              <a:cs typeface="Arial" pitchFamily="34" charset="0"/>
            </a:endParaRPr>
          </a:p>
        </xdr:txBody>
      </xdr:sp>
      <xdr:sp macro="" textlink="U18">
        <xdr:nvSpPr>
          <xdr:cNvPr id="1009" name="Site"/>
          <xdr:cNvSpPr txBox="1"/>
        </xdr:nvSpPr>
        <xdr:spPr>
          <a:xfrm>
            <a:off x="12380951" y="1798445"/>
            <a:ext cx="1893717"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043CB7-4704-4D8B-82D3-ECE87093C47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Namhkan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10" name="Cluster"/>
          <xdr:cNvGrpSpPr/>
        </xdr:nvGrpSpPr>
        <xdr:grpSpPr>
          <a:xfrm>
            <a:off x="12477748" y="2348604"/>
            <a:ext cx="1732609" cy="380242"/>
            <a:chOff x="12477748" y="2348604"/>
            <a:chExt cx="1732609" cy="380242"/>
          </a:xfrm>
        </xdr:grpSpPr>
        <xdr:grpSp>
          <xdr:nvGrpSpPr>
            <xdr:cNvPr id="1011" name="Shelter_G"/>
            <xdr:cNvGrpSpPr/>
          </xdr:nvGrpSpPr>
          <xdr:grpSpPr>
            <a:xfrm>
              <a:off x="12477748" y="2367654"/>
              <a:ext cx="332972" cy="361192"/>
              <a:chOff x="8585625" y="4782769"/>
              <a:chExt cx="147154" cy="166659"/>
            </a:xfrm>
          </xdr:grpSpPr>
          <xdr:pic>
            <xdr:nvPicPr>
              <xdr:cNvPr id="101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12" name="NFI_G"/>
            <xdr:cNvGrpSpPr/>
          </xdr:nvGrpSpPr>
          <xdr:grpSpPr>
            <a:xfrm>
              <a:off x="13877376" y="2348604"/>
              <a:ext cx="332981" cy="361192"/>
              <a:chOff x="8250078" y="5375644"/>
              <a:chExt cx="147158" cy="166659"/>
            </a:xfrm>
          </xdr:grpSpPr>
          <xdr:pic>
            <xdr:nvPicPr>
              <xdr:cNvPr id="101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73025</xdr:colOff>
      <xdr:row>35</xdr:row>
      <xdr:rowOff>102461</xdr:rowOff>
    </xdr:from>
    <xdr:to>
      <xdr:col>6</xdr:col>
      <xdr:colOff>47625</xdr:colOff>
      <xdr:row>37</xdr:row>
      <xdr:rowOff>194896</xdr:rowOff>
    </xdr:to>
    <xdr:grpSp>
      <xdr:nvGrpSpPr>
        <xdr:cNvPr id="1017" name="Namtu_G"/>
        <xdr:cNvGrpSpPr/>
      </xdr:nvGrpSpPr>
      <xdr:grpSpPr>
        <a:xfrm>
          <a:off x="2892425" y="8770211"/>
          <a:ext cx="1270000" cy="587735"/>
          <a:chOff x="12380951" y="1798446"/>
          <a:chExt cx="1893717" cy="1750870"/>
        </a:xfrm>
      </xdr:grpSpPr>
      <xdr:sp macro="" textlink="">
        <xdr:nvSpPr>
          <xdr:cNvPr id="1018" name="Oval"/>
          <xdr:cNvSpPr/>
        </xdr:nvSpPr>
        <xdr:spPr>
          <a:xfrm>
            <a:off x="13255657" y="2551334"/>
            <a:ext cx="144305" cy="29494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19">
        <xdr:nvSpPr>
          <xdr:cNvPr id="1019" name="Pop" hidden="1"/>
          <xdr:cNvSpPr txBox="1"/>
        </xdr:nvSpPr>
        <xdr:spPr>
          <a:xfrm>
            <a:off x="12959414" y="2148236"/>
            <a:ext cx="708964" cy="140108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065460C-69F6-4BC8-89D2-60787DB6EE6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561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19">
        <xdr:nvSpPr>
          <xdr:cNvPr id="1020" name="N_Camp" hidden="1"/>
          <xdr:cNvSpPr txBox="1"/>
        </xdr:nvSpPr>
        <xdr:spPr>
          <a:xfrm>
            <a:off x="13337142" y="2479836"/>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CFF99B-E33E-40C4-9670-2FE1F807379C}" type="TxLink">
              <a:rPr lang="en-US" sz="1200" b="0" i="0" u="none" strike="noStrike">
                <a:solidFill>
                  <a:srgbClr val="000000"/>
                </a:solidFill>
                <a:latin typeface="Arial Black" panose="020B0A04020102020204" pitchFamily="34" charset="0"/>
                <a:cs typeface="Arial" pitchFamily="34" charset="0"/>
              </a:rPr>
              <a:pPr algn="r"/>
              <a:t>2 cps</a:t>
            </a:fld>
            <a:endParaRPr lang="en-US" sz="1200" i="1">
              <a:solidFill>
                <a:schemeClr val="tx1"/>
              </a:solidFill>
              <a:latin typeface="Arial Black" panose="020B0A04020102020204" pitchFamily="34" charset="0"/>
              <a:cs typeface="Arial" pitchFamily="34" charset="0"/>
            </a:endParaRPr>
          </a:p>
        </xdr:txBody>
      </xdr:sp>
      <xdr:sp macro="" textlink="U19">
        <xdr:nvSpPr>
          <xdr:cNvPr id="1021" name="Site"/>
          <xdr:cNvSpPr txBox="1"/>
        </xdr:nvSpPr>
        <xdr:spPr>
          <a:xfrm>
            <a:off x="12380951" y="1798446"/>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4F13A73-9DA6-4769-9BC3-C8F37BB674B3}"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Namtu</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22" name="Cluster"/>
          <xdr:cNvGrpSpPr/>
        </xdr:nvGrpSpPr>
        <xdr:grpSpPr>
          <a:xfrm>
            <a:off x="12477748" y="2348604"/>
            <a:ext cx="1732609" cy="380242"/>
            <a:chOff x="12477748" y="2348604"/>
            <a:chExt cx="1732609" cy="380242"/>
          </a:xfrm>
        </xdr:grpSpPr>
        <xdr:grpSp>
          <xdr:nvGrpSpPr>
            <xdr:cNvPr id="1023" name="Shelter_G"/>
            <xdr:cNvGrpSpPr/>
          </xdr:nvGrpSpPr>
          <xdr:grpSpPr>
            <a:xfrm>
              <a:off x="12477748" y="2367654"/>
              <a:ext cx="332972" cy="361192"/>
              <a:chOff x="8585625" y="4782769"/>
              <a:chExt cx="147154" cy="166659"/>
            </a:xfrm>
          </xdr:grpSpPr>
          <xdr:pic>
            <xdr:nvPicPr>
              <xdr:cNvPr id="102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2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24" name="NFI_G"/>
            <xdr:cNvGrpSpPr/>
          </xdr:nvGrpSpPr>
          <xdr:grpSpPr>
            <a:xfrm>
              <a:off x="13877376" y="2348604"/>
              <a:ext cx="332981" cy="361192"/>
              <a:chOff x="8250078" y="5375644"/>
              <a:chExt cx="147158" cy="166659"/>
            </a:xfrm>
          </xdr:grpSpPr>
          <xdr:pic>
            <xdr:nvPicPr>
              <xdr:cNvPr id="102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2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9525</xdr:colOff>
      <xdr:row>5</xdr:row>
      <xdr:rowOff>123652</xdr:rowOff>
    </xdr:from>
    <xdr:to>
      <xdr:col>5</xdr:col>
      <xdr:colOff>641350</xdr:colOff>
      <xdr:row>7</xdr:row>
      <xdr:rowOff>219460</xdr:rowOff>
    </xdr:to>
    <xdr:grpSp>
      <xdr:nvGrpSpPr>
        <xdr:cNvPr id="1029" name="Puta-O_G"/>
        <xdr:cNvGrpSpPr/>
      </xdr:nvGrpSpPr>
      <xdr:grpSpPr>
        <a:xfrm>
          <a:off x="2828925" y="1361902"/>
          <a:ext cx="1260475" cy="591108"/>
          <a:chOff x="12380951" y="1803998"/>
          <a:chExt cx="1893717" cy="1735014"/>
        </a:xfrm>
      </xdr:grpSpPr>
      <xdr:sp macro="" textlink="">
        <xdr:nvSpPr>
          <xdr:cNvPr id="1030" name="Oval"/>
          <xdr:cNvSpPr/>
        </xdr:nvSpPr>
        <xdr:spPr>
          <a:xfrm>
            <a:off x="13259015" y="2558201"/>
            <a:ext cx="137590" cy="28121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0">
        <xdr:nvSpPr>
          <xdr:cNvPr id="1031" name="Pop" hidden="1"/>
          <xdr:cNvSpPr txBox="1"/>
        </xdr:nvSpPr>
        <xdr:spPr>
          <a:xfrm>
            <a:off x="12959414" y="2158542"/>
            <a:ext cx="708964" cy="138047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AC81C24-5EDF-4597-A809-9A461C7ADBFC}"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394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0">
        <xdr:nvSpPr>
          <xdr:cNvPr id="1032" name="N_Camp" hidden="1"/>
          <xdr:cNvSpPr txBox="1"/>
        </xdr:nvSpPr>
        <xdr:spPr>
          <a:xfrm>
            <a:off x="13337142" y="2485388"/>
            <a:ext cx="836058" cy="74358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085E9C8-1112-40CD-87F5-E7339186B7CF}" type="TxLink">
              <a:rPr lang="en-US" sz="1200" b="0" i="0" u="none" strike="noStrike">
                <a:solidFill>
                  <a:srgbClr val="000000"/>
                </a:solidFill>
                <a:latin typeface="Arial Black" panose="020B0A04020102020204" pitchFamily="34" charset="0"/>
                <a:cs typeface="Arial" pitchFamily="34" charset="0"/>
              </a:rPr>
              <a:pPr algn="r"/>
              <a:t>3 cps</a:t>
            </a:fld>
            <a:endParaRPr lang="en-US" sz="1200" i="1">
              <a:solidFill>
                <a:schemeClr val="tx1"/>
              </a:solidFill>
              <a:latin typeface="Arial Black" panose="020B0A04020102020204" pitchFamily="34" charset="0"/>
              <a:cs typeface="Arial" pitchFamily="34" charset="0"/>
            </a:endParaRPr>
          </a:p>
        </xdr:txBody>
      </xdr:sp>
      <xdr:sp macro="" textlink="U20">
        <xdr:nvSpPr>
          <xdr:cNvPr id="1033" name="Site"/>
          <xdr:cNvSpPr txBox="1"/>
        </xdr:nvSpPr>
        <xdr:spPr>
          <a:xfrm>
            <a:off x="12380951" y="1803998"/>
            <a:ext cx="1893717" cy="74358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BA4B954-0F02-4524-9AFB-1501C7B4A1E5}"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Puta-O</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34" name="Cluster"/>
          <xdr:cNvGrpSpPr/>
        </xdr:nvGrpSpPr>
        <xdr:grpSpPr>
          <a:xfrm>
            <a:off x="12477748" y="2348604"/>
            <a:ext cx="1732609" cy="380242"/>
            <a:chOff x="12477748" y="2348604"/>
            <a:chExt cx="1732609" cy="380242"/>
          </a:xfrm>
        </xdr:grpSpPr>
        <xdr:grpSp>
          <xdr:nvGrpSpPr>
            <xdr:cNvPr id="1035" name="Shelter_G"/>
            <xdr:cNvGrpSpPr/>
          </xdr:nvGrpSpPr>
          <xdr:grpSpPr>
            <a:xfrm>
              <a:off x="12477748" y="2367654"/>
              <a:ext cx="332972" cy="361192"/>
              <a:chOff x="8585625" y="4782769"/>
              <a:chExt cx="147154" cy="166659"/>
            </a:xfrm>
          </xdr:grpSpPr>
          <xdr:pic>
            <xdr:nvPicPr>
              <xdr:cNvPr id="103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4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36" name="NFI_G"/>
            <xdr:cNvGrpSpPr/>
          </xdr:nvGrpSpPr>
          <xdr:grpSpPr>
            <a:xfrm>
              <a:off x="13877376" y="2348604"/>
              <a:ext cx="332981" cy="361192"/>
              <a:chOff x="8250078" y="5375644"/>
              <a:chExt cx="147158" cy="166659"/>
            </a:xfrm>
          </xdr:grpSpPr>
          <xdr:pic>
            <xdr:nvPicPr>
              <xdr:cNvPr id="103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3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2</xdr:col>
      <xdr:colOff>22225</xdr:colOff>
      <xdr:row>25</xdr:row>
      <xdr:rowOff>222253</xdr:rowOff>
    </xdr:from>
    <xdr:to>
      <xdr:col>4</xdr:col>
      <xdr:colOff>139700</xdr:colOff>
      <xdr:row>28</xdr:row>
      <xdr:rowOff>175530</xdr:rowOff>
    </xdr:to>
    <xdr:grpSp>
      <xdr:nvGrpSpPr>
        <xdr:cNvPr id="1041" name="Shwegu_G"/>
        <xdr:cNvGrpSpPr/>
      </xdr:nvGrpSpPr>
      <xdr:grpSpPr>
        <a:xfrm>
          <a:off x="1698625" y="6413503"/>
          <a:ext cx="1260475" cy="696227"/>
          <a:chOff x="12380951" y="1798446"/>
          <a:chExt cx="1893717" cy="2074070"/>
        </a:xfrm>
      </xdr:grpSpPr>
      <xdr:sp macro="" textlink="">
        <xdr:nvSpPr>
          <xdr:cNvPr id="1042" name="Oval"/>
          <xdr:cNvSpPr/>
        </xdr:nvSpPr>
        <xdr:spPr>
          <a:xfrm>
            <a:off x="13186081" y="2557176"/>
            <a:ext cx="283456" cy="58321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1">
        <xdr:nvSpPr>
          <xdr:cNvPr id="1043" name="Pop" hidden="1"/>
          <xdr:cNvSpPr txBox="1"/>
        </xdr:nvSpPr>
        <xdr:spPr>
          <a:xfrm>
            <a:off x="12959414" y="1825043"/>
            <a:ext cx="708964"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8E15A00-9F69-4C42-88BB-CB8121E40D89}"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2,222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1">
        <xdr:nvSpPr>
          <xdr:cNvPr id="1044" name="N_Camp" hidden="1"/>
          <xdr:cNvSpPr txBox="1"/>
        </xdr:nvSpPr>
        <xdr:spPr>
          <a:xfrm>
            <a:off x="13337142" y="2479836"/>
            <a:ext cx="836058"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512B691-96AA-4619-B267-735E0DDC0D2E}" type="TxLink">
              <a:rPr lang="en-US" sz="1200" b="0" i="0" u="none" strike="noStrike">
                <a:solidFill>
                  <a:srgbClr val="000000"/>
                </a:solidFill>
                <a:latin typeface="Arial Black" panose="020B0A04020102020204" pitchFamily="34" charset="0"/>
                <a:cs typeface="Arial" pitchFamily="34" charset="0"/>
              </a:rPr>
              <a:pPr algn="r"/>
              <a:t>4 cps</a:t>
            </a:fld>
            <a:endParaRPr lang="en-US" sz="1200" i="1">
              <a:solidFill>
                <a:schemeClr val="tx1"/>
              </a:solidFill>
              <a:latin typeface="Arial Black" panose="020B0A04020102020204" pitchFamily="34" charset="0"/>
              <a:cs typeface="Arial" pitchFamily="34" charset="0"/>
            </a:endParaRPr>
          </a:p>
        </xdr:txBody>
      </xdr:sp>
      <xdr:sp macro="" textlink="U21">
        <xdr:nvSpPr>
          <xdr:cNvPr id="1045" name="Site"/>
          <xdr:cNvSpPr txBox="1"/>
        </xdr:nvSpPr>
        <xdr:spPr>
          <a:xfrm>
            <a:off x="12380951" y="1798446"/>
            <a:ext cx="1893717" cy="75468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8125FB-E168-406E-A73E-C45683E46B0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Shwegu</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46" name="Cluster"/>
          <xdr:cNvGrpSpPr/>
        </xdr:nvGrpSpPr>
        <xdr:grpSpPr>
          <a:xfrm>
            <a:off x="12477748" y="2348604"/>
            <a:ext cx="1732609" cy="380242"/>
            <a:chOff x="12477748" y="2348604"/>
            <a:chExt cx="1732609" cy="380242"/>
          </a:xfrm>
        </xdr:grpSpPr>
        <xdr:grpSp>
          <xdr:nvGrpSpPr>
            <xdr:cNvPr id="1047" name="Shelter_G"/>
            <xdr:cNvGrpSpPr/>
          </xdr:nvGrpSpPr>
          <xdr:grpSpPr>
            <a:xfrm>
              <a:off x="12477748" y="2367654"/>
              <a:ext cx="332972" cy="361192"/>
              <a:chOff x="8585625" y="4782769"/>
              <a:chExt cx="147154" cy="166659"/>
            </a:xfrm>
          </xdr:grpSpPr>
          <xdr:pic>
            <xdr:nvPicPr>
              <xdr:cNvPr id="105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5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48" name="NFI_G"/>
            <xdr:cNvGrpSpPr/>
          </xdr:nvGrpSpPr>
          <xdr:grpSpPr>
            <a:xfrm>
              <a:off x="13877376" y="2348604"/>
              <a:ext cx="332981" cy="361192"/>
              <a:chOff x="8250078" y="5375644"/>
              <a:chExt cx="147158" cy="166659"/>
            </a:xfrm>
          </xdr:grpSpPr>
          <xdr:pic>
            <xdr:nvPicPr>
              <xdr:cNvPr id="104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5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111125</xdr:colOff>
      <xdr:row>11</xdr:row>
      <xdr:rowOff>88903</xdr:rowOff>
    </xdr:from>
    <xdr:to>
      <xdr:col>6</xdr:col>
      <xdr:colOff>85725</xdr:colOff>
      <xdr:row>14</xdr:row>
      <xdr:rowOff>42180</xdr:rowOff>
    </xdr:to>
    <xdr:grpSp>
      <xdr:nvGrpSpPr>
        <xdr:cNvPr id="1053" name="Sumprabum_G"/>
        <xdr:cNvGrpSpPr/>
      </xdr:nvGrpSpPr>
      <xdr:grpSpPr>
        <a:xfrm>
          <a:off x="2930525" y="2813053"/>
          <a:ext cx="1270000" cy="696227"/>
          <a:chOff x="12380951" y="1798445"/>
          <a:chExt cx="1893717" cy="2074070"/>
        </a:xfrm>
      </xdr:grpSpPr>
      <xdr:sp macro="" textlink="">
        <xdr:nvSpPr>
          <xdr:cNvPr id="1054"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2">
        <xdr:nvSpPr>
          <xdr:cNvPr id="1055" name="Pop" hidden="1"/>
          <xdr:cNvSpPr txBox="1"/>
        </xdr:nvSpPr>
        <xdr:spPr>
          <a:xfrm>
            <a:off x="12959414" y="1825042"/>
            <a:ext cx="708964"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61E26CF-16A7-49F8-A55C-14FFF6EDFFE1}"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1,232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2">
        <xdr:nvSpPr>
          <xdr:cNvPr id="1056" name="N_Camp" hidden="1"/>
          <xdr:cNvSpPr txBox="1"/>
        </xdr:nvSpPr>
        <xdr:spPr>
          <a:xfrm>
            <a:off x="13337142" y="2479835"/>
            <a:ext cx="836058"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DC4A5072-FE42-4E35-B3DB-55BFE29F4251}" type="TxLink">
              <a:rPr lang="en-US" sz="1200" b="0" i="0" u="none" strike="noStrike">
                <a:solidFill>
                  <a:srgbClr val="000000"/>
                </a:solidFill>
                <a:latin typeface="Arial Black" panose="020B0A04020102020204" pitchFamily="34" charset="0"/>
                <a:cs typeface="Arial" pitchFamily="34" charset="0"/>
              </a:rPr>
              <a:pPr algn="r"/>
              <a:t>3 cps</a:t>
            </a:fld>
            <a:endParaRPr lang="en-US" sz="1200" i="1">
              <a:solidFill>
                <a:schemeClr val="tx1"/>
              </a:solidFill>
              <a:latin typeface="Arial Black" panose="020B0A04020102020204" pitchFamily="34" charset="0"/>
              <a:cs typeface="Arial" pitchFamily="34" charset="0"/>
            </a:endParaRPr>
          </a:p>
        </xdr:txBody>
      </xdr:sp>
      <xdr:sp macro="" textlink="U22">
        <xdr:nvSpPr>
          <xdr:cNvPr id="1057" name="Site"/>
          <xdr:cNvSpPr txBox="1"/>
        </xdr:nvSpPr>
        <xdr:spPr>
          <a:xfrm>
            <a:off x="12380951" y="1798445"/>
            <a:ext cx="1893717"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DBC7EDD-E9FA-47A5-8032-8811FF9D8684}"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Sumprabum</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58" name="Cluster"/>
          <xdr:cNvGrpSpPr/>
        </xdr:nvGrpSpPr>
        <xdr:grpSpPr>
          <a:xfrm>
            <a:off x="12477748" y="2348604"/>
            <a:ext cx="1732609" cy="380242"/>
            <a:chOff x="12477748" y="2348604"/>
            <a:chExt cx="1732609" cy="380242"/>
          </a:xfrm>
        </xdr:grpSpPr>
        <xdr:grpSp>
          <xdr:nvGrpSpPr>
            <xdr:cNvPr id="1059" name="Shelter_G"/>
            <xdr:cNvGrpSpPr/>
          </xdr:nvGrpSpPr>
          <xdr:grpSpPr>
            <a:xfrm>
              <a:off x="12477748" y="2367654"/>
              <a:ext cx="332972" cy="361192"/>
              <a:chOff x="8585625" y="4782769"/>
              <a:chExt cx="147154" cy="166659"/>
            </a:xfrm>
          </xdr:grpSpPr>
          <xdr:pic>
            <xdr:nvPicPr>
              <xdr:cNvPr id="106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60" name="NFI_G"/>
            <xdr:cNvGrpSpPr/>
          </xdr:nvGrpSpPr>
          <xdr:grpSpPr>
            <a:xfrm>
              <a:off x="13877376" y="2348604"/>
              <a:ext cx="332981" cy="361192"/>
              <a:chOff x="8250078" y="5375644"/>
              <a:chExt cx="147158" cy="166659"/>
            </a:xfrm>
          </xdr:grpSpPr>
          <xdr:pic>
            <xdr:nvPicPr>
              <xdr:cNvPr id="106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4</xdr:col>
      <xdr:colOff>606425</xdr:colOff>
      <xdr:row>18</xdr:row>
      <xdr:rowOff>73028</xdr:rowOff>
    </xdr:from>
    <xdr:to>
      <xdr:col>7</xdr:col>
      <xdr:colOff>38100</xdr:colOff>
      <xdr:row>21</xdr:row>
      <xdr:rowOff>26305</xdr:rowOff>
    </xdr:to>
    <xdr:grpSp>
      <xdr:nvGrpSpPr>
        <xdr:cNvPr id="1065" name="Waingmaw_G"/>
        <xdr:cNvGrpSpPr/>
      </xdr:nvGrpSpPr>
      <xdr:grpSpPr>
        <a:xfrm>
          <a:off x="3425825" y="4530728"/>
          <a:ext cx="1279525" cy="696227"/>
          <a:chOff x="12380951" y="1798445"/>
          <a:chExt cx="1893717" cy="2074070"/>
        </a:xfrm>
      </xdr:grpSpPr>
      <xdr:sp macro="" textlink="">
        <xdr:nvSpPr>
          <xdr:cNvPr id="1066" name="Oval"/>
          <xdr:cNvSpPr/>
        </xdr:nvSpPr>
        <xdr:spPr>
          <a:xfrm>
            <a:off x="12859196" y="1884607"/>
            <a:ext cx="937227" cy="192834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3">
        <xdr:nvSpPr>
          <xdr:cNvPr id="1067" name="Pop" hidden="1"/>
          <xdr:cNvSpPr txBox="1"/>
        </xdr:nvSpPr>
        <xdr:spPr>
          <a:xfrm>
            <a:off x="12959414" y="1825042"/>
            <a:ext cx="708964" cy="204747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61D19EB-8524-4328-89E0-481AC7D2C52C}"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24,442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3">
        <xdr:nvSpPr>
          <xdr:cNvPr id="1068" name="N_Camp" hidden="1"/>
          <xdr:cNvSpPr txBox="1"/>
        </xdr:nvSpPr>
        <xdr:spPr>
          <a:xfrm>
            <a:off x="13337142" y="2479835"/>
            <a:ext cx="836058"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6E43D7F-6D0E-4945-8F5E-2619C0E383EF}" type="TxLink">
              <a:rPr lang="en-US" sz="1200" b="0" i="0" u="none" strike="noStrike">
                <a:solidFill>
                  <a:srgbClr val="000000"/>
                </a:solidFill>
                <a:latin typeface="Arial Black" panose="020B0A04020102020204" pitchFamily="34" charset="0"/>
                <a:cs typeface="Arial" pitchFamily="34" charset="0"/>
              </a:rPr>
              <a:pPr algn="r"/>
              <a:t>23 cps</a:t>
            </a:fld>
            <a:endParaRPr lang="en-US" sz="1200" i="1">
              <a:solidFill>
                <a:schemeClr val="tx1"/>
              </a:solidFill>
              <a:latin typeface="Arial Black" panose="020B0A04020102020204" pitchFamily="34" charset="0"/>
              <a:cs typeface="Arial" pitchFamily="34" charset="0"/>
            </a:endParaRPr>
          </a:p>
        </xdr:txBody>
      </xdr:sp>
      <xdr:sp macro="" textlink="U23">
        <xdr:nvSpPr>
          <xdr:cNvPr id="1069" name="Site"/>
          <xdr:cNvSpPr txBox="1"/>
        </xdr:nvSpPr>
        <xdr:spPr>
          <a:xfrm>
            <a:off x="12380951" y="1798445"/>
            <a:ext cx="1893717" cy="75468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FE8880B-1179-4FA2-9E01-4552E90AB54F}"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Waingmaw</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70" name="Cluster"/>
          <xdr:cNvGrpSpPr/>
        </xdr:nvGrpSpPr>
        <xdr:grpSpPr>
          <a:xfrm>
            <a:off x="12477748" y="2348604"/>
            <a:ext cx="1732609" cy="380242"/>
            <a:chOff x="12477748" y="2348604"/>
            <a:chExt cx="1732609" cy="380242"/>
          </a:xfrm>
        </xdr:grpSpPr>
        <xdr:grpSp>
          <xdr:nvGrpSpPr>
            <xdr:cNvPr id="1071" name="Shelter_G"/>
            <xdr:cNvGrpSpPr/>
          </xdr:nvGrpSpPr>
          <xdr:grpSpPr>
            <a:xfrm>
              <a:off x="12477748" y="2367654"/>
              <a:ext cx="332972" cy="361192"/>
              <a:chOff x="8585625" y="4782769"/>
              <a:chExt cx="147154" cy="166659"/>
            </a:xfrm>
          </xdr:grpSpPr>
          <xdr:pic>
            <xdr:nvPicPr>
              <xdr:cNvPr id="107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72" name="NFI_G"/>
            <xdr:cNvGrpSpPr/>
          </xdr:nvGrpSpPr>
          <xdr:grpSpPr>
            <a:xfrm>
              <a:off x="13877376" y="2348604"/>
              <a:ext cx="332981" cy="361192"/>
              <a:chOff x="8250078" y="5375644"/>
              <a:chExt cx="147158" cy="166659"/>
            </a:xfrm>
          </xdr:grpSpPr>
          <xdr:pic>
            <xdr:nvPicPr>
              <xdr:cNvPr id="107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twoCellAnchor>
    <xdr:from>
      <xdr:col>0</xdr:col>
      <xdr:colOff>444500</xdr:colOff>
      <xdr:row>28</xdr:row>
      <xdr:rowOff>116993</xdr:rowOff>
    </xdr:from>
    <xdr:to>
      <xdr:col>1</xdr:col>
      <xdr:colOff>845820</xdr:colOff>
      <xdr:row>33</xdr:row>
      <xdr:rowOff>191928</xdr:rowOff>
    </xdr:to>
    <xdr:grpSp>
      <xdr:nvGrpSpPr>
        <xdr:cNvPr id="1077" name="Kachin/Shan_G"/>
        <xdr:cNvGrpSpPr/>
      </xdr:nvGrpSpPr>
      <xdr:grpSpPr>
        <a:xfrm>
          <a:off x="444500" y="6944513"/>
          <a:ext cx="1270000" cy="1294135"/>
          <a:chOff x="12380951" y="922205"/>
          <a:chExt cx="1893717" cy="3853149"/>
        </a:xfrm>
      </xdr:grpSpPr>
      <xdr:sp macro="" textlink="">
        <xdr:nvSpPr>
          <xdr:cNvPr id="1078" name="Oval"/>
          <xdr:cNvSpPr/>
        </xdr:nvSpPr>
        <xdr:spPr>
          <a:xfrm>
            <a:off x="12391439" y="922205"/>
            <a:ext cx="1872736" cy="385314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200">
              <a:latin typeface="Arial Black" panose="020B0A04020102020204" pitchFamily="34" charset="0"/>
            </a:endParaRPr>
          </a:p>
        </xdr:txBody>
      </xdr:sp>
      <xdr:sp macro="" textlink="Y24">
        <xdr:nvSpPr>
          <xdr:cNvPr id="1079" name="Pop" hidden="1"/>
          <xdr:cNvSpPr txBox="1"/>
        </xdr:nvSpPr>
        <xdr:spPr>
          <a:xfrm>
            <a:off x="12959414" y="1825597"/>
            <a:ext cx="708964" cy="204636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AA38321-96C4-4A24-A2D0-10318BAB153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ea typeface="+mn-ea"/>
                <a:cs typeface="Arial" pitchFamily="34" charset="0"/>
              </a:rPr>
              <a:pPr marL="0" indent="0" algn="ctr"/>
              <a:t> 95,922 </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ea typeface="+mn-ea"/>
              <a:cs typeface="Arial" pitchFamily="34" charset="0"/>
            </a:endParaRPr>
          </a:p>
        </xdr:txBody>
      </xdr:sp>
      <xdr:sp macro="" textlink="Z24">
        <xdr:nvSpPr>
          <xdr:cNvPr id="1080" name="N_Camp" hidden="1"/>
          <xdr:cNvSpPr txBox="1"/>
        </xdr:nvSpPr>
        <xdr:spPr>
          <a:xfrm>
            <a:off x="13337142" y="2157016"/>
            <a:ext cx="836058" cy="140031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55481FD-565F-493F-AC14-9D0DD7EC0DF3}" type="TxLink">
              <a:rPr lang="en-US" sz="1200" b="0" i="0" u="none" strike="noStrike">
                <a:solidFill>
                  <a:srgbClr val="000000"/>
                </a:solidFill>
                <a:latin typeface="Arial Black" panose="020B0A04020102020204" pitchFamily="34" charset="0"/>
                <a:cs typeface="Arial" pitchFamily="34" charset="0"/>
              </a:rPr>
              <a:pPr algn="r"/>
              <a:t>167 camps</a:t>
            </a:fld>
            <a:endParaRPr lang="en-US" sz="1200" i="1">
              <a:solidFill>
                <a:schemeClr val="tx1"/>
              </a:solidFill>
              <a:latin typeface="Arial Black" panose="020B0A04020102020204" pitchFamily="34" charset="0"/>
              <a:cs typeface="Arial" pitchFamily="34" charset="0"/>
            </a:endParaRPr>
          </a:p>
        </xdr:txBody>
      </xdr:sp>
      <xdr:sp macro="" textlink="U24">
        <xdr:nvSpPr>
          <xdr:cNvPr id="1081" name="Site"/>
          <xdr:cNvSpPr txBox="1"/>
        </xdr:nvSpPr>
        <xdr:spPr>
          <a:xfrm>
            <a:off x="12380951" y="1798651"/>
            <a:ext cx="1893717" cy="75427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2E3C856-61BE-4916-B6E2-274A8ED26DBA}" type="TxLink">
              <a:rPr lang="en-US" sz="1200" b="0" i="0" u="none" strike="noStrike" cap="none" spc="150">
                <a:ln w="11430"/>
                <a:solidFill>
                  <a:srgbClr val="000000"/>
                </a:solidFill>
                <a:effectLst>
                  <a:outerShdw blurRad="25400" algn="tl" rotWithShape="0">
                    <a:srgbClr val="000000">
                      <a:alpha val="43000"/>
                    </a:srgbClr>
                  </a:outerShdw>
                </a:effectLst>
                <a:latin typeface="Arial Black" panose="020B0A04020102020204" pitchFamily="34" charset="0"/>
                <a:cs typeface="Arial" pitchFamily="34" charset="0"/>
              </a:rPr>
              <a:pPr algn="ctr"/>
              <a:t>Kachin/Shan</a:t>
            </a:fld>
            <a:endParaRPr lang="en-GB" sz="1200" b="1" cap="none" spc="150">
              <a:ln w="11430"/>
              <a:solidFill>
                <a:schemeClr val="tx1"/>
              </a:solidFill>
              <a:effectLst>
                <a:outerShdw blurRad="25400" algn="tl" rotWithShape="0">
                  <a:srgbClr val="000000">
                    <a:alpha val="43000"/>
                  </a:srgbClr>
                </a:outerShdw>
              </a:effectLst>
              <a:latin typeface="Arial Black" panose="020B0A04020102020204" pitchFamily="34" charset="0"/>
              <a:cs typeface="Arial" pitchFamily="34" charset="0"/>
            </a:endParaRPr>
          </a:p>
        </xdr:txBody>
      </xdr:sp>
      <xdr:grpSp>
        <xdr:nvGrpSpPr>
          <xdr:cNvPr id="1082" name="Cluster"/>
          <xdr:cNvGrpSpPr/>
        </xdr:nvGrpSpPr>
        <xdr:grpSpPr>
          <a:xfrm>
            <a:off x="12477748" y="2348604"/>
            <a:ext cx="1732609" cy="380242"/>
            <a:chOff x="12477748" y="2348604"/>
            <a:chExt cx="1732609" cy="380242"/>
          </a:xfrm>
        </xdr:grpSpPr>
        <xdr:grpSp>
          <xdr:nvGrpSpPr>
            <xdr:cNvPr id="1083" name="Shelter_G"/>
            <xdr:cNvGrpSpPr/>
          </xdr:nvGrpSpPr>
          <xdr:grpSpPr>
            <a:xfrm>
              <a:off x="12477748" y="2367654"/>
              <a:ext cx="332972" cy="361192"/>
              <a:chOff x="8585625" y="4782769"/>
              <a:chExt cx="147154" cy="166659"/>
            </a:xfrm>
          </xdr:grpSpPr>
          <xdr:pic>
            <xdr:nvPicPr>
              <xdr:cNvPr id="108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0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nvGrpSpPr>
            <xdr:cNvPr id="1084" name="NFI_G"/>
            <xdr:cNvGrpSpPr/>
          </xdr:nvGrpSpPr>
          <xdr:grpSpPr>
            <a:xfrm>
              <a:off x="13877376" y="2348604"/>
              <a:ext cx="332981" cy="361192"/>
              <a:chOff x="8250078" y="5375644"/>
              <a:chExt cx="147158" cy="166659"/>
            </a:xfrm>
          </xdr:grpSpPr>
          <xdr:pic>
            <xdr:nvPicPr>
              <xdr:cNvPr id="108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0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200">
                  <a:latin typeface="Arial Black" panose="020B0A04020102020204" pitchFamily="34" charset="0"/>
                </a:endParaRPr>
              </a:p>
            </xdr:txBody>
          </xdr: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Ricouart" refreshedDate="42100.473941087963" createdVersion="4" refreshedVersion="4"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58"/>
    </cacheField>
    <cacheField name="Ind" numFmtId="0">
      <sharedItems containsSemiMixedTypes="0" containsString="0" containsNumber="1" containsInteger="1" minValue="0" maxValue="8585"/>
    </cacheField>
    <cacheField name="Winter Clothes Adult " numFmtId="0">
      <sharedItems containsSemiMixedTypes="0" containsString="0" containsNumber="1" containsInteger="1" minValue="0" maxValue="2910"/>
    </cacheField>
    <cacheField name="Winter Clothes Children " numFmtId="0">
      <sharedItems containsSemiMixedTypes="0" containsString="0" containsNumber="1" containsInteger="1" minValue="0" maxValue="5160"/>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1680"/>
    </cacheField>
    <cacheField name="WC_Child_Gap" numFmtId="0">
      <sharedItems containsSemiMixedTypes="0" containsString="0" containsNumber="1" containsInteger="1" minValue="0" maxValue="2520"/>
    </cacheField>
    <cacheField name="WI_Other_Gap" numFmtId="0">
      <sharedItems containsSemiMixedTypes="0" containsString="0" containsNumber="1" containsInteger="1" minValue="0" maxValue="331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375.667496412039" missingItemsLimit="0" createdVersion="4" refreshedVersion="5" minRefreshableVersion="3" recordCount="294">
  <cacheSource type="worksheet">
    <worksheetSource name="Table_Shelter"/>
  </cacheSource>
  <cacheFields count="23">
    <cacheField name="Update Date" numFmtId="15">
      <sharedItems containsNonDate="0" containsDate="1" containsString="0" containsBlank="1" minDate="2013-12-01T00:00:00" maxDate="2014-12-31T00:00:00"/>
    </cacheField>
    <cacheField name="Organization" numFmtId="0">
      <sharedItems containsBlank="1" count="16">
        <s v="UNHCR"/>
        <s v="ACTED"/>
        <s v="IRRC"/>
        <m/>
        <s v="DRC"/>
        <s v="Metta"/>
        <s v="CC"/>
        <s v="Oxfam"/>
        <s v="Caritas"/>
        <s v="FSD"/>
        <s v="World Vision"/>
        <s v="Yedai Foundation"/>
        <s v="COC"/>
        <s v="DFIT"/>
        <s v="KBC Zonal"/>
        <s v="Misereor"/>
      </sharedItems>
    </cacheField>
    <cacheField name="Implementing  Partner" numFmtId="0">
      <sharedItems containsBlank="1"/>
    </cacheField>
    <cacheField name="State" numFmtId="0">
      <sharedItems count="2">
        <s v="Kachin"/>
        <s v="Shan_North"/>
      </sharedItems>
    </cacheField>
    <cacheField name="Township" numFmtId="0">
      <sharedItems count="17">
        <s v="Hpakant"/>
        <s v="Bhamo"/>
        <s v="Waingmaw"/>
        <s v="Mansi"/>
        <s v="Chipwi"/>
        <s v="Myitkyina"/>
        <s v="Momauk"/>
        <s v="Manton"/>
        <s v="Kutkai"/>
        <s v="Mogaung"/>
        <s v="Muse"/>
        <s v="Namhkan"/>
        <s v="Hseni"/>
        <s v="Namtu"/>
        <s v="Mohnyin"/>
        <s v="Shwegu"/>
        <s v="Puta-O"/>
      </sharedItems>
    </cacheField>
    <cacheField name="CampName" numFmtId="0">
      <sharedItems containsBlank="1" count="138">
        <s v="5 Ward Baptist Church(lon Khin)"/>
        <s v="AD-2000 Tharthana Compound"/>
        <s v="AG Church, Hmaw Si Sa"/>
        <s v="AG Church, Maw Wan"/>
        <s v="Aung Thar Church"/>
        <s v="Baptist Church, Hmaw Si Sar(Lon Khin)"/>
        <s v="Baptist Church, Naung Hmee VT"/>
        <s v="Border Post 8"/>
        <s v="Bum Tsit Pa "/>
        <s v="Bum Tsit Pa Camp II"/>
        <s v="Chin Church, Seik Mu"/>
        <s v="Chipwi KBC Camp"/>
        <s v="Dhama Rakhita, Nyein Chan Tar Yar Ward(Lon Khin)"/>
        <s v="Du Kahtawng Qtr. 14"/>
        <s v="Du Kahtawng Qtr. 4"/>
        <s v="Du Kahtawng Qtr. 5"/>
        <s v="Dum Bung "/>
        <s v="Hkat Cho "/>
        <s v="Hkau Shau (BP 12)"/>
        <s v="Hmaw Wan, Anglican"/>
        <s v="Howa"/>
        <s v="Hpun Lum Yang "/>
        <s v="Htoi San Church"/>
        <s v="Jan Mai Kawng Baptist Church"/>
        <s v="Jan Mai Kawng Catholic Church"/>
        <s v="Je Yang Hka "/>
        <s v="Kone Khem Camp"/>
        <s v="Ku Day Maw KBC"/>
        <s v="Kutkai downtown (KBC Church)"/>
        <s v="Kutkai downtown (RC Church)"/>
        <s v="Kyun Pin Thar Baptist Church"/>
        <s v="Kyun Taw Baptist Church "/>
        <s v="Lagatyan "/>
        <s v="Lana Zup Ja "/>
        <s v="Le Kone Bethlehem Church"/>
        <s v="Le Kone Ziun Baptist Church "/>
        <s v="Lhaovao Baptist Church (LBC)"/>
        <s v="Lisu Baptist Church, Maw Shan Vil,. Seik Mu"/>
        <s v="Lisu Baptist Church, Maw Wan Ward"/>
        <s v="Lisu Boarding-House"/>
        <s v="Loi Je Baptist Church"/>
        <s v="Loi Je Catholic Church"/>
        <s v="Loi Je Lisu Camp"/>
        <s v="Lung Kawk  ( Hka Hkye Zup)"/>
        <s v="Mading Baptist Church"/>
        <s v="Maga Yang "/>
        <s v="Mai Khat "/>
        <s v="Maina AG Church"/>
        <s v="Maina Catholic Church (St. Joseph)"/>
        <s v="Maina KBC (Bawng Ring)"/>
        <s v="Maina Lawang Baptist Church"/>
        <s v="Maing Khaung"/>
        <s v="Maing Khaung Catholic Church"/>
        <s v="Maliyang Baptist Church"/>
        <s v="Man Bung Catholic compound"/>
        <s v="Man Hkring Baptist Church"/>
        <s v="Man Kawng Baptist Church"/>
        <s v="Man Wing Baptist Church"/>
        <s v="Man Wing Catholic Church"/>
        <s v="Mandalay Monestry"/>
        <s v="Mandung - Jinghpaw"/>
        <s v="Mandung - RC"/>
        <s v="Mang Hawng Baptist Church"/>
        <s v="Mansi Baptist Church"/>
        <s v="Mashi Kahtawng Baptist  Church"/>
        <s v="Maw Hpawng Hka Nan Baptist Church"/>
        <s v="Maw Hpawng Lhaovo Baptist Church"/>
        <s v="Maw Wan, Mu-yin Baptist Church"/>
        <s v="Mine Yu Lay village"/>
        <s v="Momauk Baptist Church"/>
        <s v="Momauk Catholic Church (St. Patrick)"/>
        <s v="Mung Baw "/>
        <s v="Mung Ding Pa  (Boarder)"/>
        <s v="Mungji Pa Dabang (Baptist Church)         "/>
        <s v="Muse Baptist Church"/>
        <s v="Muse Catholic Church"/>
        <s v="Mu-yin Baptist Church"/>
        <s v="Nam Hkam - Nay Win Ni (Palawng)"/>
        <s v="Nam Hkam (KBC Jaw Wang)"/>
        <s v="Nam Hkam (KBC Jaw Wang) II"/>
        <s v="Nam Hpak Ka Mare "/>
        <s v="Nam Lim Pa"/>
        <s v="Nam Ma Phyit, COC"/>
        <s v="Nam Sa Larp"/>
        <s v="Nam Tu Baptist"/>
        <s v="Namhkan - Pang Long KBC"/>
        <s v="Nan Kway St. John Catholic Church"/>
        <s v="Nant Hlaing Church"/>
        <s v="Nant Ma Hpit Catholic Church"/>
        <s v="Nat Gyi Kone Baptist Church "/>
        <s v="Nawng Hee Village"/>
        <s v="Nawng Ing (Indawgyi) Baptist Church  "/>
        <s v="Nga Pyaw Taw Baptist Nursery School "/>
        <s v="Nhkawng Pa "/>
        <s v="Ni Thaw Ka Monestry"/>
        <s v="Njang Dung Baptist Church "/>
        <s v="Nyaung Na Pin "/>
        <s v="Pa Dauk Myaing(Pa La Na)"/>
        <s v="Pa Kahtawng "/>
        <s v="Pajau - Jan Mai"/>
        <s v="Pan Wa"/>
        <s v="Phan Khar Kone"/>
        <s v="Post 6 Camp"/>
        <s v="Qtr. 2 Lhaovo Baptist Church"/>
        <s v="Qtr. 2 Myoma Baptist Church"/>
        <s v="Qtr. 3 Mu-yin  Baptist Church"/>
        <s v="Qtr. 4 Monestry (Thargaya Thayett Taw)"/>
        <s v="Rawan Baptist Church, Maw Shan Vil., Seik Mu"/>
        <s v="Robert Church"/>
        <s v="RRD Office"/>
        <s v="Sai Nai Baptish Church, Maw Shan Vil., Seki Mu"/>
        <s v="Seng Ja "/>
        <s v="Shatapru Sut Ngai Tawng"/>
        <s v="Shing Jai"/>
        <s v="Shwe Gu Baptist Church"/>
        <s v="Shwe Gu Catholic Church"/>
        <s v="Shwe Zet Baptist Church"/>
        <s v="St. Patrick Catholic Church "/>
        <s v="Ta Gun Taing Monastery (Shwe Kyi Na)"/>
        <s v="Tat Kone Baptist Church"/>
        <s v="Tat Kone COC Baptist - Tat Kone Htoi San"/>
        <s v="Tat Kone Emanuel Church"/>
        <s v="Tat Kone Galile Baptist Church"/>
        <s v="Tat Kone San Pya Baptist Church"/>
        <s v="Thargaya Lisu Baptist Church"/>
        <s v="Tharthana Ahlin Yaung New Monastery"/>
        <s v="Waingmaw AG Church"/>
        <s v="Waingmaw Baptist Zonal Office"/>
        <s v="Ward 2 Cahotlic Church, Seik Mu"/>
        <s v="Ward 2 Sai Taung Baptist Church, Seik Mu "/>
        <s v="Warra Zup"/>
        <s v="Woi Chyai "/>
        <s v="Wun Tho Buddhist Monastery"/>
        <s v="Yoe Kyi Monastery"/>
        <s v="Yumar Baptist Church"/>
        <s v="Zai Awng - Mung Ga Zup"/>
        <s v="Zup Aung Camp"/>
        <m/>
      </sharedItems>
    </cacheField>
    <cacheField name="HH per Shelter" numFmtId="0">
      <sharedItems containsSemiMixedTypes="0" containsString="0"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2" maxValue="700"/>
    </cacheField>
    <cacheField name="# of Temporary Shelter Under  Construction" numFmtId="0">
      <sharedItems containsNonDate="0" containsString="0" containsBlank="1"/>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5" maxValue="138"/>
    </cacheField>
    <cacheField name="Renovated" numFmtId="0">
      <sharedItems containsNonDate="0" containsString="0" containsBlank="1"/>
    </cacheField>
    <cacheField name="Pcode" numFmtId="0">
      <sharedItems count="136">
        <s v="MMR001CMP179"/>
        <s v="MMR001CMP050"/>
        <s v="MMR001CMP176"/>
        <s v="MMR001CMP190"/>
        <s v="MMR001CMP194"/>
        <s v="MMR001CMP169"/>
        <s v="MMR001CMP188"/>
        <s v="MMR001CMP113"/>
        <s v="MMR001CMP129"/>
        <s v="MMR001CMP226"/>
        <s v="MMR001CMP109"/>
        <s v="MMR001CMP042"/>
        <s v="MMR001CMP174"/>
        <s v="MMR001CMP012"/>
        <s v="MMR001CMP010"/>
        <s v="MMR001CMP011"/>
        <s v="MMR001CMP123"/>
        <s v="MMR001CMP028"/>
        <s v="MMR001CMP115"/>
        <s v="MMR001CMP191"/>
        <s v="MMR015CMP010"/>
        <s v="MMR001CMP122"/>
        <s v="MMR001CMP052"/>
        <s v="MMR001CMP018"/>
        <s v="MMR001CMP019"/>
        <s v="MMR001CMP121"/>
        <s v="MMR015CMP015"/>
        <s v="MMR001CMP231"/>
        <s v="MMR015CMP016"/>
        <s v="MMR015CMP017"/>
        <s v="MMR001CMP013"/>
        <s v="MMR001CMP078"/>
        <s v="MMR001CMP202"/>
        <s v="MMR001CMP128"/>
        <s v="MMR001CMP015"/>
        <s v="MMR001CMP014"/>
        <s v="MMR001CMP195"/>
        <s v="MMR001CMP181"/>
        <s v="MMR001CMP167"/>
        <s v="MMR001CMP049"/>
        <s v="MMR001CMP071"/>
        <s v="MMR001CMP069"/>
        <s v="MMR001CMP070"/>
        <s v="MMR001CMP135"/>
        <s v="MMR001CMP027"/>
        <s v="MMR001CMP119"/>
        <s v="MMR001CMP064"/>
        <s v="MMR001CMP031"/>
        <s v="MMR001CMP029"/>
        <s v="MMR001CMP040"/>
        <s v="MMR001CMP039"/>
        <s v="MMR001CMP218"/>
        <s v="MMR001CMP223"/>
        <s v="MMR001CMP016"/>
        <s v="MMR001CMP062"/>
        <s v="MMR001CMP008"/>
        <s v="MMR001CMP212"/>
        <s v="MMR001CMP133"/>
        <s v="MMR001CMP132"/>
        <s v="MMR001CMP058"/>
        <s v="MMR015CMP009"/>
        <s v="MMR015CMP209"/>
        <s v="MMR001CMP077"/>
        <s v="MMR001CMP066"/>
        <s v="MMR001CMP094"/>
        <s v="MMR001CMP020"/>
        <s v="MMR001CMP021"/>
        <s v="MMR001CMP091"/>
        <s v="MMR015CMP018"/>
        <s v="MMR001CMP056"/>
        <s v="MMR001CMP057"/>
        <s v="MMR015CMP005"/>
        <s v="MMR001CMP203"/>
        <s v="MMR015CMP006"/>
        <s v="MMR015CMP213"/>
        <s v="MMR015CMP216"/>
        <s v="MMR001CMP051"/>
        <s v="MMR015CMP004"/>
        <s v="MMR015CMP001"/>
        <s v="MMR015CMP214"/>
        <s v="MMR015CMP007"/>
        <s v="MMR001CMP204"/>
        <s v="MMR001CMP192"/>
        <s v="MMR015CMP218"/>
        <s v="MMR015CMP014"/>
        <s v="MMR015CMP215"/>
        <s v="MMR001CMP024"/>
        <s v="MMR001CMP054"/>
        <s v="MMR001CMP103"/>
        <s v="MMR001CMP079"/>
        <s v="MMR001CMP033"/>
        <s v="MMR001CMP152"/>
        <s v="MMR001CMP082"/>
        <s v="MMR001CMP131"/>
        <s v="MMR001CMP059"/>
        <s v="MMR001CMP002"/>
        <s v="MMR001CMP072"/>
        <s v="MMR001CMP162"/>
        <s v="MMR001CMP126"/>
        <s v="MMR001CMP120"/>
        <s v="MMR001CMP210"/>
        <s v="MMR001CMP193"/>
        <s v="MMR001CMP160"/>
        <s v="MMR001CMP032"/>
        <s v="MMR001CMP025"/>
        <s v="MMR001CMP030"/>
        <s v="MMR001CMP026"/>
        <s v="MMR001CMP182"/>
        <s v="MMR001CMP047"/>
        <s v=""/>
        <s v="MMR001CMP183"/>
        <s v="MMR001CMP073"/>
        <s v="MMR001CMP006"/>
        <s v="MMR001CMP041"/>
        <s v="MMR001CMP067"/>
        <s v="MMR001CMP068"/>
        <s v="MMR001CMP009"/>
        <s v="MMR001CMP080"/>
        <s v="MMR001CMP055"/>
        <s v="MMR001CMP001"/>
        <s v="MMR001CMP023"/>
        <s v="MMR001CMP004"/>
        <s v="MMR001CMP003"/>
        <s v="MMR001CMP005"/>
        <s v="MMR001CMP037"/>
        <s v="MMR001CMP224"/>
        <s v="MMR001CMP038"/>
        <s v="MMR001CMP036"/>
        <s v="MMR001CMP185"/>
        <s v="MMR001CMP184"/>
        <s v="MMR001CMP116"/>
        <s v="MMR001CMP022"/>
        <s v="MMR001CMP053"/>
        <s v="MMR001CMP105"/>
        <s v="MMR001CMP111"/>
        <s v="MMR015CMP020"/>
      </sharedItems>
    </cacheField>
    <cacheField name="Status" numFmtId="0">
      <sharedItems count="3">
        <s v="Open"/>
        <s v="Closed"/>
        <s v=""/>
      </sharedItems>
    </cacheField>
    <cacheField name="Coverage" numFmtId="9">
      <sharedItems containsMixedTypes="1" containsNumber="1" minValue="0" maxValue="46"/>
    </cacheField>
    <cacheField name="Replacement (YES/NO)" numFmtId="9">
      <sharedItems/>
    </cacheField>
    <cacheField name="Comments" numFmtId="0">
      <sharedItems containsNonDate="0" containsString="0" containsBlank="1"/>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Thi Thi Lwin" refreshedDate="42718.416132986109" missingItemsLimit="0" createdVersion="4" refreshedVersion="5" minRefreshableVersion="3" recordCount="243">
  <cacheSource type="worksheet">
    <worksheetSource name="AllData_CampList"/>
  </cacheSource>
  <cacheFields count="42">
    <cacheField name="Status" numFmtId="0">
      <sharedItems count="2">
        <s v="Closed"/>
        <s v="Open"/>
      </sharedItems>
    </cacheField>
    <cacheField name="State" numFmtId="0">
      <sharedItems count="2">
        <s v="Kachin"/>
        <s v="Shan_North"/>
      </sharedItems>
    </cacheField>
    <cacheField name="S_Pcode" numFmtId="0">
      <sharedItems containsBlank="1"/>
    </cacheField>
    <cacheField name="District" numFmtId="0">
      <sharedItems containsBlank="1"/>
    </cacheField>
    <cacheField name="D_Pcode" numFmtId="0">
      <sharedItems containsBlank="1"/>
    </cacheField>
    <cacheField name="Township" numFmtId="0">
      <sharedItems count="21">
        <s v="Hpakant"/>
        <s v="Bhamo"/>
        <s v="Mansi"/>
        <s v="Waingmaw"/>
        <s v="Chipwi"/>
        <s v="Momauk"/>
        <s v="Myitkyina"/>
        <s v="Kutkai"/>
        <s v="Mohnyin"/>
        <s v="Shwegu"/>
        <s v="Muse"/>
        <s v="Puta-O"/>
        <s v="Mogaung"/>
        <s v="Khaunglanhpu"/>
        <s v="Injangyang"/>
        <s v="Machanbaw"/>
        <s v="Manton"/>
        <s v="Namhkan"/>
        <s v="Hseni"/>
        <s v="Namtu"/>
        <s v="Sumprabum"/>
      </sharedItems>
      <fieldGroup par="38"/>
    </cacheField>
    <cacheField name="T_Pcode" numFmtId="0">
      <sharedItems/>
    </cacheField>
    <cacheField name="VillageTracKTown" numFmtId="0">
      <sharedItems containsBlank="1"/>
    </cacheField>
    <cacheField name="VTT_Pcode" numFmtId="0">
      <sharedItems containsBlank="1" containsMixedTypes="1" containsNumber="1" containsInteger="1" minValue="167301" maxValue="167301"/>
    </cacheField>
    <cacheField name="VillageWard_Name" numFmtId="0">
      <sharedItems containsBlank="1"/>
    </cacheField>
    <cacheField name="VW_Pcode" numFmtId="0">
      <sharedItems containsBlank="1" containsMixedTypes="1" containsNumber="1" containsInteger="1" minValue="165685" maxValue="217032"/>
    </cacheField>
    <cacheField name="Camp" numFmtId="0">
      <sharedItems count="240">
        <s v="1 Ward, Sein Yadanar Company(Lon Khin)"/>
        <s v="5 Ward Baptist Church(lon Khin)"/>
        <s v="5 Ward RC Church(lon Khin)"/>
        <s v="AD-2000 Tharthana Compound"/>
        <s v="AG Church, Hmaw Si Sa"/>
        <s v="AG Church, Maw Wan"/>
        <s v="Anglican Church, Hmaw Si Sar"/>
        <s v="Aung Thar Church"/>
        <s v="Away Yar Rama Monastery, Ka Day village"/>
        <s v="Aye Mya Tharyar Church of Christ "/>
        <s v="Ban Hkung (School)"/>
        <s v="Ban Hkung Yang"/>
        <s v="Ban Hkung Yang (Boarding School)"/>
        <s v="Baptist Church, Hmaw Si Sar(Lon Khin)"/>
        <s v="Baptist Church, Naung Hmee VT"/>
        <s v="Baptist Church, Sai Ra village"/>
        <s v="Border Post 10"/>
        <s v="Border Post 8"/>
        <s v="Bum Tsit Pa "/>
        <s v="Bum Tsit Pa Camp II"/>
        <s v="Chin Church, Seik Mu"/>
        <s v="Chin(Zomi) Baptist Church"/>
        <s v="Chipwi KBC camp"/>
        <s v="Daw Hpum Yang Ninghtawn"/>
        <s v="Dawthponeyan Boarding School"/>
        <s v="Dhama Rakhita, Nyein Chan Tar Yar Ward(Lon Khin)"/>
        <s v="Du Kahtawng Qtr. 14"/>
        <s v="Du Kahtawng Qtr. 4"/>
        <s v="Du Kahtawng Qtr. 5"/>
        <s v="Dum Bung "/>
        <s v="Ei Wan Gali Asso., Ward 1, Seik Mu"/>
        <s v="Free Christian Asso., Ward 1, Seik Mu"/>
        <s v="Galeng (Kachin)"/>
        <s v="Galeng (Palaung)"/>
        <s v="Gant Gwin"/>
        <s v="Hkat Cho "/>
        <s v="Hkau Shau (BP 12)"/>
        <s v="Hlaing Naung Baptist"/>
        <s v="Hmaw Wan, Anglican"/>
        <s v="Hmaw Wan, Baptist Christian Church"/>
        <s v="Hopin Host Families"/>
        <s v="Host Families"/>
        <s v="Howa"/>
        <s v="Hpai Kawng Mare"/>
        <s v="Hpakant Baptist Church, Nam Ma Hpit"/>
        <s v="Hpare Hkyer - BP6"/>
        <s v="Hpun Lum Yang "/>
        <s v="Htoi San Church"/>
        <s v="IDP Boarding School, A Len Bum"/>
        <s v="IDPs scattered in South Mansi"/>
        <s v="Inn Lel Yan - Host Families"/>
        <s v="Jan Mai Kawng Baptist Church"/>
        <s v="Jan Mai Kawng Catholic Church"/>
        <s v="Je Yang Hka "/>
        <s v="Kannar Yeik Thar"/>
        <s v="Khun Sint Village"/>
        <s v="Kone Khem Camp"/>
        <s v="Ku Day Maw KBC"/>
        <s v="Kutkai downtown (KBC Church)"/>
        <s v="Kutkai downtown (RC Church)"/>
        <s v="Kyun Pin Thar Baptist Church"/>
        <s v="Kyun Taw Baptist Church "/>
        <s v="La Ja"/>
        <s v="Lagatyan "/>
        <s v="Laiza Market 3 - Laiza Gat"/>
        <s v="Laiza Muklum Hpyen  Yen Mungshawa ni"/>
        <s v="Lan Jaw "/>
        <s v="Lana Zup Ja "/>
        <s v="Lawk Awng Mare D. (Sinbo Area)"/>
        <s v="Lawk Hkawng Ginwang"/>
        <s v="Le Kone Bethlehem Church"/>
        <s v="Le Kone Ziun Baptist Church "/>
        <s v="Lhaovao Baptist Church (LBC)"/>
        <s v="Lisu Baptist Church, Maw Shan Vil,. Seik Mu"/>
        <s v="Lisu Baptist Church, Maw Wan Ward"/>
        <s v="Lisu Boarding-House"/>
        <s v="Loi Je Baptist Church"/>
        <s v="Loi Je Catholic Church"/>
        <s v="Loi Je Lisu Camp"/>
        <s v="Lung Kawk  ( Hka Hkye Zup)"/>
        <s v="Lung Sut"/>
        <s v="Ma Hawng RC "/>
        <s v="Ma Mon Buddhist Monastery"/>
        <s v="Machanbaw - KBC"/>
        <s v="Mading Baptist Church"/>
        <s v="Maga Yang "/>
        <s v="Mai Khat "/>
        <s v="Maina AG Church"/>
        <s v="Maina Catholic Church (St. Joseph)"/>
        <s v="Maina KBC (Bawng Ring)"/>
        <s v="Maina Lawang Baptist Church"/>
        <s v="Maing Khaung"/>
        <s v="Maing Khaung Catholic Church"/>
        <s v="Maliyang Baptist Church"/>
        <s v="Man Bung Catholic compound"/>
        <s v="Man Hkring Baptist Church"/>
        <s v="Man Kawng Baptist Church"/>
        <s v="Man Kawng Catholic Church"/>
        <s v="Man Nawng "/>
        <s v="Man Ting"/>
        <s v="Man Wing Baptist Church"/>
        <s v="Man Wing Baptist Church Cultural Compound"/>
        <s v="Man Wing Catholic Church"/>
        <s v="Man Wing Catholic Church II"/>
        <s v="Man Wing Host Families"/>
        <s v="Manau Compound"/>
        <s v="Mandalay Monestry"/>
        <s v="Mandung - Jinghpaw"/>
        <s v="Mandung - RC"/>
        <s v="Mang Hawng Baptist Church"/>
        <s v="Mansi Baptist Church"/>
        <s v="Mashi Kahtawng Baptist  Church"/>
        <s v="Mashi Kahtawng Catholic Church"/>
        <s v="Mashi Kahtawng Evangelical Church"/>
        <s v="Mashi Kahtawng Municipal Dammar Yone"/>
        <s v="Mashi Kahtawng Myo Oo Taw Ya Monestry"/>
        <s v="Mashi Kahtawng Rakhine traditional group"/>
        <s v="Mashi Kahtawng Shan Traditional Monestry"/>
        <s v="Mashi Kahtawng Yaung Chi Oo Thi la shin Monestry"/>
        <s v="Maw Hpawng Hka Nan Baptist Church"/>
        <s v="Maw Hpawng Lhaovo Baptist Church"/>
        <s v="Maw Si Zar, Thiriyardanar Sein, Damma Compound, Lone Khin"/>
        <s v="Maw Wan, Catholic Church"/>
        <s v="Maw Wan, Kachin Baptist Church"/>
        <s v="Maw Wan, Kyauk Hlaing Gu Pagoda Compound"/>
        <s v="Maw Wan, Mu-yin Baptist Church"/>
        <s v="Maw Wan, Myo Oo Pagoda"/>
        <s v="May Di Ka Rama Monastery(Lon Khin)"/>
        <s v="Mine Yu Lay village"/>
        <s v="Moenyin Host Families"/>
        <s v="Moke Lwe Village - Hkar Shi"/>
        <s v="Momauk Baptist Church"/>
        <s v="Momauk Catholic Church (St. Patrick)"/>
        <s v="Munekoe Pa (Giwang) - Hka San (Mung  Go  Pa ) "/>
        <s v="Mung Baw "/>
        <s v="Mung Ding Pa "/>
        <s v="Mung Ding Pa  (Boarder)"/>
        <s v="Mungji Pa Dabang (Baptist Church)         "/>
        <s v="Mungji Pa Dabang (Catholic Church)"/>
        <s v="Mungji Pa Dabang (RC Church)         "/>
        <s v="Muring Baptist Church, Awng Ra, Wa Ra Zut VT"/>
        <s v="Muse Baptist Church"/>
        <s v="Muse Catholic Church"/>
        <s v="Mu-yin Baptist Church"/>
        <s v="Myay Myint Baptist Church"/>
        <s v="Myo Thit "/>
        <s v="Nam Hka Mare (west of Man Wing)"/>
        <s v="Nam Hkam - Nay Win Ni (Palawng)"/>
        <s v="Nam Hkam (KBC Jaw Wang)"/>
        <s v="Nam Hkam (KBC Jaw Wang) II"/>
        <s v="Nam Hkam Catholic Church ( St. Thomas I)"/>
        <s v="Nam Hkam Catholic Church ( St. Thomas II)"/>
        <s v="Nam Hkam Malut Jak "/>
        <s v="Nam Hkawng"/>
        <s v="Nam Hkyet"/>
        <s v="Nam Hpak Ka Mare "/>
        <s v="Nam Lim Pa"/>
        <s v="Nam Lim Pa    (Boarding School)"/>
        <s v="Nam Lim Pa - Scattered IDPs in forest"/>
        <s v="Nam Ma Phyit, COC"/>
        <s v="Nam Sa Larp"/>
        <s v="Nam Tu Baptist"/>
        <s v="Nam Tu RC"/>
        <s v="Namhkan - Pang Long KBC"/>
        <s v="Nan Kway St. John Catholic Church"/>
        <s v="Nant Hlaing Church"/>
        <s v="Nant Ma Hpit Catholic Church"/>
        <s v="Nant Mun"/>
        <s v="Narte"/>
        <s v="Nat Gyi Kone Baptist Church "/>
        <s v="Naung Khaing"/>
        <s v="Nawng Hee Village"/>
        <s v="Nawng Ing (Indawgyi) Baptist Church  "/>
        <s v="Nawng Si Paw Village - Inn Lay"/>
        <s v="Ndup Yang"/>
        <s v="New Pang Ku "/>
        <s v="Nga Pyaw Taw Baptist Nursery School "/>
        <s v="Nga Pyaw Taw Roman Catholic Church"/>
        <s v="Nhkawng Pa "/>
        <s v="Ni Thaw Ka Monestry"/>
        <s v="Njang Dung Baptist Church "/>
        <s v="Nyaung Na Pin "/>
        <s v="Pa Dauk Myaing(Pa La Na)"/>
        <s v="Pa Kahtawng "/>
        <s v="Pajau - Jan Mai"/>
        <s v="Pan Wa"/>
        <s v="Parami, Charity Office, MyoMa Quarter"/>
        <s v="Phan Khar Kone"/>
        <s v="Phar Kay/Nant Waing "/>
        <s v="Post 6 Camp"/>
        <s v="Qtr. 2 Lhaovo Baptist Church"/>
        <s v="Qtr. 2 Myoma Baptist Church"/>
        <s v="Qtr. 3 Mu-yin  Baptist Church"/>
        <s v="Qtr. 4 Monestry (Thargaya Thayett Taw)"/>
        <s v="Rawan Baptist Church, Maw Shan Vil., Seik Mu"/>
        <s v="Robert Church"/>
        <s v="Sa Baw Sarsana Parla Monastery"/>
        <s v="Sai Nai Baptish Church, Maw Shan Vil., Seki Mu"/>
        <s v="Salang Yang"/>
        <s v="San Kyel, Masoe Yein Monestry"/>
        <s v="Sar Hmaw - ICM"/>
        <s v="Sar Hmaw - KBC"/>
        <s v="Saw Zam"/>
        <s v="Seng Ja "/>
        <s v="Shatapru Sut Ngai Tawng"/>
        <s v="Shatapru Thida Aye Baptist Church"/>
        <s v="Shing Jai"/>
        <s v="Shwe Gu Baptist Church"/>
        <s v="Shwe Gu Catholic Church"/>
        <s v="Shwe Zet Baptist Church"/>
        <s v="Si Hkan Gyi"/>
        <s v="St. Patrick Catholic Church "/>
        <s v="St. Patrick Church, Bhamo"/>
        <s v="Sumprabum"/>
        <s v="Ta Gun Taing Monastery (Shwe Kyi Na)"/>
        <s v="Tar Ma Hkan Buddhist Monastery, Haung Par"/>
        <s v="Tarli "/>
        <s v="Tat Kone Baptist Church"/>
        <s v="Tat Kone COC Baptist - Tat Kone Htoi San"/>
        <s v="Tat Kone Emanuel Church"/>
        <s v="Tat Kone Galile Baptist Church"/>
        <s v="Tat Kone San Pya Baptist Church"/>
        <s v="Thargaya Lisu Baptist Church"/>
        <s v="Tharthana Ahlin Yaung New Monastery"/>
        <s v="Thiri Mingalar Manizay Yone, Myoma Quarter"/>
        <s v="Thu Kha Waddy"/>
        <s v="Tote Tan Ward"/>
        <s v="Waingmaw AG Church"/>
        <s v="Waingmaw Baptist Zonal Office"/>
        <s v="Ward 2 Cahotlic Church, Seik Mu"/>
        <s v="Ward 2 Sai Taung Baptist Church, Seik Mu "/>
        <s v="Woi Chyai "/>
        <s v="Women's Affairs Association Building"/>
        <s v="Wrad(5) Christian Association"/>
        <s v="Wun Tho Buddhist Monastery"/>
        <s v="Yoe Kyi Monastery"/>
        <s v="Yumar Baptist Church"/>
        <s v="Zai Awng - Mung Ga Zup"/>
        <s v="Zomee Baptist Church camp, Hmaw Wan"/>
        <s v="Zup Aung Camp"/>
      </sharedItems>
    </cacheField>
    <cacheField name="CP_Pcode" numFmtId="0">
      <sharedItems count="243">
        <s v="MMR001CMP171"/>
        <s v="MMR001CMP179"/>
        <s v="MMR001CMP168"/>
        <s v="MMR001CMP050"/>
        <s v="MMR001CMP176"/>
        <s v="MMR001CMP190"/>
        <s v="MMR001CMP173"/>
        <s v="MMR001CMP194"/>
        <s v="MMR001CMP170"/>
        <s v="MMR001CMP092"/>
        <s v="MMR001CMP215"/>
        <s v="MMR001CMP216"/>
        <s v="MMR001CMP214"/>
        <s v="MMR001CMP169"/>
        <s v="MMR001CMP188"/>
        <s v="MMR001CMP172"/>
        <s v="MMR001CMP114"/>
        <s v="MMR001CMP113"/>
        <s v="MMR001CMP129"/>
        <s v="MMR001CMP226"/>
        <s v="MMR001CMP109"/>
        <s v="MMR001CMP086"/>
        <s v="MMR001CMP042"/>
        <s v="MMR001CMP153"/>
        <s v="MMR001CMP240"/>
        <s v="MMR001CMP174"/>
        <s v="MMR001CMP012"/>
        <s v="MMR001CMP010"/>
        <s v="MMR001CMP011"/>
        <s v="MMR001CMP123"/>
        <s v="MMR001CMP180"/>
        <s v="MMR001CMP186"/>
        <s v="MMR015CMP211"/>
        <s v="MMR015CMP212"/>
        <s v="MMR001CMP046"/>
        <s v="MMR001CMP028"/>
        <s v="MMR001CMP115"/>
        <s v="MMR001CMP148"/>
        <s v="MMR001CMP191"/>
        <s v="MMR001CMP189"/>
        <s v="MMR001CMP232"/>
        <s v="MMR001CMP163"/>
        <s v="MMR001CMP196"/>
        <s v="MMR001CMP197"/>
        <s v="MMR001CMP199"/>
        <s v="MMR015CMP010"/>
        <s v="MMR015CMP022"/>
        <s v="MMR001CMP229"/>
        <s v="MMR001CMP043"/>
        <s v="MMR001CMP122"/>
        <s v="MMR001CMP052"/>
        <s v="MMR001CMP208"/>
        <s v="MMR001CMP217"/>
        <s v="MMR001CMP227"/>
        <s v="MMR001CMP018"/>
        <s v="MMR001CMP019"/>
        <s v="MMR001CMP121"/>
        <s v="MMR001CMP048"/>
        <s v="MMR001CMP200"/>
        <s v="MMR015CMP015"/>
        <s v="MMR001CMP231"/>
        <s v="MMR015CMP016"/>
        <s v="MMR015CMP017"/>
        <s v="MMR001CMP013"/>
        <s v="MMR001CMP078"/>
        <s v="MMR001CMP074"/>
        <s v="MMR001CMP202"/>
        <s v="MMR001CMP117"/>
        <s v="MMR001CMP149"/>
        <s v="MMR001CMP045"/>
        <s v="MMR001CMP128"/>
        <s v="MMR001CMP147"/>
        <s v="MMR001CMP146"/>
        <s v="MMR001CMP015"/>
        <s v="MMR001CMP014"/>
        <s v="MMR001CMP195"/>
        <s v="MMR001CMP181"/>
        <s v="MMR001CMP167"/>
        <s v="MMR001CMP049"/>
        <s v="MMR001CMP071"/>
        <s v="MMR001CMP069"/>
        <s v="MMR001CMP070"/>
        <s v="MMR001CMP135"/>
        <s v="MMR001CMP234"/>
        <s v="MMR001CMP237"/>
        <s v="MMR001CMP107"/>
        <s v="MMR001CMP221"/>
        <s v="MMR001CMP027"/>
        <s v="MMR001CMP119"/>
        <s v="MMR001CMP064"/>
        <s v="MMR001CMP031"/>
        <s v="MMR001CMP029"/>
        <s v="MMR001CMP040"/>
        <s v="MMR001CMP039"/>
        <s v="MMR001CMP218"/>
        <s v="MMR001CMP223"/>
        <s v="MMR001CMP016"/>
        <s v="MMR001CMP062"/>
        <s v="MMR001CMP008"/>
        <s v="MMR001CMP212"/>
        <s v="MMR001CMP213"/>
        <s v="MMR001CMP063"/>
        <s v="MMR001CMP198"/>
        <s v="MMR001CMP133"/>
        <s v="MMR001CMP230"/>
        <s v="MMR001CMP132"/>
        <s v="MMR001CMP228"/>
        <s v="MMR001CMP134"/>
        <s v="MMR001CMP118"/>
        <s v="MMR001CMP058"/>
        <s v="MMR015CMP009"/>
        <s v="MMR015CMP209"/>
        <s v="MMR001CMP077"/>
        <s v="MMR001CMP066"/>
        <s v="MMR001CMP094"/>
        <s v="MMR001CMP093"/>
        <s v="MMR001CMP096"/>
        <s v="MMR001CMP098"/>
        <s v="MMR001CMP099"/>
        <s v="MMR001CMP095"/>
        <s v="MMR001CMP100"/>
        <s v="MMR001CMP097"/>
        <s v="MMR001CMP020"/>
        <s v="MMR001CMP021"/>
        <s v="MMR001CMP106"/>
        <s v="MMR001CMP090"/>
        <s v="MMR001CMP085"/>
        <s v="MMR001CMP084"/>
        <s v="MMR001CMP091"/>
        <s v="MMR001CMP088"/>
        <s v="MMR001CMP178"/>
        <s v="MMR015CMP018"/>
        <s v="MMR001CMP233"/>
        <s v="MMR001CMP035"/>
        <s v="MMR001CMP056"/>
        <s v="MMR001CMP057"/>
        <s v="MMR015CMP012"/>
        <s v="MMR015CMP005"/>
        <s v="MMR015CMP023"/>
        <s v="MMR001CMP203"/>
        <s v="MMR015CMP006"/>
        <s v="MMR015CMP217"/>
        <s v="MMR015CMP019"/>
        <s v="MMR001CMP177"/>
        <s v="MMR015CMP213"/>
        <s v="MMR015CMP216"/>
        <s v="MMR001CMP051"/>
        <s v="MMR001CMP017"/>
        <s v="MMR001CMP061"/>
        <s v="MMR001CMP136"/>
        <s v="MMR015CMP004"/>
        <s v="MMR015CMP001"/>
        <s v="MMR015CMP214"/>
        <s v="MMR015CMP003"/>
        <s v="MMR015CMP024"/>
        <s v="MMR015CMP002"/>
        <s v="MMR015CMP139"/>
        <s v="MMR015CMP011"/>
        <s v="MMR015CMP007"/>
        <s v="MMR001CMP204"/>
        <s v="MMR001CMP209"/>
        <s v="MMR001CMP137"/>
        <s v="MMR001CMP192"/>
        <s v="MMR015CMP218"/>
        <s v="MMR015CMP014"/>
        <s v="MMR015CMP210"/>
        <s v="MMR015CMP215"/>
        <s v="MMR001CMP024"/>
        <s v="MMR001CMP054"/>
        <s v="MMR001CMP103"/>
        <s v="MMR001CMP081"/>
        <s v="MMR015CMP207"/>
        <s v="MMR001CMP079"/>
        <s v="MMR001CMP220"/>
        <s v="MMR001CMP033"/>
        <s v="MMR001CMP152"/>
        <s v="MMR001CMP034"/>
        <s v="MMR001CMP238"/>
        <s v="MMR015CMP219"/>
        <s v="MMR001CMP082"/>
        <s v="MMR001CMP083"/>
        <s v="MMR001CMP131"/>
        <s v="MMR001CMP059"/>
        <s v="MMR001CMP002"/>
        <s v="MMR001CMP072"/>
        <s v="MMR001CMP162"/>
        <s v="MMR001CMP126"/>
        <s v="MMR001CMP120"/>
        <s v="MMR001CMP210"/>
        <s v="MMR001CMP102"/>
        <s v="MMR001CMP193"/>
        <s v="MMR001CMP065"/>
        <s v="MMR001CMP160"/>
        <s v="MMR001CMP032"/>
        <s v="MMR001CMP025"/>
        <s v="MMR001CMP030"/>
        <s v="MMR001CMP026"/>
        <s v="MMR001CMP182"/>
        <s v="MMR001CMP047"/>
        <s v="MMR001CMP108"/>
        <s v="MMR001CMP183"/>
        <s v="MMR001CMP239"/>
        <s v="MMR001CMP104"/>
        <s v="MMR001CMP235"/>
        <s v="MMR001CMP236"/>
        <s v="MMR001CMP225"/>
        <s v="MMR001CMP073"/>
        <s v="MMR001CMP006"/>
        <s v="MMR001CMP007"/>
        <s v="MMR001CMP041"/>
        <s v="MMR001CMP067"/>
        <s v="MMR001CMP068"/>
        <s v="MMR001CMP009"/>
        <s v="MMR001CMP219"/>
        <s v="MMR001CMP080"/>
        <s v="MMR001CMP222"/>
        <s v="MMR001CMP206"/>
        <s v="MMR001CMP055"/>
        <s v="MMR001CMP110"/>
        <s v="MMR001CMP060"/>
        <s v="MMR001CMP001"/>
        <s v="MMR001CMP023"/>
        <s v="MMR001CMP004"/>
        <s v="MMR001CMP003"/>
        <s v="MMR001CMP005"/>
        <s v="MMR001CMP037"/>
        <s v="MMR001CMP224"/>
        <s v="MMR001CMP101"/>
        <s v="MMR001CMP211"/>
        <s v="MMR001CMP075"/>
        <s v="MMR001CMP038"/>
        <s v="MMR001CMP036"/>
        <s v="MMR001CMP185"/>
        <s v="MMR001CMP184"/>
        <s v="MMR001CMP116"/>
        <s v="MMR001CMP044"/>
        <s v="MMR001CMP175"/>
        <s v="MMR001CMP022"/>
        <s v="MMR001CMP053"/>
        <s v="MMR001CMP105"/>
        <s v="MMR001CMP111"/>
        <s v="MMR001CMP201"/>
        <s v="MMR015CMP020"/>
      </sharedItems>
    </cacheField>
    <cacheField name="Longitude" numFmtId="0">
      <sharedItems containsString="0" containsBlank="1" containsNumber="1" minValue="29.52796" maxValue="98.475719999999995" count="190">
        <n v="96.359549999999999"/>
        <n v="96.355270000000004"/>
        <n v="96.353070000000002"/>
        <n v="97.238829999999993"/>
        <n v="96.345569999999995"/>
        <n v="96.317350000000005"/>
        <m/>
        <n v="97.252650000000003"/>
        <n v="96.339870000000005"/>
        <n v="96.346469999999997"/>
        <n v="96.673805000000002"/>
        <n v="97.837778"/>
        <n v="97.915833000000006"/>
        <n v="97.609832999999995"/>
        <n v="97.608249999999998"/>
        <n v="96.283377000000002"/>
        <n v="98.131550000000004"/>
        <n v="97.461271999999994"/>
        <n v="96.35257"/>
        <n v="97.384729629629604"/>
        <n v="97.382997575757599"/>
        <n v="97.381325000000004"/>
        <n v="97.537099999999995"/>
        <n v="97.404195925926004"/>
        <n v="97.807182999999995"/>
        <n v="96.705960000000005"/>
        <n v="96.316564"/>
        <n v="96.52534"/>
        <n v="97.228835000000004"/>
        <n v="97.298055000000005"/>
        <n v="97.348405"/>
        <n v="96.793177"/>
        <n v="98.116817999999995"/>
        <n v="98.115809999999996"/>
        <n v="96.312790000000007"/>
        <n v="98.475719999999995"/>
        <n v="97.573126000000002"/>
        <n v="97.236919999999998"/>
        <n v="97.541793999999996"/>
        <n v="97.561105999999995"/>
        <n v="97.373361000000003"/>
        <n v="97.379594999999995"/>
        <n v="97.568331999999998"/>
        <n v="97.221556500999995"/>
        <n v="97.343406999999999"/>
        <n v="97.848529999999997"/>
        <n v="97.926813999999993"/>
        <n v="97.947360000000003"/>
        <n v="97.405202777777802"/>
        <n v="96.922619999999995"/>
        <n v="98.144502500000002"/>
        <n v="97.601243999999994"/>
        <n v="97.551507000000001"/>
        <n v="97.718008999999995"/>
        <n v="98.354146999999998"/>
        <n v="97.625617000000005"/>
        <n v="97.409035000000003"/>
        <n v="97.403402307692303"/>
        <n v="98.129990000000006"/>
        <n v="96.269199999999998"/>
        <n v="96.316400000000002"/>
        <n v="97.240183461538507"/>
        <n v="97.718582999999995"/>
        <n v="97.724566999999993"/>
        <n v="97.717133000000004"/>
        <n v="97.585667000000001"/>
        <n v="97.416121000000004"/>
        <n v="97.586470000000006"/>
        <n v="97.451965000000001"/>
        <n v="97.715230000000005"/>
        <n v="97.409474000000003"/>
        <n v="97.433419259259296"/>
        <n v="97.437782499999997"/>
        <n v="97.434855869565197"/>
        <n v="97.426536944444507"/>
        <n v="97.225881000000001"/>
        <n v="97.227057000000002"/>
        <n v="97.4113064583333"/>
        <n v="97.325019999999995"/>
        <n v="97.418694000000002"/>
        <n v="97.710989999999995"/>
        <n v="97.321659999999994"/>
        <n v="97.276591999999994"/>
        <n v="97.589979999999997"/>
        <n v="97.590767"/>
        <n v="97.578490000000002"/>
        <n v="97.578367"/>
        <n v="97.588291999999996"/>
        <n v="97.550267000000005"/>
        <n v="97.346940000000004"/>
        <n v="97.124403000000001"/>
        <n v="97.116680000000002"/>
        <n v="96.942279999999997"/>
        <n v="97.291820000000001"/>
        <n v="96.310928000000004"/>
        <n v="97.2843958974359"/>
        <n v="97.290952037037002"/>
        <n v="96.343350000000001"/>
        <n v="96.316210999999996"/>
        <n v="96.319829999999996"/>
        <n v="96.359309999999994"/>
        <n v="97.793019999999999"/>
        <n v="96.366919999999993"/>
        <n v="97.421104"/>
        <n v="97.344359999999995"/>
        <n v="97.346950000000007"/>
        <n v="98.320651999999995"/>
        <n v="98.054946000000001"/>
        <n v="97.174999999999997"/>
        <n v="96.808850000000007"/>
        <n v="98.220614999999995"/>
        <n v="98.213958000000005"/>
        <n v="96.354159999999993"/>
        <n v="97.909400000000005"/>
        <n v="97.911647000000002"/>
        <n v="97.234200000000001"/>
        <n v="97.376671999999999"/>
        <n v="97.407787999999996"/>
        <n v="97.681970000000007"/>
        <n v="97.669557999999995"/>
        <n v="97.700940000000003"/>
        <n v="97.670360000000002"/>
        <n v="97.678299999999993"/>
        <n v="98.129380999999995"/>
        <n v="97.818979999999996"/>
        <n v="97.132339999999999"/>
        <n v="96.339590000000001"/>
        <n v="98.218626999999998"/>
        <n v="97.404089999999997"/>
        <n v="97.398989"/>
        <n v="97.709879999999998"/>
        <n v="97.359320179999997"/>
        <n v="97.315860000000001"/>
        <n v="96.341352999999998"/>
        <n v="96.364949999999993"/>
        <n v="98.352670000000003"/>
        <n v="96.948740000000001"/>
        <n v="97.58184"/>
        <n v="97.345039"/>
        <n v="97.745480999999998"/>
        <n v="29.52796"/>
        <n v="96.31326"/>
        <n v="97.669366999999994"/>
        <n v="97.347740000000002"/>
        <n v="97.394547000000003"/>
        <n v="97.724483000000006"/>
        <n v="97.4345"/>
        <n v="97.752667000000002"/>
        <n v="97.751389000000003"/>
        <n v="98.377780000000001"/>
        <n v="97.429860000000005"/>
        <n v="97.990555999999998"/>
        <n v="97.441166388888902"/>
        <n v="97.438432380952406"/>
        <n v="97.437472666666693"/>
        <n v="97.432495000000003"/>
        <n v="96.279200000000003"/>
        <n v="97.229116811594196"/>
        <n v="96.353030000000004"/>
        <n v="97.75609"/>
        <n v="98.356260000000006"/>
        <n v="97.710864000000001"/>
        <n v="97.399628000000007"/>
        <n v="97.418004999999994"/>
        <n v="98.025662999999994"/>
        <n v="96.807353000000006"/>
        <n v="97.419403000000003"/>
        <n v="96.367059999999995"/>
        <n v="97.568836000000005"/>
        <n v="97.227789999999999"/>
        <n v="97.416826999999998"/>
        <n v="97.386718999999999"/>
        <n v="97.387636874999998"/>
        <n v="97.389778000000007"/>
        <n v="97.377662999999998"/>
        <n v="97.382192000000003"/>
        <n v="97.428251153846105"/>
        <n v="97.239130000000003"/>
        <n v="97.415289999999999"/>
        <n v="97.444283730158702"/>
        <n v="97.438259000000002"/>
        <n v="96.288250000000005"/>
        <n v="96.286680000000004"/>
        <n v="97.546893999999995"/>
        <n v="97.403878500000005"/>
        <n v="97.240639999999999"/>
        <n v="96.306910999999999"/>
        <n v="97.756789999999995"/>
        <n v="96.315601999999998"/>
        <n v="97.837040000000002"/>
      </sharedItems>
    </cacheField>
    <cacheField name="26.569633" numFmtId="0">
      <sharedItems containsString="0" containsBlank="1" containsNumber="1" minValue="23.088058"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92"/>
    </cacheField>
    <cacheField name="Total" numFmtId="0">
      <sharedItems containsString="0" containsBlank="1" containsNumber="1" containsInteger="1" minValue="0" maxValue="8818"/>
    </cacheField>
    <cacheField name="Avg" numFmtId="2">
      <sharedItems containsMixedTypes="1" containsNumber="1" minValue="0"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Host Families"/>
        <s v="Boarding School"/>
        <s v="Rural"/>
        <s v="Village"/>
      </sharedItems>
    </cacheField>
    <cacheField name="Type of Location" numFmtId="0">
      <sharedItems containsBlank="1" count="4">
        <m/>
        <s v="Rural"/>
        <s v="Urban"/>
        <s v="Forest/bush"/>
      </sharedItems>
    </cacheField>
    <cacheField name="Opening Date" numFmtId="14">
      <sharedItems containsNonDate="0" containsDate="1" containsString="0" containsBlank="1" minDate="2011-03-01T00:00:00" maxDate="2015-05-02T00:00:00"/>
    </cacheField>
    <cacheField name="CM/FP" numFmtId="1">
      <sharedItems containsString="0" containsBlank="1" containsNumber="1" containsInteger="1" minValue="1" maxValue="7"/>
    </cacheField>
    <cacheField name="Responsible Agency" numFmtId="0">
      <sharedItems containsBlank="1" count="6">
        <m/>
        <s v="KBC"/>
        <s v="KMSS-MYT"/>
        <s v="KMSS-BMO"/>
        <s v="Shalom"/>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5-12-14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185"/>
    </cacheField>
    <cacheField name="Land Status" numFmtId="0">
      <sharedItems containsString="0" containsBlank="1" containsNumber="1" containsInteger="1" minValue="0" maxValue="20"/>
    </cacheField>
    <cacheField name="Shelter Possible" numFmtId="0">
      <sharedItems containsSemiMixedTypes="0" containsString="0" containsNumber="1" containsInteger="1" minValue="0" maxValue="1185"/>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1">
          <x v="0"/>
          <x v="3"/>
          <x v="1"/>
          <x v="2"/>
          <x v="8"/>
          <x v="6"/>
          <x v="9"/>
          <x v="4"/>
          <x v="11"/>
          <x v="11"/>
          <x v="11"/>
          <x v="11"/>
          <x v="11"/>
          <x v="11"/>
          <x v="5"/>
          <x v="11"/>
          <x v="11"/>
          <x v="7"/>
          <x v="10"/>
          <x v="11"/>
          <x v="11"/>
        </discretePr>
        <groupItems count="12">
          <s v="Hpakant"/>
          <s v="Mansi"/>
          <s v="Waingmaw"/>
          <s v="Bhamo"/>
          <s v="Kutkai"/>
          <s v="Injangyang"/>
          <s v="Momauk"/>
          <s v="Namhkan"/>
          <s v="Chipwi"/>
          <s v="Myitkyina"/>
          <s v="Hseni"/>
          <s v="Group1"/>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718.416135185187" missingItemsLimit="0" createdVersion="4" refreshedVersion="5" minRefreshableVersion="3" recordCount="910">
  <cacheSource type="worksheet">
    <worksheetSource name="Table_NFI"/>
  </cacheSource>
  <cacheFields count="45">
    <cacheField name="Months" numFmtId="1">
      <sharedItems containsSemiMixedTypes="0" containsString="0" containsNumber="1" minValue="-0.8" maxValue="48.666666666666664"/>
    </cacheField>
    <cacheField name="Distribution Date" numFmtId="169">
      <sharedItems containsSemiMixedTypes="0" containsNonDate="0" containsDate="1" containsString="0" minDate="2011-11-02T00:00:00" maxDate="2015-11-26T00:00:00"/>
    </cacheField>
    <cacheField name="Organization" numFmtId="0">
      <sharedItems count="12">
        <s v="UNHCR"/>
        <s v="ICRC"/>
        <s v="Plan-Myanmar"/>
        <s v="CRCS"/>
        <s v="DRC"/>
        <s v="Solidarities"/>
        <s v="CRC"/>
        <s v="Save the Children"/>
        <s v="FSD"/>
        <s v="MRCS"/>
        <s v="DFID"/>
        <s v="World Vision"/>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12" maxValue="120"/>
    </cacheField>
    <cacheField name="Sanitary Kit" numFmtId="0">
      <sharedItems containsString="0" containsBlank="1" containsNumber="1" containsInteger="1" minValue="1" maxValue="6005"/>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910"/>
    </cacheField>
    <cacheField name="Winter Clothes Children" numFmtId="0">
      <sharedItems containsString="0" containsBlank="1" containsNumber="1" containsInteger="1" minValue="8" maxValue="516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9" maxValue="17900"/>
    </cacheField>
    <cacheField name="Jerry Can" numFmtId="0">
      <sharedItems containsString="0" containsBlank="1" containsNumber="1" containsInteger="1" minValue="1" maxValue="400"/>
    </cacheField>
    <cacheField name="Hygiene Kit_LS" numFmtId="0">
      <sharedItems containsString="0" containsBlank="1" containsNumber="1" containsInteger="1" minValue="0" maxValue="0"/>
    </cacheField>
    <cacheField name="NFI Core Kit_LS" numFmtId="0">
      <sharedItems containsSemiMixedTypes="0" containsString="0" containsNumber="1" containsInteger="1" minValue="0" maxValue="120"/>
    </cacheField>
    <cacheField name="Sanitary Kit_LS" numFmtId="0">
      <sharedItems containsSemiMixedTypes="0" containsString="0" containsNumber="1" containsInteger="1" minValue="0" maxValue="225"/>
    </cacheField>
    <cacheField name="Mosquito net_LS" numFmtId="0">
      <sharedItems containsSemiMixedTypes="0" containsString="0" containsNumber="1" containsInteger="1" minValue="0" maxValue="892"/>
    </cacheField>
    <cacheField name="Tarpaulin_LS" numFmtId="0">
      <sharedItems containsSemiMixedTypes="0" containsString="0" containsNumber="1" containsInteger="1" minValue="0" maxValue="250"/>
    </cacheField>
    <cacheField name="Blanket_LS" numFmtId="0">
      <sharedItems containsSemiMixedTypes="0" containsString="0" containsNumber="1" containsInteger="1" minValue="0" maxValue="1032"/>
    </cacheField>
    <cacheField name="Kitchen Set_LS" numFmtId="0">
      <sharedItems containsSemiMixedTypes="0" containsString="0" containsNumber="1" containsInteger="1" minValue="0" maxValue="200"/>
    </cacheField>
    <cacheField name="Clothes Kit_LS" numFmtId="0">
      <sharedItems containsSemiMixedTypes="0" containsString="0" containsNumber="1" containsInteger="1" minValue="0" maxValue="200"/>
    </cacheField>
    <cacheField name="Plastic Bucket _LS" numFmtId="0">
      <sharedItems containsSemiMixedTypes="0" containsString="0" containsNumber="1" containsInteger="1" minValue="0" maxValue="200"/>
    </cacheField>
    <cacheField name="Plastic  Mat_LS" numFmtId="0">
      <sharedItems containsSemiMixedTypes="0" containsString="0" containsNumber="1" minValue="0" maxValue="3000"/>
    </cacheField>
    <cacheField name="Winter Clothes Adult_LS" numFmtId="0">
      <sharedItems containsSemiMixedTypes="0" containsString="0" containsNumber="1" containsInteger="1" minValue="0" maxValue="2910"/>
    </cacheField>
    <cacheField name="Winter Clothes Children_LS" numFmtId="0">
      <sharedItems containsSemiMixedTypes="0" containsString="0" containsNumber="1" containsInteger="1" minValue="0" maxValue="5160"/>
    </cacheField>
    <cacheField name="Winter Items Other_LS" numFmtId="0">
      <sharedItems containsSemiMixedTypes="0" containsString="0" containsNumber="1" containsInteger="1" minValue="0" maxValue="0"/>
    </cacheField>
    <cacheField name="Winter Blanket_LS" numFmtId="0">
      <sharedItems containsSemiMixedTypes="0" containsString="0" containsNumber="1" containsInteger="1" minValue="0" maxValue="17900"/>
    </cacheField>
    <cacheField name="Winter" numFmtId="0">
      <sharedItems containsSemiMixedTypes="0" containsString="0" containsNumber="1" containsInteger="1" minValue="0" maxValue="1" count="2">
        <n v="0"/>
        <n v="1"/>
      </sharedItems>
    </cacheField>
    <cacheField name="Jerry Can_LS" numFmtId="0">
      <sharedItems containsSemiMixedTypes="0" containsString="0" containsNumber="1" containsInteger="1" minValue="0" maxValue="400"/>
    </cacheField>
    <cacheField name="Pcode" numFmtId="0">
      <sharedItems/>
    </cacheField>
    <cacheField name="opening_date" numFmtId="1">
      <sharedItems containsMixedTypes="1" containsNumber="1" containsInteger="1" minValue="0" maxValue="1" count="3">
        <n v="0"/>
        <s v=""/>
        <n v="1"/>
      </sharedItems>
    </cacheField>
    <cacheField name="Status" numFmtId="0">
      <sharedItems count="3">
        <s v="Open"/>
        <s v=""/>
        <s v="Closed"/>
      </sharedItems>
    </cacheField>
    <cacheField name="Priority" numFmtId="0">
      <sharedItems count="5">
        <s v="P4"/>
        <s v=""/>
        <s v="P3"/>
        <s v="P1"/>
        <s v="P2"/>
      </sharedItems>
    </cacheField>
    <cacheField name="Coverage" numFmtId="9">
      <sharedItems containsMixedTypes="1" containsNumber="1" minValue="0" maxValue="3.4"/>
    </cacheField>
    <cacheField name="Planned Distribution" numFmtId="0">
      <sharedItems containsBlank="1"/>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05"/>
    <n v="523"/>
    <n v="293"/>
    <n v="190"/>
    <n v="0"/>
    <n v="0"/>
    <n v="125"/>
    <n v="210"/>
    <s v="No"/>
    <n v="0"/>
  </r>
  <r>
    <s v="MMR001CMP046"/>
    <x v="0"/>
    <s v="Gant Gwin"/>
    <s v="Chipwi"/>
    <n v="0"/>
    <n v="0"/>
    <n v="0"/>
    <n v="0"/>
    <n v="0"/>
    <n v="0"/>
    <n v="0"/>
    <n v="0"/>
    <s v=""/>
    <n v="0"/>
  </r>
  <r>
    <s v="MMR001CMP043"/>
    <x v="0"/>
    <s v="Hpare Hkyer - BP6"/>
    <s v="Chipwi"/>
    <n v="155"/>
    <n v="885"/>
    <n v="320"/>
    <n v="465"/>
    <n v="0"/>
    <n v="0"/>
    <n v="0"/>
    <n v="310"/>
    <s v="No"/>
    <n v="0"/>
  </r>
  <r>
    <s v="MMR001CMP045"/>
    <x v="0"/>
    <s v="Lan Jaw "/>
    <s v="Chipwi"/>
    <n v="0"/>
    <n v="0"/>
    <n v="0"/>
    <n v="0"/>
    <n v="0"/>
    <n v="0"/>
    <n v="0"/>
    <n v="0"/>
    <s v=""/>
    <n v="0"/>
  </r>
  <r>
    <s v="MMR001CMP195"/>
    <x v="0"/>
    <s v="Lhaovao Baptist Church (LBC)"/>
    <s v="Chipwi"/>
    <n v="139"/>
    <n v="605"/>
    <n v="350"/>
    <n v="236"/>
    <n v="0"/>
    <n v="0"/>
    <n v="181"/>
    <n v="278"/>
    <s v="No"/>
    <n v="0"/>
  </r>
  <r>
    <s v="MMR001CMP225"/>
    <x v="0"/>
    <s v="Saw Zam"/>
    <s v="Chipwi"/>
    <n v="30"/>
    <n v="163"/>
    <n v="111"/>
    <n v="56"/>
    <n v="0"/>
    <n v="0"/>
    <n v="34"/>
    <n v="60"/>
    <s v="No"/>
    <n v="0"/>
  </r>
  <r>
    <s v="MMR001CMP210"/>
    <x v="0"/>
    <s v="Pan Wa"/>
    <s v="Chipwi"/>
    <n v="68"/>
    <n v="323"/>
    <n v="187"/>
    <n v="137"/>
    <n v="0"/>
    <n v="0"/>
    <n v="67"/>
    <n v="136"/>
    <s v="No"/>
    <n v="0"/>
  </r>
  <r>
    <s v="MMR001CMP115"/>
    <x v="0"/>
    <s v="Hkau Shau (BP 12)"/>
    <s v="Waingmaw"/>
    <n v="181"/>
    <n v="1226"/>
    <n v="728"/>
    <n v="1086"/>
    <n v="0"/>
    <n v="0"/>
    <n v="0"/>
    <n v="362"/>
    <s v="No"/>
    <n v="0"/>
  </r>
  <r>
    <s v="MMR001CMP120"/>
    <x v="0"/>
    <s v="Pajau - Jan Mai"/>
    <s v="Waingmaw"/>
    <n v="191"/>
    <n v="770"/>
    <n v="0"/>
    <n v="0"/>
    <n v="0"/>
    <n v="382"/>
    <n v="573"/>
    <n v="382"/>
    <s v=""/>
    <n v="0"/>
  </r>
  <r>
    <s v="MMR001CMP160"/>
    <x v="0"/>
    <s v="Post 6 Camp"/>
    <s v="Waingmaw"/>
    <n v="144"/>
    <n v="862"/>
    <n v="262"/>
    <n v="400"/>
    <n v="0"/>
    <n v="26"/>
    <n v="32"/>
    <n v="288"/>
    <s v="No"/>
    <n v="0"/>
  </r>
  <r>
    <s v="MMR001CMP113"/>
    <x v="0"/>
    <s v="Border Post 8"/>
    <s v="Waingmaw"/>
    <n v="166"/>
    <n v="720"/>
    <n v="302"/>
    <n v="440"/>
    <n v="0"/>
    <n v="30"/>
    <n v="58"/>
    <n v="332"/>
    <s v="No"/>
    <n v="0"/>
  </r>
  <r>
    <s v="MMR001CMP041"/>
    <x v="0"/>
    <s v="Shing Jai"/>
    <s v="Waingmaw"/>
    <n v="198"/>
    <n v="1017"/>
    <n v="0"/>
    <n v="0"/>
    <n v="0"/>
    <n v="396"/>
    <n v="594"/>
    <n v="396"/>
    <s v=""/>
    <n v="0"/>
  </r>
  <r>
    <s v="MMR001CMP131"/>
    <x v="0"/>
    <s v="Nhkawng Pa "/>
    <s v="Momauk"/>
    <n v="385"/>
    <n v="1699"/>
    <n v="0"/>
    <n v="0"/>
    <n v="0"/>
    <n v="770"/>
    <n v="1155"/>
    <n v="770"/>
    <s v=""/>
    <n v="0"/>
  </r>
  <r>
    <s v="MMR015CMP006"/>
    <x v="0"/>
    <s v="Mungji Pa Dabang (Baptist Church)         "/>
    <s v="Kutkai"/>
    <n v="45"/>
    <n v="211"/>
    <n v="0"/>
    <n v="0"/>
    <n v="0"/>
    <n v="90"/>
    <n v="135"/>
    <n v="90"/>
    <s v=""/>
    <n v="0"/>
  </r>
  <r>
    <s v="MMR015CMP005"/>
    <x v="0"/>
    <s v="Mung Baw "/>
    <s v="Muse"/>
    <n v="123"/>
    <n v="503"/>
    <n v="0"/>
    <n v="0"/>
    <n v="0"/>
    <n v="246"/>
    <n v="369"/>
    <n v="246"/>
    <s v=""/>
    <n v="0"/>
  </r>
  <r>
    <s v="MMR015CMP012"/>
    <x v="0"/>
    <s v="Munekoe Pa (Giwang) - Hka San (Mung  Go  Pa ) "/>
    <s v="Muse"/>
    <n v="21"/>
    <n v="88"/>
    <n v="0"/>
    <n v="0"/>
    <n v="0"/>
    <n v="42"/>
    <n v="63"/>
    <n v="42"/>
    <s v=""/>
    <n v="0"/>
  </r>
  <r>
    <s v="MMR001CMP129"/>
    <x v="1"/>
    <s v="Bum Tsit Pa "/>
    <s v="Mansi"/>
    <n v="174"/>
    <n v="738"/>
    <n v="0"/>
    <n v="0"/>
    <n v="0"/>
    <n v="348"/>
    <n v="522"/>
    <n v="348"/>
    <s v=""/>
    <n v="0"/>
  </r>
  <r>
    <s v="MMR001CMP226"/>
    <x v="1"/>
    <s v="Bum Tsit Pa Camp II"/>
    <s v="Mansi"/>
    <n v="219"/>
    <n v="891"/>
    <n v="0"/>
    <n v="0"/>
    <n v="0"/>
    <n v="438"/>
    <n v="657"/>
    <n v="438"/>
    <s v=""/>
    <n v="0"/>
  </r>
  <r>
    <s v="MMR001CMP128"/>
    <x v="1"/>
    <s v="Lana Zup Ja "/>
    <s v="Mansi"/>
    <n v="543"/>
    <n v="2950"/>
    <n v="0"/>
    <n v="0"/>
    <n v="0"/>
    <n v="1086"/>
    <n v="1629"/>
    <n v="1086"/>
    <s v=""/>
    <n v="0"/>
  </r>
  <r>
    <s v="MMR001CMP135"/>
    <x v="1"/>
    <s v="Lung Kawk  ( Hka Hkye Zup)"/>
    <s v="Mansi"/>
    <n v="83"/>
    <n v="310"/>
    <n v="0"/>
    <n v="0"/>
    <n v="0"/>
    <n v="166"/>
    <n v="249"/>
    <n v="166"/>
    <s v=""/>
    <n v="0"/>
  </r>
  <r>
    <s v="MMR001CMP122"/>
    <x v="1"/>
    <s v="Hpun Lum Yang "/>
    <s v="Momauk"/>
    <n v="479"/>
    <n v="2388"/>
    <n v="850"/>
    <n v="1474"/>
    <n v="0"/>
    <n v="108"/>
    <n v="0"/>
    <n v="958"/>
    <s v="No"/>
    <n v="0"/>
  </r>
  <r>
    <s v="MMR001CMP121"/>
    <x v="1"/>
    <s v="Je Yang Hka "/>
    <s v="Momauk"/>
    <n v="1658"/>
    <n v="8585"/>
    <n v="2910"/>
    <n v="5160"/>
    <n v="0"/>
    <n v="406"/>
    <n v="0"/>
    <n v="3316"/>
    <s v="No"/>
    <n v="0"/>
  </r>
  <r>
    <s v="MMR001CMP126"/>
    <x v="1"/>
    <s v="Pa Kahtawng "/>
    <s v="Momauk"/>
    <n v="840"/>
    <n v="3249"/>
    <n v="0"/>
    <n v="0"/>
    <n v="0"/>
    <n v="1680"/>
    <n v="2520"/>
    <n v="1680"/>
    <s v=""/>
    <n v="0"/>
  </r>
  <r>
    <s v="MMR001CMP123"/>
    <x v="1"/>
    <s v="Dum Bung "/>
    <s v="Momauk"/>
    <n v="116"/>
    <n v="602"/>
    <n v="0"/>
    <n v="0"/>
    <n v="0"/>
    <n v="232"/>
    <n v="348"/>
    <n v="232"/>
    <s v=""/>
    <n v="0"/>
  </r>
  <r>
    <s v="MMR001CMP208"/>
    <x v="1"/>
    <s v="IDP Boarding School, A Len Bum"/>
    <s v="Waingmaw"/>
    <n v="0"/>
    <n v="1047"/>
    <n v="0"/>
    <n v="0"/>
    <n v="0"/>
    <n v="0"/>
    <n v="0"/>
    <n v="0"/>
    <s v=""/>
    <n v="0"/>
  </r>
  <r>
    <s v="MMR001CMP117"/>
    <x v="1"/>
    <s v="Laiza Market 3 - Laiza Gat"/>
    <s v="Waingmaw"/>
    <n v="497"/>
    <n v="2299"/>
    <n v="0"/>
    <n v="0"/>
    <n v="0"/>
    <n v="994"/>
    <n v="1491"/>
    <n v="994"/>
    <s v=""/>
    <n v="0"/>
  </r>
  <r>
    <s v="MMR001CMP111"/>
    <x v="1"/>
    <s v="Zai Awng - Mung Ga Zup"/>
    <s v="Waingmaw"/>
    <n v="646"/>
    <n v="2440"/>
    <n v="0"/>
    <n v="0"/>
    <n v="0"/>
    <n v="1292"/>
    <n v="1938"/>
    <n v="1292"/>
    <s v=""/>
    <n v="0"/>
  </r>
  <r>
    <s v="MMR001CMP119"/>
    <x v="1"/>
    <s v="Maga Yang "/>
    <s v="Waingmaw"/>
    <n v="645"/>
    <n v="2934"/>
    <n v="0"/>
    <n v="0"/>
    <n v="0"/>
    <n v="1290"/>
    <n v="1935"/>
    <n v="1290"/>
    <s v=""/>
    <n v="0"/>
  </r>
  <r>
    <s v="MMR015CMP009"/>
    <x v="1"/>
    <s v="Mandung - Jinghpaw"/>
    <s v="Manton"/>
    <n v="38"/>
    <n v="143"/>
    <n v="0"/>
    <n v="0"/>
    <n v="0"/>
    <n v="76"/>
    <n v="114"/>
    <n v="76"/>
    <s v=""/>
    <n v="0"/>
  </r>
  <r>
    <s v="MMR015CMP139"/>
    <x v="1"/>
    <s v="Nam Hkawng"/>
    <s v="Muse"/>
    <n v="11"/>
    <n v="32"/>
    <n v="0"/>
    <n v="0"/>
    <n v="0"/>
    <n v="22"/>
    <n v="33"/>
    <n v="22"/>
    <s v=""/>
    <n v="0"/>
  </r>
  <r>
    <s v="MMR001CMP071"/>
    <x v="2"/>
    <s v="Loi Je Baptist Church"/>
    <s v="Momauk"/>
    <n v="29"/>
    <n v="137"/>
    <n v="112"/>
    <n v="59"/>
    <n v="0"/>
    <n v="0"/>
    <n v="28"/>
    <n v="58"/>
    <s v="No"/>
    <n v="0"/>
  </r>
  <r>
    <s v="MMR001CMP069"/>
    <x v="2"/>
    <s v="Loi Je Catholic Church"/>
    <s v="Momauk"/>
    <n v="100"/>
    <n v="516"/>
    <n v="203"/>
    <n v="102"/>
    <n v="0"/>
    <n v="0"/>
    <n v="198"/>
    <n v="200"/>
    <s v="No"/>
    <n v="0"/>
  </r>
  <r>
    <s v="MMR001CMP070"/>
    <x v="2"/>
    <s v="Loi Je Lisu Camp"/>
    <s v="Momauk"/>
    <n v="150"/>
    <n v="912"/>
    <n v="591"/>
    <n v="347"/>
    <n v="0"/>
    <n v="0"/>
    <n v="103"/>
    <n v="300"/>
    <s v="No"/>
    <n v="0"/>
  </r>
  <r>
    <s v="MMR001CMP073"/>
    <x v="2"/>
    <s v="Seng Ja "/>
    <s v="Momauk"/>
    <n v="33"/>
    <n v="195"/>
    <n v="155"/>
    <n v="73"/>
    <n v="0"/>
    <n v="0"/>
    <n v="26"/>
    <n v="66"/>
    <s v="No"/>
    <n v="0"/>
  </r>
  <r>
    <s v="MMR001CMP072"/>
    <x v="2"/>
    <s v="Nyaung Na Pin "/>
    <s v="Momauk"/>
    <n v="47"/>
    <n v="274"/>
    <n v="195"/>
    <n v="91"/>
    <n v="0"/>
    <n v="0"/>
    <n v="50"/>
    <n v="94"/>
    <s v="No"/>
    <n v="0"/>
  </r>
  <r>
    <s v="MMR001CMP221"/>
    <x v="2"/>
    <s v="Machanbaw - KBC"/>
    <s v="Machanbaw"/>
    <n v="8"/>
    <n v="37"/>
    <n v="20"/>
    <n v="8"/>
    <n v="0"/>
    <n v="0"/>
    <n v="16"/>
    <n v="16"/>
    <s v="No"/>
    <n v="0"/>
  </r>
  <r>
    <s v="MMR001CMP227"/>
    <x v="2"/>
    <s v="Inn Lel Yan - Host Families"/>
    <s v="Puta-O"/>
    <n v="10"/>
    <n v="56"/>
    <n v="0"/>
    <n v="0"/>
    <n v="0"/>
    <n v="20"/>
    <n v="30"/>
    <n v="20"/>
    <s v=""/>
    <n v="0"/>
  </r>
  <r>
    <s v="MMR001CMP220"/>
    <x v="2"/>
    <s v="Naung Khaing"/>
    <s v="Puta-O"/>
    <n v="23"/>
    <n v="91"/>
    <n v="52"/>
    <n v="16"/>
    <n v="0"/>
    <n v="0"/>
    <n v="53"/>
    <n v="46"/>
    <s v="No"/>
    <n v="0"/>
  </r>
  <r>
    <s v="MMR001CMP075"/>
    <x v="2"/>
    <s v="Tote Tan Ward"/>
    <s v="Puta-O"/>
    <n v="14"/>
    <n v="64"/>
    <n v="72"/>
    <n v="11"/>
    <n v="0"/>
    <n v="0"/>
    <n v="31"/>
    <n v="28"/>
    <s v="No"/>
    <n v="0"/>
  </r>
  <r>
    <s v="MMR015CMP015"/>
    <x v="2"/>
    <s v="Kone Khem Camp"/>
    <s v="Kutkai"/>
    <n v="85"/>
    <n v="325"/>
    <n v="0"/>
    <n v="0"/>
    <n v="0"/>
    <n v="170"/>
    <n v="255"/>
    <n v="170"/>
    <s v=""/>
    <n v="0"/>
  </r>
  <r>
    <s v="MMR015CMP016"/>
    <x v="2"/>
    <s v="Kutkai downtown (KBC Church)"/>
    <s v="Kutkai"/>
    <n v="84"/>
    <n v="355"/>
    <n v="0"/>
    <n v="0"/>
    <n v="0"/>
    <n v="168"/>
    <n v="252"/>
    <n v="168"/>
    <s v=""/>
    <n v="0"/>
  </r>
  <r>
    <s v="MMR015CMP017"/>
    <x v="2"/>
    <s v="Kutkai downtown (RC Church)"/>
    <s v="Kutkai"/>
    <n v="41"/>
    <n v="172"/>
    <n v="0"/>
    <n v="0"/>
    <n v="0"/>
    <n v="82"/>
    <n v="123"/>
    <n v="82"/>
    <s v=""/>
    <n v="0"/>
  </r>
  <r>
    <s v="MMR015CMP018"/>
    <x v="2"/>
    <s v="Mine Yu Lay village"/>
    <s v="Kutkai"/>
    <n v="76"/>
    <n v="403"/>
    <n v="0"/>
    <n v="0"/>
    <n v="0"/>
    <n v="152"/>
    <n v="228"/>
    <n v="152"/>
    <s v=""/>
    <n v="0"/>
  </r>
  <r>
    <s v="MMR015CMP007"/>
    <x v="2"/>
    <s v="Nam Hpak Ka Mare "/>
    <s v="Kutkai"/>
    <n v="75"/>
    <n v="269"/>
    <n v="0"/>
    <n v="0"/>
    <n v="0"/>
    <n v="150"/>
    <n v="225"/>
    <n v="150"/>
    <s v=""/>
    <n v="0"/>
  </r>
  <r>
    <s v="MMR015CMP020"/>
    <x v="2"/>
    <s v="Zup Aung Camp"/>
    <s v="Kutkai"/>
    <n v="118"/>
    <n v="649"/>
    <n v="0"/>
    <n v="0"/>
    <n v="0"/>
    <n v="236"/>
    <n v="354"/>
    <n v="236"/>
    <s v=""/>
    <n v="0"/>
  </r>
  <r>
    <s v="MMR015CMP209"/>
    <x v="2"/>
    <s v="Mandung - RC"/>
    <s v="Manton"/>
    <n v="26"/>
    <n v="147"/>
    <n v="0"/>
    <n v="0"/>
    <n v="0"/>
    <n v="52"/>
    <n v="78"/>
    <n v="52"/>
    <s v=""/>
    <n v="0"/>
  </r>
  <r>
    <s v="MMR015CMP010"/>
    <x v="2"/>
    <s v="Howa"/>
    <s v="Muse"/>
    <n v="32"/>
    <n v="0"/>
    <n v="0"/>
    <n v="0"/>
    <n v="0"/>
    <n v="64"/>
    <n v="96"/>
    <n v="64"/>
    <s v=""/>
    <n v="0"/>
  </r>
  <r>
    <s v="MMR015CMP011"/>
    <x v="2"/>
    <s v="Nam Hkyet"/>
    <s v="Muse"/>
    <n v="6"/>
    <n v="0"/>
    <n v="0"/>
    <n v="0"/>
    <n v="0"/>
    <n v="12"/>
    <n v="18"/>
    <n v="12"/>
    <s v=""/>
    <n v="0"/>
  </r>
  <r>
    <s v="MMR015CMP004"/>
    <x v="2"/>
    <s v="Nam Hkam - Nay Win Ni (Palawng)"/>
    <s v="Namhkan"/>
    <n v="76"/>
    <n v="302"/>
    <n v="0"/>
    <n v="0"/>
    <n v="0"/>
    <n v="152"/>
    <n v="228"/>
    <n v="152"/>
    <s v=""/>
    <n v="0"/>
  </r>
  <r>
    <s v="MMR015CMP001"/>
    <x v="2"/>
    <s v="Nam Hkam (KBC Jaw Wang)"/>
    <s v="Namhkan"/>
    <n v="73"/>
    <n v="410"/>
    <n v="0"/>
    <n v="0"/>
    <n v="0"/>
    <n v="146"/>
    <n v="219"/>
    <n v="146"/>
    <s v=""/>
    <n v="0"/>
  </r>
  <r>
    <s v="MMR015CMP003"/>
    <x v="2"/>
    <s v="Nam Hkam Catholic Church ( St. Thomas I)"/>
    <s v="Namhkan"/>
    <n v="93"/>
    <n v="337"/>
    <n v="0"/>
    <n v="0"/>
    <n v="0"/>
    <n v="186"/>
    <n v="279"/>
    <n v="186"/>
    <s v=""/>
    <n v="0"/>
  </r>
  <r>
    <s v="MMR015CMP014"/>
    <x v="2"/>
    <s v="Nam Tu Baptist"/>
    <s v="Namtu"/>
    <n v="12"/>
    <n v="51"/>
    <n v="0"/>
    <n v="0"/>
    <n v="0"/>
    <n v="24"/>
    <n v="36"/>
    <n v="24"/>
    <s v=""/>
    <n v="0"/>
  </r>
  <r>
    <s v="MMR015CMP210"/>
    <x v="2"/>
    <s v="Nam Tu RC"/>
    <s v="Namtu"/>
    <n v="118"/>
    <n v="520"/>
    <n v="0"/>
    <n v="0"/>
    <n v="0"/>
    <n v="236"/>
    <n v="354"/>
    <n v="236"/>
    <s v=""/>
    <n v="0"/>
  </r>
  <r>
    <s v="MMR001CMP179"/>
    <x v="3"/>
    <s v="5 Ward Baptist Church(lon Khin)"/>
    <s v="Hpakant"/>
    <n v="77"/>
    <n v="357"/>
    <n v="229"/>
    <n v="126"/>
    <n v="0"/>
    <n v="0"/>
    <n v="105"/>
    <n v="154"/>
    <s v="No"/>
    <n v="0"/>
  </r>
  <r>
    <s v="MMR001CMP168"/>
    <x v="3"/>
    <s v="5 Ward RC Church(lon Khin)"/>
    <s v="Hpakant"/>
    <n v="83"/>
    <n v="424"/>
    <n v="223"/>
    <n v="96"/>
    <n v="0"/>
    <n v="0"/>
    <n v="153"/>
    <n v="166"/>
    <s v="No"/>
    <n v="0"/>
  </r>
  <r>
    <s v="MMR001CMP050"/>
    <x v="3"/>
    <s v="AD-2000 Tharthana Compound"/>
    <s v="Bhamo"/>
    <n v="280"/>
    <n v="1262"/>
    <n v="0"/>
    <n v="0"/>
    <n v="0"/>
    <n v="560"/>
    <n v="840"/>
    <n v="560"/>
    <s v=""/>
    <n v="0"/>
  </r>
  <r>
    <s v="MMR001CMP176"/>
    <x v="3"/>
    <s v="AG Church, Hmaw Si Sa"/>
    <s v="Hpakant"/>
    <n v="67"/>
    <n v="338"/>
    <n v="232"/>
    <n v="105"/>
    <n v="0"/>
    <n v="0"/>
    <n v="96"/>
    <n v="134"/>
    <s v="No"/>
    <n v="0"/>
  </r>
  <r>
    <s v="MMR001CMP190"/>
    <x v="3"/>
    <s v="AG Church, Maw Wan"/>
    <s v="Hpakant"/>
    <n v="15"/>
    <n v="82"/>
    <n v="55"/>
    <n v="27"/>
    <n v="0"/>
    <n v="0"/>
    <n v="18"/>
    <n v="30"/>
    <s v="No"/>
    <n v="0"/>
  </r>
  <r>
    <s v="MMR001CMP194"/>
    <x v="3"/>
    <s v="Aung Thar Church"/>
    <s v="Bhamo"/>
    <n v="13"/>
    <n v="59"/>
    <n v="0"/>
    <n v="0"/>
    <n v="0"/>
    <n v="26"/>
    <n v="39"/>
    <n v="26"/>
    <s v=""/>
    <n v="0"/>
  </r>
  <r>
    <s v="MMR001CMP216"/>
    <x v="3"/>
    <s v="Ban Hkung Yang"/>
    <s v="Mansi"/>
    <n v="0"/>
    <n v="0"/>
    <n v="0"/>
    <n v="0"/>
    <n v="0"/>
    <n v="0"/>
    <n v="0"/>
    <n v="0"/>
    <s v=""/>
    <n v="0"/>
  </r>
  <r>
    <s v="MMR001CMP169"/>
    <x v="3"/>
    <s v="Baptist Church, Hmaw Si Sar(Lon Khin)"/>
    <s v="Hpakant"/>
    <n v="38"/>
    <n v="211"/>
    <n v="123"/>
    <n v="104"/>
    <n v="0"/>
    <n v="0"/>
    <n v="10"/>
    <n v="76"/>
    <s v="No"/>
    <n v="0"/>
  </r>
  <r>
    <s v="MMR001CMP188"/>
    <x v="3"/>
    <s v="Baptist Church, Naung Hmee VT"/>
    <s v="Hpakant"/>
    <n v="15"/>
    <n v="78"/>
    <n v="48"/>
    <n v="30"/>
    <n v="0"/>
    <n v="0"/>
    <n v="15"/>
    <n v="30"/>
    <s v="No"/>
    <n v="0"/>
  </r>
  <r>
    <s v="MMR001CMP109"/>
    <x v="3"/>
    <s v="Chin Church, Seik Mu"/>
    <s v="Hpakant"/>
    <n v="5"/>
    <n v="26"/>
    <n v="15"/>
    <n v="10"/>
    <n v="0"/>
    <n v="0"/>
    <n v="5"/>
    <n v="10"/>
    <s v="No"/>
    <n v="0"/>
  </r>
  <r>
    <s v="MMR001CMP174"/>
    <x v="3"/>
    <s v="Dhama Rakhita, Nyein Chan Tar Yar Ward(Lon Khin)"/>
    <s v="Hpakant"/>
    <n v="65"/>
    <n v="329"/>
    <n v="214"/>
    <n v="112"/>
    <n v="0"/>
    <n v="0"/>
    <n v="83"/>
    <n v="130"/>
    <s v="No"/>
    <n v="0"/>
  </r>
  <r>
    <s v="MMR001CMP012"/>
    <x v="3"/>
    <s v="Du Kahtawng Qtr. 14"/>
    <s v="Myitkyina"/>
    <n v="6"/>
    <n v="28"/>
    <n v="0"/>
    <n v="0"/>
    <n v="0"/>
    <n v="12"/>
    <n v="18"/>
    <n v="12"/>
    <s v=""/>
    <n v="0"/>
  </r>
  <r>
    <s v="MMR001CMP010"/>
    <x v="3"/>
    <s v="Du Kahtawng Qtr. 4"/>
    <s v="Myitkyina"/>
    <n v="6"/>
    <n v="39"/>
    <n v="0"/>
    <n v="0"/>
    <n v="0"/>
    <n v="12"/>
    <n v="18"/>
    <n v="12"/>
    <s v=""/>
    <n v="0"/>
  </r>
  <r>
    <s v="MMR001CMP011"/>
    <x v="3"/>
    <s v="Du Kahtawng Qtr. 5"/>
    <s v="Myitkyina"/>
    <n v="8"/>
    <n v="30"/>
    <n v="0"/>
    <n v="0"/>
    <n v="0"/>
    <n v="16"/>
    <n v="24"/>
    <n v="16"/>
    <s v=""/>
    <n v="0"/>
  </r>
  <r>
    <s v="MMR001CMP028"/>
    <x v="3"/>
    <s v="Hkat Cho "/>
    <s v="Waingmaw"/>
    <n v="134"/>
    <n v="591"/>
    <n v="0"/>
    <n v="0"/>
    <n v="0"/>
    <n v="268"/>
    <n v="402"/>
    <n v="268"/>
    <s v=""/>
    <n v="0"/>
  </r>
  <r>
    <s v="MMR001CMP148"/>
    <x v="3"/>
    <s v="Hlaing Naung Baptist"/>
    <s v="Hpakant"/>
    <n v="23"/>
    <n v="67"/>
    <n v="37"/>
    <n v="24"/>
    <n v="0"/>
    <n v="9"/>
    <n v="45"/>
    <n v="46"/>
    <s v="No"/>
    <n v="0"/>
  </r>
  <r>
    <s v="MMR001CMP191"/>
    <x v="3"/>
    <s v="Hmaw Wan, Anglican"/>
    <s v="Hpakant"/>
    <n v="10"/>
    <n v="57"/>
    <n v="33"/>
    <n v="24"/>
    <n v="0"/>
    <n v="0"/>
    <n v="6"/>
    <n v="20"/>
    <s v="No"/>
    <n v="0"/>
  </r>
  <r>
    <s v="MMR001CMP163"/>
    <x v="3"/>
    <s v="Host Families"/>
    <s v="Bhamo"/>
    <n v="335"/>
    <n v="1475"/>
    <n v="0"/>
    <n v="0"/>
    <n v="0"/>
    <n v="670"/>
    <n v="1005"/>
    <n v="670"/>
    <s v=""/>
    <n v="0"/>
  </r>
  <r>
    <s v="MMR001CMP196"/>
    <x v="3"/>
    <s v="Host Families"/>
    <s v="Mansi"/>
    <n v="279"/>
    <n v="1031"/>
    <n v="0"/>
    <n v="0"/>
    <n v="0"/>
    <n v="558"/>
    <n v="837"/>
    <n v="558"/>
    <s v=""/>
    <n v="0"/>
  </r>
  <r>
    <s v="MMR001CMP197"/>
    <x v="3"/>
    <s v="Host Families"/>
    <s v="Momauk"/>
    <n v="278"/>
    <n v="1031"/>
    <n v="0"/>
    <n v="0"/>
    <n v="0"/>
    <n v="556"/>
    <n v="834"/>
    <n v="556"/>
    <s v=""/>
    <n v="0"/>
  </r>
  <r>
    <s v="MMR001CMP199"/>
    <x v="3"/>
    <s v="Host Families"/>
    <s v="Shwegu"/>
    <n v="9"/>
    <n v="30"/>
    <n v="0"/>
    <n v="0"/>
    <n v="0"/>
    <n v="18"/>
    <n v="27"/>
    <n v="18"/>
    <s v=""/>
    <n v="0"/>
  </r>
  <r>
    <s v="MMR015CMP022"/>
    <x v="3"/>
    <s v="Hpai Kawng Mare"/>
    <s v="Muse"/>
    <n v="32"/>
    <n v="187"/>
    <n v="0"/>
    <n v="0"/>
    <n v="0"/>
    <n v="64"/>
    <n v="96"/>
    <n v="64"/>
    <s v=""/>
    <n v="0"/>
  </r>
  <r>
    <s v="MMR001CMP229"/>
    <x v="3"/>
    <s v="Hpakant Baptist Church, Nam Ma Hpit"/>
    <s v="Hpakant"/>
    <n v="66"/>
    <n v="309"/>
    <n v="186"/>
    <n v="125"/>
    <n v="0"/>
    <n v="0"/>
    <n v="73"/>
    <n v="132"/>
    <s v="No"/>
    <n v="0"/>
  </r>
  <r>
    <s v="MMR001CMP052"/>
    <x v="3"/>
    <s v="Htoi San Church"/>
    <s v="Bhamo"/>
    <n v="44"/>
    <n v="217"/>
    <n v="0"/>
    <n v="0"/>
    <n v="0"/>
    <n v="88"/>
    <n v="132"/>
    <n v="88"/>
    <s v=""/>
    <n v="0"/>
  </r>
  <r>
    <s v="MMR001CMP018"/>
    <x v="3"/>
    <s v="Jan Mai Kawng Baptist Church"/>
    <s v="Myitkyina"/>
    <n v="203"/>
    <n v="974"/>
    <n v="0"/>
    <n v="0"/>
    <n v="0"/>
    <n v="406"/>
    <n v="609"/>
    <n v="406"/>
    <s v=""/>
    <n v="0"/>
  </r>
  <r>
    <s v="MMR001CMP019"/>
    <x v="3"/>
    <s v="Jan Mai Kawng Catholic Church"/>
    <s v="Myitkyina"/>
    <n v="108"/>
    <n v="482"/>
    <n v="0"/>
    <n v="0"/>
    <n v="0"/>
    <n v="216"/>
    <n v="324"/>
    <n v="216"/>
    <s v=""/>
    <n v="0"/>
  </r>
  <r>
    <s v="MMR001CMP200"/>
    <x v="3"/>
    <s v="Khun Sint Village"/>
    <s v="Momauk"/>
    <n v="4"/>
    <n v="26"/>
    <n v="0"/>
    <n v="0"/>
    <n v="0"/>
    <n v="8"/>
    <n v="12"/>
    <n v="8"/>
    <s v=""/>
    <n v="0"/>
  </r>
  <r>
    <s v="MMR001CMP013"/>
    <x v="3"/>
    <s v="Kyun Pin Thar Baptist Church"/>
    <s v="Myitkyina"/>
    <n v="45"/>
    <n v="187"/>
    <n v="0"/>
    <n v="0"/>
    <n v="0"/>
    <n v="90"/>
    <n v="135"/>
    <n v="90"/>
    <s v=""/>
    <n v="0"/>
  </r>
  <r>
    <s v="MMR001CMP078"/>
    <x v="3"/>
    <s v="Kyun Taw Baptist Church "/>
    <s v="Mogaung"/>
    <n v="13"/>
    <n v="50"/>
    <n v="0"/>
    <n v="0"/>
    <n v="0"/>
    <n v="26"/>
    <n v="39"/>
    <n v="26"/>
    <s v=""/>
    <n v="0"/>
  </r>
  <r>
    <s v="MMR001CMP074"/>
    <x v="3"/>
    <s v="La Ja"/>
    <s v="Khaunglanhpu"/>
    <n v="11"/>
    <n v="17"/>
    <n v="0"/>
    <n v="0"/>
    <n v="0"/>
    <n v="22"/>
    <n v="33"/>
    <n v="22"/>
    <s v=""/>
    <n v="0"/>
  </r>
  <r>
    <s v="MMR001CMP202"/>
    <x v="3"/>
    <s v="Lagatyan "/>
    <s v="Mansi"/>
    <n v="0"/>
    <n v="0"/>
    <n v="0"/>
    <n v="0"/>
    <n v="0"/>
    <n v="0"/>
    <n v="0"/>
    <n v="0"/>
    <s v=""/>
    <n v="0"/>
  </r>
  <r>
    <s v="MMR001CMP149"/>
    <x v="3"/>
    <s v="Laiza Muklum Hpyen  Yen Mungshawa ni"/>
    <s v="Waingmaw"/>
    <n v="355"/>
    <n v="4450"/>
    <n v="0"/>
    <n v="0"/>
    <n v="0"/>
    <n v="710"/>
    <n v="1065"/>
    <n v="710"/>
    <s v=""/>
    <n v="0"/>
  </r>
  <r>
    <s v="MMR001CMP147"/>
    <x v="3"/>
    <s v="Lawk Awng Mare D. (Sinbo Area)"/>
    <s v="Shwegu"/>
    <n v="375"/>
    <n v="1691"/>
    <n v="0"/>
    <n v="0"/>
    <n v="0"/>
    <n v="750"/>
    <n v="1125"/>
    <n v="750"/>
    <s v=""/>
    <n v="0"/>
  </r>
  <r>
    <s v="MMR001CMP015"/>
    <x v="3"/>
    <s v="Le Kone Bethlehem Church"/>
    <s v="Myitkyina"/>
    <n v="87"/>
    <n v="467"/>
    <n v="0"/>
    <n v="0"/>
    <n v="0"/>
    <n v="174"/>
    <n v="261"/>
    <n v="174"/>
    <s v=""/>
    <n v="0"/>
  </r>
  <r>
    <s v="MMR001CMP014"/>
    <x v="3"/>
    <s v="Le Kone Ziun Baptist Church "/>
    <s v="Myitkyina"/>
    <n v="146"/>
    <n v="751"/>
    <n v="0"/>
    <n v="0"/>
    <n v="0"/>
    <n v="292"/>
    <n v="438"/>
    <n v="292"/>
    <s v=""/>
    <n v="0"/>
  </r>
  <r>
    <s v="MMR001CMP181"/>
    <x v="3"/>
    <s v="Lisu Baptist Church, Maw Shan Vil,. Seik Mu"/>
    <s v="Hpakant"/>
    <n v="25"/>
    <n v="137"/>
    <n v="90"/>
    <n v="39"/>
    <n v="0"/>
    <n v="0"/>
    <n v="36"/>
    <n v="50"/>
    <s v="No"/>
    <n v="0"/>
  </r>
  <r>
    <s v="MMR001CMP167"/>
    <x v="3"/>
    <s v="Lisu Baptist Church, Maw Wan Ward"/>
    <s v="Hpakant"/>
    <n v="15"/>
    <n v="72"/>
    <n v="48"/>
    <n v="23"/>
    <n v="0"/>
    <n v="0"/>
    <n v="22"/>
    <n v="30"/>
    <s v="No"/>
    <n v="0"/>
  </r>
  <r>
    <s v="MMR001CMP049"/>
    <x v="3"/>
    <s v="Lisu Boarding-House"/>
    <s v="Bhamo"/>
    <n v="80"/>
    <n v="422"/>
    <n v="0"/>
    <n v="0"/>
    <n v="0"/>
    <n v="160"/>
    <n v="240"/>
    <n v="160"/>
    <s v=""/>
    <n v="0"/>
  </r>
  <r>
    <s v="MMR001CMP027"/>
    <x v="3"/>
    <s v="Mading Baptist Church"/>
    <s v="Waingmaw"/>
    <n v="23"/>
    <n v="120"/>
    <n v="0"/>
    <n v="0"/>
    <n v="0"/>
    <n v="46"/>
    <n v="69"/>
    <n v="46"/>
    <s v=""/>
    <n v="0"/>
  </r>
  <r>
    <s v="MMR001CMP064"/>
    <x v="3"/>
    <s v="Mai Khat "/>
    <s v="Momauk"/>
    <n v="2"/>
    <n v="9"/>
    <n v="0"/>
    <n v="0"/>
    <n v="0"/>
    <n v="4"/>
    <n v="6"/>
    <n v="4"/>
    <s v=""/>
    <n v="0"/>
  </r>
  <r>
    <s v="MMR001CMP031"/>
    <x v="3"/>
    <s v="Maina AG Church"/>
    <s v="Waingmaw"/>
    <n v="143"/>
    <n v="724"/>
    <n v="0"/>
    <n v="0"/>
    <n v="0"/>
    <n v="286"/>
    <n v="429"/>
    <n v="286"/>
    <s v=""/>
    <n v="0"/>
  </r>
  <r>
    <s v="MMR001CMP029"/>
    <x v="3"/>
    <s v="Maina Catholic Church (St. Joseph)"/>
    <s v="Waingmaw"/>
    <n v="238"/>
    <n v="1234"/>
    <n v="0"/>
    <n v="0"/>
    <n v="0"/>
    <n v="476"/>
    <n v="714"/>
    <n v="476"/>
    <s v=""/>
    <n v="0"/>
  </r>
  <r>
    <s v="MMR001CMP040"/>
    <x v="3"/>
    <s v="Maina KBC (Bawng Ring)"/>
    <s v="Waingmaw"/>
    <n v="420"/>
    <n v="1845"/>
    <n v="0"/>
    <n v="0"/>
    <n v="0"/>
    <n v="840"/>
    <n v="1260"/>
    <n v="840"/>
    <s v=""/>
    <n v="0"/>
  </r>
  <r>
    <s v="MMR001CMP039"/>
    <x v="3"/>
    <s v="Maina Lawang Baptist Church"/>
    <s v="Waingmaw"/>
    <n v="49"/>
    <n v="197"/>
    <n v="0"/>
    <n v="0"/>
    <n v="0"/>
    <n v="98"/>
    <n v="147"/>
    <n v="98"/>
    <s v=""/>
    <n v="0"/>
  </r>
  <r>
    <s v="MMR001CMP218"/>
    <x v="3"/>
    <s v="Maing Khaung"/>
    <s v="Mansi"/>
    <n v="241"/>
    <n v="912"/>
    <n v="0"/>
    <n v="0"/>
    <n v="0"/>
    <n v="482"/>
    <n v="723"/>
    <n v="482"/>
    <s v=""/>
    <n v="0"/>
  </r>
  <r>
    <s v="MMR001CMP223"/>
    <x v="3"/>
    <s v="Maing Khaung Catholic Church"/>
    <s v="Mansi"/>
    <n v="63"/>
    <n v="120"/>
    <n v="0"/>
    <n v="0"/>
    <n v="0"/>
    <n v="126"/>
    <n v="189"/>
    <n v="126"/>
    <s v=""/>
    <n v="0"/>
  </r>
  <r>
    <s v="MMR001CMP016"/>
    <x v="3"/>
    <s v="Maliyang Baptist Church"/>
    <s v="Myitkyina"/>
    <n v="72"/>
    <n v="316"/>
    <n v="0"/>
    <n v="0"/>
    <n v="0"/>
    <n v="144"/>
    <n v="216"/>
    <n v="144"/>
    <s v=""/>
    <n v="0"/>
  </r>
  <r>
    <s v="MMR001CMP062"/>
    <x v="3"/>
    <s v="Man Bung Catholic compound"/>
    <s v="Momauk"/>
    <n v="401"/>
    <n v="1596"/>
    <n v="0"/>
    <n v="0"/>
    <n v="0"/>
    <n v="802"/>
    <n v="1203"/>
    <n v="802"/>
    <s v=""/>
    <n v="0"/>
  </r>
  <r>
    <s v="MMR001CMP008"/>
    <x v="3"/>
    <s v="Man Hkring Baptist Church"/>
    <s v="Myitkyina"/>
    <n v="95"/>
    <n v="411"/>
    <n v="0"/>
    <n v="0"/>
    <n v="0"/>
    <n v="190"/>
    <n v="285"/>
    <n v="190"/>
    <s v=""/>
    <n v="0"/>
  </r>
  <r>
    <s v="MMR001CMP063"/>
    <x v="3"/>
    <s v="Man Nawng "/>
    <s v="Momauk"/>
    <n v="28"/>
    <n v="136"/>
    <n v="0"/>
    <n v="0"/>
    <n v="0"/>
    <n v="56"/>
    <n v="84"/>
    <n v="56"/>
    <s v=""/>
    <n v="0"/>
  </r>
  <r>
    <s v="MMR001CMP198"/>
    <x v="3"/>
    <s v="Man Ting"/>
    <s v="Momauk"/>
    <n v="0"/>
    <n v="0"/>
    <n v="0"/>
    <n v="0"/>
    <n v="0"/>
    <n v="0"/>
    <n v="0"/>
    <n v="0"/>
    <s v=""/>
    <n v="0"/>
  </r>
  <r>
    <s v="MMR001CMP133"/>
    <x v="3"/>
    <s v="Man Wing Baptist Church"/>
    <s v="Mansi"/>
    <n v="115"/>
    <n v="559"/>
    <n v="0"/>
    <n v="0"/>
    <n v="0"/>
    <n v="230"/>
    <n v="345"/>
    <n v="230"/>
    <s v=""/>
    <n v="0"/>
  </r>
  <r>
    <s v="MMR001CMP132"/>
    <x v="3"/>
    <s v="Man Wing Catholic Church"/>
    <s v="Mansi"/>
    <n v="575"/>
    <n v="2617"/>
    <n v="0"/>
    <n v="0"/>
    <n v="0"/>
    <n v="1150"/>
    <n v="1725"/>
    <n v="1150"/>
    <s v=""/>
    <n v="0"/>
  </r>
  <r>
    <s v="MMR001CMP228"/>
    <x v="3"/>
    <s v="Man Wing Catholic Church II"/>
    <s v="Mansi"/>
    <n v="167"/>
    <n v="840"/>
    <n v="0"/>
    <n v="0"/>
    <n v="0"/>
    <n v="334"/>
    <n v="501"/>
    <n v="334"/>
    <s v=""/>
    <n v="0"/>
  </r>
  <r>
    <s v="MMR001CMP134"/>
    <x v="3"/>
    <s v="Man Wing Host Families"/>
    <s v="Mansi"/>
    <n v="183"/>
    <n v="741"/>
    <n v="0"/>
    <n v="0"/>
    <n v="0"/>
    <n v="366"/>
    <n v="549"/>
    <n v="366"/>
    <s v=""/>
    <n v="0"/>
  </r>
  <r>
    <s v="MMR001CMP058"/>
    <x v="3"/>
    <s v="Mandalay Monestry"/>
    <s v="Momauk"/>
    <n v="4"/>
    <n v="16"/>
    <n v="0"/>
    <n v="0"/>
    <n v="0"/>
    <n v="8"/>
    <n v="12"/>
    <n v="8"/>
    <s v=""/>
    <n v="0"/>
  </r>
  <r>
    <s v="MMR001CMP077"/>
    <x v="3"/>
    <s v="Mang Hawng Baptist Church"/>
    <s v="Mogaung"/>
    <n v="14"/>
    <n v="61"/>
    <n v="0"/>
    <n v="0"/>
    <n v="0"/>
    <n v="28"/>
    <n v="42"/>
    <n v="28"/>
    <s v=""/>
    <n v="0"/>
  </r>
  <r>
    <s v="MMR001CMP066"/>
    <x v="3"/>
    <s v="Mansi Baptist Church"/>
    <s v="Mansi"/>
    <n v="130"/>
    <n v="563"/>
    <n v="0"/>
    <n v="0"/>
    <n v="0"/>
    <n v="260"/>
    <n v="390"/>
    <n v="260"/>
    <s v=""/>
    <n v="0"/>
  </r>
  <r>
    <s v="MMR001CMP020"/>
    <x v="3"/>
    <s v="Maw Hpawng Hka Nan Baptist Church"/>
    <s v="Myitkyina"/>
    <n v="26"/>
    <n v="110"/>
    <n v="0"/>
    <n v="0"/>
    <n v="0"/>
    <n v="52"/>
    <n v="78"/>
    <n v="52"/>
    <s v=""/>
    <n v="0"/>
  </r>
  <r>
    <s v="MMR001CMP021"/>
    <x v="3"/>
    <s v="Maw Hpawng Lhaovo Baptist Church"/>
    <s v="Myitkyina"/>
    <n v="21"/>
    <n v="103"/>
    <n v="0"/>
    <n v="0"/>
    <n v="0"/>
    <n v="42"/>
    <n v="63"/>
    <n v="42"/>
    <s v=""/>
    <n v="0"/>
  </r>
  <r>
    <s v="MMR001CMP091"/>
    <x v="3"/>
    <s v="Maw Wan, Mu-yin Baptist Church"/>
    <s v="Hpakant"/>
    <n v="5"/>
    <n v="23"/>
    <n v="11"/>
    <n v="15"/>
    <n v="0"/>
    <n v="0"/>
    <n v="0"/>
    <n v="10"/>
    <s v="No"/>
    <n v="0"/>
  </r>
  <r>
    <s v="MMR001CMP056"/>
    <x v="3"/>
    <s v="Momauk Baptist Church"/>
    <s v="Momauk"/>
    <n v="403"/>
    <n v="1798"/>
    <n v="0"/>
    <n v="0"/>
    <n v="0"/>
    <n v="806"/>
    <n v="1209"/>
    <n v="806"/>
    <s v=""/>
    <n v="0"/>
  </r>
  <r>
    <s v="MMR001CMP057"/>
    <x v="3"/>
    <s v="Momauk Catholic Church (St. Patrick)"/>
    <s v="Momauk"/>
    <n v="0"/>
    <n v="0"/>
    <n v="0"/>
    <n v="0"/>
    <n v="0"/>
    <n v="0"/>
    <n v="0"/>
    <n v="0"/>
    <s v=""/>
    <n v="0"/>
  </r>
  <r>
    <s v="MMR015CMP213"/>
    <x v="3"/>
    <s v="Muse Baptist Church"/>
    <s v="Muse"/>
    <n v="81"/>
    <n v="306"/>
    <n v="0"/>
    <n v="0"/>
    <n v="0"/>
    <n v="162"/>
    <n v="243"/>
    <n v="162"/>
    <s v=""/>
    <n v="0"/>
  </r>
  <r>
    <s v="MMR015CMP216"/>
    <x v="3"/>
    <s v="Muse Catholic Church"/>
    <s v="Muse"/>
    <n v="41"/>
    <n v="151"/>
    <n v="0"/>
    <n v="0"/>
    <n v="0"/>
    <n v="82"/>
    <n v="123"/>
    <n v="82"/>
    <s v=""/>
    <n v="0"/>
  </r>
  <r>
    <s v="MMR001CMP051"/>
    <x v="3"/>
    <s v="Mu-yin Baptist Church"/>
    <s v="Bhamo"/>
    <n v="16"/>
    <n v="66"/>
    <n v="0"/>
    <n v="0"/>
    <n v="0"/>
    <n v="32"/>
    <n v="48"/>
    <n v="32"/>
    <s v=""/>
    <n v="0"/>
  </r>
  <r>
    <s v="MMR001CMP017"/>
    <x v="3"/>
    <s v="Myay Myint Baptist Church"/>
    <s v="Myitkyina"/>
    <n v="12"/>
    <n v="53"/>
    <n v="0"/>
    <n v="0"/>
    <n v="0"/>
    <n v="24"/>
    <n v="36"/>
    <n v="24"/>
    <s v=""/>
    <n v="0"/>
  </r>
  <r>
    <s v="MMR001CMP061"/>
    <x v="3"/>
    <s v="Myo Thit "/>
    <s v="Momauk"/>
    <n v="13"/>
    <n v="53"/>
    <n v="0"/>
    <n v="0"/>
    <n v="0"/>
    <n v="26"/>
    <n v="39"/>
    <n v="26"/>
    <s v=""/>
    <n v="0"/>
  </r>
  <r>
    <s v="MMR015CMP214"/>
    <x v="3"/>
    <s v="Nam Hkam (KBC Jaw Wang) II"/>
    <s v="Namhkan"/>
    <n v="49"/>
    <n v="232"/>
    <n v="0"/>
    <n v="0"/>
    <n v="0"/>
    <n v="98"/>
    <n v="147"/>
    <n v="98"/>
    <s v=""/>
    <n v="0"/>
  </r>
  <r>
    <s v="MMR001CMP192"/>
    <x v="3"/>
    <s v="Nam Ma Phyit, COC"/>
    <s v="Hpakant"/>
    <n v="17"/>
    <n v="63"/>
    <n v="50"/>
    <n v="17"/>
    <n v="0"/>
    <n v="0"/>
    <n v="34"/>
    <n v="34"/>
    <s v="No"/>
    <n v="0"/>
  </r>
  <r>
    <s v="MMR015CMP215"/>
    <x v="3"/>
    <s v="Namhkan - Pang Long KBC"/>
    <s v="Namhkan"/>
    <n v="148"/>
    <n v="563"/>
    <n v="0"/>
    <n v="0"/>
    <n v="0"/>
    <n v="296"/>
    <n v="444"/>
    <n v="296"/>
    <s v=""/>
    <n v="0"/>
  </r>
  <r>
    <s v="MMR001CMP024"/>
    <x v="3"/>
    <s v="Nan Kway St. John Catholic Church"/>
    <s v="Myitkyina"/>
    <n v="72"/>
    <n v="359"/>
    <n v="0"/>
    <n v="0"/>
    <n v="0"/>
    <n v="144"/>
    <n v="216"/>
    <n v="144"/>
    <s v=""/>
    <n v="0"/>
  </r>
  <r>
    <s v="MMR001CMP054"/>
    <x v="3"/>
    <s v="Nant Hlaing Church"/>
    <s v="Bhamo"/>
    <n v="23"/>
    <n v="117"/>
    <n v="0"/>
    <n v="0"/>
    <n v="0"/>
    <n v="46"/>
    <n v="69"/>
    <n v="46"/>
    <s v=""/>
    <n v="0"/>
  </r>
  <r>
    <s v="MMR001CMP103"/>
    <x v="3"/>
    <s v="Nant Ma Hpit Catholic Church"/>
    <s v="Hpakant"/>
    <n v="55"/>
    <n v="267"/>
    <n v="117"/>
    <n v="65"/>
    <n v="0"/>
    <n v="0"/>
    <n v="100"/>
    <n v="110"/>
    <s v="No"/>
    <n v="0"/>
  </r>
  <r>
    <s v="MMR001CMP081"/>
    <x v="3"/>
    <s v="Nant Mun"/>
    <s v="Mohnyin"/>
    <n v="0"/>
    <n v="0"/>
    <n v="0"/>
    <n v="0"/>
    <n v="0"/>
    <n v="0"/>
    <n v="0"/>
    <n v="0"/>
    <s v=""/>
    <n v="0"/>
  </r>
  <r>
    <s v="MMR015CMP207"/>
    <x v="3"/>
    <s v="Narte"/>
    <s v="Hseni"/>
    <n v="67"/>
    <n v="392"/>
    <n v="0"/>
    <n v="0"/>
    <n v="0"/>
    <n v="134"/>
    <n v="201"/>
    <n v="134"/>
    <s v=""/>
    <n v="0"/>
  </r>
  <r>
    <s v="MMR001CMP079"/>
    <x v="3"/>
    <s v="Nat Gyi Kone Baptist Church "/>
    <s v="Mogaung"/>
    <n v="12"/>
    <n v="37"/>
    <n v="0"/>
    <n v="0"/>
    <n v="0"/>
    <n v="24"/>
    <n v="36"/>
    <n v="24"/>
    <s v=""/>
    <n v="0"/>
  </r>
  <r>
    <s v="MMR001CMP033"/>
    <x v="3"/>
    <s v="Nawng Hee Village"/>
    <s v="Waingmaw"/>
    <n v="18"/>
    <n v="77"/>
    <n v="0"/>
    <n v="0"/>
    <n v="0"/>
    <n v="36"/>
    <n v="54"/>
    <n v="36"/>
    <s v=""/>
    <n v="0"/>
  </r>
  <r>
    <s v="MMR001CMP152"/>
    <x v="3"/>
    <s v="Nawng Ing (Indawgyi) Baptist Church  "/>
    <s v="Mohnyin"/>
    <n v="21"/>
    <n v="97"/>
    <n v="0"/>
    <n v="0"/>
    <n v="0"/>
    <n v="42"/>
    <n v="63"/>
    <n v="42"/>
    <s v=""/>
    <n v="0"/>
  </r>
  <r>
    <s v="MMR001CMP059"/>
    <x v="3"/>
    <s v="Ni Thaw Ka Monestry"/>
    <s v="Momauk"/>
    <n v="23"/>
    <n v="86"/>
    <n v="0"/>
    <n v="0"/>
    <n v="0"/>
    <n v="46"/>
    <n v="69"/>
    <n v="46"/>
    <s v=""/>
    <n v="0"/>
  </r>
  <r>
    <s v="MMR001CMP002"/>
    <x v="3"/>
    <s v="Njang Dung Baptist Church "/>
    <s v="Myitkyina"/>
    <n v="57"/>
    <n v="233"/>
    <n v="0"/>
    <n v="0"/>
    <n v="0"/>
    <n v="114"/>
    <n v="171"/>
    <n v="114"/>
    <s v=""/>
    <n v="0"/>
  </r>
  <r>
    <s v="MMR001CMP162"/>
    <x v="3"/>
    <s v="Pa Dauk Myaing(Pa La Na)"/>
    <s v="Myitkyina"/>
    <n v="29"/>
    <n v="176"/>
    <n v="323"/>
    <n v="178"/>
    <n v="0"/>
    <n v="0"/>
    <n v="0"/>
    <n v="58"/>
    <s v="No"/>
    <n v="0"/>
  </r>
  <r>
    <s v="MMR001CMP193"/>
    <x v="3"/>
    <s v="Phan Khar Kone"/>
    <s v="Bhamo"/>
    <n v="180"/>
    <n v="819"/>
    <n v="0"/>
    <n v="0"/>
    <n v="0"/>
    <n v="360"/>
    <n v="540"/>
    <n v="360"/>
    <s v=""/>
    <n v="0"/>
  </r>
  <r>
    <s v="MMR001CMP065"/>
    <x v="3"/>
    <s v="Phar Kay/Nant Waing "/>
    <s v="Momauk"/>
    <n v="39"/>
    <n v="176"/>
    <n v="0"/>
    <n v="0"/>
    <n v="0"/>
    <n v="78"/>
    <n v="117"/>
    <n v="78"/>
    <s v=""/>
    <n v="0"/>
  </r>
  <r>
    <s v="MMR001CMP032"/>
    <x v="3"/>
    <s v="Qtr. 2 Lhaovo Baptist Church"/>
    <s v="Waingmaw"/>
    <n v="120"/>
    <n v="378"/>
    <n v="0"/>
    <n v="0"/>
    <n v="0"/>
    <n v="240"/>
    <n v="360"/>
    <n v="240"/>
    <s v=""/>
    <n v="0"/>
  </r>
  <r>
    <s v="MMR001CMP025"/>
    <x v="3"/>
    <s v="Qtr. 2 Myoma Baptist Church"/>
    <s v="Waingmaw"/>
    <n v="83"/>
    <n v="373"/>
    <n v="0"/>
    <n v="0"/>
    <n v="0"/>
    <n v="166"/>
    <n v="249"/>
    <n v="166"/>
    <s v=""/>
    <n v="0"/>
  </r>
  <r>
    <s v="MMR001CMP030"/>
    <x v="3"/>
    <s v="Qtr. 3 Mu-yin  Baptist Church"/>
    <s v="Waingmaw"/>
    <n v="23"/>
    <n v="153"/>
    <n v="0"/>
    <n v="0"/>
    <n v="0"/>
    <n v="46"/>
    <n v="69"/>
    <n v="46"/>
    <s v=""/>
    <n v="0"/>
  </r>
  <r>
    <s v="MMR001CMP026"/>
    <x v="3"/>
    <s v="Qtr. 4 Monestry (Thargaya Thayett Taw)"/>
    <s v="Waingmaw"/>
    <n v="102"/>
    <n v="552"/>
    <n v="0"/>
    <n v="0"/>
    <n v="0"/>
    <n v="204"/>
    <n v="306"/>
    <n v="204"/>
    <s v=""/>
    <n v="0"/>
  </r>
  <r>
    <s v="MMR001CMP182"/>
    <x v="3"/>
    <s v="Rawan Baptist Church, Maw Shan Vil., Seik Mu"/>
    <s v="Hpakant"/>
    <n v="12"/>
    <n v="51"/>
    <n v="26"/>
    <n v="14"/>
    <n v="0"/>
    <n v="0"/>
    <n v="22"/>
    <n v="24"/>
    <s v="No"/>
    <n v="0"/>
  </r>
  <r>
    <s v="MMR001CMP047"/>
    <x v="3"/>
    <s v="Robert Church"/>
    <s v="Bhamo"/>
    <n v="646"/>
    <n v="3609"/>
    <n v="0"/>
    <n v="0"/>
    <n v="0"/>
    <n v="1292"/>
    <n v="1938"/>
    <n v="1292"/>
    <s v=""/>
    <n v="0"/>
  </r>
  <r>
    <s v="MMR001CMP183"/>
    <x v="3"/>
    <s v="Sai Nai Baptish Church, Maw Shan Vil., Seki Mu"/>
    <s v="Hpakant"/>
    <n v="9"/>
    <n v="40"/>
    <n v="34"/>
    <n v="9"/>
    <n v="0"/>
    <n v="0"/>
    <n v="18"/>
    <n v="18"/>
    <s v="No"/>
    <n v="0"/>
  </r>
  <r>
    <s v="MMR001CMP006"/>
    <x v="3"/>
    <s v="Shatapru Sut Ngai Tawng"/>
    <s v="Myitkyina"/>
    <n v="106"/>
    <n v="390"/>
    <n v="0"/>
    <n v="0"/>
    <n v="0"/>
    <n v="212"/>
    <n v="318"/>
    <n v="212"/>
    <s v=""/>
    <n v="0"/>
  </r>
  <r>
    <s v="MMR001CMP007"/>
    <x v="3"/>
    <s v="Shatapru Thida Aye Baptist Church"/>
    <s v="Myitkyina"/>
    <n v="15"/>
    <n v="73"/>
    <n v="0"/>
    <n v="0"/>
    <n v="0"/>
    <n v="30"/>
    <n v="45"/>
    <n v="30"/>
    <s v=""/>
    <n v="0"/>
  </r>
  <r>
    <s v="MMR001CMP067"/>
    <x v="3"/>
    <s v="Shwe Gu Baptist Church"/>
    <s v="Shwegu"/>
    <n v="79"/>
    <n v="552"/>
    <n v="0"/>
    <n v="0"/>
    <n v="0"/>
    <n v="158"/>
    <n v="237"/>
    <n v="158"/>
    <s v=""/>
    <n v="0"/>
  </r>
  <r>
    <s v="MMR001CMP068"/>
    <x v="3"/>
    <s v="Shwe Gu Catholic Church"/>
    <s v="Shwegu"/>
    <n v="42"/>
    <n v="150"/>
    <n v="0"/>
    <n v="0"/>
    <n v="0"/>
    <n v="84"/>
    <n v="126"/>
    <n v="84"/>
    <s v=""/>
    <n v="0"/>
  </r>
  <r>
    <s v="MMR001CMP009"/>
    <x v="3"/>
    <s v="Shwe Zet Baptist Church"/>
    <s v="Myitkyina"/>
    <n v="84"/>
    <n v="401"/>
    <n v="0"/>
    <n v="0"/>
    <n v="0"/>
    <n v="168"/>
    <n v="252"/>
    <n v="168"/>
    <s v=""/>
    <n v="0"/>
  </r>
  <r>
    <s v="MMR001CMP080"/>
    <x v="3"/>
    <s v="St. Patrick Catholic Church "/>
    <s v="Mohnyin"/>
    <n v="12"/>
    <n v="53"/>
    <n v="0"/>
    <n v="0"/>
    <n v="0"/>
    <n v="24"/>
    <n v="36"/>
    <n v="24"/>
    <s v=""/>
    <n v="0"/>
  </r>
  <r>
    <s v="MMR001CMP206"/>
    <x v="3"/>
    <s v="Sumprabum"/>
    <s v="Sumprabum"/>
    <n v="5"/>
    <n v="32"/>
    <n v="91"/>
    <n v="32"/>
    <n v="0"/>
    <n v="0"/>
    <n v="0"/>
    <n v="10"/>
    <s v="No"/>
    <n v="0"/>
  </r>
  <r>
    <s v="MMR001CMP055"/>
    <x v="3"/>
    <s v="Ta Gun Taing Monastery (Shwe Kyi Na)"/>
    <s v="Bhamo"/>
    <n v="55"/>
    <n v="276"/>
    <n v="0"/>
    <n v="0"/>
    <n v="0"/>
    <n v="110"/>
    <n v="165"/>
    <n v="110"/>
    <s v=""/>
    <n v="0"/>
  </r>
  <r>
    <s v="MMR001CMP060"/>
    <x v="3"/>
    <s v="Tarli "/>
    <s v="Momauk"/>
    <n v="10"/>
    <n v="38"/>
    <n v="0"/>
    <n v="0"/>
    <n v="0"/>
    <n v="20"/>
    <n v="30"/>
    <n v="20"/>
    <s v=""/>
    <n v="0"/>
  </r>
  <r>
    <s v="MMR001CMP001"/>
    <x v="3"/>
    <s v="Tat Kone Baptist Church"/>
    <s v="Myitkyina"/>
    <n v="56"/>
    <n v="262"/>
    <n v="0"/>
    <n v="0"/>
    <n v="0"/>
    <n v="112"/>
    <n v="168"/>
    <n v="112"/>
    <s v=""/>
    <n v="0"/>
  </r>
  <r>
    <s v="MMR001CMP023"/>
    <x v="3"/>
    <s v="Tat Kone COC Baptist - Tat Kone Htoi San"/>
    <s v="Myitkyina"/>
    <n v="69"/>
    <n v="333"/>
    <n v="0"/>
    <n v="0"/>
    <n v="0"/>
    <n v="138"/>
    <n v="207"/>
    <n v="138"/>
    <s v=""/>
    <n v="0"/>
  </r>
  <r>
    <s v="MMR001CMP004"/>
    <x v="3"/>
    <s v="Tat Kone Emanuel Church"/>
    <s v="Myitkyina"/>
    <n v="13"/>
    <n v="60"/>
    <n v="0"/>
    <n v="0"/>
    <n v="0"/>
    <n v="26"/>
    <n v="39"/>
    <n v="26"/>
    <s v=""/>
    <n v="0"/>
  </r>
  <r>
    <s v="MMR001CMP003"/>
    <x v="3"/>
    <s v="Tat Kone Galile Baptist Church"/>
    <s v="Myitkyina"/>
    <n v="30"/>
    <n v="134"/>
    <n v="0"/>
    <n v="0"/>
    <n v="0"/>
    <n v="60"/>
    <n v="90"/>
    <n v="60"/>
    <s v=""/>
    <n v="0"/>
  </r>
  <r>
    <s v="MMR001CMP005"/>
    <x v="3"/>
    <s v="Tat Kone San Pya Baptist Church"/>
    <s v="Myitkyina"/>
    <n v="43"/>
    <n v="198"/>
    <n v="0"/>
    <n v="0"/>
    <n v="0"/>
    <n v="86"/>
    <n v="129"/>
    <n v="86"/>
    <s v=""/>
    <n v="0"/>
  </r>
  <r>
    <s v="MMR001CMP037"/>
    <x v="3"/>
    <s v="Thargaya Lisu Baptist Church"/>
    <s v="Waingmaw"/>
    <n v="72"/>
    <n v="338"/>
    <n v="0"/>
    <n v="0"/>
    <n v="0"/>
    <n v="144"/>
    <n v="216"/>
    <n v="144"/>
    <s v=""/>
    <n v="0"/>
  </r>
  <r>
    <s v="MMR001CMP224"/>
    <x v="3"/>
    <s v="Tharthana Ahlin Yaung New Monastery"/>
    <s v="Bhamo"/>
    <n v="0"/>
    <n v="0"/>
    <n v="0"/>
    <n v="0"/>
    <n v="0"/>
    <n v="0"/>
    <n v="0"/>
    <n v="0"/>
    <s v=""/>
    <n v="0"/>
  </r>
  <r>
    <s v="MMR001CMP038"/>
    <x v="3"/>
    <s v="Waingmaw AG Church"/>
    <s v="Waingmaw"/>
    <n v="75"/>
    <n v="395"/>
    <n v="0"/>
    <n v="0"/>
    <n v="0"/>
    <n v="150"/>
    <n v="225"/>
    <n v="150"/>
    <s v=""/>
    <n v="0"/>
  </r>
  <r>
    <s v="MMR001CMP036"/>
    <x v="3"/>
    <s v="Waingmaw Baptist Zonal Office"/>
    <s v="Waingmaw"/>
    <n v="0"/>
    <n v="150"/>
    <n v="0"/>
    <n v="0"/>
    <n v="0"/>
    <n v="0"/>
    <n v="0"/>
    <n v="0"/>
    <s v=""/>
    <n v="0"/>
  </r>
  <r>
    <s v="MMR001CMP184"/>
    <x v="3"/>
    <s v="Ward 2 Sai Taung Baptist Church, Seik Mu "/>
    <s v="Hpakant"/>
    <n v="39"/>
    <n v="186"/>
    <n v="94"/>
    <n v="58"/>
    <n v="0"/>
    <n v="0"/>
    <n v="59"/>
    <n v="78"/>
    <s v="No"/>
    <n v="0"/>
  </r>
  <r>
    <s v="MMR001CMP116"/>
    <x v="3"/>
    <s v="Woi Chyai "/>
    <s v="Waingmaw"/>
    <n v="880"/>
    <n v="4659"/>
    <n v="1620"/>
    <n v="2840"/>
    <n v="0"/>
    <n v="140"/>
    <n v="0"/>
    <n v="1760"/>
    <s v="No"/>
    <n v="0"/>
  </r>
  <r>
    <s v="MMR001CMP022"/>
    <x v="3"/>
    <s v="Wun Tho Buddhist Monastery"/>
    <s v="Myitkyina"/>
    <n v="6"/>
    <n v="34"/>
    <n v="0"/>
    <n v="0"/>
    <n v="0"/>
    <n v="12"/>
    <n v="18"/>
    <n v="12"/>
    <s v=""/>
    <n v="0"/>
  </r>
  <r>
    <s v="MMR001CMP053"/>
    <x v="3"/>
    <s v="Yoe Kyi Monastery"/>
    <s v="Bhamo"/>
    <n v="19"/>
    <n v="82"/>
    <n v="0"/>
    <n v="0"/>
    <n v="0"/>
    <n v="38"/>
    <n v="57"/>
    <n v="38"/>
    <s v=""/>
    <n v="0"/>
  </r>
  <r>
    <s v="MMR001CMP105"/>
    <x v="3"/>
    <s v="Yumar Baptist Church"/>
    <s v="Hpakant"/>
    <n v="17"/>
    <n v="65"/>
    <n v="33"/>
    <n v="8"/>
    <n v="0"/>
    <n v="1"/>
    <n v="43"/>
    <n v="34"/>
    <s v="No"/>
    <n v="0"/>
  </r>
</pivotCacheRecords>
</file>

<file path=xl/pivotCache/pivotCacheRecords2.xml><?xml version="1.0" encoding="utf-8"?>
<pivotCacheRecords xmlns="http://schemas.openxmlformats.org/spreadsheetml/2006/main" xmlns:r="http://schemas.openxmlformats.org/officeDocument/2006/relationships" count="294">
  <r>
    <d v="2013-12-01T00:00:00"/>
    <x v="0"/>
    <s v="KBC"/>
    <x v="0"/>
    <x v="0"/>
    <x v="0"/>
    <n v="1"/>
    <m/>
    <m/>
    <n v="20"/>
    <n v="20"/>
    <m/>
    <m/>
    <m/>
    <m/>
    <n v="20"/>
    <m/>
    <m/>
    <x v="0"/>
    <x v="0"/>
    <n v="0.26315789473684209"/>
    <s v="NO"/>
    <m/>
  </r>
  <r>
    <m/>
    <x v="1"/>
    <m/>
    <x v="0"/>
    <x v="0"/>
    <x v="0"/>
    <n v="1"/>
    <n v="25"/>
    <n v="25"/>
    <m/>
    <m/>
    <m/>
    <m/>
    <m/>
    <m/>
    <n v="0"/>
    <m/>
    <m/>
    <x v="0"/>
    <x v="0"/>
    <n v="0"/>
    <s v="NO"/>
    <m/>
  </r>
  <r>
    <m/>
    <x v="0"/>
    <s v="KMSS"/>
    <x v="0"/>
    <x v="0"/>
    <x v="0"/>
    <n v="1"/>
    <m/>
    <m/>
    <m/>
    <m/>
    <m/>
    <m/>
    <m/>
    <m/>
    <n v="0"/>
    <n v="44"/>
    <m/>
    <x v="0"/>
    <x v="0"/>
    <n v="0"/>
    <s v="NO"/>
    <m/>
  </r>
  <r>
    <m/>
    <x v="2"/>
    <s v="KBSS"/>
    <x v="0"/>
    <x v="1"/>
    <x v="1"/>
    <n v="1"/>
    <m/>
    <m/>
    <n v="6"/>
    <n v="6"/>
    <m/>
    <m/>
    <m/>
    <m/>
    <n v="6"/>
    <m/>
    <m/>
    <x v="1"/>
    <x v="0"/>
    <n v="1.9933554817275746E-2"/>
    <s v="NO"/>
    <m/>
  </r>
  <r>
    <m/>
    <x v="0"/>
    <s v="KBSS"/>
    <x v="0"/>
    <x v="1"/>
    <x v="1"/>
    <n v="1"/>
    <m/>
    <m/>
    <n v="144"/>
    <n v="144"/>
    <m/>
    <m/>
    <m/>
    <m/>
    <n v="144"/>
    <m/>
    <m/>
    <x v="1"/>
    <x v="0"/>
    <n v="0.47840531561461797"/>
    <s v="NO"/>
    <m/>
  </r>
  <r>
    <m/>
    <x v="0"/>
    <m/>
    <x v="0"/>
    <x v="1"/>
    <x v="1"/>
    <n v="1"/>
    <m/>
    <m/>
    <n v="20"/>
    <n v="20"/>
    <m/>
    <m/>
    <m/>
    <m/>
    <n v="20"/>
    <m/>
    <m/>
    <x v="1"/>
    <x v="0"/>
    <n v="6.6445182724252497E-2"/>
    <s v="NO"/>
    <m/>
  </r>
  <r>
    <d v="2014-12-01T00:00:00"/>
    <x v="0"/>
    <s v="Shalom"/>
    <x v="0"/>
    <x v="0"/>
    <x v="2"/>
    <n v="1"/>
    <m/>
    <m/>
    <n v="15"/>
    <n v="15"/>
    <m/>
    <m/>
    <m/>
    <m/>
    <n v="15"/>
    <m/>
    <m/>
    <x v="2"/>
    <x v="0"/>
    <n v="0.22388059701492538"/>
    <s v="NO"/>
    <m/>
  </r>
  <r>
    <d v="2013-12-01T00:00:00"/>
    <x v="0"/>
    <s v="Shalom"/>
    <x v="0"/>
    <x v="0"/>
    <x v="2"/>
    <n v="1"/>
    <m/>
    <m/>
    <n v="25"/>
    <n v="25"/>
    <m/>
    <m/>
    <m/>
    <m/>
    <n v="25"/>
    <m/>
    <m/>
    <x v="2"/>
    <x v="0"/>
    <n v="0.37313432835820898"/>
    <s v="NO"/>
    <m/>
  </r>
  <r>
    <m/>
    <x v="1"/>
    <m/>
    <x v="0"/>
    <x v="0"/>
    <x v="2"/>
    <n v="1"/>
    <n v="10"/>
    <n v="10"/>
    <m/>
    <m/>
    <m/>
    <m/>
    <m/>
    <m/>
    <n v="0"/>
    <m/>
    <m/>
    <x v="2"/>
    <x v="0"/>
    <n v="0"/>
    <s v="NO"/>
    <m/>
  </r>
  <r>
    <m/>
    <x v="0"/>
    <s v="Shalom"/>
    <x v="0"/>
    <x v="0"/>
    <x v="2"/>
    <n v="1"/>
    <m/>
    <m/>
    <n v="5"/>
    <n v="5"/>
    <m/>
    <m/>
    <m/>
    <m/>
    <n v="5"/>
    <m/>
    <m/>
    <x v="2"/>
    <x v="0"/>
    <n v="7.4626865671641784E-2"/>
    <s v="NO"/>
    <m/>
  </r>
  <r>
    <d v="2014-12-01T00:00:00"/>
    <x v="0"/>
    <s v="Shalom"/>
    <x v="0"/>
    <x v="0"/>
    <x v="3"/>
    <n v="1"/>
    <m/>
    <m/>
    <n v="5"/>
    <n v="5"/>
    <m/>
    <m/>
    <m/>
    <m/>
    <n v="5"/>
    <m/>
    <m/>
    <x v="3"/>
    <x v="0"/>
    <n v="0.35714285714285715"/>
    <s v="NO"/>
    <m/>
  </r>
  <r>
    <d v="2013-12-01T00:00:00"/>
    <x v="0"/>
    <s v="Shalom"/>
    <x v="0"/>
    <x v="0"/>
    <x v="3"/>
    <n v="1"/>
    <m/>
    <m/>
    <n v="5"/>
    <n v="5"/>
    <m/>
    <m/>
    <m/>
    <m/>
    <n v="5"/>
    <m/>
    <m/>
    <x v="3"/>
    <x v="0"/>
    <n v="0.35714285714285715"/>
    <s v="NO"/>
    <m/>
  </r>
  <r>
    <m/>
    <x v="0"/>
    <s v="KBSS"/>
    <x v="0"/>
    <x v="1"/>
    <x v="4"/>
    <n v="1"/>
    <m/>
    <m/>
    <n v="32"/>
    <n v="32"/>
    <m/>
    <m/>
    <m/>
    <m/>
    <n v="32"/>
    <m/>
    <m/>
    <x v="4"/>
    <x v="0"/>
    <n v="2.6666666666666665"/>
    <s v="NO"/>
    <m/>
  </r>
  <r>
    <m/>
    <x v="0"/>
    <m/>
    <x v="0"/>
    <x v="1"/>
    <x v="4"/>
    <n v="1"/>
    <m/>
    <m/>
    <n v="10"/>
    <n v="10"/>
    <m/>
    <m/>
    <m/>
    <m/>
    <n v="10"/>
    <m/>
    <m/>
    <x v="4"/>
    <x v="0"/>
    <n v="0.83333333333333337"/>
    <s v="NO"/>
    <m/>
  </r>
  <r>
    <d v="2013-12-01T00:00:00"/>
    <x v="0"/>
    <s v="KBC"/>
    <x v="0"/>
    <x v="0"/>
    <x v="5"/>
    <n v="1"/>
    <m/>
    <m/>
    <n v="20"/>
    <n v="20"/>
    <m/>
    <m/>
    <m/>
    <m/>
    <n v="20"/>
    <m/>
    <m/>
    <x v="5"/>
    <x v="0"/>
    <n v="0.5714285714285714"/>
    <s v="NO"/>
    <m/>
  </r>
  <r>
    <m/>
    <x v="1"/>
    <m/>
    <x v="0"/>
    <x v="0"/>
    <x v="5"/>
    <n v="1"/>
    <n v="10"/>
    <n v="10"/>
    <m/>
    <m/>
    <m/>
    <m/>
    <m/>
    <m/>
    <n v="0"/>
    <m/>
    <m/>
    <x v="5"/>
    <x v="0"/>
    <n v="0"/>
    <s v="NO"/>
    <m/>
  </r>
  <r>
    <d v="2014-12-01T00:00:00"/>
    <x v="0"/>
    <s v="Shalom"/>
    <x v="0"/>
    <x v="0"/>
    <x v="6"/>
    <n v="1"/>
    <m/>
    <m/>
    <n v="5"/>
    <n v="5"/>
    <m/>
    <m/>
    <m/>
    <m/>
    <n v="5"/>
    <m/>
    <m/>
    <x v="6"/>
    <x v="1"/>
    <s v=""/>
    <s v="NO"/>
    <m/>
  </r>
  <r>
    <d v="2013-12-01T00:00:00"/>
    <x v="0"/>
    <s v="Shalom"/>
    <x v="0"/>
    <x v="0"/>
    <x v="6"/>
    <n v="1"/>
    <m/>
    <m/>
    <n v="10"/>
    <n v="10"/>
    <m/>
    <m/>
    <m/>
    <m/>
    <n v="10"/>
    <m/>
    <m/>
    <x v="6"/>
    <x v="1"/>
    <s v=""/>
    <s v="NO"/>
    <m/>
  </r>
  <r>
    <m/>
    <x v="3"/>
    <m/>
    <x v="0"/>
    <x v="0"/>
    <x v="6"/>
    <n v="1"/>
    <m/>
    <m/>
    <n v="10"/>
    <n v="10"/>
    <m/>
    <m/>
    <m/>
    <m/>
    <n v="10"/>
    <m/>
    <m/>
    <x v="6"/>
    <x v="1"/>
    <s v=""/>
    <s v="NO"/>
    <m/>
  </r>
  <r>
    <d v="2013-12-01T00:00:00"/>
    <x v="0"/>
    <s v="KMSS"/>
    <x v="0"/>
    <x v="2"/>
    <x v="7"/>
    <n v="1"/>
    <m/>
    <m/>
    <n v="35"/>
    <n v="35"/>
    <m/>
    <m/>
    <m/>
    <m/>
    <n v="35"/>
    <m/>
    <m/>
    <x v="7"/>
    <x v="0"/>
    <n v="0.22580645161290322"/>
    <s v="NO"/>
    <m/>
  </r>
  <r>
    <m/>
    <x v="1"/>
    <m/>
    <x v="0"/>
    <x v="2"/>
    <x v="7"/>
    <n v="1"/>
    <n v="41"/>
    <n v="41"/>
    <m/>
    <m/>
    <m/>
    <m/>
    <m/>
    <m/>
    <n v="0"/>
    <m/>
    <m/>
    <x v="7"/>
    <x v="0"/>
    <n v="0"/>
    <s v="NO"/>
    <m/>
  </r>
  <r>
    <m/>
    <x v="0"/>
    <s v="KMSS"/>
    <x v="0"/>
    <x v="2"/>
    <x v="7"/>
    <n v="1"/>
    <m/>
    <m/>
    <n v="202"/>
    <n v="202"/>
    <m/>
    <m/>
    <m/>
    <m/>
    <n v="202"/>
    <m/>
    <m/>
    <x v="7"/>
    <x v="0"/>
    <n v="1.3032258064516129"/>
    <s v="NO"/>
    <m/>
  </r>
  <r>
    <d v="2014-12-01T00:00:00"/>
    <x v="0"/>
    <s v="KBC"/>
    <x v="0"/>
    <x v="3"/>
    <x v="8"/>
    <n v="1"/>
    <m/>
    <m/>
    <n v="90"/>
    <n v="90"/>
    <m/>
    <m/>
    <m/>
    <m/>
    <n v="90"/>
    <m/>
    <m/>
    <x v="8"/>
    <x v="0"/>
    <n v="0.51724137931034486"/>
    <s v="NO"/>
    <m/>
  </r>
  <r>
    <d v="2014-06-01T00:00:00"/>
    <x v="0"/>
    <s v="KMSS"/>
    <x v="0"/>
    <x v="3"/>
    <x v="8"/>
    <n v="1"/>
    <m/>
    <m/>
    <n v="100"/>
    <n v="100"/>
    <m/>
    <m/>
    <m/>
    <m/>
    <n v="100"/>
    <m/>
    <m/>
    <x v="8"/>
    <x v="0"/>
    <n v="0.57471264367816088"/>
    <s v="NO"/>
    <m/>
  </r>
  <r>
    <m/>
    <x v="0"/>
    <m/>
    <x v="0"/>
    <x v="3"/>
    <x v="8"/>
    <n v="1"/>
    <m/>
    <m/>
    <n v="150"/>
    <m/>
    <m/>
    <m/>
    <m/>
    <m/>
    <n v="0"/>
    <m/>
    <m/>
    <x v="8"/>
    <x v="0"/>
    <n v="0"/>
    <s v="NO"/>
    <m/>
  </r>
  <r>
    <d v="2014-12-01T00:00:00"/>
    <x v="0"/>
    <s v="KBC"/>
    <x v="0"/>
    <x v="3"/>
    <x v="9"/>
    <n v="1"/>
    <m/>
    <m/>
    <n v="120"/>
    <n v="120"/>
    <m/>
    <m/>
    <m/>
    <m/>
    <n v="120"/>
    <m/>
    <m/>
    <x v="9"/>
    <x v="0"/>
    <n v="0.54794520547945202"/>
    <s v="NO"/>
    <m/>
  </r>
  <r>
    <d v="2014-12-01T00:00:00"/>
    <x v="0"/>
    <s v="Shalom"/>
    <x v="0"/>
    <x v="0"/>
    <x v="10"/>
    <n v="1"/>
    <m/>
    <m/>
    <n v="2"/>
    <n v="2"/>
    <m/>
    <m/>
    <m/>
    <m/>
    <n v="2"/>
    <m/>
    <m/>
    <x v="10"/>
    <x v="0"/>
    <n v="0.33333333333333331"/>
    <s v="NO"/>
    <m/>
  </r>
  <r>
    <d v="2013-12-01T00:00:00"/>
    <x v="0"/>
    <s v="Shalom"/>
    <x v="0"/>
    <x v="0"/>
    <x v="10"/>
    <n v="1"/>
    <m/>
    <m/>
    <n v="4"/>
    <n v="4"/>
    <m/>
    <m/>
    <m/>
    <m/>
    <n v="4"/>
    <m/>
    <m/>
    <x v="10"/>
    <x v="0"/>
    <n v="0.66666666666666663"/>
    <s v="NO"/>
    <m/>
  </r>
  <r>
    <d v="2014-12-01T00:00:00"/>
    <x v="0"/>
    <s v="Shalom"/>
    <x v="0"/>
    <x v="4"/>
    <x v="11"/>
    <n v="1"/>
    <m/>
    <m/>
    <n v="5"/>
    <n v="5"/>
    <m/>
    <m/>
    <m/>
    <m/>
    <n v="5"/>
    <m/>
    <m/>
    <x v="11"/>
    <x v="0"/>
    <n v="4.2372881355932202E-2"/>
    <s v="NO"/>
    <m/>
  </r>
  <r>
    <m/>
    <x v="4"/>
    <s v="Shalom"/>
    <x v="0"/>
    <x v="4"/>
    <x v="11"/>
    <n v="1"/>
    <m/>
    <m/>
    <n v="82"/>
    <n v="82"/>
    <m/>
    <m/>
    <m/>
    <m/>
    <n v="82"/>
    <m/>
    <m/>
    <x v="11"/>
    <x v="0"/>
    <n v="0.69491525423728817"/>
    <s v="NO"/>
    <m/>
  </r>
  <r>
    <m/>
    <x v="0"/>
    <s v="Shalom"/>
    <x v="0"/>
    <x v="4"/>
    <x v="11"/>
    <n v="1"/>
    <m/>
    <m/>
    <n v="20"/>
    <n v="20"/>
    <m/>
    <m/>
    <m/>
    <m/>
    <n v="20"/>
    <m/>
    <m/>
    <x v="11"/>
    <x v="0"/>
    <n v="0.16949152542372881"/>
    <s v="NO"/>
    <m/>
  </r>
  <r>
    <d v="2014-12-01T00:00:00"/>
    <x v="0"/>
    <s v="Shalom"/>
    <x v="0"/>
    <x v="0"/>
    <x v="12"/>
    <n v="1"/>
    <m/>
    <m/>
    <n v="45"/>
    <n v="45"/>
    <m/>
    <m/>
    <m/>
    <m/>
    <n v="45"/>
    <m/>
    <m/>
    <x v="12"/>
    <x v="0"/>
    <n v="0.69230769230769229"/>
    <s v="NO"/>
    <m/>
  </r>
  <r>
    <d v="2014-06-01T00:00:00"/>
    <x v="0"/>
    <s v="Shalom"/>
    <x v="0"/>
    <x v="0"/>
    <x v="12"/>
    <n v="1"/>
    <m/>
    <m/>
    <n v="20"/>
    <n v="20"/>
    <m/>
    <m/>
    <m/>
    <m/>
    <n v="20"/>
    <m/>
    <m/>
    <x v="12"/>
    <x v="0"/>
    <n v="0.30769230769230771"/>
    <s v="NO"/>
    <m/>
  </r>
  <r>
    <m/>
    <x v="1"/>
    <m/>
    <x v="0"/>
    <x v="0"/>
    <x v="12"/>
    <n v="1"/>
    <n v="5"/>
    <n v="5"/>
    <m/>
    <m/>
    <m/>
    <m/>
    <m/>
    <m/>
    <n v="0"/>
    <m/>
    <m/>
    <x v="12"/>
    <x v="0"/>
    <n v="0"/>
    <s v="NO"/>
    <m/>
  </r>
  <r>
    <m/>
    <x v="0"/>
    <s v="Shalom"/>
    <x v="0"/>
    <x v="0"/>
    <x v="12"/>
    <n v="1"/>
    <m/>
    <m/>
    <n v="10"/>
    <n v="10"/>
    <m/>
    <m/>
    <m/>
    <m/>
    <n v="10"/>
    <m/>
    <m/>
    <x v="12"/>
    <x v="0"/>
    <n v="0.15384615384615385"/>
    <s v="NO"/>
    <m/>
  </r>
  <r>
    <m/>
    <x v="0"/>
    <m/>
    <x v="0"/>
    <x v="5"/>
    <x v="13"/>
    <n v="1"/>
    <m/>
    <m/>
    <n v="3"/>
    <n v="3"/>
    <m/>
    <m/>
    <m/>
    <m/>
    <n v="3"/>
    <m/>
    <m/>
    <x v="13"/>
    <x v="0"/>
    <n v="0.5"/>
    <s v="NO"/>
    <m/>
  </r>
  <r>
    <m/>
    <x v="0"/>
    <m/>
    <x v="0"/>
    <x v="5"/>
    <x v="14"/>
    <n v="1"/>
    <m/>
    <m/>
    <n v="6"/>
    <n v="6"/>
    <m/>
    <m/>
    <m/>
    <m/>
    <n v="6"/>
    <m/>
    <m/>
    <x v="14"/>
    <x v="0"/>
    <n v="1"/>
    <s v="NO"/>
    <m/>
  </r>
  <r>
    <m/>
    <x v="0"/>
    <m/>
    <x v="0"/>
    <x v="5"/>
    <x v="15"/>
    <n v="1"/>
    <m/>
    <m/>
    <n v="3"/>
    <n v="3"/>
    <m/>
    <m/>
    <m/>
    <m/>
    <n v="3"/>
    <m/>
    <m/>
    <x v="15"/>
    <x v="0"/>
    <n v="0.06"/>
    <s v="NO"/>
    <m/>
  </r>
  <r>
    <m/>
    <x v="0"/>
    <s v="KMSS"/>
    <x v="0"/>
    <x v="6"/>
    <x v="16"/>
    <n v="1"/>
    <m/>
    <m/>
    <n v="123"/>
    <n v="123"/>
    <m/>
    <m/>
    <m/>
    <m/>
    <n v="123"/>
    <m/>
    <m/>
    <x v="16"/>
    <x v="0"/>
    <n v="1.0695652173913044"/>
    <s v="NO"/>
    <m/>
  </r>
  <r>
    <d v="2014-06-19T00:00:00"/>
    <x v="4"/>
    <s v="Shalom"/>
    <x v="0"/>
    <x v="2"/>
    <x v="17"/>
    <n v="1"/>
    <m/>
    <m/>
    <n v="50"/>
    <n v="55"/>
    <m/>
    <m/>
    <m/>
    <m/>
    <n v="55"/>
    <m/>
    <m/>
    <x v="17"/>
    <x v="0"/>
    <n v="0.5"/>
    <s v="NO"/>
    <m/>
  </r>
  <r>
    <d v="2013-12-01T00:00:00"/>
    <x v="0"/>
    <s v="Shalom"/>
    <x v="0"/>
    <x v="2"/>
    <x v="17"/>
    <n v="1"/>
    <m/>
    <m/>
    <n v="5"/>
    <n v="5"/>
    <m/>
    <m/>
    <m/>
    <m/>
    <n v="5"/>
    <m/>
    <m/>
    <x v="17"/>
    <x v="0"/>
    <n v="4.5454545454545456E-2"/>
    <s v="NO"/>
    <m/>
  </r>
  <r>
    <m/>
    <x v="0"/>
    <s v="Shalom"/>
    <x v="0"/>
    <x v="2"/>
    <x v="17"/>
    <n v="1"/>
    <m/>
    <m/>
    <n v="45"/>
    <n v="45"/>
    <m/>
    <m/>
    <m/>
    <m/>
    <n v="45"/>
    <m/>
    <m/>
    <x v="17"/>
    <x v="0"/>
    <n v="0.40909090909090912"/>
    <s v="NO"/>
    <m/>
  </r>
  <r>
    <m/>
    <x v="4"/>
    <s v="Shalom"/>
    <x v="0"/>
    <x v="2"/>
    <x v="18"/>
    <n v="1"/>
    <m/>
    <m/>
    <n v="100"/>
    <n v="100"/>
    <m/>
    <m/>
    <m/>
    <m/>
    <n v="100"/>
    <m/>
    <m/>
    <x v="18"/>
    <x v="0"/>
    <n v="0.73529411764705888"/>
    <s v="NO"/>
    <m/>
  </r>
  <r>
    <d v="2013-12-01T00:00:00"/>
    <x v="0"/>
    <s v="Shalom"/>
    <x v="0"/>
    <x v="0"/>
    <x v="19"/>
    <n v="1"/>
    <m/>
    <m/>
    <n v="10"/>
    <n v="10"/>
    <m/>
    <m/>
    <m/>
    <m/>
    <n v="10"/>
    <m/>
    <m/>
    <x v="19"/>
    <x v="0"/>
    <n v="0.76923076923076927"/>
    <s v="NO"/>
    <m/>
  </r>
  <r>
    <m/>
    <x v="1"/>
    <m/>
    <x v="0"/>
    <x v="0"/>
    <x v="19"/>
    <n v="1"/>
    <n v="20"/>
    <n v="20"/>
    <m/>
    <m/>
    <m/>
    <m/>
    <m/>
    <m/>
    <n v="0"/>
    <m/>
    <m/>
    <x v="19"/>
    <x v="0"/>
    <n v="0"/>
    <s v="NO"/>
    <m/>
  </r>
  <r>
    <m/>
    <x v="0"/>
    <s v="Shalom"/>
    <x v="0"/>
    <x v="0"/>
    <x v="19"/>
    <n v="1"/>
    <m/>
    <m/>
    <n v="5"/>
    <n v="5"/>
    <m/>
    <m/>
    <m/>
    <m/>
    <n v="5"/>
    <m/>
    <m/>
    <x v="19"/>
    <x v="0"/>
    <n v="0.38461538461538464"/>
    <s v="NO"/>
    <m/>
  </r>
  <r>
    <m/>
    <x v="0"/>
    <s v="KBC"/>
    <x v="1"/>
    <x v="7"/>
    <x v="20"/>
    <n v="1"/>
    <m/>
    <m/>
    <n v="10"/>
    <n v="10"/>
    <m/>
    <m/>
    <m/>
    <m/>
    <n v="10"/>
    <m/>
    <m/>
    <x v="20"/>
    <x v="0"/>
    <n v="0.3125"/>
    <s v="NO"/>
    <m/>
  </r>
  <r>
    <d v="2014-12-01T00:00:00"/>
    <x v="0"/>
    <s v="KMSS"/>
    <x v="0"/>
    <x v="6"/>
    <x v="21"/>
    <n v="1"/>
    <m/>
    <m/>
    <n v="280"/>
    <n v="280"/>
    <m/>
    <m/>
    <m/>
    <m/>
    <n v="280"/>
    <m/>
    <m/>
    <x v="21"/>
    <x v="0"/>
    <n v="0.45676998368678629"/>
    <s v="NO"/>
    <m/>
  </r>
  <r>
    <m/>
    <x v="4"/>
    <s v="KMSS"/>
    <x v="0"/>
    <x v="6"/>
    <x v="21"/>
    <n v="1"/>
    <m/>
    <m/>
    <n v="338"/>
    <n v="338"/>
    <m/>
    <m/>
    <m/>
    <m/>
    <n v="338"/>
    <m/>
    <m/>
    <x v="21"/>
    <x v="0"/>
    <n v="0.5513866231647635"/>
    <s v="NO"/>
    <m/>
  </r>
  <r>
    <m/>
    <x v="5"/>
    <m/>
    <x v="0"/>
    <x v="1"/>
    <x v="22"/>
    <n v="1"/>
    <m/>
    <m/>
    <n v="38"/>
    <n v="38"/>
    <m/>
    <m/>
    <m/>
    <m/>
    <n v="38"/>
    <m/>
    <m/>
    <x v="22"/>
    <x v="0"/>
    <n v="0.88372093023255816"/>
    <s v="NO"/>
    <m/>
  </r>
  <r>
    <m/>
    <x v="0"/>
    <m/>
    <x v="0"/>
    <x v="1"/>
    <x v="22"/>
    <n v="1"/>
    <m/>
    <m/>
    <n v="5"/>
    <m/>
    <m/>
    <m/>
    <m/>
    <m/>
    <n v="0"/>
    <m/>
    <m/>
    <x v="22"/>
    <x v="0"/>
    <n v="0"/>
    <s v="NO"/>
    <m/>
  </r>
  <r>
    <d v="2013-12-01T00:00:00"/>
    <x v="0"/>
    <s v="KBC"/>
    <x v="0"/>
    <x v="5"/>
    <x v="23"/>
    <n v="1"/>
    <m/>
    <m/>
    <n v="30"/>
    <n v="30"/>
    <m/>
    <m/>
    <m/>
    <m/>
    <n v="30"/>
    <m/>
    <m/>
    <x v="23"/>
    <x v="0"/>
    <n v="0.14778325123152711"/>
    <s v="NO"/>
    <m/>
  </r>
  <r>
    <m/>
    <x v="6"/>
    <s v="KMSS"/>
    <x v="0"/>
    <x v="5"/>
    <x v="23"/>
    <n v="1"/>
    <m/>
    <m/>
    <n v="20"/>
    <n v="20"/>
    <m/>
    <m/>
    <m/>
    <m/>
    <n v="20"/>
    <m/>
    <m/>
    <x v="23"/>
    <x v="0"/>
    <n v="9.8522167487684734E-2"/>
    <s v="NO"/>
    <m/>
  </r>
  <r>
    <m/>
    <x v="7"/>
    <s v="KBC"/>
    <x v="0"/>
    <x v="5"/>
    <x v="23"/>
    <n v="1"/>
    <m/>
    <m/>
    <n v="60"/>
    <n v="60"/>
    <m/>
    <m/>
    <m/>
    <m/>
    <n v="60"/>
    <m/>
    <m/>
    <x v="23"/>
    <x v="0"/>
    <n v="0.29556650246305421"/>
    <s v="NO"/>
    <m/>
  </r>
  <r>
    <m/>
    <x v="0"/>
    <m/>
    <x v="0"/>
    <x v="5"/>
    <x v="23"/>
    <n v="1"/>
    <m/>
    <m/>
    <n v="50"/>
    <n v="50"/>
    <m/>
    <m/>
    <m/>
    <m/>
    <n v="50"/>
    <m/>
    <m/>
    <x v="23"/>
    <x v="0"/>
    <n v="0.24630541871921183"/>
    <s v="NO"/>
    <m/>
  </r>
  <r>
    <m/>
    <x v="8"/>
    <s v="KMSS"/>
    <x v="0"/>
    <x v="5"/>
    <x v="24"/>
    <n v="1"/>
    <m/>
    <m/>
    <n v="60"/>
    <n v="60"/>
    <m/>
    <m/>
    <m/>
    <m/>
    <n v="60"/>
    <m/>
    <m/>
    <x v="24"/>
    <x v="0"/>
    <n v="0.55045871559633031"/>
    <s v="NO"/>
    <m/>
  </r>
  <r>
    <m/>
    <x v="0"/>
    <s v="KMSS"/>
    <x v="0"/>
    <x v="5"/>
    <x v="24"/>
    <n v="1"/>
    <m/>
    <m/>
    <n v="20"/>
    <n v="20"/>
    <m/>
    <m/>
    <m/>
    <m/>
    <n v="20"/>
    <m/>
    <m/>
    <x v="24"/>
    <x v="0"/>
    <n v="0.1834862385321101"/>
    <s v="NO"/>
    <m/>
  </r>
  <r>
    <d v="2014-12-01T00:00:00"/>
    <x v="0"/>
    <s v="KMSS"/>
    <x v="0"/>
    <x v="6"/>
    <x v="25"/>
    <n v="1"/>
    <m/>
    <m/>
    <n v="278"/>
    <n v="278"/>
    <m/>
    <m/>
    <m/>
    <m/>
    <n v="278"/>
    <m/>
    <m/>
    <x v="25"/>
    <x v="0"/>
    <n v="0.16430260047281323"/>
    <s v="NO"/>
    <m/>
  </r>
  <r>
    <m/>
    <x v="4"/>
    <s v="KMSS"/>
    <x v="0"/>
    <x v="6"/>
    <x v="25"/>
    <n v="1"/>
    <m/>
    <m/>
    <n v="700"/>
    <n v="700"/>
    <m/>
    <m/>
    <m/>
    <m/>
    <n v="700"/>
    <m/>
    <m/>
    <x v="25"/>
    <x v="0"/>
    <n v="0.41371158392434987"/>
    <s v="NO"/>
    <m/>
  </r>
  <r>
    <m/>
    <x v="0"/>
    <s v="KBSS"/>
    <x v="0"/>
    <x v="6"/>
    <x v="25"/>
    <n v="1"/>
    <m/>
    <m/>
    <n v="217"/>
    <n v="217"/>
    <m/>
    <m/>
    <m/>
    <m/>
    <n v="217"/>
    <m/>
    <m/>
    <x v="25"/>
    <x v="0"/>
    <n v="0.12825059101654845"/>
    <s v="NO"/>
    <m/>
  </r>
  <r>
    <m/>
    <x v="9"/>
    <s v="MDCG"/>
    <x v="1"/>
    <x v="8"/>
    <x v="26"/>
    <n v="1"/>
    <m/>
    <m/>
    <n v="121"/>
    <n v="121"/>
    <m/>
    <m/>
    <m/>
    <m/>
    <n v="121"/>
    <m/>
    <m/>
    <x v="26"/>
    <x v="0"/>
    <n v="1.3908045977011494"/>
    <s v="NO"/>
    <m/>
  </r>
  <r>
    <m/>
    <x v="0"/>
    <s v="KBC"/>
    <x v="0"/>
    <x v="0"/>
    <x v="27"/>
    <n v="1"/>
    <m/>
    <m/>
    <n v="50"/>
    <n v="50"/>
    <m/>
    <m/>
    <m/>
    <m/>
    <n v="50"/>
    <m/>
    <m/>
    <x v="27"/>
    <x v="0"/>
    <n v="1"/>
    <s v="NO"/>
    <m/>
  </r>
  <r>
    <m/>
    <x v="5"/>
    <m/>
    <x v="1"/>
    <x v="8"/>
    <x v="28"/>
    <n v="1"/>
    <m/>
    <m/>
    <n v="80"/>
    <n v="80"/>
    <m/>
    <m/>
    <m/>
    <m/>
    <n v="80"/>
    <m/>
    <m/>
    <x v="28"/>
    <x v="0"/>
    <n v="1.25"/>
    <s v="NO"/>
    <m/>
  </r>
  <r>
    <m/>
    <x v="5"/>
    <m/>
    <x v="1"/>
    <x v="8"/>
    <x v="29"/>
    <n v="1"/>
    <m/>
    <m/>
    <n v="48"/>
    <n v="48"/>
    <m/>
    <m/>
    <m/>
    <m/>
    <n v="48"/>
    <m/>
    <m/>
    <x v="29"/>
    <x v="0"/>
    <n v="1.6"/>
    <s v="NO"/>
    <m/>
  </r>
  <r>
    <m/>
    <x v="0"/>
    <s v="KBC"/>
    <x v="0"/>
    <x v="5"/>
    <x v="30"/>
    <n v="1"/>
    <m/>
    <m/>
    <n v="5"/>
    <n v="5"/>
    <m/>
    <m/>
    <m/>
    <m/>
    <n v="5"/>
    <m/>
    <m/>
    <x v="30"/>
    <x v="0"/>
    <n v="0.1111111111111111"/>
    <s v="NO"/>
    <m/>
  </r>
  <r>
    <m/>
    <x v="0"/>
    <s v="KBC"/>
    <x v="0"/>
    <x v="9"/>
    <x v="31"/>
    <n v="1"/>
    <m/>
    <m/>
    <n v="15"/>
    <n v="15"/>
    <m/>
    <m/>
    <m/>
    <m/>
    <n v="15"/>
    <m/>
    <m/>
    <x v="31"/>
    <x v="0"/>
    <n v="0.9375"/>
    <s v="NO"/>
    <m/>
  </r>
  <r>
    <d v="2013-12-01T00:00:00"/>
    <x v="0"/>
    <s v="KBSS"/>
    <x v="0"/>
    <x v="3"/>
    <x v="32"/>
    <n v="1"/>
    <m/>
    <m/>
    <n v="60"/>
    <n v="60"/>
    <m/>
    <m/>
    <m/>
    <m/>
    <n v="60"/>
    <m/>
    <m/>
    <x v="32"/>
    <x v="1"/>
    <s v=""/>
    <s v="NO"/>
    <m/>
  </r>
  <r>
    <m/>
    <x v="8"/>
    <s v="KBSS"/>
    <x v="0"/>
    <x v="3"/>
    <x v="32"/>
    <n v="1"/>
    <m/>
    <m/>
    <n v="100"/>
    <n v="100"/>
    <m/>
    <m/>
    <m/>
    <m/>
    <n v="100"/>
    <m/>
    <m/>
    <x v="32"/>
    <x v="1"/>
    <s v=""/>
    <s v="NO"/>
    <m/>
  </r>
  <r>
    <d v="2014-12-01T00:00:00"/>
    <x v="0"/>
    <s v="KBC"/>
    <x v="0"/>
    <x v="3"/>
    <x v="33"/>
    <n v="1"/>
    <m/>
    <m/>
    <n v="118"/>
    <n v="118"/>
    <m/>
    <m/>
    <m/>
    <m/>
    <n v="118"/>
    <m/>
    <m/>
    <x v="33"/>
    <x v="0"/>
    <n v="0.21811460258780038"/>
    <s v="NO"/>
    <m/>
  </r>
  <r>
    <m/>
    <x v="2"/>
    <m/>
    <x v="0"/>
    <x v="3"/>
    <x v="33"/>
    <n v="1"/>
    <m/>
    <m/>
    <n v="26"/>
    <n v="26"/>
    <m/>
    <m/>
    <m/>
    <m/>
    <n v="26"/>
    <m/>
    <m/>
    <x v="33"/>
    <x v="0"/>
    <n v="4.8059149722735672E-2"/>
    <s v="NO"/>
    <m/>
  </r>
  <r>
    <m/>
    <x v="0"/>
    <s v="KBSS"/>
    <x v="0"/>
    <x v="3"/>
    <x v="33"/>
    <n v="1"/>
    <m/>
    <m/>
    <n v="350"/>
    <n v="350"/>
    <m/>
    <m/>
    <m/>
    <m/>
    <n v="350"/>
    <m/>
    <m/>
    <x v="33"/>
    <x v="0"/>
    <n v="0.64695009242144175"/>
    <s v="NO"/>
    <m/>
  </r>
  <r>
    <m/>
    <x v="0"/>
    <m/>
    <x v="0"/>
    <x v="3"/>
    <x v="33"/>
    <n v="1"/>
    <m/>
    <m/>
    <n v="150"/>
    <m/>
    <m/>
    <m/>
    <m/>
    <m/>
    <n v="0"/>
    <m/>
    <m/>
    <x v="33"/>
    <x v="0"/>
    <n v="0"/>
    <s v="NO"/>
    <m/>
  </r>
  <r>
    <m/>
    <x v="6"/>
    <s v="KBC"/>
    <x v="0"/>
    <x v="5"/>
    <x v="34"/>
    <n v="1"/>
    <m/>
    <m/>
    <n v="9"/>
    <n v="9"/>
    <m/>
    <m/>
    <m/>
    <m/>
    <n v="9"/>
    <m/>
    <m/>
    <x v="34"/>
    <x v="0"/>
    <n v="8.3333333333333329E-2"/>
    <s v="NO"/>
    <m/>
  </r>
  <r>
    <m/>
    <x v="7"/>
    <s v="KBC"/>
    <x v="0"/>
    <x v="5"/>
    <x v="34"/>
    <n v="1"/>
    <m/>
    <m/>
    <n v="5"/>
    <n v="5"/>
    <m/>
    <m/>
    <m/>
    <m/>
    <n v="5"/>
    <m/>
    <m/>
    <x v="34"/>
    <x v="0"/>
    <n v="4.6296296296296294E-2"/>
    <s v="NO"/>
    <m/>
  </r>
  <r>
    <m/>
    <x v="0"/>
    <s v="KBC"/>
    <x v="0"/>
    <x v="5"/>
    <x v="34"/>
    <n v="1"/>
    <m/>
    <m/>
    <n v="10"/>
    <n v="10"/>
    <m/>
    <m/>
    <m/>
    <m/>
    <n v="10"/>
    <m/>
    <m/>
    <x v="34"/>
    <x v="0"/>
    <n v="9.2592592592592587E-2"/>
    <s v="NO"/>
    <m/>
  </r>
  <r>
    <m/>
    <x v="7"/>
    <s v="KBC"/>
    <x v="0"/>
    <x v="5"/>
    <x v="35"/>
    <n v="1"/>
    <m/>
    <m/>
    <n v="60"/>
    <n v="60"/>
    <m/>
    <m/>
    <m/>
    <m/>
    <n v="60"/>
    <m/>
    <m/>
    <x v="35"/>
    <x v="0"/>
    <n v="0.36809815950920244"/>
    <s v="NO"/>
    <m/>
  </r>
  <r>
    <m/>
    <x v="0"/>
    <s v="KBC"/>
    <x v="0"/>
    <x v="5"/>
    <x v="35"/>
    <n v="1"/>
    <m/>
    <m/>
    <n v="60"/>
    <n v="60"/>
    <m/>
    <m/>
    <m/>
    <m/>
    <n v="60"/>
    <m/>
    <m/>
    <x v="35"/>
    <x v="0"/>
    <n v="0.36809815950920244"/>
    <s v="NO"/>
    <m/>
  </r>
  <r>
    <m/>
    <x v="0"/>
    <m/>
    <x v="0"/>
    <x v="5"/>
    <x v="35"/>
    <n v="1"/>
    <m/>
    <m/>
    <n v="5"/>
    <n v="5"/>
    <m/>
    <m/>
    <m/>
    <m/>
    <n v="5"/>
    <m/>
    <m/>
    <x v="35"/>
    <x v="0"/>
    <n v="3.0674846625766871E-2"/>
    <s v="NO"/>
    <m/>
  </r>
  <r>
    <d v="2014-12-01T00:00:00"/>
    <x v="0"/>
    <s v="Shalom"/>
    <x v="0"/>
    <x v="4"/>
    <x v="36"/>
    <n v="1"/>
    <m/>
    <m/>
    <n v="35"/>
    <n v="35"/>
    <m/>
    <m/>
    <m/>
    <m/>
    <n v="35"/>
    <m/>
    <m/>
    <x v="36"/>
    <x v="0"/>
    <n v="0.24305555555555555"/>
    <s v="NO"/>
    <m/>
  </r>
  <r>
    <d v="2014-06-01T00:00:00"/>
    <x v="0"/>
    <s v="Shalom"/>
    <x v="0"/>
    <x v="4"/>
    <x v="36"/>
    <n v="1"/>
    <m/>
    <m/>
    <n v="5"/>
    <n v="5"/>
    <m/>
    <m/>
    <m/>
    <m/>
    <n v="5"/>
    <m/>
    <m/>
    <x v="36"/>
    <x v="0"/>
    <n v="3.4722222222222224E-2"/>
    <s v="NO"/>
    <m/>
  </r>
  <r>
    <m/>
    <x v="0"/>
    <s v="Shalom"/>
    <x v="0"/>
    <x v="4"/>
    <x v="36"/>
    <n v="1"/>
    <m/>
    <m/>
    <n v="33"/>
    <n v="33"/>
    <m/>
    <m/>
    <m/>
    <m/>
    <n v="33"/>
    <m/>
    <m/>
    <x v="36"/>
    <x v="0"/>
    <n v="0.22916666666666666"/>
    <s v="NO"/>
    <m/>
  </r>
  <r>
    <d v="2014-12-01T00:00:00"/>
    <x v="0"/>
    <s v="Shalom"/>
    <x v="0"/>
    <x v="0"/>
    <x v="37"/>
    <n v="1"/>
    <m/>
    <m/>
    <n v="5"/>
    <n v="5"/>
    <m/>
    <m/>
    <m/>
    <m/>
    <n v="5"/>
    <m/>
    <m/>
    <x v="37"/>
    <x v="0"/>
    <n v="0.2"/>
    <s v="NO"/>
    <m/>
  </r>
  <r>
    <d v="2014-06-01T00:00:00"/>
    <x v="0"/>
    <s v="Shalom"/>
    <x v="0"/>
    <x v="0"/>
    <x v="37"/>
    <n v="1"/>
    <m/>
    <m/>
    <n v="2"/>
    <n v="2"/>
    <m/>
    <m/>
    <m/>
    <m/>
    <n v="2"/>
    <m/>
    <m/>
    <x v="37"/>
    <x v="0"/>
    <n v="0.08"/>
    <s v="NO"/>
    <m/>
  </r>
  <r>
    <d v="2013-12-01T00:00:00"/>
    <x v="0"/>
    <s v="Shalom"/>
    <x v="0"/>
    <x v="0"/>
    <x v="37"/>
    <n v="1"/>
    <m/>
    <m/>
    <n v="18"/>
    <n v="18"/>
    <m/>
    <m/>
    <m/>
    <m/>
    <n v="18"/>
    <m/>
    <m/>
    <x v="37"/>
    <x v="0"/>
    <n v="0.72"/>
    <s v="NO"/>
    <m/>
  </r>
  <r>
    <d v="2014-12-01T00:00:00"/>
    <x v="0"/>
    <s v="Shalom"/>
    <x v="0"/>
    <x v="0"/>
    <x v="38"/>
    <n v="1"/>
    <m/>
    <m/>
    <n v="15"/>
    <n v="15"/>
    <m/>
    <m/>
    <m/>
    <m/>
    <n v="15"/>
    <m/>
    <m/>
    <x v="38"/>
    <x v="0"/>
    <n v="1"/>
    <s v="NO"/>
    <m/>
  </r>
  <r>
    <d v="2014-12-01T00:00:00"/>
    <x v="0"/>
    <s v="Shalom"/>
    <x v="0"/>
    <x v="1"/>
    <x v="39"/>
    <n v="1"/>
    <m/>
    <m/>
    <n v="15"/>
    <n v="15"/>
    <m/>
    <m/>
    <m/>
    <m/>
    <n v="15"/>
    <n v="8"/>
    <m/>
    <x v="39"/>
    <x v="0"/>
    <n v="0.12931034482758622"/>
    <s v="NO"/>
    <m/>
  </r>
  <r>
    <d v="2013-12-01T00:00:00"/>
    <x v="0"/>
    <s v="Shalom"/>
    <x v="0"/>
    <x v="1"/>
    <x v="39"/>
    <n v="1"/>
    <m/>
    <m/>
    <n v="10"/>
    <n v="10"/>
    <m/>
    <m/>
    <m/>
    <m/>
    <n v="10"/>
    <m/>
    <m/>
    <x v="39"/>
    <x v="0"/>
    <n v="8.6206896551724144E-2"/>
    <s v="NO"/>
    <m/>
  </r>
  <r>
    <m/>
    <x v="5"/>
    <m/>
    <x v="0"/>
    <x v="1"/>
    <x v="39"/>
    <n v="1"/>
    <m/>
    <m/>
    <n v="12"/>
    <n v="12"/>
    <m/>
    <m/>
    <m/>
    <m/>
    <n v="12"/>
    <m/>
    <m/>
    <x v="39"/>
    <x v="0"/>
    <n v="0.10344827586206896"/>
    <s v="NO"/>
    <m/>
  </r>
  <r>
    <m/>
    <x v="0"/>
    <s v="Metta"/>
    <x v="0"/>
    <x v="1"/>
    <x v="39"/>
    <n v="1"/>
    <m/>
    <m/>
    <n v="30"/>
    <n v="30"/>
    <m/>
    <m/>
    <m/>
    <m/>
    <n v="30"/>
    <m/>
    <m/>
    <x v="39"/>
    <x v="0"/>
    <n v="0.25862068965517243"/>
    <s v="NO"/>
    <m/>
  </r>
  <r>
    <m/>
    <x v="0"/>
    <m/>
    <x v="0"/>
    <x v="1"/>
    <x v="39"/>
    <n v="1"/>
    <m/>
    <m/>
    <n v="15"/>
    <n v="15"/>
    <m/>
    <m/>
    <m/>
    <m/>
    <n v="15"/>
    <m/>
    <m/>
    <x v="39"/>
    <x v="0"/>
    <n v="0.12931034482758622"/>
    <s v="NO"/>
    <m/>
  </r>
  <r>
    <m/>
    <x v="0"/>
    <s v="Shalom"/>
    <x v="0"/>
    <x v="1"/>
    <x v="39"/>
    <n v="1"/>
    <m/>
    <m/>
    <n v="5"/>
    <n v="5"/>
    <m/>
    <m/>
    <m/>
    <m/>
    <n v="5"/>
    <m/>
    <m/>
    <x v="39"/>
    <x v="0"/>
    <n v="4.3103448275862072E-2"/>
    <s v="NO"/>
    <m/>
  </r>
  <r>
    <m/>
    <x v="0"/>
    <m/>
    <x v="0"/>
    <x v="6"/>
    <x v="40"/>
    <n v="1"/>
    <m/>
    <m/>
    <n v="12"/>
    <n v="12"/>
    <m/>
    <m/>
    <m/>
    <m/>
    <n v="12"/>
    <m/>
    <m/>
    <x v="40"/>
    <x v="0"/>
    <n v="0.41379310344827586"/>
    <s v="NO"/>
    <m/>
  </r>
  <r>
    <m/>
    <x v="0"/>
    <s v="KBC"/>
    <x v="0"/>
    <x v="6"/>
    <x v="40"/>
    <n v="1"/>
    <m/>
    <m/>
    <n v="27"/>
    <n v="27"/>
    <m/>
    <m/>
    <m/>
    <m/>
    <n v="27"/>
    <m/>
    <m/>
    <x v="40"/>
    <x v="0"/>
    <n v="0.93103448275862066"/>
    <s v="NO"/>
    <m/>
  </r>
  <r>
    <d v="2014-12-01T00:00:00"/>
    <x v="0"/>
    <s v="KBC"/>
    <x v="0"/>
    <x v="6"/>
    <x v="41"/>
    <n v="1"/>
    <m/>
    <m/>
    <n v="21"/>
    <n v="21"/>
    <m/>
    <m/>
    <m/>
    <m/>
    <n v="21"/>
    <m/>
    <m/>
    <x v="41"/>
    <x v="0"/>
    <n v="0.3"/>
    <s v="NO"/>
    <m/>
  </r>
  <r>
    <m/>
    <x v="8"/>
    <m/>
    <x v="0"/>
    <x v="6"/>
    <x v="41"/>
    <n v="1"/>
    <m/>
    <m/>
    <n v="40"/>
    <n v="40"/>
    <m/>
    <m/>
    <m/>
    <m/>
    <n v="40"/>
    <m/>
    <m/>
    <x v="41"/>
    <x v="0"/>
    <n v="0.5714285714285714"/>
    <s v="NO"/>
    <m/>
  </r>
  <r>
    <m/>
    <x v="0"/>
    <m/>
    <x v="0"/>
    <x v="6"/>
    <x v="41"/>
    <n v="1"/>
    <m/>
    <m/>
    <n v="6"/>
    <n v="6"/>
    <m/>
    <m/>
    <m/>
    <m/>
    <n v="6"/>
    <m/>
    <m/>
    <x v="41"/>
    <x v="0"/>
    <n v="8.5714285714285715E-2"/>
    <s v="NO"/>
    <m/>
  </r>
  <r>
    <d v="2014-06-01T00:00:00"/>
    <x v="0"/>
    <s v="KBC"/>
    <x v="0"/>
    <x v="6"/>
    <x v="42"/>
    <n v="1"/>
    <m/>
    <m/>
    <n v="25"/>
    <n v="25"/>
    <m/>
    <m/>
    <m/>
    <m/>
    <n v="25"/>
    <m/>
    <m/>
    <x v="42"/>
    <x v="0"/>
    <n v="0.13297872340425532"/>
    <s v="NO"/>
    <m/>
  </r>
  <r>
    <m/>
    <x v="0"/>
    <m/>
    <x v="0"/>
    <x v="6"/>
    <x v="42"/>
    <n v="1"/>
    <m/>
    <m/>
    <n v="5"/>
    <n v="57"/>
    <m/>
    <m/>
    <m/>
    <m/>
    <n v="57"/>
    <m/>
    <m/>
    <x v="42"/>
    <x v="0"/>
    <n v="0.30319148936170215"/>
    <s v="NO"/>
    <m/>
  </r>
  <r>
    <m/>
    <x v="8"/>
    <s v="KBSS"/>
    <x v="0"/>
    <x v="3"/>
    <x v="43"/>
    <n v="1"/>
    <m/>
    <m/>
    <n v="100"/>
    <n v="100"/>
    <m/>
    <m/>
    <m/>
    <m/>
    <n v="100"/>
    <m/>
    <m/>
    <x v="43"/>
    <x v="1"/>
    <s v=""/>
    <s v="NO"/>
    <m/>
  </r>
  <r>
    <m/>
    <x v="0"/>
    <s v="Shalom"/>
    <x v="0"/>
    <x v="2"/>
    <x v="44"/>
    <n v="1"/>
    <m/>
    <m/>
    <n v="25"/>
    <n v="25"/>
    <m/>
    <m/>
    <m/>
    <m/>
    <n v="25"/>
    <m/>
    <m/>
    <x v="44"/>
    <x v="0"/>
    <n v="1"/>
    <s v="NO"/>
    <m/>
  </r>
  <r>
    <m/>
    <x v="4"/>
    <s v="KMSS"/>
    <x v="0"/>
    <x v="2"/>
    <x v="45"/>
    <n v="1"/>
    <m/>
    <m/>
    <n v="604"/>
    <n v="604"/>
    <m/>
    <m/>
    <m/>
    <m/>
    <n v="604"/>
    <m/>
    <m/>
    <x v="45"/>
    <x v="0"/>
    <n v="0.99178981937602628"/>
    <s v="NO"/>
    <m/>
  </r>
  <r>
    <m/>
    <x v="3"/>
    <m/>
    <x v="0"/>
    <x v="6"/>
    <x v="46"/>
    <n v="1"/>
    <m/>
    <m/>
    <n v="92"/>
    <n v="92"/>
    <m/>
    <m/>
    <m/>
    <m/>
    <n v="92"/>
    <m/>
    <m/>
    <x v="46"/>
    <x v="0"/>
    <n v="46"/>
    <s v="NO"/>
    <m/>
  </r>
  <r>
    <d v="2013-12-01T00:00:00"/>
    <x v="0"/>
    <s v="Shalom"/>
    <x v="0"/>
    <x v="2"/>
    <x v="47"/>
    <n v="1"/>
    <m/>
    <m/>
    <n v="35"/>
    <n v="35"/>
    <m/>
    <m/>
    <m/>
    <m/>
    <n v="35"/>
    <m/>
    <m/>
    <x v="47"/>
    <x v="0"/>
    <n v="0.25925925925925924"/>
    <s v="NO"/>
    <m/>
  </r>
  <r>
    <m/>
    <x v="0"/>
    <s v="Shalom"/>
    <x v="0"/>
    <x v="2"/>
    <x v="47"/>
    <n v="1"/>
    <m/>
    <m/>
    <n v="54"/>
    <n v="54"/>
    <m/>
    <m/>
    <m/>
    <m/>
    <n v="54"/>
    <m/>
    <m/>
    <x v="47"/>
    <x v="0"/>
    <n v="0.4"/>
    <s v="NO"/>
    <m/>
  </r>
  <r>
    <m/>
    <x v="10"/>
    <m/>
    <x v="0"/>
    <x v="2"/>
    <x v="47"/>
    <n v="1"/>
    <m/>
    <m/>
    <n v="18"/>
    <n v="18"/>
    <m/>
    <m/>
    <m/>
    <m/>
    <n v="18"/>
    <m/>
    <m/>
    <x v="47"/>
    <x v="0"/>
    <n v="0.13333333333333333"/>
    <s v="NO"/>
    <m/>
  </r>
  <r>
    <m/>
    <x v="4"/>
    <s v="KMSS"/>
    <x v="0"/>
    <x v="2"/>
    <x v="48"/>
    <n v="1"/>
    <m/>
    <m/>
    <n v="12"/>
    <n v="12"/>
    <m/>
    <m/>
    <m/>
    <m/>
    <n v="12"/>
    <m/>
    <m/>
    <x v="48"/>
    <x v="0"/>
    <n v="5.2863436123348019E-2"/>
    <s v="NO"/>
    <m/>
  </r>
  <r>
    <m/>
    <x v="0"/>
    <s v="KMSS"/>
    <x v="0"/>
    <x v="2"/>
    <x v="48"/>
    <n v="1"/>
    <m/>
    <m/>
    <n v="78"/>
    <n v="78"/>
    <m/>
    <m/>
    <m/>
    <m/>
    <n v="78"/>
    <n v="138"/>
    <m/>
    <x v="48"/>
    <x v="0"/>
    <n v="0.34361233480176212"/>
    <s v="NO"/>
    <m/>
  </r>
  <r>
    <m/>
    <x v="0"/>
    <m/>
    <x v="0"/>
    <x v="2"/>
    <x v="48"/>
    <n v="1"/>
    <m/>
    <m/>
    <n v="120"/>
    <n v="120"/>
    <m/>
    <m/>
    <m/>
    <m/>
    <n v="120"/>
    <m/>
    <m/>
    <x v="48"/>
    <x v="0"/>
    <n v="0.52863436123348018"/>
    <s v="NO"/>
    <m/>
  </r>
  <r>
    <m/>
    <x v="7"/>
    <s v="KBC"/>
    <x v="0"/>
    <x v="2"/>
    <x v="49"/>
    <n v="1"/>
    <m/>
    <m/>
    <n v="50"/>
    <n v="50"/>
    <m/>
    <m/>
    <m/>
    <m/>
    <n v="50"/>
    <m/>
    <m/>
    <x v="49"/>
    <x v="0"/>
    <n v="0.11682242990654206"/>
    <s v="NO"/>
    <m/>
  </r>
  <r>
    <m/>
    <x v="0"/>
    <s v="KBC"/>
    <x v="0"/>
    <x v="2"/>
    <x v="49"/>
    <n v="1"/>
    <m/>
    <m/>
    <n v="400"/>
    <n v="400"/>
    <m/>
    <m/>
    <m/>
    <m/>
    <n v="400"/>
    <m/>
    <m/>
    <x v="49"/>
    <x v="0"/>
    <n v="0.93457943925233644"/>
    <s v="NO"/>
    <m/>
  </r>
  <r>
    <m/>
    <x v="11"/>
    <s v="KBC"/>
    <x v="0"/>
    <x v="2"/>
    <x v="49"/>
    <n v="1"/>
    <m/>
    <m/>
    <n v="10"/>
    <n v="10"/>
    <m/>
    <m/>
    <m/>
    <m/>
    <n v="10"/>
    <m/>
    <m/>
    <x v="49"/>
    <x v="0"/>
    <n v="2.336448598130841E-2"/>
    <s v="NO"/>
    <m/>
  </r>
  <r>
    <m/>
    <x v="0"/>
    <s v="KBC"/>
    <x v="0"/>
    <x v="2"/>
    <x v="50"/>
    <n v="1"/>
    <m/>
    <m/>
    <n v="30"/>
    <n v="30"/>
    <m/>
    <m/>
    <m/>
    <m/>
    <n v="30"/>
    <m/>
    <m/>
    <x v="50"/>
    <x v="0"/>
    <n v="0.625"/>
    <s v="NO"/>
    <m/>
  </r>
  <r>
    <m/>
    <x v="10"/>
    <m/>
    <x v="0"/>
    <x v="2"/>
    <x v="50"/>
    <n v="1"/>
    <m/>
    <m/>
    <n v="10"/>
    <n v="10"/>
    <m/>
    <m/>
    <m/>
    <m/>
    <n v="10"/>
    <m/>
    <m/>
    <x v="50"/>
    <x v="0"/>
    <n v="0.20833333333333334"/>
    <s v="NO"/>
    <m/>
  </r>
  <r>
    <d v="2014-06-01T00:00:00"/>
    <x v="0"/>
    <s v="KBC"/>
    <x v="0"/>
    <x v="3"/>
    <x v="51"/>
    <n v="1"/>
    <m/>
    <m/>
    <n v="60"/>
    <n v="60"/>
    <m/>
    <m/>
    <m/>
    <m/>
    <n v="60"/>
    <m/>
    <m/>
    <x v="51"/>
    <x v="0"/>
    <n v="0.16129032258064516"/>
    <s v="NO"/>
    <m/>
  </r>
  <r>
    <m/>
    <x v="6"/>
    <s v="KBC"/>
    <x v="0"/>
    <x v="3"/>
    <x v="51"/>
    <n v="1"/>
    <m/>
    <m/>
    <n v="20"/>
    <n v="20"/>
    <m/>
    <m/>
    <m/>
    <m/>
    <n v="20"/>
    <m/>
    <m/>
    <x v="51"/>
    <x v="0"/>
    <n v="5.3763440860215055E-2"/>
    <s v="NO"/>
    <m/>
  </r>
  <r>
    <m/>
    <x v="4"/>
    <m/>
    <x v="0"/>
    <x v="3"/>
    <x v="51"/>
    <n v="1"/>
    <m/>
    <m/>
    <n v="144"/>
    <n v="144"/>
    <m/>
    <m/>
    <m/>
    <m/>
    <n v="144"/>
    <m/>
    <m/>
    <x v="51"/>
    <x v="0"/>
    <n v="0.38709677419354838"/>
    <s v="NO"/>
    <m/>
  </r>
  <r>
    <m/>
    <x v="12"/>
    <m/>
    <x v="0"/>
    <x v="3"/>
    <x v="52"/>
    <n v="1"/>
    <m/>
    <m/>
    <n v="20"/>
    <n v="20"/>
    <m/>
    <m/>
    <m/>
    <m/>
    <n v="20"/>
    <m/>
    <m/>
    <x v="52"/>
    <x v="0"/>
    <n v="0.16528925619834711"/>
    <s v="NO"/>
    <m/>
  </r>
  <r>
    <m/>
    <x v="3"/>
    <m/>
    <x v="0"/>
    <x v="3"/>
    <x v="52"/>
    <n v="1"/>
    <m/>
    <m/>
    <n v="30"/>
    <n v="30"/>
    <m/>
    <m/>
    <m/>
    <m/>
    <n v="30"/>
    <m/>
    <m/>
    <x v="52"/>
    <x v="0"/>
    <n v="0.24793388429752067"/>
    <s v="NO"/>
    <m/>
  </r>
  <r>
    <m/>
    <x v="0"/>
    <s v="KBC"/>
    <x v="0"/>
    <x v="5"/>
    <x v="53"/>
    <n v="1"/>
    <m/>
    <m/>
    <n v="20"/>
    <n v="20"/>
    <m/>
    <m/>
    <m/>
    <m/>
    <n v="20"/>
    <m/>
    <m/>
    <x v="53"/>
    <x v="0"/>
    <n v="0.27777777777777779"/>
    <s v="NO"/>
    <m/>
  </r>
  <r>
    <d v="2014-06-19T00:00:00"/>
    <x v="0"/>
    <s v="KBSS"/>
    <x v="0"/>
    <x v="6"/>
    <x v="54"/>
    <n v="1"/>
    <m/>
    <m/>
    <n v="80"/>
    <n v="80"/>
    <m/>
    <m/>
    <m/>
    <m/>
    <n v="80"/>
    <m/>
    <m/>
    <x v="54"/>
    <x v="0"/>
    <n v="0.30188679245283018"/>
    <s v="NO"/>
    <m/>
  </r>
  <r>
    <m/>
    <x v="5"/>
    <m/>
    <x v="0"/>
    <x v="6"/>
    <x v="54"/>
    <n v="1"/>
    <m/>
    <m/>
    <n v="18"/>
    <n v="18"/>
    <m/>
    <m/>
    <m/>
    <m/>
    <n v="18"/>
    <m/>
    <m/>
    <x v="54"/>
    <x v="0"/>
    <n v="6.7924528301886791E-2"/>
    <s v="NO"/>
    <m/>
  </r>
  <r>
    <m/>
    <x v="0"/>
    <m/>
    <x v="0"/>
    <x v="6"/>
    <x v="54"/>
    <n v="1"/>
    <m/>
    <m/>
    <n v="55"/>
    <n v="55"/>
    <m/>
    <m/>
    <m/>
    <m/>
    <n v="55"/>
    <m/>
    <m/>
    <x v="54"/>
    <x v="0"/>
    <n v="0.20754716981132076"/>
    <s v="NO"/>
    <m/>
  </r>
  <r>
    <m/>
    <x v="0"/>
    <s v="KBC"/>
    <x v="0"/>
    <x v="5"/>
    <x v="55"/>
    <n v="1"/>
    <m/>
    <m/>
    <n v="60"/>
    <n v="60"/>
    <m/>
    <m/>
    <m/>
    <m/>
    <n v="60"/>
    <m/>
    <m/>
    <x v="55"/>
    <x v="0"/>
    <n v="0.625"/>
    <s v="NO"/>
    <m/>
  </r>
  <r>
    <m/>
    <x v="0"/>
    <m/>
    <x v="0"/>
    <x v="5"/>
    <x v="55"/>
    <n v="1"/>
    <m/>
    <m/>
    <n v="20"/>
    <n v="20"/>
    <m/>
    <m/>
    <m/>
    <m/>
    <n v="20"/>
    <m/>
    <m/>
    <x v="55"/>
    <x v="0"/>
    <n v="0.20833333333333334"/>
    <s v="NO"/>
    <m/>
  </r>
  <r>
    <d v="2014-04-20T00:00:00"/>
    <x v="0"/>
    <m/>
    <x v="0"/>
    <x v="3"/>
    <x v="56"/>
    <n v="1"/>
    <n v="200"/>
    <n v="200"/>
    <m/>
    <m/>
    <m/>
    <m/>
    <m/>
    <m/>
    <n v="0"/>
    <m/>
    <m/>
    <x v="56"/>
    <x v="1"/>
    <s v=""/>
    <s v="NO"/>
    <m/>
  </r>
  <r>
    <m/>
    <x v="4"/>
    <s v="KBC"/>
    <x v="0"/>
    <x v="3"/>
    <x v="57"/>
    <n v="1"/>
    <m/>
    <m/>
    <n v="39"/>
    <n v="39"/>
    <m/>
    <m/>
    <m/>
    <m/>
    <n v="39"/>
    <m/>
    <m/>
    <x v="57"/>
    <x v="0"/>
    <n v="0.34210526315789475"/>
    <s v="NO"/>
    <m/>
  </r>
  <r>
    <m/>
    <x v="5"/>
    <m/>
    <x v="0"/>
    <x v="3"/>
    <x v="57"/>
    <n v="1"/>
    <m/>
    <m/>
    <n v="15"/>
    <n v="15"/>
    <m/>
    <m/>
    <m/>
    <m/>
    <n v="15"/>
    <m/>
    <m/>
    <x v="57"/>
    <x v="0"/>
    <n v="0.13157894736842105"/>
    <s v="NO"/>
    <m/>
  </r>
  <r>
    <m/>
    <x v="0"/>
    <s v="KBC"/>
    <x v="0"/>
    <x v="3"/>
    <x v="57"/>
    <n v="1"/>
    <m/>
    <m/>
    <n v="20"/>
    <n v="20"/>
    <m/>
    <m/>
    <m/>
    <m/>
    <n v="20"/>
    <m/>
    <m/>
    <x v="57"/>
    <x v="0"/>
    <n v="0.17543859649122806"/>
    <s v="NO"/>
    <m/>
  </r>
  <r>
    <d v="2014-04-19T00:00:00"/>
    <x v="0"/>
    <m/>
    <x v="0"/>
    <x v="3"/>
    <x v="58"/>
    <n v="1"/>
    <n v="200"/>
    <n v="200"/>
    <m/>
    <m/>
    <m/>
    <m/>
    <m/>
    <m/>
    <n v="0"/>
    <m/>
    <m/>
    <x v="58"/>
    <x v="0"/>
    <n v="0"/>
    <s v="NO"/>
    <m/>
  </r>
  <r>
    <m/>
    <x v="0"/>
    <s v="KBSS"/>
    <x v="0"/>
    <x v="3"/>
    <x v="58"/>
    <n v="1"/>
    <m/>
    <m/>
    <n v="200"/>
    <n v="200"/>
    <m/>
    <m/>
    <m/>
    <m/>
    <n v="200"/>
    <m/>
    <m/>
    <x v="58"/>
    <x v="0"/>
    <n v="0.41152263374485598"/>
    <s v="NO"/>
    <m/>
  </r>
  <r>
    <m/>
    <x v="5"/>
    <m/>
    <x v="0"/>
    <x v="6"/>
    <x v="59"/>
    <n v="1"/>
    <m/>
    <m/>
    <n v="6"/>
    <n v="6"/>
    <m/>
    <m/>
    <m/>
    <m/>
    <n v="6"/>
    <m/>
    <m/>
    <x v="59"/>
    <x v="1"/>
    <s v=""/>
    <s v="NO"/>
    <m/>
  </r>
  <r>
    <m/>
    <x v="0"/>
    <s v="Shalom"/>
    <x v="0"/>
    <x v="6"/>
    <x v="59"/>
    <n v="1"/>
    <m/>
    <m/>
    <m/>
    <m/>
    <m/>
    <m/>
    <m/>
    <m/>
    <n v="0"/>
    <n v="5"/>
    <m/>
    <x v="59"/>
    <x v="1"/>
    <s v=""/>
    <s v="NO"/>
    <m/>
  </r>
  <r>
    <d v="2013-12-01T00:00:00"/>
    <x v="0"/>
    <s v="KBC"/>
    <x v="1"/>
    <x v="7"/>
    <x v="60"/>
    <n v="1"/>
    <m/>
    <m/>
    <n v="10"/>
    <n v="10"/>
    <m/>
    <m/>
    <m/>
    <m/>
    <n v="10"/>
    <m/>
    <m/>
    <x v="60"/>
    <x v="0"/>
    <n v="0.26315789473684209"/>
    <s v="NO"/>
    <m/>
  </r>
  <r>
    <m/>
    <x v="0"/>
    <s v="KBC"/>
    <x v="1"/>
    <x v="7"/>
    <x v="60"/>
    <n v="1"/>
    <m/>
    <m/>
    <n v="30"/>
    <n v="30"/>
    <m/>
    <m/>
    <m/>
    <m/>
    <n v="30"/>
    <m/>
    <m/>
    <x v="60"/>
    <x v="0"/>
    <n v="0.78947368421052633"/>
    <s v="NO"/>
    <m/>
  </r>
  <r>
    <d v="2013-12-01T00:00:00"/>
    <x v="0"/>
    <s v="KMSS"/>
    <x v="1"/>
    <x v="7"/>
    <x v="61"/>
    <n v="1"/>
    <m/>
    <m/>
    <n v="30"/>
    <n v="30"/>
    <m/>
    <m/>
    <m/>
    <m/>
    <n v="30"/>
    <m/>
    <m/>
    <x v="61"/>
    <x v="0"/>
    <n v="0.967741935483871"/>
    <s v="NO"/>
    <m/>
  </r>
  <r>
    <m/>
    <x v="0"/>
    <s v="KBC"/>
    <x v="0"/>
    <x v="9"/>
    <x v="62"/>
    <n v="1"/>
    <m/>
    <m/>
    <n v="10"/>
    <n v="10"/>
    <m/>
    <m/>
    <m/>
    <m/>
    <n v="10"/>
    <m/>
    <m/>
    <x v="62"/>
    <x v="0"/>
    <n v="0.55555555555555558"/>
    <s v="NO"/>
    <m/>
  </r>
  <r>
    <d v="2014-06-19T00:00:00"/>
    <x v="5"/>
    <m/>
    <x v="0"/>
    <x v="3"/>
    <x v="63"/>
    <n v="1"/>
    <m/>
    <m/>
    <n v="56"/>
    <n v="60"/>
    <m/>
    <m/>
    <m/>
    <m/>
    <n v="60"/>
    <m/>
    <m/>
    <x v="63"/>
    <x v="0"/>
    <n v="0.27149321266968324"/>
    <s v="NO"/>
    <m/>
  </r>
  <r>
    <d v="2014-06-01T00:00:00"/>
    <x v="0"/>
    <s v="KBC"/>
    <x v="0"/>
    <x v="3"/>
    <x v="63"/>
    <n v="1"/>
    <m/>
    <m/>
    <n v="15"/>
    <n v="15"/>
    <m/>
    <m/>
    <m/>
    <m/>
    <n v="15"/>
    <m/>
    <m/>
    <x v="63"/>
    <x v="0"/>
    <n v="6.7873303167420809E-2"/>
    <s v="NO"/>
    <m/>
  </r>
  <r>
    <d v="2013-12-01T00:00:00"/>
    <x v="0"/>
    <s v="KBC"/>
    <x v="0"/>
    <x v="3"/>
    <x v="63"/>
    <n v="1"/>
    <m/>
    <m/>
    <n v="20"/>
    <n v="20"/>
    <m/>
    <m/>
    <m/>
    <m/>
    <n v="20"/>
    <m/>
    <m/>
    <x v="63"/>
    <x v="0"/>
    <n v="9.0497737556561084E-2"/>
    <s v="NO"/>
    <m/>
  </r>
  <r>
    <m/>
    <x v="0"/>
    <m/>
    <x v="0"/>
    <x v="3"/>
    <x v="63"/>
    <n v="1"/>
    <m/>
    <m/>
    <n v="41"/>
    <n v="10"/>
    <m/>
    <m/>
    <m/>
    <m/>
    <n v="10"/>
    <m/>
    <m/>
    <x v="63"/>
    <x v="0"/>
    <n v="4.5248868778280542E-2"/>
    <s v="NO"/>
    <m/>
  </r>
  <r>
    <m/>
    <x v="6"/>
    <s v="CC"/>
    <x v="0"/>
    <x v="0"/>
    <x v="64"/>
    <n v="1"/>
    <m/>
    <m/>
    <n v="10"/>
    <n v="10"/>
    <m/>
    <m/>
    <m/>
    <m/>
    <n v="10"/>
    <m/>
    <m/>
    <x v="64"/>
    <x v="1"/>
    <s v=""/>
    <s v="NO"/>
    <m/>
  </r>
  <r>
    <m/>
    <x v="0"/>
    <s v="Shalom"/>
    <x v="0"/>
    <x v="0"/>
    <x v="64"/>
    <n v="1"/>
    <m/>
    <m/>
    <n v="10"/>
    <n v="10"/>
    <m/>
    <m/>
    <m/>
    <m/>
    <n v="10"/>
    <m/>
    <m/>
    <x v="64"/>
    <x v="1"/>
    <s v=""/>
    <s v="NO"/>
    <m/>
  </r>
  <r>
    <d v="2014-06-01T00:00:00"/>
    <x v="0"/>
    <s v="Shalom"/>
    <x v="0"/>
    <x v="5"/>
    <x v="65"/>
    <n v="1"/>
    <m/>
    <m/>
    <n v="5"/>
    <n v="5"/>
    <m/>
    <m/>
    <m/>
    <m/>
    <n v="5"/>
    <m/>
    <m/>
    <x v="65"/>
    <x v="0"/>
    <n v="0.22727272727272727"/>
    <s v="NO"/>
    <m/>
  </r>
  <r>
    <m/>
    <x v="0"/>
    <s v="Shalom"/>
    <x v="0"/>
    <x v="5"/>
    <x v="65"/>
    <n v="1"/>
    <m/>
    <m/>
    <n v="27"/>
    <n v="27"/>
    <m/>
    <m/>
    <m/>
    <m/>
    <n v="27"/>
    <m/>
    <m/>
    <x v="65"/>
    <x v="0"/>
    <n v="1.2272727272727273"/>
    <s v="NO"/>
    <m/>
  </r>
  <r>
    <d v="2013-12-01T00:00:00"/>
    <x v="0"/>
    <s v="Shalom"/>
    <x v="0"/>
    <x v="5"/>
    <x v="66"/>
    <n v="1"/>
    <m/>
    <m/>
    <n v="15"/>
    <n v="15"/>
    <m/>
    <m/>
    <m/>
    <m/>
    <n v="15"/>
    <m/>
    <m/>
    <x v="66"/>
    <x v="0"/>
    <n v="1.0714285714285714"/>
    <s v="NO"/>
    <m/>
  </r>
  <r>
    <m/>
    <x v="0"/>
    <s v="Shalom"/>
    <x v="0"/>
    <x v="5"/>
    <x v="66"/>
    <n v="1"/>
    <m/>
    <m/>
    <n v="4"/>
    <n v="4"/>
    <m/>
    <m/>
    <m/>
    <m/>
    <n v="4"/>
    <m/>
    <m/>
    <x v="66"/>
    <x v="0"/>
    <n v="0.2857142857142857"/>
    <s v="NO"/>
    <m/>
  </r>
  <r>
    <d v="2013-12-01T00:00:00"/>
    <x v="0"/>
    <s v="Shalom"/>
    <x v="0"/>
    <x v="0"/>
    <x v="67"/>
    <n v="1"/>
    <m/>
    <m/>
    <n v="5"/>
    <n v="5"/>
    <m/>
    <m/>
    <m/>
    <m/>
    <n v="5"/>
    <m/>
    <m/>
    <x v="67"/>
    <x v="0"/>
    <n v="1"/>
    <s v="NO"/>
    <m/>
  </r>
  <r>
    <m/>
    <x v="0"/>
    <s v="Shalom"/>
    <x v="0"/>
    <x v="0"/>
    <x v="67"/>
    <n v="1"/>
    <m/>
    <m/>
    <n v="5"/>
    <n v="5"/>
    <m/>
    <m/>
    <m/>
    <m/>
    <n v="5"/>
    <m/>
    <m/>
    <x v="67"/>
    <x v="0"/>
    <n v="1"/>
    <s v="NO"/>
    <m/>
  </r>
  <r>
    <m/>
    <x v="9"/>
    <s v="MDCG"/>
    <x v="1"/>
    <x v="8"/>
    <x v="68"/>
    <n v="1"/>
    <m/>
    <m/>
    <n v="63"/>
    <n v="63"/>
    <m/>
    <m/>
    <m/>
    <m/>
    <n v="63"/>
    <m/>
    <m/>
    <x v="68"/>
    <x v="0"/>
    <n v="0.79746835443037978"/>
    <s v="NO"/>
    <m/>
  </r>
  <r>
    <d v="2014-06-01T00:00:00"/>
    <x v="0"/>
    <s v="KBC"/>
    <x v="0"/>
    <x v="6"/>
    <x v="69"/>
    <n v="1"/>
    <m/>
    <m/>
    <n v="10"/>
    <n v="10"/>
    <m/>
    <m/>
    <m/>
    <m/>
    <n v="10"/>
    <m/>
    <m/>
    <x v="69"/>
    <x v="0"/>
    <n v="4.8309178743961352E-2"/>
    <s v="NO"/>
    <m/>
  </r>
  <r>
    <d v="2013-12-01T00:00:00"/>
    <x v="0"/>
    <m/>
    <x v="0"/>
    <x v="6"/>
    <x v="69"/>
    <n v="1"/>
    <m/>
    <m/>
    <n v="50"/>
    <n v="50"/>
    <m/>
    <m/>
    <m/>
    <m/>
    <n v="50"/>
    <m/>
    <m/>
    <x v="69"/>
    <x v="0"/>
    <n v="0.24154589371980675"/>
    <s v="NO"/>
    <m/>
  </r>
  <r>
    <m/>
    <x v="6"/>
    <s v="Metta"/>
    <x v="0"/>
    <x v="6"/>
    <x v="69"/>
    <n v="1"/>
    <m/>
    <m/>
    <n v="32"/>
    <n v="32"/>
    <m/>
    <m/>
    <m/>
    <m/>
    <n v="32"/>
    <m/>
    <m/>
    <x v="69"/>
    <x v="0"/>
    <n v="0.15458937198067632"/>
    <s v="NO"/>
    <m/>
  </r>
  <r>
    <m/>
    <x v="5"/>
    <m/>
    <x v="0"/>
    <x v="6"/>
    <x v="69"/>
    <n v="1"/>
    <m/>
    <m/>
    <n v="144"/>
    <n v="144"/>
    <m/>
    <m/>
    <m/>
    <m/>
    <n v="144"/>
    <m/>
    <m/>
    <x v="69"/>
    <x v="0"/>
    <n v="0.69565217391304346"/>
    <s v="NO"/>
    <m/>
  </r>
  <r>
    <m/>
    <x v="0"/>
    <s v="KBC"/>
    <x v="0"/>
    <x v="6"/>
    <x v="69"/>
    <n v="1"/>
    <m/>
    <m/>
    <n v="40"/>
    <n v="40"/>
    <m/>
    <m/>
    <m/>
    <m/>
    <n v="40"/>
    <m/>
    <m/>
    <x v="69"/>
    <x v="0"/>
    <n v="0.19323671497584541"/>
    <s v="NO"/>
    <m/>
  </r>
  <r>
    <m/>
    <x v="8"/>
    <s v="KBSS"/>
    <x v="0"/>
    <x v="6"/>
    <x v="70"/>
    <n v="1"/>
    <m/>
    <m/>
    <n v="92"/>
    <n v="92"/>
    <m/>
    <m/>
    <m/>
    <m/>
    <n v="92"/>
    <m/>
    <m/>
    <x v="70"/>
    <x v="1"/>
    <s v=""/>
    <s v="NO"/>
    <m/>
  </r>
  <r>
    <m/>
    <x v="0"/>
    <s v="KBC"/>
    <x v="1"/>
    <x v="10"/>
    <x v="71"/>
    <n v="1"/>
    <m/>
    <m/>
    <n v="10"/>
    <n v="10"/>
    <m/>
    <m/>
    <m/>
    <m/>
    <n v="10"/>
    <m/>
    <m/>
    <x v="71"/>
    <x v="0"/>
    <n v="8.1300813008130079E-2"/>
    <s v="NO"/>
    <m/>
  </r>
  <r>
    <m/>
    <x v="8"/>
    <s v="KBSS"/>
    <x v="0"/>
    <x v="3"/>
    <x v="72"/>
    <n v="1"/>
    <m/>
    <m/>
    <n v="24"/>
    <n v="24"/>
    <m/>
    <m/>
    <m/>
    <m/>
    <n v="24"/>
    <m/>
    <m/>
    <x v="72"/>
    <x v="1"/>
    <s v=""/>
    <s v="NO"/>
    <m/>
  </r>
  <r>
    <d v="2013-12-01T00:00:00"/>
    <x v="0"/>
    <s v="KBC"/>
    <x v="1"/>
    <x v="8"/>
    <x v="73"/>
    <n v="1"/>
    <m/>
    <m/>
    <n v="5"/>
    <n v="5"/>
    <m/>
    <m/>
    <m/>
    <m/>
    <n v="5"/>
    <m/>
    <m/>
    <x v="73"/>
    <x v="0"/>
    <n v="9.8039215686274508E-2"/>
    <s v="NO"/>
    <m/>
  </r>
  <r>
    <d v="2014-12-01T00:00:00"/>
    <x v="5"/>
    <m/>
    <x v="1"/>
    <x v="10"/>
    <x v="74"/>
    <n v="1"/>
    <m/>
    <m/>
    <n v="44"/>
    <n v="44"/>
    <m/>
    <m/>
    <m/>
    <m/>
    <n v="44"/>
    <m/>
    <m/>
    <x v="74"/>
    <x v="0"/>
    <n v="0.8"/>
    <s v="NO"/>
    <m/>
  </r>
  <r>
    <d v="2014-05-11T00:00:00"/>
    <x v="0"/>
    <m/>
    <x v="1"/>
    <x v="10"/>
    <x v="74"/>
    <n v="1"/>
    <n v="110"/>
    <n v="110"/>
    <m/>
    <m/>
    <m/>
    <m/>
    <m/>
    <m/>
    <n v="0"/>
    <m/>
    <m/>
    <x v="74"/>
    <x v="0"/>
    <n v="0"/>
    <s v="NO"/>
    <m/>
  </r>
  <r>
    <m/>
    <x v="5"/>
    <m/>
    <x v="1"/>
    <x v="10"/>
    <x v="75"/>
    <n v="1"/>
    <m/>
    <m/>
    <n v="20"/>
    <n v="20"/>
    <m/>
    <m/>
    <m/>
    <m/>
    <n v="20"/>
    <m/>
    <m/>
    <x v="75"/>
    <x v="0"/>
    <n v="0.66666666666666663"/>
    <s v="NO"/>
    <m/>
  </r>
  <r>
    <m/>
    <x v="0"/>
    <s v="KMSS-LSO"/>
    <x v="1"/>
    <x v="10"/>
    <x v="75"/>
    <n v="1"/>
    <m/>
    <m/>
    <n v="10"/>
    <n v="10"/>
    <m/>
    <m/>
    <m/>
    <m/>
    <n v="10"/>
    <m/>
    <m/>
    <x v="75"/>
    <x v="0"/>
    <n v="0.33333333333333331"/>
    <s v="NO"/>
    <m/>
  </r>
  <r>
    <d v="2014-06-01T00:00:00"/>
    <x v="0"/>
    <s v="Shalom"/>
    <x v="0"/>
    <x v="1"/>
    <x v="76"/>
    <n v="1"/>
    <m/>
    <m/>
    <n v="5"/>
    <n v="5"/>
    <m/>
    <m/>
    <m/>
    <m/>
    <n v="5"/>
    <m/>
    <m/>
    <x v="76"/>
    <x v="0"/>
    <n v="0.21739130434782608"/>
    <s v="NO"/>
    <m/>
  </r>
  <r>
    <d v="2013-12-01T00:00:00"/>
    <x v="0"/>
    <s v="Shalom"/>
    <x v="0"/>
    <x v="1"/>
    <x v="76"/>
    <n v="1"/>
    <m/>
    <m/>
    <n v="13"/>
    <n v="13"/>
    <m/>
    <m/>
    <m/>
    <m/>
    <n v="13"/>
    <m/>
    <m/>
    <x v="76"/>
    <x v="0"/>
    <n v="0.56521739130434778"/>
    <s v="NO"/>
    <m/>
  </r>
  <r>
    <m/>
    <x v="4"/>
    <s v="KBC"/>
    <x v="1"/>
    <x v="11"/>
    <x v="77"/>
    <n v="1"/>
    <m/>
    <m/>
    <n v="78"/>
    <n v="78"/>
    <m/>
    <m/>
    <m/>
    <m/>
    <n v="78"/>
    <m/>
    <m/>
    <x v="77"/>
    <x v="0"/>
    <n v="0.95121951219512191"/>
    <s v="NO"/>
    <m/>
  </r>
  <r>
    <m/>
    <x v="0"/>
    <s v="KBC"/>
    <x v="1"/>
    <x v="11"/>
    <x v="77"/>
    <n v="1"/>
    <m/>
    <m/>
    <n v="20"/>
    <n v="20"/>
    <m/>
    <m/>
    <m/>
    <m/>
    <n v="20"/>
    <m/>
    <m/>
    <x v="77"/>
    <x v="0"/>
    <n v="0.24390243902439024"/>
    <s v="NO"/>
    <m/>
  </r>
  <r>
    <m/>
    <x v="4"/>
    <s v="KBC"/>
    <x v="1"/>
    <x v="11"/>
    <x v="78"/>
    <n v="1"/>
    <m/>
    <m/>
    <n v="30"/>
    <n v="30"/>
    <m/>
    <m/>
    <m/>
    <m/>
    <n v="30"/>
    <m/>
    <m/>
    <x v="78"/>
    <x v="0"/>
    <n v="0.44117647058823528"/>
    <s v="NO"/>
    <m/>
  </r>
  <r>
    <m/>
    <x v="5"/>
    <m/>
    <x v="1"/>
    <x v="11"/>
    <x v="79"/>
    <n v="1"/>
    <m/>
    <m/>
    <n v="24"/>
    <n v="12"/>
    <m/>
    <m/>
    <m/>
    <m/>
    <n v="12"/>
    <m/>
    <m/>
    <x v="79"/>
    <x v="0"/>
    <n v="0.29268292682926828"/>
    <s v="NO"/>
    <m/>
  </r>
  <r>
    <m/>
    <x v="0"/>
    <s v="KBC"/>
    <x v="1"/>
    <x v="8"/>
    <x v="80"/>
    <n v="1"/>
    <m/>
    <m/>
    <n v="20"/>
    <n v="20"/>
    <m/>
    <m/>
    <m/>
    <m/>
    <n v="20"/>
    <m/>
    <m/>
    <x v="80"/>
    <x v="0"/>
    <n v="0.28169014084507044"/>
    <s v="NO"/>
    <m/>
  </r>
  <r>
    <m/>
    <x v="0"/>
    <s v="Metta"/>
    <x v="1"/>
    <x v="8"/>
    <x v="80"/>
    <n v="1"/>
    <m/>
    <m/>
    <n v="6"/>
    <n v="6"/>
    <m/>
    <m/>
    <m/>
    <m/>
    <n v="6"/>
    <m/>
    <m/>
    <x v="80"/>
    <x v="0"/>
    <n v="8.4507042253521125E-2"/>
    <s v="NO"/>
    <m/>
  </r>
  <r>
    <m/>
    <x v="0"/>
    <s v="KBSS"/>
    <x v="0"/>
    <x v="3"/>
    <x v="81"/>
    <n v="1"/>
    <m/>
    <m/>
    <n v="36"/>
    <n v="36"/>
    <m/>
    <m/>
    <m/>
    <m/>
    <n v="36"/>
    <m/>
    <m/>
    <x v="81"/>
    <x v="1"/>
    <s v=""/>
    <s v="NO"/>
    <m/>
  </r>
  <r>
    <d v="2014-12-01T00:00:00"/>
    <x v="0"/>
    <s v="Shalom"/>
    <x v="0"/>
    <x v="0"/>
    <x v="82"/>
    <n v="1"/>
    <m/>
    <m/>
    <n v="5"/>
    <n v="5"/>
    <m/>
    <m/>
    <m/>
    <m/>
    <n v="5"/>
    <m/>
    <m/>
    <x v="82"/>
    <x v="0"/>
    <n v="0.29411764705882354"/>
    <s v="NO"/>
    <m/>
  </r>
  <r>
    <d v="2013-12-01T00:00:00"/>
    <x v="0"/>
    <s v="Shalom"/>
    <x v="0"/>
    <x v="0"/>
    <x v="82"/>
    <n v="1"/>
    <m/>
    <m/>
    <n v="10"/>
    <n v="10"/>
    <m/>
    <m/>
    <m/>
    <m/>
    <n v="10"/>
    <m/>
    <m/>
    <x v="82"/>
    <x v="0"/>
    <n v="0.58823529411764708"/>
    <s v="NO"/>
    <m/>
  </r>
  <r>
    <m/>
    <x v="1"/>
    <m/>
    <x v="0"/>
    <x v="0"/>
    <x v="82"/>
    <n v="1"/>
    <n v="8"/>
    <n v="8"/>
    <m/>
    <m/>
    <m/>
    <m/>
    <m/>
    <m/>
    <n v="0"/>
    <m/>
    <m/>
    <x v="82"/>
    <x v="0"/>
    <n v="0"/>
    <s v="NO"/>
    <m/>
  </r>
  <r>
    <m/>
    <x v="0"/>
    <s v="KBC"/>
    <x v="1"/>
    <x v="12"/>
    <x v="83"/>
    <n v="1"/>
    <m/>
    <m/>
    <n v="10"/>
    <n v="10"/>
    <m/>
    <m/>
    <m/>
    <m/>
    <n v="10"/>
    <m/>
    <m/>
    <x v="83"/>
    <x v="0"/>
    <n v="0.22727272727272727"/>
    <s v="NO"/>
    <m/>
  </r>
  <r>
    <m/>
    <x v="0"/>
    <s v="KBC"/>
    <x v="1"/>
    <x v="13"/>
    <x v="84"/>
    <n v="1"/>
    <m/>
    <m/>
    <n v="10"/>
    <n v="10"/>
    <m/>
    <m/>
    <m/>
    <m/>
    <n v="10"/>
    <m/>
    <m/>
    <x v="84"/>
    <x v="0"/>
    <n v="1"/>
    <s v="NO"/>
    <m/>
  </r>
  <r>
    <m/>
    <x v="5"/>
    <m/>
    <x v="1"/>
    <x v="11"/>
    <x v="85"/>
    <n v="1"/>
    <m/>
    <m/>
    <n v="50"/>
    <n v="36"/>
    <m/>
    <m/>
    <m/>
    <m/>
    <n v="36"/>
    <m/>
    <m/>
    <x v="85"/>
    <x v="0"/>
    <n v="0.25531914893617019"/>
    <s v="NO"/>
    <m/>
  </r>
  <r>
    <m/>
    <x v="1"/>
    <m/>
    <x v="0"/>
    <x v="5"/>
    <x v="86"/>
    <n v="1"/>
    <n v="1"/>
    <n v="1"/>
    <m/>
    <m/>
    <m/>
    <m/>
    <m/>
    <m/>
    <n v="0"/>
    <m/>
    <m/>
    <x v="86"/>
    <x v="0"/>
    <n v="0"/>
    <s v="NO"/>
    <m/>
  </r>
  <r>
    <m/>
    <x v="4"/>
    <s v="KMSS"/>
    <x v="0"/>
    <x v="5"/>
    <x v="86"/>
    <n v="1"/>
    <m/>
    <m/>
    <n v="46"/>
    <n v="46"/>
    <m/>
    <m/>
    <m/>
    <m/>
    <n v="46"/>
    <m/>
    <m/>
    <x v="86"/>
    <x v="0"/>
    <n v="0.65714285714285714"/>
    <s v="NO"/>
    <m/>
  </r>
  <r>
    <m/>
    <x v="0"/>
    <s v="KMSS"/>
    <x v="0"/>
    <x v="5"/>
    <x v="86"/>
    <n v="1"/>
    <m/>
    <m/>
    <n v="21"/>
    <n v="21"/>
    <m/>
    <m/>
    <m/>
    <m/>
    <n v="21"/>
    <n v="21"/>
    <m/>
    <x v="86"/>
    <x v="0"/>
    <n v="0.3"/>
    <s v="NO"/>
    <m/>
  </r>
  <r>
    <m/>
    <x v="0"/>
    <m/>
    <x v="0"/>
    <x v="1"/>
    <x v="87"/>
    <n v="1"/>
    <m/>
    <m/>
    <n v="10"/>
    <n v="10"/>
    <m/>
    <m/>
    <m/>
    <m/>
    <n v="10"/>
    <m/>
    <m/>
    <x v="87"/>
    <x v="0"/>
    <n v="0.43478260869565216"/>
    <s v="NO"/>
    <m/>
  </r>
  <r>
    <m/>
    <x v="0"/>
    <s v="KBC"/>
    <x v="0"/>
    <x v="0"/>
    <x v="88"/>
    <n v="1"/>
    <m/>
    <m/>
    <n v="40"/>
    <n v="40"/>
    <m/>
    <m/>
    <m/>
    <m/>
    <n v="40"/>
    <m/>
    <m/>
    <x v="88"/>
    <x v="0"/>
    <n v="0.7407407407407407"/>
    <s v="NO"/>
    <m/>
  </r>
  <r>
    <m/>
    <x v="0"/>
    <s v="Shalom"/>
    <x v="0"/>
    <x v="0"/>
    <x v="88"/>
    <n v="1"/>
    <m/>
    <m/>
    <n v="15"/>
    <n v="15"/>
    <m/>
    <m/>
    <m/>
    <m/>
    <n v="15"/>
    <m/>
    <m/>
    <x v="88"/>
    <x v="0"/>
    <n v="0.27777777777777779"/>
    <s v="NO"/>
    <m/>
  </r>
  <r>
    <m/>
    <x v="0"/>
    <s v="KBC"/>
    <x v="0"/>
    <x v="9"/>
    <x v="89"/>
    <n v="1"/>
    <m/>
    <m/>
    <n v="15"/>
    <n v="15"/>
    <m/>
    <m/>
    <m/>
    <m/>
    <n v="15"/>
    <m/>
    <m/>
    <x v="89"/>
    <x v="0"/>
    <n v="1.0714285714285714"/>
    <s v="NO"/>
    <m/>
  </r>
  <r>
    <d v="2014-12-01T00:00:00"/>
    <x v="0"/>
    <s v="Shalom"/>
    <x v="0"/>
    <x v="2"/>
    <x v="90"/>
    <n v="1"/>
    <m/>
    <m/>
    <n v="9"/>
    <n v="9"/>
    <m/>
    <m/>
    <m/>
    <m/>
    <n v="9"/>
    <m/>
    <m/>
    <x v="90"/>
    <x v="0"/>
    <n v="0.5"/>
    <s v="NO"/>
    <m/>
  </r>
  <r>
    <d v="2013-12-01T00:00:00"/>
    <x v="0"/>
    <s v="Shalom"/>
    <x v="0"/>
    <x v="2"/>
    <x v="90"/>
    <n v="1"/>
    <m/>
    <m/>
    <n v="10"/>
    <n v="10"/>
    <m/>
    <m/>
    <m/>
    <m/>
    <n v="10"/>
    <m/>
    <m/>
    <x v="90"/>
    <x v="0"/>
    <n v="0.55555555555555558"/>
    <s v="NO"/>
    <m/>
  </r>
  <r>
    <m/>
    <x v="7"/>
    <s v="KBC"/>
    <x v="0"/>
    <x v="14"/>
    <x v="91"/>
    <n v="1"/>
    <m/>
    <m/>
    <n v="10"/>
    <n v="10"/>
    <m/>
    <m/>
    <m/>
    <m/>
    <n v="10"/>
    <m/>
    <m/>
    <x v="91"/>
    <x v="0"/>
    <n v="0.55555555555555558"/>
    <s v="NO"/>
    <m/>
  </r>
  <r>
    <m/>
    <x v="0"/>
    <s v="KBC"/>
    <x v="0"/>
    <x v="14"/>
    <x v="91"/>
    <n v="1"/>
    <m/>
    <m/>
    <n v="20"/>
    <n v="20"/>
    <m/>
    <m/>
    <m/>
    <m/>
    <n v="20"/>
    <m/>
    <m/>
    <x v="91"/>
    <x v="0"/>
    <n v="1.1111111111111112"/>
    <s v="NO"/>
    <m/>
  </r>
  <r>
    <d v="2013-12-01T00:00:00"/>
    <x v="0"/>
    <s v="Shalom"/>
    <x v="0"/>
    <x v="0"/>
    <x v="92"/>
    <n v="1"/>
    <m/>
    <m/>
    <n v="40"/>
    <n v="40"/>
    <m/>
    <m/>
    <m/>
    <m/>
    <n v="40"/>
    <m/>
    <m/>
    <x v="92"/>
    <x v="1"/>
    <s v=""/>
    <s v="NO"/>
    <m/>
  </r>
  <r>
    <m/>
    <x v="1"/>
    <m/>
    <x v="0"/>
    <x v="0"/>
    <x v="92"/>
    <n v="1"/>
    <n v="50"/>
    <n v="50"/>
    <m/>
    <m/>
    <m/>
    <m/>
    <m/>
    <m/>
    <n v="0"/>
    <m/>
    <m/>
    <x v="92"/>
    <x v="1"/>
    <s v=""/>
    <s v="NO"/>
    <m/>
  </r>
  <r>
    <m/>
    <x v="0"/>
    <s v="Shalom"/>
    <x v="0"/>
    <x v="0"/>
    <x v="92"/>
    <n v="1"/>
    <m/>
    <m/>
    <n v="20"/>
    <n v="20"/>
    <m/>
    <m/>
    <m/>
    <m/>
    <n v="20"/>
    <m/>
    <m/>
    <x v="92"/>
    <x v="1"/>
    <s v=""/>
    <s v="NO"/>
    <m/>
  </r>
  <r>
    <m/>
    <x v="0"/>
    <s v="KBC"/>
    <x v="0"/>
    <x v="0"/>
    <x v="92"/>
    <n v="1"/>
    <m/>
    <m/>
    <n v="15"/>
    <n v="15"/>
    <m/>
    <m/>
    <m/>
    <m/>
    <n v="15"/>
    <m/>
    <m/>
    <x v="92"/>
    <x v="1"/>
    <s v=""/>
    <s v="NO"/>
    <m/>
  </r>
  <r>
    <m/>
    <x v="8"/>
    <s v="KBSS"/>
    <x v="0"/>
    <x v="6"/>
    <x v="93"/>
    <n v="1"/>
    <m/>
    <m/>
    <n v="100"/>
    <n v="100"/>
    <m/>
    <m/>
    <m/>
    <m/>
    <n v="100"/>
    <m/>
    <m/>
    <x v="93"/>
    <x v="0"/>
    <n v="0.24271844660194175"/>
    <s v="NO"/>
    <m/>
  </r>
  <r>
    <m/>
    <x v="13"/>
    <s v="KBSS"/>
    <x v="0"/>
    <x v="6"/>
    <x v="93"/>
    <n v="1"/>
    <m/>
    <m/>
    <n v="350"/>
    <n v="350"/>
    <m/>
    <m/>
    <m/>
    <m/>
    <n v="350"/>
    <m/>
    <m/>
    <x v="93"/>
    <x v="0"/>
    <n v="0.84951456310679607"/>
    <s v="NO"/>
    <m/>
  </r>
  <r>
    <d v="2013-12-01T00:00:00"/>
    <x v="0"/>
    <s v="Shalom"/>
    <x v="0"/>
    <x v="6"/>
    <x v="94"/>
    <n v="1"/>
    <m/>
    <m/>
    <n v="4"/>
    <n v="4"/>
    <m/>
    <m/>
    <m/>
    <m/>
    <n v="4"/>
    <n v="5"/>
    <m/>
    <x v="94"/>
    <x v="0"/>
    <n v="0.16666666666666666"/>
    <s v="NO"/>
    <m/>
  </r>
  <r>
    <m/>
    <x v="5"/>
    <m/>
    <x v="0"/>
    <x v="6"/>
    <x v="94"/>
    <n v="1"/>
    <m/>
    <m/>
    <n v="18"/>
    <n v="18"/>
    <m/>
    <m/>
    <m/>
    <m/>
    <n v="18"/>
    <m/>
    <m/>
    <x v="94"/>
    <x v="0"/>
    <n v="0.75"/>
    <s v="NO"/>
    <m/>
  </r>
  <r>
    <m/>
    <x v="0"/>
    <m/>
    <x v="0"/>
    <x v="6"/>
    <x v="94"/>
    <n v="1"/>
    <m/>
    <m/>
    <n v="9"/>
    <n v="9"/>
    <m/>
    <m/>
    <m/>
    <m/>
    <n v="9"/>
    <m/>
    <m/>
    <x v="94"/>
    <x v="0"/>
    <n v="0.375"/>
    <s v="NO"/>
    <m/>
  </r>
  <r>
    <m/>
    <x v="14"/>
    <s v="KBC"/>
    <x v="0"/>
    <x v="5"/>
    <x v="95"/>
    <n v="1"/>
    <m/>
    <m/>
    <n v="32"/>
    <n v="32"/>
    <m/>
    <m/>
    <m/>
    <m/>
    <n v="32"/>
    <m/>
    <m/>
    <x v="95"/>
    <x v="0"/>
    <n v="0.56140350877192979"/>
    <s v="NO"/>
    <m/>
  </r>
  <r>
    <m/>
    <x v="0"/>
    <s v="KBC"/>
    <x v="0"/>
    <x v="5"/>
    <x v="95"/>
    <n v="1"/>
    <m/>
    <m/>
    <n v="20"/>
    <n v="20"/>
    <m/>
    <m/>
    <m/>
    <m/>
    <n v="20"/>
    <m/>
    <m/>
    <x v="95"/>
    <x v="0"/>
    <n v="0.35087719298245612"/>
    <s v="NO"/>
    <m/>
  </r>
  <r>
    <m/>
    <x v="0"/>
    <m/>
    <x v="0"/>
    <x v="6"/>
    <x v="96"/>
    <n v="1"/>
    <m/>
    <m/>
    <n v="45"/>
    <n v="45"/>
    <m/>
    <m/>
    <m/>
    <m/>
    <n v="45"/>
    <m/>
    <m/>
    <x v="96"/>
    <x v="0"/>
    <n v="0.9"/>
    <s v="NO"/>
    <m/>
  </r>
  <r>
    <m/>
    <x v="8"/>
    <s v="KMSS"/>
    <x v="0"/>
    <x v="5"/>
    <x v="97"/>
    <n v="1"/>
    <m/>
    <m/>
    <n v="30"/>
    <n v="30"/>
    <m/>
    <m/>
    <m/>
    <m/>
    <n v="30"/>
    <m/>
    <m/>
    <x v="97"/>
    <x v="0"/>
    <n v="0.52631578947368418"/>
    <s v="NO"/>
    <m/>
  </r>
  <r>
    <d v="2014-12-01T00:00:00"/>
    <x v="4"/>
    <m/>
    <x v="0"/>
    <x v="6"/>
    <x v="98"/>
    <n v="1"/>
    <m/>
    <m/>
    <n v="394"/>
    <n v="140"/>
    <m/>
    <m/>
    <m/>
    <m/>
    <n v="140"/>
    <m/>
    <m/>
    <x v="98"/>
    <x v="0"/>
    <n v="0.16666666666666666"/>
    <s v="NO"/>
    <m/>
  </r>
  <r>
    <m/>
    <x v="8"/>
    <s v="IRRC"/>
    <x v="0"/>
    <x v="6"/>
    <x v="98"/>
    <n v="1"/>
    <m/>
    <m/>
    <n v="447"/>
    <n v="447"/>
    <m/>
    <m/>
    <m/>
    <m/>
    <n v="447"/>
    <m/>
    <m/>
    <x v="98"/>
    <x v="0"/>
    <n v="0.53214285714285714"/>
    <s v="NO"/>
    <m/>
  </r>
  <r>
    <m/>
    <x v="0"/>
    <s v="KBSS"/>
    <x v="0"/>
    <x v="6"/>
    <x v="98"/>
    <n v="1"/>
    <m/>
    <m/>
    <n v="130"/>
    <n v="130"/>
    <m/>
    <m/>
    <m/>
    <m/>
    <n v="130"/>
    <m/>
    <m/>
    <x v="98"/>
    <x v="0"/>
    <n v="0.15476190476190477"/>
    <s v="NO"/>
    <m/>
  </r>
  <r>
    <d v="2013-12-01T00:00:00"/>
    <x v="0"/>
    <s v="KBC"/>
    <x v="0"/>
    <x v="2"/>
    <x v="99"/>
    <n v="1"/>
    <m/>
    <m/>
    <n v="11"/>
    <n v="11"/>
    <m/>
    <m/>
    <m/>
    <m/>
    <n v="11"/>
    <m/>
    <m/>
    <x v="99"/>
    <x v="0"/>
    <n v="5.7591623036649213E-2"/>
    <s v="NO"/>
    <m/>
  </r>
  <r>
    <m/>
    <x v="0"/>
    <s v="KBC"/>
    <x v="0"/>
    <x v="2"/>
    <x v="99"/>
    <n v="1"/>
    <m/>
    <m/>
    <n v="24"/>
    <n v="24"/>
    <m/>
    <m/>
    <m/>
    <m/>
    <n v="24"/>
    <m/>
    <m/>
    <x v="99"/>
    <x v="0"/>
    <n v="0.1256544502617801"/>
    <s v="NO"/>
    <m/>
  </r>
  <r>
    <m/>
    <x v="0"/>
    <s v="KMSS"/>
    <x v="0"/>
    <x v="4"/>
    <x v="100"/>
    <n v="1"/>
    <m/>
    <m/>
    <m/>
    <m/>
    <m/>
    <m/>
    <m/>
    <m/>
    <n v="0"/>
    <n v="40"/>
    <m/>
    <x v="100"/>
    <x v="0"/>
    <n v="0"/>
    <s v="NO"/>
    <m/>
  </r>
  <r>
    <d v="2014-06-01T00:00:00"/>
    <x v="0"/>
    <s v="KBC"/>
    <x v="0"/>
    <x v="1"/>
    <x v="101"/>
    <n v="1"/>
    <m/>
    <m/>
    <n v="10"/>
    <n v="10"/>
    <m/>
    <m/>
    <m/>
    <m/>
    <n v="10"/>
    <m/>
    <m/>
    <x v="101"/>
    <x v="0"/>
    <n v="6.3694267515923567E-2"/>
    <s v="NO"/>
    <m/>
  </r>
  <r>
    <d v="2013-12-01T00:00:00"/>
    <x v="0"/>
    <s v="KBC"/>
    <x v="0"/>
    <x v="1"/>
    <x v="101"/>
    <n v="1"/>
    <m/>
    <m/>
    <n v="50"/>
    <n v="50"/>
    <m/>
    <m/>
    <m/>
    <m/>
    <n v="50"/>
    <m/>
    <m/>
    <x v="101"/>
    <x v="0"/>
    <n v="0.31847133757961782"/>
    <s v="NO"/>
    <m/>
  </r>
  <r>
    <m/>
    <x v="5"/>
    <m/>
    <x v="0"/>
    <x v="1"/>
    <x v="101"/>
    <n v="1"/>
    <m/>
    <m/>
    <n v="36"/>
    <n v="36"/>
    <m/>
    <m/>
    <m/>
    <m/>
    <n v="36"/>
    <m/>
    <m/>
    <x v="101"/>
    <x v="0"/>
    <n v="0.22929936305732485"/>
    <s v="NO"/>
    <m/>
  </r>
  <r>
    <m/>
    <x v="0"/>
    <m/>
    <x v="0"/>
    <x v="1"/>
    <x v="101"/>
    <n v="1"/>
    <m/>
    <m/>
    <n v="30"/>
    <n v="30"/>
    <m/>
    <m/>
    <m/>
    <m/>
    <n v="30"/>
    <m/>
    <m/>
    <x v="101"/>
    <x v="0"/>
    <n v="0.19108280254777071"/>
    <s v="NO"/>
    <m/>
  </r>
  <r>
    <m/>
    <x v="1"/>
    <m/>
    <x v="0"/>
    <x v="2"/>
    <x v="102"/>
    <n v="1"/>
    <n v="207"/>
    <n v="207"/>
    <m/>
    <m/>
    <m/>
    <m/>
    <m/>
    <m/>
    <n v="0"/>
    <m/>
    <m/>
    <x v="102"/>
    <x v="0"/>
    <n v="0"/>
    <s v="NO"/>
    <m/>
  </r>
  <r>
    <d v="2014-12-01T00:00:00"/>
    <x v="0"/>
    <s v="Shalom"/>
    <x v="0"/>
    <x v="2"/>
    <x v="103"/>
    <n v="1"/>
    <m/>
    <m/>
    <n v="21"/>
    <n v="21"/>
    <m/>
    <m/>
    <m/>
    <m/>
    <n v="21"/>
    <m/>
    <m/>
    <x v="103"/>
    <x v="0"/>
    <n v="0.22340425531914893"/>
    <s v="NO"/>
    <m/>
  </r>
  <r>
    <d v="2013-12-01T00:00:00"/>
    <x v="0"/>
    <s v="Shalom"/>
    <x v="0"/>
    <x v="2"/>
    <x v="103"/>
    <n v="1"/>
    <m/>
    <m/>
    <n v="10"/>
    <n v="10"/>
    <m/>
    <m/>
    <m/>
    <m/>
    <n v="10"/>
    <m/>
    <m/>
    <x v="103"/>
    <x v="0"/>
    <n v="0.10638297872340426"/>
    <s v="NO"/>
    <m/>
  </r>
  <r>
    <m/>
    <x v="0"/>
    <s v="Shalom"/>
    <x v="0"/>
    <x v="2"/>
    <x v="103"/>
    <n v="1"/>
    <m/>
    <m/>
    <n v="45"/>
    <n v="45"/>
    <m/>
    <m/>
    <m/>
    <m/>
    <n v="45"/>
    <n v="10"/>
    <m/>
    <x v="103"/>
    <x v="0"/>
    <n v="0.47872340425531917"/>
    <s v="NO"/>
    <m/>
  </r>
  <r>
    <m/>
    <x v="0"/>
    <m/>
    <x v="0"/>
    <x v="2"/>
    <x v="103"/>
    <n v="1"/>
    <m/>
    <m/>
    <n v="5"/>
    <n v="5"/>
    <m/>
    <m/>
    <m/>
    <m/>
    <n v="5"/>
    <m/>
    <m/>
    <x v="103"/>
    <x v="0"/>
    <n v="5.3191489361702128E-2"/>
    <s v="NO"/>
    <m/>
  </r>
  <r>
    <m/>
    <x v="10"/>
    <m/>
    <x v="0"/>
    <x v="2"/>
    <x v="103"/>
    <n v="1"/>
    <m/>
    <m/>
    <n v="10"/>
    <n v="10"/>
    <m/>
    <m/>
    <m/>
    <m/>
    <n v="10"/>
    <m/>
    <m/>
    <x v="103"/>
    <x v="0"/>
    <n v="0.10638297872340426"/>
    <s v="NO"/>
    <m/>
  </r>
  <r>
    <m/>
    <x v="0"/>
    <s v="Shalom"/>
    <x v="0"/>
    <x v="2"/>
    <x v="103"/>
    <n v="1"/>
    <m/>
    <m/>
    <n v="5"/>
    <n v="5"/>
    <m/>
    <m/>
    <m/>
    <m/>
    <n v="5"/>
    <m/>
    <m/>
    <x v="103"/>
    <x v="0"/>
    <n v="5.3191489361702128E-2"/>
    <s v="NO"/>
    <m/>
  </r>
  <r>
    <m/>
    <x v="6"/>
    <s v="KBC"/>
    <x v="0"/>
    <x v="2"/>
    <x v="104"/>
    <n v="1"/>
    <m/>
    <m/>
    <n v="8"/>
    <n v="8"/>
    <m/>
    <m/>
    <m/>
    <m/>
    <n v="8"/>
    <m/>
    <m/>
    <x v="104"/>
    <x v="0"/>
    <n v="0.12307692307692308"/>
    <s v="NO"/>
    <m/>
  </r>
  <r>
    <m/>
    <x v="0"/>
    <s v="KBC"/>
    <x v="0"/>
    <x v="2"/>
    <x v="104"/>
    <n v="1"/>
    <m/>
    <m/>
    <n v="10"/>
    <n v="10"/>
    <m/>
    <m/>
    <m/>
    <m/>
    <n v="10"/>
    <m/>
    <m/>
    <x v="104"/>
    <x v="0"/>
    <n v="0.15384615384615385"/>
    <s v="NO"/>
    <m/>
  </r>
  <r>
    <m/>
    <x v="0"/>
    <m/>
    <x v="0"/>
    <x v="2"/>
    <x v="104"/>
    <n v="1"/>
    <m/>
    <m/>
    <n v="20"/>
    <n v="20"/>
    <m/>
    <m/>
    <m/>
    <m/>
    <n v="20"/>
    <m/>
    <m/>
    <x v="104"/>
    <x v="0"/>
    <n v="0.30769230769230771"/>
    <s v="NO"/>
    <m/>
  </r>
  <r>
    <d v="2014-06-01T00:00:00"/>
    <x v="0"/>
    <s v="Shalom"/>
    <x v="0"/>
    <x v="2"/>
    <x v="105"/>
    <n v="1"/>
    <m/>
    <m/>
    <n v="3"/>
    <n v="3"/>
    <m/>
    <m/>
    <m/>
    <m/>
    <n v="3"/>
    <m/>
    <m/>
    <x v="105"/>
    <x v="0"/>
    <n v="9.6774193548387094E-2"/>
    <s v="NO"/>
    <m/>
  </r>
  <r>
    <d v="2013-12-01T00:00:00"/>
    <x v="0"/>
    <s v="Shalom"/>
    <x v="0"/>
    <x v="2"/>
    <x v="105"/>
    <n v="1"/>
    <m/>
    <m/>
    <n v="10"/>
    <n v="10"/>
    <m/>
    <m/>
    <m/>
    <m/>
    <n v="10"/>
    <m/>
    <m/>
    <x v="105"/>
    <x v="0"/>
    <n v="0.32258064516129031"/>
    <s v="NO"/>
    <m/>
  </r>
  <r>
    <m/>
    <x v="0"/>
    <s v="Shalom"/>
    <x v="0"/>
    <x v="2"/>
    <x v="105"/>
    <n v="1"/>
    <m/>
    <m/>
    <n v="23"/>
    <n v="23"/>
    <m/>
    <m/>
    <m/>
    <m/>
    <n v="23"/>
    <m/>
    <m/>
    <x v="105"/>
    <x v="0"/>
    <n v="0.74193548387096775"/>
    <s v="NO"/>
    <m/>
  </r>
  <r>
    <m/>
    <x v="0"/>
    <s v="Shalom"/>
    <x v="0"/>
    <x v="2"/>
    <x v="105"/>
    <n v="1"/>
    <m/>
    <m/>
    <n v="3"/>
    <n v="3"/>
    <m/>
    <m/>
    <m/>
    <m/>
    <n v="3"/>
    <m/>
    <m/>
    <x v="105"/>
    <x v="0"/>
    <n v="9.6774193548387094E-2"/>
    <s v="NO"/>
    <m/>
  </r>
  <r>
    <m/>
    <x v="0"/>
    <s v="Shalom"/>
    <x v="0"/>
    <x v="2"/>
    <x v="106"/>
    <n v="1"/>
    <m/>
    <m/>
    <n v="100"/>
    <n v="100"/>
    <m/>
    <m/>
    <m/>
    <m/>
    <n v="100"/>
    <n v="15"/>
    <m/>
    <x v="106"/>
    <x v="0"/>
    <n v="1.098901098901099"/>
    <s v="NO"/>
    <m/>
  </r>
  <r>
    <d v="2013-12-01T00:00:00"/>
    <x v="0"/>
    <s v="Shalom"/>
    <x v="0"/>
    <x v="0"/>
    <x v="107"/>
    <n v="1"/>
    <m/>
    <m/>
    <n v="10"/>
    <n v="10"/>
    <m/>
    <m/>
    <m/>
    <m/>
    <n v="10"/>
    <m/>
    <m/>
    <x v="107"/>
    <x v="0"/>
    <n v="1"/>
    <s v="NO"/>
    <m/>
  </r>
  <r>
    <m/>
    <x v="1"/>
    <m/>
    <x v="0"/>
    <x v="0"/>
    <x v="107"/>
    <n v="1"/>
    <n v="9"/>
    <n v="9"/>
    <m/>
    <m/>
    <m/>
    <m/>
    <m/>
    <m/>
    <n v="0"/>
    <m/>
    <m/>
    <x v="107"/>
    <x v="0"/>
    <n v="0"/>
    <s v="NO"/>
    <m/>
  </r>
  <r>
    <d v="2013-12-01T00:00:00"/>
    <x v="0"/>
    <s v="KBC"/>
    <x v="0"/>
    <x v="1"/>
    <x v="108"/>
    <n v="1"/>
    <m/>
    <m/>
    <n v="30"/>
    <n v="30"/>
    <m/>
    <m/>
    <m/>
    <m/>
    <n v="30"/>
    <m/>
    <m/>
    <x v="108"/>
    <x v="0"/>
    <n v="4.6012269938650305E-2"/>
    <s v="NO"/>
    <m/>
  </r>
  <r>
    <m/>
    <x v="6"/>
    <m/>
    <x v="0"/>
    <x v="1"/>
    <x v="108"/>
    <n v="1"/>
    <m/>
    <m/>
    <n v="162"/>
    <n v="162"/>
    <m/>
    <m/>
    <m/>
    <m/>
    <n v="162"/>
    <m/>
    <m/>
    <x v="108"/>
    <x v="0"/>
    <n v="0.24846625766871167"/>
    <s v="NO"/>
    <m/>
  </r>
  <r>
    <m/>
    <x v="5"/>
    <m/>
    <x v="0"/>
    <x v="1"/>
    <x v="108"/>
    <n v="1"/>
    <m/>
    <m/>
    <n v="163"/>
    <n v="163"/>
    <m/>
    <m/>
    <m/>
    <m/>
    <n v="163"/>
    <m/>
    <m/>
    <x v="108"/>
    <x v="0"/>
    <n v="0.25"/>
    <s v="NO"/>
    <m/>
  </r>
  <r>
    <m/>
    <x v="0"/>
    <m/>
    <x v="0"/>
    <x v="1"/>
    <x v="108"/>
    <n v="1"/>
    <m/>
    <m/>
    <n v="70"/>
    <n v="70"/>
    <m/>
    <m/>
    <m/>
    <m/>
    <n v="70"/>
    <m/>
    <m/>
    <x v="108"/>
    <x v="0"/>
    <n v="0.10736196319018405"/>
    <s v="NO"/>
    <m/>
  </r>
  <r>
    <m/>
    <x v="1"/>
    <m/>
    <x v="0"/>
    <x v="5"/>
    <x v="109"/>
    <n v="1"/>
    <n v="1"/>
    <n v="1"/>
    <m/>
    <m/>
    <m/>
    <m/>
    <m/>
    <m/>
    <n v="0"/>
    <m/>
    <m/>
    <x v="109"/>
    <x v="2"/>
    <s v=""/>
    <s v="NO"/>
    <m/>
  </r>
  <r>
    <d v="2013-12-01T00:00:00"/>
    <x v="0"/>
    <s v="KBC"/>
    <x v="0"/>
    <x v="0"/>
    <x v="110"/>
    <n v="1"/>
    <m/>
    <m/>
    <n v="5"/>
    <n v="5"/>
    <m/>
    <m/>
    <m/>
    <m/>
    <n v="5"/>
    <m/>
    <m/>
    <x v="110"/>
    <x v="0"/>
    <n v="0.625"/>
    <s v="NO"/>
    <m/>
  </r>
  <r>
    <m/>
    <x v="1"/>
    <m/>
    <x v="0"/>
    <x v="0"/>
    <x v="110"/>
    <n v="1"/>
    <n v="7"/>
    <n v="7"/>
    <m/>
    <m/>
    <m/>
    <m/>
    <m/>
    <m/>
    <n v="0"/>
    <m/>
    <m/>
    <x v="110"/>
    <x v="0"/>
    <n v="0"/>
    <s v="NO"/>
    <m/>
  </r>
  <r>
    <m/>
    <x v="0"/>
    <m/>
    <x v="0"/>
    <x v="6"/>
    <x v="111"/>
    <n v="1"/>
    <m/>
    <m/>
    <n v="40"/>
    <n v="40"/>
    <m/>
    <m/>
    <m/>
    <m/>
    <n v="40"/>
    <m/>
    <m/>
    <x v="111"/>
    <x v="0"/>
    <n v="0.88888888888888884"/>
    <s v="NO"/>
    <m/>
  </r>
  <r>
    <m/>
    <x v="6"/>
    <s v="Shalom"/>
    <x v="0"/>
    <x v="5"/>
    <x v="112"/>
    <n v="1"/>
    <m/>
    <m/>
    <n v="14"/>
    <n v="14"/>
    <m/>
    <m/>
    <m/>
    <m/>
    <n v="14"/>
    <m/>
    <m/>
    <x v="112"/>
    <x v="0"/>
    <n v="0.14736842105263157"/>
    <s v="NO"/>
    <m/>
  </r>
  <r>
    <m/>
    <x v="0"/>
    <s v="KBC"/>
    <x v="0"/>
    <x v="5"/>
    <x v="112"/>
    <n v="1"/>
    <m/>
    <m/>
    <n v="10"/>
    <n v="10"/>
    <m/>
    <m/>
    <m/>
    <m/>
    <n v="10"/>
    <m/>
    <m/>
    <x v="112"/>
    <x v="0"/>
    <n v="0.10526315789473684"/>
    <s v="NO"/>
    <m/>
  </r>
  <r>
    <m/>
    <x v="0"/>
    <m/>
    <x v="0"/>
    <x v="5"/>
    <x v="112"/>
    <n v="1"/>
    <m/>
    <m/>
    <n v="40"/>
    <n v="40"/>
    <m/>
    <m/>
    <m/>
    <m/>
    <n v="40"/>
    <m/>
    <m/>
    <x v="112"/>
    <x v="0"/>
    <n v="0.42105263157894735"/>
    <s v="NO"/>
    <m/>
  </r>
  <r>
    <d v="2014-12-30T00:00:00"/>
    <x v="0"/>
    <s v="KBC"/>
    <x v="0"/>
    <x v="2"/>
    <x v="113"/>
    <n v="1"/>
    <n v="90"/>
    <m/>
    <m/>
    <m/>
    <m/>
    <m/>
    <m/>
    <m/>
    <n v="0"/>
    <m/>
    <m/>
    <x v="113"/>
    <x v="0"/>
    <n v="0"/>
    <s v="NO"/>
    <m/>
  </r>
  <r>
    <d v="2013-12-01T00:00:00"/>
    <x v="0"/>
    <s v="KBC"/>
    <x v="0"/>
    <x v="2"/>
    <x v="113"/>
    <n v="1"/>
    <m/>
    <m/>
    <n v="18"/>
    <n v="18"/>
    <m/>
    <m/>
    <m/>
    <m/>
    <n v="18"/>
    <m/>
    <m/>
    <x v="113"/>
    <x v="0"/>
    <n v="0.10465116279069768"/>
    <s v="NO"/>
    <m/>
  </r>
  <r>
    <m/>
    <x v="0"/>
    <s v="KBC"/>
    <x v="0"/>
    <x v="2"/>
    <x v="113"/>
    <n v="1"/>
    <m/>
    <m/>
    <n v="170"/>
    <n v="170"/>
    <m/>
    <m/>
    <m/>
    <m/>
    <n v="170"/>
    <m/>
    <m/>
    <x v="113"/>
    <x v="0"/>
    <n v="0.98837209302325579"/>
    <s v="NO"/>
    <m/>
  </r>
  <r>
    <m/>
    <x v="5"/>
    <m/>
    <x v="0"/>
    <x v="15"/>
    <x v="114"/>
    <n v="1"/>
    <m/>
    <m/>
    <n v="42"/>
    <n v="42"/>
    <m/>
    <m/>
    <m/>
    <m/>
    <n v="42"/>
    <m/>
    <m/>
    <x v="114"/>
    <x v="0"/>
    <n v="0.50602409638554213"/>
    <s v="NO"/>
    <m/>
  </r>
  <r>
    <m/>
    <x v="8"/>
    <s v="KBSS"/>
    <x v="0"/>
    <x v="15"/>
    <x v="115"/>
    <n v="1"/>
    <m/>
    <m/>
    <n v="36"/>
    <n v="36"/>
    <m/>
    <m/>
    <m/>
    <m/>
    <n v="36"/>
    <m/>
    <m/>
    <x v="115"/>
    <x v="0"/>
    <n v="0.9"/>
    <s v="NO"/>
    <m/>
  </r>
  <r>
    <m/>
    <x v="0"/>
    <s v="KBSS"/>
    <x v="0"/>
    <x v="15"/>
    <x v="115"/>
    <n v="1"/>
    <m/>
    <m/>
    <n v="10"/>
    <n v="10"/>
    <m/>
    <m/>
    <m/>
    <m/>
    <n v="10"/>
    <m/>
    <m/>
    <x v="115"/>
    <x v="0"/>
    <n v="0.25"/>
    <s v="NO"/>
    <m/>
  </r>
  <r>
    <m/>
    <x v="0"/>
    <s v="KBC"/>
    <x v="0"/>
    <x v="5"/>
    <x v="116"/>
    <n v="1"/>
    <m/>
    <m/>
    <n v="50"/>
    <n v="50"/>
    <m/>
    <m/>
    <m/>
    <m/>
    <n v="50"/>
    <m/>
    <m/>
    <x v="116"/>
    <x v="0"/>
    <n v="0.55555555555555558"/>
    <s v="NO"/>
    <m/>
  </r>
  <r>
    <m/>
    <x v="8"/>
    <s v="KMSS"/>
    <x v="0"/>
    <x v="14"/>
    <x v="117"/>
    <n v="1"/>
    <m/>
    <m/>
    <n v="12"/>
    <n v="12"/>
    <m/>
    <m/>
    <m/>
    <m/>
    <n v="12"/>
    <m/>
    <m/>
    <x v="117"/>
    <x v="0"/>
    <n v="1"/>
    <s v="NO"/>
    <m/>
  </r>
  <r>
    <d v="2013-12-01T00:00:00"/>
    <x v="0"/>
    <s v="Shalom"/>
    <x v="0"/>
    <x v="1"/>
    <x v="118"/>
    <n v="1"/>
    <m/>
    <m/>
    <n v="15"/>
    <n v="15"/>
    <m/>
    <m/>
    <m/>
    <m/>
    <n v="15"/>
    <n v="10"/>
    <m/>
    <x v="118"/>
    <x v="0"/>
    <n v="0.6"/>
    <s v="NO"/>
    <m/>
  </r>
  <r>
    <m/>
    <x v="0"/>
    <m/>
    <x v="0"/>
    <x v="1"/>
    <x v="118"/>
    <n v="1"/>
    <m/>
    <m/>
    <n v="40"/>
    <n v="40"/>
    <m/>
    <m/>
    <m/>
    <m/>
    <n v="40"/>
    <m/>
    <m/>
    <x v="118"/>
    <x v="0"/>
    <n v="1.6"/>
    <s v="NO"/>
    <m/>
  </r>
  <r>
    <m/>
    <x v="0"/>
    <s v="KBC"/>
    <x v="0"/>
    <x v="5"/>
    <x v="119"/>
    <n v="1"/>
    <m/>
    <m/>
    <n v="60"/>
    <n v="60"/>
    <m/>
    <m/>
    <m/>
    <m/>
    <n v="60"/>
    <m/>
    <m/>
    <x v="119"/>
    <x v="0"/>
    <n v="0.8571428571428571"/>
    <s v="NO"/>
    <m/>
  </r>
  <r>
    <d v="2014-12-01T00:00:00"/>
    <x v="0"/>
    <s v="Shalom"/>
    <x v="0"/>
    <x v="5"/>
    <x v="120"/>
    <n v="1"/>
    <m/>
    <m/>
    <n v="5"/>
    <n v="5"/>
    <m/>
    <m/>
    <m/>
    <m/>
    <n v="5"/>
    <m/>
    <m/>
    <x v="120"/>
    <x v="0"/>
    <n v="7.3529411764705885E-2"/>
    <s v="NO"/>
    <m/>
  </r>
  <r>
    <d v="2014-06-01T00:00:00"/>
    <x v="0"/>
    <s v="Shalom"/>
    <x v="0"/>
    <x v="5"/>
    <x v="120"/>
    <n v="1"/>
    <m/>
    <m/>
    <n v="10"/>
    <n v="10"/>
    <m/>
    <m/>
    <m/>
    <m/>
    <n v="10"/>
    <m/>
    <m/>
    <x v="120"/>
    <x v="0"/>
    <n v="0.14705882352941177"/>
    <s v="NO"/>
    <m/>
  </r>
  <r>
    <d v="2013-12-01T00:00:00"/>
    <x v="0"/>
    <s v="Shalom"/>
    <x v="0"/>
    <x v="5"/>
    <x v="120"/>
    <n v="1"/>
    <m/>
    <m/>
    <n v="30"/>
    <n v="30"/>
    <m/>
    <m/>
    <m/>
    <m/>
    <n v="30"/>
    <m/>
    <m/>
    <x v="120"/>
    <x v="0"/>
    <n v="0.44117647058823528"/>
    <s v="NO"/>
    <m/>
  </r>
  <r>
    <m/>
    <x v="15"/>
    <s v="Shalom"/>
    <x v="0"/>
    <x v="5"/>
    <x v="120"/>
    <n v="1"/>
    <m/>
    <m/>
    <n v="12"/>
    <n v="12"/>
    <m/>
    <m/>
    <m/>
    <m/>
    <n v="12"/>
    <m/>
    <m/>
    <x v="120"/>
    <x v="0"/>
    <n v="0.17647058823529413"/>
    <s v="NO"/>
    <m/>
  </r>
  <r>
    <m/>
    <x v="0"/>
    <s v="Shalom"/>
    <x v="0"/>
    <x v="5"/>
    <x v="120"/>
    <n v="1"/>
    <m/>
    <m/>
    <n v="40"/>
    <n v="40"/>
    <m/>
    <m/>
    <m/>
    <m/>
    <n v="40"/>
    <m/>
    <m/>
    <x v="120"/>
    <x v="0"/>
    <n v="0.58823529411764708"/>
    <s v="NO"/>
    <m/>
  </r>
  <r>
    <m/>
    <x v="0"/>
    <s v="Shalom"/>
    <x v="0"/>
    <x v="5"/>
    <x v="120"/>
    <n v="1"/>
    <m/>
    <m/>
    <n v="20"/>
    <n v="20"/>
    <m/>
    <m/>
    <m/>
    <m/>
    <n v="20"/>
    <m/>
    <m/>
    <x v="120"/>
    <x v="0"/>
    <n v="0.29411764705882354"/>
    <s v="NO"/>
    <m/>
  </r>
  <r>
    <m/>
    <x v="0"/>
    <s v="Shalom"/>
    <x v="0"/>
    <x v="5"/>
    <x v="121"/>
    <n v="1"/>
    <m/>
    <m/>
    <n v="10"/>
    <n v="10"/>
    <m/>
    <m/>
    <m/>
    <m/>
    <n v="10"/>
    <m/>
    <m/>
    <x v="121"/>
    <x v="0"/>
    <n v="0.83333333333333337"/>
    <s v="NO"/>
    <m/>
  </r>
  <r>
    <m/>
    <x v="0"/>
    <m/>
    <x v="0"/>
    <x v="5"/>
    <x v="121"/>
    <n v="1"/>
    <m/>
    <m/>
    <n v="5"/>
    <n v="5"/>
    <m/>
    <m/>
    <m/>
    <m/>
    <n v="5"/>
    <m/>
    <m/>
    <x v="121"/>
    <x v="0"/>
    <n v="0.41666666666666669"/>
    <s v="NO"/>
    <m/>
  </r>
  <r>
    <m/>
    <x v="0"/>
    <s v="KBC"/>
    <x v="0"/>
    <x v="5"/>
    <x v="122"/>
    <n v="1"/>
    <m/>
    <m/>
    <n v="20"/>
    <n v="20"/>
    <m/>
    <m/>
    <m/>
    <m/>
    <n v="20"/>
    <m/>
    <m/>
    <x v="122"/>
    <x v="0"/>
    <n v="0.625"/>
    <s v="NO"/>
    <m/>
  </r>
  <r>
    <m/>
    <x v="6"/>
    <s v="KBC"/>
    <x v="0"/>
    <x v="5"/>
    <x v="123"/>
    <n v="1"/>
    <m/>
    <m/>
    <n v="14"/>
    <n v="14"/>
    <m/>
    <m/>
    <m/>
    <m/>
    <n v="14"/>
    <m/>
    <m/>
    <x v="123"/>
    <x v="0"/>
    <n v="0.31818181818181818"/>
    <s v="NO"/>
    <m/>
  </r>
  <r>
    <m/>
    <x v="0"/>
    <s v="KBC"/>
    <x v="0"/>
    <x v="5"/>
    <x v="123"/>
    <n v="1"/>
    <m/>
    <m/>
    <n v="10"/>
    <n v="10"/>
    <m/>
    <m/>
    <m/>
    <m/>
    <n v="10"/>
    <m/>
    <m/>
    <x v="123"/>
    <x v="0"/>
    <n v="0.22727272727272727"/>
    <s v="NO"/>
    <m/>
  </r>
  <r>
    <m/>
    <x v="0"/>
    <s v="KBC"/>
    <x v="0"/>
    <x v="5"/>
    <x v="123"/>
    <n v="1"/>
    <m/>
    <m/>
    <n v="8"/>
    <n v="8"/>
    <m/>
    <m/>
    <m/>
    <m/>
    <n v="8"/>
    <m/>
    <m/>
    <x v="123"/>
    <x v="0"/>
    <n v="0.18181818181818182"/>
    <s v="NO"/>
    <m/>
  </r>
  <r>
    <d v="2014-12-01T00:00:00"/>
    <x v="0"/>
    <s v="Shalom"/>
    <x v="0"/>
    <x v="2"/>
    <x v="124"/>
    <n v="1"/>
    <m/>
    <m/>
    <n v="5"/>
    <n v="5"/>
    <m/>
    <m/>
    <m/>
    <m/>
    <n v="5"/>
    <m/>
    <m/>
    <x v="124"/>
    <x v="0"/>
    <n v="0.11904761904761904"/>
    <s v="NO"/>
    <m/>
  </r>
  <r>
    <d v="2013-12-01T00:00:00"/>
    <x v="0"/>
    <s v="Shalom"/>
    <x v="0"/>
    <x v="2"/>
    <x v="124"/>
    <n v="1"/>
    <m/>
    <m/>
    <n v="5"/>
    <n v="5"/>
    <m/>
    <m/>
    <m/>
    <m/>
    <n v="5"/>
    <m/>
    <m/>
    <x v="124"/>
    <x v="0"/>
    <n v="0.11904761904761904"/>
    <s v="NO"/>
    <m/>
  </r>
  <r>
    <m/>
    <x v="0"/>
    <s v="Shalom"/>
    <x v="0"/>
    <x v="2"/>
    <x v="124"/>
    <n v="1"/>
    <m/>
    <m/>
    <n v="45"/>
    <n v="45"/>
    <m/>
    <m/>
    <m/>
    <m/>
    <n v="45"/>
    <m/>
    <m/>
    <x v="124"/>
    <x v="0"/>
    <n v="1.0714285714285714"/>
    <s v="NO"/>
    <m/>
  </r>
  <r>
    <m/>
    <x v="10"/>
    <m/>
    <x v="0"/>
    <x v="2"/>
    <x v="124"/>
    <n v="1"/>
    <m/>
    <m/>
    <n v="24"/>
    <n v="24"/>
    <m/>
    <m/>
    <m/>
    <m/>
    <n v="24"/>
    <m/>
    <m/>
    <x v="124"/>
    <x v="0"/>
    <n v="0.5714285714285714"/>
    <s v="NO"/>
    <m/>
  </r>
  <r>
    <m/>
    <x v="0"/>
    <s v="Shalom"/>
    <x v="0"/>
    <x v="1"/>
    <x v="125"/>
    <n v="1"/>
    <m/>
    <m/>
    <n v="6"/>
    <m/>
    <m/>
    <m/>
    <m/>
    <m/>
    <n v="0"/>
    <m/>
    <m/>
    <x v="125"/>
    <x v="1"/>
    <s v=""/>
    <s v="NO"/>
    <m/>
  </r>
  <r>
    <m/>
    <x v="0"/>
    <m/>
    <x v="0"/>
    <x v="1"/>
    <x v="125"/>
    <n v="1"/>
    <m/>
    <m/>
    <n v="5"/>
    <m/>
    <m/>
    <m/>
    <m/>
    <m/>
    <n v="0"/>
    <m/>
    <m/>
    <x v="125"/>
    <x v="1"/>
    <s v=""/>
    <s v="NO"/>
    <m/>
  </r>
  <r>
    <d v="2013-12-01T00:00:00"/>
    <x v="0"/>
    <s v="Shalom"/>
    <x v="0"/>
    <x v="2"/>
    <x v="126"/>
    <n v="1"/>
    <m/>
    <m/>
    <n v="6"/>
    <n v="6"/>
    <m/>
    <m/>
    <m/>
    <m/>
    <n v="6"/>
    <m/>
    <m/>
    <x v="126"/>
    <x v="0"/>
    <n v="6.5934065934065936E-2"/>
    <s v="NO"/>
    <m/>
  </r>
  <r>
    <m/>
    <x v="0"/>
    <s v="Shalom"/>
    <x v="0"/>
    <x v="2"/>
    <x v="126"/>
    <n v="1"/>
    <m/>
    <m/>
    <n v="34"/>
    <n v="34"/>
    <m/>
    <m/>
    <m/>
    <m/>
    <n v="34"/>
    <m/>
    <m/>
    <x v="126"/>
    <x v="0"/>
    <n v="0.37362637362637363"/>
    <s v="NO"/>
    <m/>
  </r>
  <r>
    <m/>
    <x v="10"/>
    <m/>
    <x v="0"/>
    <x v="2"/>
    <x v="126"/>
    <n v="1"/>
    <m/>
    <m/>
    <n v="15"/>
    <n v="15"/>
    <m/>
    <m/>
    <m/>
    <m/>
    <n v="15"/>
    <m/>
    <m/>
    <x v="126"/>
    <x v="0"/>
    <n v="0.16483516483516483"/>
    <s v="NO"/>
    <m/>
  </r>
  <r>
    <m/>
    <x v="0"/>
    <s v="KBC"/>
    <x v="0"/>
    <x v="2"/>
    <x v="127"/>
    <n v="1"/>
    <m/>
    <m/>
    <n v="10"/>
    <n v="10"/>
    <m/>
    <m/>
    <m/>
    <m/>
    <n v="10"/>
    <m/>
    <m/>
    <x v="127"/>
    <x v="0"/>
    <s v=""/>
    <s v="NO"/>
    <m/>
  </r>
  <r>
    <m/>
    <x v="0"/>
    <m/>
    <x v="0"/>
    <x v="2"/>
    <x v="127"/>
    <n v="1"/>
    <m/>
    <m/>
    <n v="5"/>
    <n v="5"/>
    <m/>
    <m/>
    <m/>
    <m/>
    <n v="5"/>
    <m/>
    <m/>
    <x v="127"/>
    <x v="0"/>
    <s v=""/>
    <s v="NO"/>
    <m/>
  </r>
  <r>
    <m/>
    <x v="10"/>
    <m/>
    <x v="0"/>
    <x v="2"/>
    <x v="127"/>
    <n v="1"/>
    <m/>
    <m/>
    <n v="10"/>
    <n v="10"/>
    <m/>
    <m/>
    <m/>
    <m/>
    <n v="10"/>
    <m/>
    <m/>
    <x v="127"/>
    <x v="0"/>
    <s v=""/>
    <s v="NO"/>
    <m/>
  </r>
  <r>
    <m/>
    <x v="0"/>
    <s v="KMSS"/>
    <x v="0"/>
    <x v="0"/>
    <x v="128"/>
    <n v="1"/>
    <m/>
    <m/>
    <m/>
    <m/>
    <m/>
    <m/>
    <m/>
    <m/>
    <n v="0"/>
    <n v="14"/>
    <m/>
    <x v="128"/>
    <x v="1"/>
    <s v=""/>
    <s v="NO"/>
    <m/>
  </r>
  <r>
    <d v="2013-12-01T00:00:00"/>
    <x v="0"/>
    <s v="KBC"/>
    <x v="0"/>
    <x v="0"/>
    <x v="129"/>
    <n v="1"/>
    <m/>
    <m/>
    <n v="15"/>
    <n v="15"/>
    <m/>
    <m/>
    <m/>
    <m/>
    <n v="15"/>
    <m/>
    <m/>
    <x v="129"/>
    <x v="0"/>
    <n v="0.36585365853658536"/>
    <s v="NO"/>
    <m/>
  </r>
  <r>
    <m/>
    <x v="1"/>
    <m/>
    <x v="0"/>
    <x v="0"/>
    <x v="129"/>
    <n v="1"/>
    <n v="7"/>
    <n v="7"/>
    <m/>
    <m/>
    <m/>
    <m/>
    <m/>
    <m/>
    <n v="0"/>
    <m/>
    <m/>
    <x v="129"/>
    <x v="0"/>
    <n v="0"/>
    <s v="NO"/>
    <m/>
  </r>
  <r>
    <m/>
    <x v="1"/>
    <m/>
    <x v="0"/>
    <x v="0"/>
    <x v="130"/>
    <n v="1"/>
    <n v="47"/>
    <n v="47"/>
    <m/>
    <m/>
    <m/>
    <m/>
    <m/>
    <m/>
    <n v="0"/>
    <m/>
    <m/>
    <x v="109"/>
    <x v="2"/>
    <s v=""/>
    <s v="NO"/>
    <m/>
  </r>
  <r>
    <d v="2013-12-01T00:00:00"/>
    <x v="0"/>
    <s v="KMSS"/>
    <x v="0"/>
    <x v="2"/>
    <x v="131"/>
    <n v="1"/>
    <m/>
    <m/>
    <n v="160"/>
    <n v="160"/>
    <m/>
    <m/>
    <m/>
    <m/>
    <n v="160"/>
    <m/>
    <m/>
    <x v="130"/>
    <x v="0"/>
    <n v="0.11895910780669144"/>
    <s v="NO"/>
    <m/>
  </r>
  <r>
    <m/>
    <x v="5"/>
    <m/>
    <x v="0"/>
    <x v="2"/>
    <x v="131"/>
    <n v="1"/>
    <m/>
    <m/>
    <n v="300"/>
    <m/>
    <m/>
    <m/>
    <m/>
    <m/>
    <n v="0"/>
    <m/>
    <m/>
    <x v="130"/>
    <x v="0"/>
    <n v="0"/>
    <s v="NO"/>
    <m/>
  </r>
  <r>
    <m/>
    <x v="0"/>
    <s v="Shalom"/>
    <x v="0"/>
    <x v="5"/>
    <x v="132"/>
    <n v="1"/>
    <m/>
    <m/>
    <n v="24"/>
    <n v="24"/>
    <m/>
    <m/>
    <m/>
    <m/>
    <n v="24"/>
    <m/>
    <m/>
    <x v="131"/>
    <x v="0"/>
    <n v="3.4285714285714284"/>
    <s v="NO"/>
    <m/>
  </r>
  <r>
    <d v="2013-12-01T00:00:00"/>
    <x v="0"/>
    <m/>
    <x v="0"/>
    <x v="1"/>
    <x v="133"/>
    <n v="1"/>
    <m/>
    <m/>
    <n v="5"/>
    <n v="5"/>
    <m/>
    <m/>
    <m/>
    <m/>
    <n v="5"/>
    <m/>
    <m/>
    <x v="132"/>
    <x v="0"/>
    <n v="0.33333333333333331"/>
    <s v="NO"/>
    <m/>
  </r>
  <r>
    <m/>
    <x v="5"/>
    <m/>
    <x v="0"/>
    <x v="1"/>
    <x v="133"/>
    <n v="1"/>
    <m/>
    <m/>
    <n v="30"/>
    <n v="30"/>
    <m/>
    <m/>
    <m/>
    <m/>
    <n v="30"/>
    <m/>
    <m/>
    <x v="132"/>
    <x v="0"/>
    <n v="2"/>
    <s v="NO"/>
    <m/>
  </r>
  <r>
    <m/>
    <x v="0"/>
    <s v="Metta"/>
    <x v="0"/>
    <x v="1"/>
    <x v="133"/>
    <n v="1"/>
    <m/>
    <m/>
    <n v="12"/>
    <n v="12"/>
    <m/>
    <m/>
    <m/>
    <m/>
    <n v="12"/>
    <m/>
    <m/>
    <x v="132"/>
    <x v="0"/>
    <n v="0.8"/>
    <s v="NO"/>
    <m/>
  </r>
  <r>
    <m/>
    <x v="0"/>
    <s v="Shalom"/>
    <x v="0"/>
    <x v="1"/>
    <x v="133"/>
    <n v="1"/>
    <m/>
    <m/>
    <n v="10"/>
    <n v="10"/>
    <m/>
    <m/>
    <m/>
    <m/>
    <n v="10"/>
    <m/>
    <m/>
    <x v="132"/>
    <x v="0"/>
    <n v="0.66666666666666663"/>
    <s v="NO"/>
    <m/>
  </r>
  <r>
    <m/>
    <x v="0"/>
    <m/>
    <x v="0"/>
    <x v="1"/>
    <x v="133"/>
    <n v="1"/>
    <m/>
    <m/>
    <n v="6"/>
    <m/>
    <m/>
    <m/>
    <m/>
    <m/>
    <n v="0"/>
    <m/>
    <m/>
    <x v="132"/>
    <x v="0"/>
    <n v="0"/>
    <s v="NO"/>
    <m/>
  </r>
  <r>
    <m/>
    <x v="0"/>
    <s v="Shalom"/>
    <x v="0"/>
    <x v="0"/>
    <x v="134"/>
    <n v="1"/>
    <m/>
    <m/>
    <n v="10"/>
    <n v="10"/>
    <m/>
    <m/>
    <m/>
    <m/>
    <n v="10"/>
    <m/>
    <m/>
    <x v="133"/>
    <x v="0"/>
    <n v="0.5"/>
    <s v="NO"/>
    <m/>
  </r>
  <r>
    <d v="2013-12-01T00:00:00"/>
    <x v="0"/>
    <s v="KBC"/>
    <x v="0"/>
    <x v="2"/>
    <x v="135"/>
    <n v="1"/>
    <m/>
    <m/>
    <n v="76"/>
    <n v="76"/>
    <m/>
    <m/>
    <m/>
    <m/>
    <n v="76"/>
    <m/>
    <m/>
    <x v="134"/>
    <x v="0"/>
    <n v="0.11176470588235295"/>
    <s v="NO"/>
    <m/>
  </r>
  <r>
    <m/>
    <x v="7"/>
    <s v="KBC"/>
    <x v="0"/>
    <x v="2"/>
    <x v="135"/>
    <n v="1"/>
    <m/>
    <m/>
    <n v="220"/>
    <n v="220"/>
    <m/>
    <m/>
    <m/>
    <m/>
    <n v="220"/>
    <m/>
    <m/>
    <x v="134"/>
    <x v="0"/>
    <n v="0.3235294117647059"/>
    <s v="NO"/>
    <m/>
  </r>
  <r>
    <m/>
    <x v="0"/>
    <s v="KBC"/>
    <x v="0"/>
    <x v="2"/>
    <x v="135"/>
    <n v="1"/>
    <m/>
    <m/>
    <n v="325"/>
    <n v="325"/>
    <m/>
    <m/>
    <m/>
    <m/>
    <n v="325"/>
    <m/>
    <m/>
    <x v="134"/>
    <x v="0"/>
    <n v="0.47794117647058826"/>
    <s v="NO"/>
    <m/>
  </r>
  <r>
    <m/>
    <x v="9"/>
    <s v="MDCG"/>
    <x v="1"/>
    <x v="8"/>
    <x v="136"/>
    <n v="1"/>
    <m/>
    <m/>
    <n v="85"/>
    <n v="85"/>
    <m/>
    <m/>
    <m/>
    <m/>
    <n v="85"/>
    <m/>
    <m/>
    <x v="135"/>
    <x v="0"/>
    <n v="0.47752808988764045"/>
    <s v="NO"/>
    <m/>
  </r>
  <r>
    <m/>
    <x v="0"/>
    <m/>
    <x v="0"/>
    <x v="0"/>
    <x v="137"/>
    <n v="1"/>
    <n v="30"/>
    <n v="30"/>
    <m/>
    <m/>
    <m/>
    <m/>
    <m/>
    <m/>
    <n v="0"/>
    <m/>
    <m/>
    <x v="109"/>
    <x v="2"/>
    <s v=""/>
    <s v="NO"/>
    <m/>
  </r>
  <r>
    <m/>
    <x v="7"/>
    <s v="KBC"/>
    <x v="0"/>
    <x v="5"/>
    <x v="137"/>
    <n v="1"/>
    <m/>
    <m/>
    <n v="15"/>
    <n v="15"/>
    <m/>
    <m/>
    <m/>
    <m/>
    <n v="15"/>
    <m/>
    <m/>
    <x v="109"/>
    <x v="2"/>
    <s v=""/>
    <s v="NO"/>
    <m/>
  </r>
  <r>
    <m/>
    <x v="0"/>
    <m/>
    <x v="0"/>
    <x v="16"/>
    <x v="137"/>
    <n v="1"/>
    <n v="55"/>
    <n v="55"/>
    <m/>
    <m/>
    <m/>
    <m/>
    <m/>
    <m/>
    <n v="0"/>
    <m/>
    <m/>
    <x v="109"/>
    <x v="2"/>
    <s v=""/>
    <s v="NO"/>
    <m/>
  </r>
</pivotCacheRecords>
</file>

<file path=xl/pivotCache/pivotCacheRecords3.xml><?xml version="1.0" encoding="utf-8"?>
<pivotCacheRecords xmlns="http://schemas.openxmlformats.org/spreadsheetml/2006/main" xmlns:r="http://schemas.openxmlformats.org/officeDocument/2006/relationships" count="243">
  <r>
    <x v="0"/>
    <x v="0"/>
    <s v="MMR001"/>
    <s v="Mohnyin"/>
    <s v="MMR001D002"/>
    <x v="0"/>
    <s v="MMR001009"/>
    <s v="Lone Khin"/>
    <s v="MMR001009001"/>
    <s v="Lone Khin"/>
    <n v="166773"/>
    <x v="0"/>
    <x v="0"/>
    <x v="0"/>
    <n v="25.658650000000002"/>
    <m/>
    <n v="0"/>
    <n v="0"/>
    <s v="NA"/>
    <x v="0"/>
    <x v="0"/>
    <x v="0"/>
    <x v="0"/>
    <m/>
    <m/>
    <x v="0"/>
    <m/>
    <m/>
    <m/>
    <s v=" "/>
    <s v=""/>
    <n v="0"/>
    <m/>
    <n v="0"/>
    <s v=""/>
    <s v=""/>
    <s v=""/>
  </r>
  <r>
    <x v="1"/>
    <x v="0"/>
    <s v="MMR001"/>
    <s v="Mohnyin"/>
    <s v="MMR001D002"/>
    <x v="0"/>
    <s v="MMR001009"/>
    <s v="Lone Khin"/>
    <s v="MMR001009001"/>
    <s v="Lone Khin"/>
    <n v="166773"/>
    <x v="1"/>
    <x v="1"/>
    <x v="1"/>
    <n v="25.656130000000001"/>
    <n v="0"/>
    <n v="76"/>
    <n v="344"/>
    <n v="4.5263157894736841"/>
    <x v="0"/>
    <x v="0"/>
    <x v="0"/>
    <x v="1"/>
    <d v="2013-01-01T00:00:00"/>
    <n v="2"/>
    <x v="1"/>
    <s v="IP"/>
    <m/>
    <d v="2015-12-02T00:00:00"/>
    <s v="2/Dec/2015. Population update. Data source: KBC_x000a_14-Oct-15 Population update. Soruce; Hpakant Mission Report_WFP_x000a_25-Jun-15 Population update. Source: KBC_x000a_2-Apr-15 (Population update, Source: UNHCR CCCM Mission)_x000a_Population Update. Source: KBC."/>
    <s v="P4"/>
    <n v="56"/>
    <m/>
    <n v="56"/>
    <s v="Hpakant Town"/>
    <n v="6.4753396248436657"/>
    <n v="2"/>
  </r>
  <r>
    <x v="1"/>
    <x v="0"/>
    <s v="MMR001"/>
    <s v="Mohnyin"/>
    <s v="MMR001D002"/>
    <x v="0"/>
    <s v="MMR001009"/>
    <s v="Lone Khin"/>
    <s v="MMR001009001"/>
    <s v="Lone Khin"/>
    <n v="166773"/>
    <x v="2"/>
    <x v="2"/>
    <x v="2"/>
    <n v="25.655819999999999"/>
    <n v="317"/>
    <n v="75"/>
    <n v="404"/>
    <n v="5.3866666666666667"/>
    <x v="0"/>
    <x v="0"/>
    <x v="0"/>
    <x v="1"/>
    <d v="2013-01-01T00:00:00"/>
    <m/>
    <x v="2"/>
    <s v="IP"/>
    <m/>
    <d v="2015-10-23T00:00:00"/>
    <s v="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75"/>
    <m/>
    <n v="75"/>
    <s v="Hpakant Town"/>
    <n v="6.3039408411778268"/>
    <n v="2"/>
  </r>
  <r>
    <x v="1"/>
    <x v="0"/>
    <s v="MMR001"/>
    <s v="Bhamo"/>
    <s v="MMR001D003"/>
    <x v="1"/>
    <s v="MMR001010"/>
    <s v="Bhamo Town"/>
    <s v="MMR001010701"/>
    <m/>
    <m/>
    <x v="3"/>
    <x v="3"/>
    <x v="3"/>
    <n v="24.260719999999999"/>
    <m/>
    <n v="301"/>
    <n v="1404"/>
    <n v="4.6644518272425248"/>
    <x v="0"/>
    <x v="0"/>
    <x v="0"/>
    <x v="2"/>
    <d v="2011-11-01T00:00:00"/>
    <n v="2"/>
    <x v="3"/>
    <s v="IP"/>
    <m/>
    <d v="2015-08-19T00:00:00"/>
    <s v="19-Aug-15 (Population Update. Data Source: KMSS-BMO)_x000a_Population update: Source: Camp Profile Round 2."/>
    <s v="P4"/>
    <n v="131"/>
    <n v="20"/>
    <n v="20"/>
    <s v="Bhamo Town"/>
    <n v="0.78440046838596356"/>
    <n v="1"/>
  </r>
  <r>
    <x v="1"/>
    <x v="0"/>
    <s v="MMR001"/>
    <s v="Mohnyin"/>
    <s v="MMR001D002"/>
    <x v="0"/>
    <s v="MMR001009"/>
    <s v="Hpakan Town"/>
    <s v="MMR001009701"/>
    <m/>
    <m/>
    <x v="4"/>
    <x v="4"/>
    <x v="4"/>
    <n v="25.635300000000001"/>
    <n v="0"/>
    <n v="67"/>
    <n v="350"/>
    <n v="5.2238805970149258"/>
    <x v="0"/>
    <x v="0"/>
    <x v="0"/>
    <x v="2"/>
    <d v="2013-01-01T00:00:00"/>
    <n v="1"/>
    <x v="4"/>
    <s v="IP"/>
    <m/>
    <d v="2015-10-14T00:00:00"/>
    <s v="14-Oct-15 Population update. Soruce; Hpakant Mission Report_WFP_x000a_19-Aug-15 Population update. Source: Shalom_x000a_25-Jun-15 (Population update. Source: Shalom)_x000a_Population update: Source: Camp Profile Round 2._x000a_2-Apr-15 (Population update, Source: UNHCR CCCM Mission)"/>
    <s v="P4"/>
    <n v="22"/>
    <m/>
    <n v="22"/>
    <s v="Hpakant Town"/>
    <n v="4.1842484710239098"/>
    <n v="1"/>
  </r>
  <r>
    <x v="1"/>
    <x v="0"/>
    <s v="MMR001"/>
    <s v="Mohnyin"/>
    <s v="MMR001D002"/>
    <x v="0"/>
    <s v="MMR001009"/>
    <s v="Hpakan Town"/>
    <s v="MMR001009701"/>
    <s v="Maw Wam Ward"/>
    <s v="MMR001009701501"/>
    <x v="5"/>
    <x v="5"/>
    <x v="5"/>
    <n v="25.616509000000001"/>
    <n v="264"/>
    <n v="14"/>
    <n v="83"/>
    <n v="5.9285714285714288"/>
    <x v="0"/>
    <x v="0"/>
    <x v="0"/>
    <x v="2"/>
    <d v="2013-01-01T00:00:00"/>
    <n v="1"/>
    <x v="4"/>
    <s v="IP"/>
    <m/>
    <d v="2015-10-14T00:00:00"/>
    <s v="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ohnyin"/>
    <s v="MMR001D002"/>
    <x v="0"/>
    <s v="MMR001009"/>
    <s v="Lone Khin"/>
    <s v="MMR001009001"/>
    <s v="Hmaw Si Zar"/>
    <n v="166775"/>
    <x v="6"/>
    <x v="6"/>
    <x v="6"/>
    <m/>
    <m/>
    <n v="0"/>
    <n v="0"/>
    <s v="NA"/>
    <x v="0"/>
    <x v="0"/>
    <x v="0"/>
    <x v="0"/>
    <m/>
    <m/>
    <x v="0"/>
    <m/>
    <m/>
    <m/>
    <s v=" "/>
    <s v=""/>
    <n v="0"/>
    <m/>
    <n v="0"/>
    <s v=""/>
    <s v=""/>
    <s v=""/>
  </r>
  <r>
    <x v="1"/>
    <x v="0"/>
    <s v="MMR001"/>
    <s v="Bhamo"/>
    <s v="MMR001D003"/>
    <x v="1"/>
    <s v="MMR001010"/>
    <s v="Bhamo Town"/>
    <s v="MMR001010701"/>
    <m/>
    <m/>
    <x v="7"/>
    <x v="7"/>
    <x v="7"/>
    <n v="24.260466999999998"/>
    <n v="0"/>
    <n v="12"/>
    <n v="51"/>
    <n v="4.25"/>
    <x v="0"/>
    <x v="0"/>
    <x v="0"/>
    <x v="2"/>
    <d v="2011-09-01T00:00:00"/>
    <n v="1"/>
    <x v="1"/>
    <s v="IP"/>
    <m/>
    <d v="2015-12-13T00:00:00"/>
    <s v="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Mohnyin"/>
    <s v="MMR001D002"/>
    <x v="0"/>
    <s v="MMR001009"/>
    <s v="Lone Khin"/>
    <s v="MMR001009001"/>
    <s v="Ku Day"/>
    <n v="216877"/>
    <x v="8"/>
    <x v="8"/>
    <x v="8"/>
    <n v="25.655989999999999"/>
    <m/>
    <n v="0"/>
    <n v="0"/>
    <s v="NA"/>
    <x v="0"/>
    <x v="0"/>
    <x v="0"/>
    <x v="0"/>
    <m/>
    <m/>
    <x v="0"/>
    <m/>
    <m/>
    <m/>
    <s v=" "/>
    <s v=""/>
    <n v="0"/>
    <m/>
    <n v="0"/>
    <s v=""/>
    <s v=""/>
    <s v=""/>
  </r>
  <r>
    <x v="0"/>
    <x v="0"/>
    <s v="MMR001"/>
    <s v="Mohnyin"/>
    <s v="MMR001D002"/>
    <x v="0"/>
    <s v="MMR001009"/>
    <s v="Hpakan Town"/>
    <s v="MMR001009701"/>
    <s v="Aye Mya Thar Yar Ward"/>
    <s v="MMR001009701504"/>
    <x v="9"/>
    <x v="9"/>
    <x v="6"/>
    <m/>
    <m/>
    <n v="0"/>
    <n v="0"/>
    <s v="NA"/>
    <x v="0"/>
    <x v="0"/>
    <x v="0"/>
    <x v="0"/>
    <m/>
    <m/>
    <x v="0"/>
    <m/>
    <m/>
    <m/>
    <s v=" "/>
    <s v=""/>
    <n v="0"/>
    <m/>
    <n v="0"/>
    <s v=""/>
    <s v=""/>
    <s v=""/>
  </r>
  <r>
    <x v="0"/>
    <x v="0"/>
    <s v="MMR001"/>
    <s v="Bhamo"/>
    <s v="MMR001D003"/>
    <x v="2"/>
    <s v="MMR001013"/>
    <m/>
    <m/>
    <m/>
    <m/>
    <x v="10"/>
    <x v="10"/>
    <x v="6"/>
    <m/>
    <m/>
    <n v="0"/>
    <n v="0"/>
    <s v="NA"/>
    <x v="0"/>
    <x v="0"/>
    <x v="0"/>
    <x v="0"/>
    <m/>
    <m/>
    <x v="0"/>
    <s v="IP"/>
    <m/>
    <d v="2014-03-03T00:00:00"/>
    <s v="Closed. Rellocated to Man Win and La Ga Yaung"/>
    <s v=""/>
    <n v="0"/>
    <m/>
    <n v="0"/>
    <s v=""/>
    <s v=""/>
    <s v=""/>
  </r>
  <r>
    <x v="0"/>
    <x v="0"/>
    <s v="MMR001"/>
    <s v="Bhamo"/>
    <s v="MMR001D003"/>
    <x v="2"/>
    <s v="MMR001013"/>
    <m/>
    <m/>
    <m/>
    <m/>
    <x v="11"/>
    <x v="11"/>
    <x v="6"/>
    <m/>
    <m/>
    <n v="0"/>
    <n v="0"/>
    <s v="NA"/>
    <x v="0"/>
    <x v="0"/>
    <x v="1"/>
    <x v="1"/>
    <m/>
    <m/>
    <x v="0"/>
    <s v="IP"/>
    <m/>
    <d v="2015-03-27T00:00:00"/>
    <s v="27-Mar-15 (Closed. Source: UNHCR-Bhamo)_x000a_New Camp"/>
    <s v="P4"/>
    <n v="0"/>
    <m/>
    <n v="0"/>
    <s v=""/>
    <s v=""/>
    <s v=""/>
  </r>
  <r>
    <x v="0"/>
    <x v="0"/>
    <s v="MMR001"/>
    <s v="Bhamo"/>
    <s v="MMR001D003"/>
    <x v="2"/>
    <s v="MMR001013"/>
    <m/>
    <m/>
    <m/>
    <m/>
    <x v="12"/>
    <x v="12"/>
    <x v="6"/>
    <m/>
    <m/>
    <n v="0"/>
    <n v="0"/>
    <s v="NA"/>
    <x v="0"/>
    <x v="0"/>
    <x v="0"/>
    <x v="0"/>
    <m/>
    <m/>
    <x v="0"/>
    <s v="IP"/>
    <m/>
    <d v="2014-03-03T00:00:00"/>
    <s v="Closed. Rellocated to Man Win and La Ga Yaung"/>
    <s v=""/>
    <n v="0"/>
    <m/>
    <n v="0"/>
    <s v=""/>
    <s v=""/>
    <s v=""/>
  </r>
  <r>
    <x v="1"/>
    <x v="0"/>
    <s v="MMR001"/>
    <s v="Mohnyin"/>
    <s v="MMR001D002"/>
    <x v="0"/>
    <s v="MMR001009"/>
    <s v="Lone Khin"/>
    <s v="MMR001009001"/>
    <s v="Hmaw Si Zar"/>
    <n v="166775"/>
    <x v="13"/>
    <x v="13"/>
    <x v="9"/>
    <n v="25.647649999999999"/>
    <n v="0"/>
    <n v="35"/>
    <n v="214"/>
    <n v="6.1142857142857139"/>
    <x v="0"/>
    <x v="0"/>
    <x v="0"/>
    <x v="1"/>
    <d v="2013-01-01T00:00:00"/>
    <n v="2"/>
    <x v="1"/>
    <s v="IP"/>
    <m/>
    <d v="2015-12-02T00:00:00"/>
    <s v="2/Dec/2015. Population update. Data source: KBC_x000a_25-Jun-15 Population update. Source: KBC_x000a_2-Apr-15 (Population update, Source: UNHCR CCCM Mission)"/>
    <s v="P4"/>
    <n v="15"/>
    <m/>
    <n v="15"/>
    <s v="Hpakant Town"/>
    <n v="5.184483270539272"/>
    <n v="2"/>
  </r>
  <r>
    <x v="0"/>
    <x v="0"/>
    <s v="MMR001"/>
    <s v="Mohnyin"/>
    <s v="MMR001D002"/>
    <x v="0"/>
    <s v="MMR001009"/>
    <s v="Nawng Mi"/>
    <s v="MMR001009008"/>
    <s v="Nawng Myi"/>
    <n v="166817"/>
    <x v="14"/>
    <x v="14"/>
    <x v="10"/>
    <n v="25.728653000000001"/>
    <m/>
    <n v="0"/>
    <n v="0"/>
    <s v="NA"/>
    <x v="0"/>
    <x v="0"/>
    <x v="0"/>
    <x v="1"/>
    <m/>
    <n v="1"/>
    <x v="4"/>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0"/>
    <x v="0"/>
    <s v="MMR001"/>
    <s v="Mohnyin"/>
    <s v="MMR001D002"/>
    <x v="0"/>
    <s v="MMR001009"/>
    <s v="Lone Khin"/>
    <s v="MMR001009001"/>
    <s v="Ma Sut Yang"/>
    <n v="216880"/>
    <x v="15"/>
    <x v="15"/>
    <x v="2"/>
    <n v="25.668469999999999"/>
    <n v="256"/>
    <n v="0"/>
    <n v="0"/>
    <s v="NA"/>
    <x v="0"/>
    <x v="0"/>
    <x v="0"/>
    <x v="1"/>
    <d v="2013-01-01T00:00:00"/>
    <m/>
    <x v="0"/>
    <s v="RRD"/>
    <m/>
    <d v="2014-05-15T00:00:00"/>
    <s v="Only one HH left, included in Lon Khin Baptist distribution list."/>
    <s v=""/>
    <n v="0"/>
    <m/>
    <n v="0"/>
    <s v=""/>
    <s v=""/>
    <s v=""/>
  </r>
  <r>
    <x v="0"/>
    <x v="0"/>
    <s v="MMR001"/>
    <s v="Myitkyina"/>
    <s v="MMR001D001"/>
    <x v="3"/>
    <s v="MMR001002"/>
    <s v="Saga Pa (Sadung Sub-township)"/>
    <m/>
    <m/>
    <m/>
    <x v="16"/>
    <x v="16"/>
    <x v="11"/>
    <n v="25.273333000000001"/>
    <m/>
    <n v="0"/>
    <n v="0"/>
    <s v="NA"/>
    <x v="1"/>
    <x v="0"/>
    <x v="0"/>
    <x v="0"/>
    <m/>
    <m/>
    <x v="0"/>
    <m/>
    <m/>
    <m/>
    <m/>
    <s v=""/>
    <n v="0"/>
    <m/>
    <n v="0"/>
    <s v=""/>
    <s v=""/>
    <s v=""/>
  </r>
  <r>
    <x v="1"/>
    <x v="0"/>
    <s v="MMR001"/>
    <s v="Myitkyina"/>
    <s v="MMR001D001"/>
    <x v="3"/>
    <s v="MMR001002"/>
    <s v="Saga Pa (Sadung Sub-township)"/>
    <s v="MMR001002040"/>
    <s v="Saga Pa"/>
    <m/>
    <x v="17"/>
    <x v="17"/>
    <x v="12"/>
    <n v="25.220278"/>
    <n v="2404"/>
    <n v="155"/>
    <n v="630"/>
    <n v="4.064516129032258"/>
    <x v="1"/>
    <x v="0"/>
    <x v="0"/>
    <x v="3"/>
    <d v="2011-11-01T00:00:00"/>
    <n v="3"/>
    <x v="2"/>
    <s v="IP"/>
    <m/>
    <d v="2015-12-02T00:00:00"/>
    <s v="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1"/>
    <x v="0"/>
    <s v="MMR001"/>
    <s v="Bhamo"/>
    <s v="MMR001D003"/>
    <x v="2"/>
    <s v="MMR001013"/>
    <s v="Dum Buk"/>
    <s v="MMR001013014"/>
    <s v="Dum Buk"/>
    <s v="Dum Buk"/>
    <x v="18"/>
    <x v="18"/>
    <x v="13"/>
    <n v="24.002433"/>
    <n v="854"/>
    <n v="174"/>
    <n v="1185"/>
    <n v="6.8103448275862073"/>
    <x v="1"/>
    <x v="0"/>
    <x v="0"/>
    <x v="1"/>
    <d v="2011-10-01T00:00:00"/>
    <n v="2"/>
    <x v="3"/>
    <s v="IP"/>
    <m/>
    <d v="2015-08-19T00:00:00"/>
    <s v="Population update: Source: KMSS-BMO_x000a_Population Update. Source: Save The Children."/>
    <s v="P2"/>
    <n v="0"/>
    <m/>
    <n v="0"/>
    <s v="Namhkan Town"/>
    <n v="19.796407430638478"/>
    <n v="4"/>
  </r>
  <r>
    <x v="1"/>
    <x v="0"/>
    <s v="MMR001"/>
    <s v="Bhamo"/>
    <s v="MMR001D003"/>
    <x v="2"/>
    <s v="MMR001013"/>
    <s v="Dum Buk"/>
    <s v="MMR001013014"/>
    <s v="Dum Buk"/>
    <s v="Dum Buk"/>
    <x v="19"/>
    <x v="19"/>
    <x v="14"/>
    <n v="24.000250000000001"/>
    <m/>
    <n v="219"/>
    <n v="891"/>
    <n v="4.0684931506849313"/>
    <x v="1"/>
    <x v="0"/>
    <x v="0"/>
    <x v="1"/>
    <m/>
    <m/>
    <x v="3"/>
    <s v="IP"/>
    <m/>
    <d v="2014-07-18T00:00:00"/>
    <s v="Population Update. Source: Save The Children."/>
    <s v="P2"/>
    <n v="99"/>
    <m/>
    <n v="99"/>
    <s v="Namhkan Town"/>
    <n v="19.631786732140053"/>
    <n v="4"/>
  </r>
  <r>
    <x v="1"/>
    <x v="0"/>
    <s v="MMR001"/>
    <s v="Mohnyin"/>
    <s v="MMR001D002"/>
    <x v="0"/>
    <s v="MMR001009"/>
    <s v="Seik Mu"/>
    <s v="MMR001009003"/>
    <s v="Seik Mu"/>
    <n v="166783"/>
    <x v="20"/>
    <x v="20"/>
    <x v="15"/>
    <n v="25.582065"/>
    <n v="0"/>
    <n v="6"/>
    <n v="30"/>
    <n v="5"/>
    <x v="0"/>
    <x v="0"/>
    <x v="0"/>
    <x v="2"/>
    <d v="2013-08-01T00:00:00"/>
    <n v="1"/>
    <x v="4"/>
    <s v="IP"/>
    <m/>
    <d v="2015-10-14T00:00:00"/>
    <s v="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0"/>
    <x v="0"/>
    <s v="MMR001"/>
    <s v="Mohnyin"/>
    <s v="MMR001D002"/>
    <x v="0"/>
    <s v="MMR001009"/>
    <m/>
    <m/>
    <m/>
    <m/>
    <x v="21"/>
    <x v="21"/>
    <x v="6"/>
    <m/>
    <m/>
    <n v="0"/>
    <n v="0"/>
    <s v="NA"/>
    <x v="0"/>
    <x v="0"/>
    <x v="0"/>
    <x v="0"/>
    <m/>
    <m/>
    <x v="0"/>
    <m/>
    <m/>
    <m/>
    <s v=" "/>
    <s v=""/>
    <n v="0"/>
    <m/>
    <n v="0"/>
    <s v=""/>
    <s v=""/>
    <s v=""/>
  </r>
  <r>
    <x v="1"/>
    <x v="0"/>
    <s v="MMR001"/>
    <s v="Myitkyina"/>
    <s v="MMR001D001"/>
    <x v="4"/>
    <s v="MMR001005"/>
    <s v="Chipwi Town"/>
    <s v="MMR001005701"/>
    <m/>
    <m/>
    <x v="22"/>
    <x v="22"/>
    <x v="16"/>
    <n v="25.889410000000002"/>
    <n v="304"/>
    <n v="118"/>
    <n v="518"/>
    <n v="4.3898305084745761"/>
    <x v="0"/>
    <x v="0"/>
    <x v="0"/>
    <x v="2"/>
    <d v="2012-12-01T00:00:00"/>
    <n v="1"/>
    <x v="4"/>
    <s v="IP"/>
    <m/>
    <d v="2015-11-09T00:00:00"/>
    <s v="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11"/>
    <m/>
    <n v="11"/>
    <s v="Chipwi Town"/>
    <n v="0.15809623370782155"/>
    <n v="1"/>
  </r>
  <r>
    <x v="0"/>
    <x v="0"/>
    <s v="MMR001"/>
    <s v="Bhamo"/>
    <s v="MMR001D003"/>
    <x v="1"/>
    <s v="MMR001010"/>
    <m/>
    <m/>
    <m/>
    <m/>
    <x v="23"/>
    <x v="23"/>
    <x v="6"/>
    <m/>
    <m/>
    <n v="0"/>
    <n v="0"/>
    <s v="NA"/>
    <x v="0"/>
    <x v="0"/>
    <x v="1"/>
    <x v="0"/>
    <m/>
    <m/>
    <x v="0"/>
    <m/>
    <s v="Estimation"/>
    <d v="2014-01-27T00:00:00"/>
    <s v="Closed : Source, OCHA"/>
    <s v=""/>
    <n v="0"/>
    <m/>
    <n v="0"/>
    <s v=""/>
    <s v=""/>
    <s v=""/>
  </r>
  <r>
    <x v="1"/>
    <x v="0"/>
    <s v="MMR001"/>
    <s v="Bhamo"/>
    <s v="MMR001D003"/>
    <x v="5"/>
    <s v="MMR001012"/>
    <s v="Dawthponeyan  Town"/>
    <s v="MMR001012703"/>
    <m/>
    <m/>
    <x v="24"/>
    <x v="24"/>
    <x v="17"/>
    <n v="24.613976000000001"/>
    <m/>
    <m/>
    <n v="49"/>
    <s v="NA"/>
    <x v="0"/>
    <x v="0"/>
    <x v="2"/>
    <x v="1"/>
    <m/>
    <m/>
    <x v="0"/>
    <m/>
    <m/>
    <d v="2015-11-09T00:00:00"/>
    <s v="9/Nov/2015. Population update. Data source: mail from Pancy (WFP)._x000a_New added Boarding School"/>
    <m/>
    <n v="0"/>
    <m/>
    <n v="0"/>
    <s v=""/>
    <s v=""/>
    <s v=""/>
  </r>
  <r>
    <x v="1"/>
    <x v="0"/>
    <s v="MMR001"/>
    <s v="Mohnyin"/>
    <s v="MMR001D002"/>
    <x v="0"/>
    <s v="MMR001009"/>
    <s v="Hpakan Town"/>
    <s v="MMR001009701"/>
    <m/>
    <m/>
    <x v="25"/>
    <x v="25"/>
    <x v="18"/>
    <n v="25.637309999999999"/>
    <n v="277.60000000000002"/>
    <n v="65"/>
    <n v="347"/>
    <n v="5.3384615384615381"/>
    <x v="0"/>
    <x v="0"/>
    <x v="0"/>
    <x v="2"/>
    <d v="2013-01-01T00:00:00"/>
    <n v="1"/>
    <x v="4"/>
    <s v="IP"/>
    <m/>
    <d v="2015-10-14T00:00:00"/>
    <s v="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1"/>
    <x v="0"/>
    <s v="MMR001"/>
    <s v="Myitkyina"/>
    <s v="MMR001D001"/>
    <x v="6"/>
    <s v="MMR001001"/>
    <s v="Myitkyina Town"/>
    <s v="MMR001001701"/>
    <s v="Du Ka Htaung Ward"/>
    <s v="MMR001001701504"/>
    <x v="26"/>
    <x v="26"/>
    <x v="19"/>
    <n v="25.4002701851852"/>
    <n v="0"/>
    <n v="6"/>
    <n v="28"/>
    <n v="4.666666666666667"/>
    <x v="0"/>
    <x v="0"/>
    <x v="0"/>
    <x v="2"/>
    <d v="2011-06-01T00:00:00"/>
    <m/>
    <x v="1"/>
    <s v="RRD"/>
    <m/>
    <m/>
    <s v=" "/>
    <s v="P4"/>
    <n v="3"/>
    <m/>
    <n v="3"/>
    <s v="Myitkyina Town"/>
    <n v="1.5295244799681529"/>
    <n v="1"/>
  </r>
  <r>
    <x v="1"/>
    <x v="0"/>
    <s v="MMR001"/>
    <s v="Myitkyina"/>
    <s v="MMR001D001"/>
    <x v="6"/>
    <s v="MMR001001"/>
    <s v="Myitkyina Town"/>
    <s v="MMR001001701"/>
    <s v="Du Ka Htaung Ward"/>
    <s v="MMR001001701504"/>
    <x v="27"/>
    <x v="27"/>
    <x v="20"/>
    <n v="25.3959740909091"/>
    <n v="0"/>
    <n v="6"/>
    <n v="39"/>
    <n v="6.5"/>
    <x v="0"/>
    <x v="0"/>
    <x v="0"/>
    <x v="2"/>
    <d v="2011-06-01T00:00:00"/>
    <m/>
    <x v="1"/>
    <s v="RRD"/>
    <m/>
    <m/>
    <s v=" "/>
    <s v="P4"/>
    <n v="0"/>
    <m/>
    <n v="0"/>
    <s v="Myitkyina Town"/>
    <n v="1.1985969617964649"/>
    <n v="1"/>
  </r>
  <r>
    <x v="1"/>
    <x v="0"/>
    <s v="MMR001"/>
    <s v="Myitkyina"/>
    <s v="MMR001D001"/>
    <x v="6"/>
    <s v="MMR001001"/>
    <s v="Myitkyina Town"/>
    <s v="MMR001001701"/>
    <s v="Du Ka Htaung Ward"/>
    <s v="MMR001001701504"/>
    <x v="28"/>
    <x v="28"/>
    <x v="21"/>
    <n v="25.396492500000001"/>
    <n v="0"/>
    <n v="50"/>
    <n v="236"/>
    <n v="4.72"/>
    <x v="0"/>
    <x v="0"/>
    <x v="0"/>
    <x v="2"/>
    <d v="2011-06-01T00:00:00"/>
    <n v="2"/>
    <x v="1"/>
    <s v="IP"/>
    <m/>
    <d v="2015-12-02T00:00:00"/>
    <s v="2/Dec/2015. Population update. Data source: KBC._x000a_Update population according to KBC data"/>
    <s v="P4"/>
    <n v="47"/>
    <m/>
    <n v="47"/>
    <s v="Myitkyina Town"/>
    <n v="1.3510454549069482"/>
    <n v="1"/>
  </r>
  <r>
    <x v="1"/>
    <x v="0"/>
    <s v="MMR001"/>
    <s v="Bhamo"/>
    <s v="MMR001D003"/>
    <x v="5"/>
    <s v="MMR001012"/>
    <s v="Zee Wone Gawt"/>
    <s v="MMR001012023"/>
    <s v="Dum Bung"/>
    <m/>
    <x v="29"/>
    <x v="29"/>
    <x v="22"/>
    <n v="24.461033"/>
    <n v="360"/>
    <n v="115"/>
    <n v="596"/>
    <n v="5.1826086956521742"/>
    <x v="1"/>
    <x v="0"/>
    <x v="0"/>
    <x v="3"/>
    <d v="2011-08-01T00:00:00"/>
    <n v="4"/>
    <x v="2"/>
    <s v="IP"/>
    <m/>
    <d v="2015-12-02T00:00:00"/>
    <s v="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Mohnyin"/>
    <s v="MMR001D002"/>
    <x v="0"/>
    <s v="MMR001009"/>
    <s v="Seik Mu"/>
    <s v="MMR001009003"/>
    <s v="Seik Mu"/>
    <n v="166783"/>
    <x v="30"/>
    <x v="30"/>
    <x v="6"/>
    <m/>
    <m/>
    <n v="0"/>
    <n v="0"/>
    <s v="NA"/>
    <x v="0"/>
    <x v="0"/>
    <x v="0"/>
    <x v="1"/>
    <m/>
    <m/>
    <x v="0"/>
    <s v="IP"/>
    <m/>
    <d v="2014-05-15T00:00:00"/>
    <s v="Closed."/>
    <s v=""/>
    <n v="0"/>
    <m/>
    <n v="0"/>
    <s v=""/>
    <s v=""/>
    <s v=""/>
  </r>
  <r>
    <x v="0"/>
    <x v="0"/>
    <s v="MMR001"/>
    <s v="Mohnyin"/>
    <s v="MMR001D002"/>
    <x v="0"/>
    <s v="MMR001009"/>
    <s v="Seik Mu"/>
    <s v="MMR001009003"/>
    <s v="Seik Mu"/>
    <n v="166783"/>
    <x v="31"/>
    <x v="31"/>
    <x v="6"/>
    <m/>
    <m/>
    <n v="0"/>
    <n v="0"/>
    <s v="NA"/>
    <x v="0"/>
    <x v="0"/>
    <x v="0"/>
    <x v="0"/>
    <m/>
    <m/>
    <x v="0"/>
    <s v="RRD"/>
    <m/>
    <d v="2014-01-24T00:00:00"/>
    <s v="UNOCHA"/>
    <s v=""/>
    <n v="0"/>
    <m/>
    <n v="0"/>
    <s v=""/>
    <s v=""/>
    <s v=""/>
  </r>
  <r>
    <x v="0"/>
    <x v="1"/>
    <s v="MMR015"/>
    <s v="Muse"/>
    <s v="MMR015D002"/>
    <x v="7"/>
    <s v="MMR015011"/>
    <s v="Galeng"/>
    <m/>
    <s v="Galeng"/>
    <m/>
    <x v="32"/>
    <x v="32"/>
    <x v="6"/>
    <m/>
    <m/>
    <n v="0"/>
    <n v="0"/>
    <s v="NA"/>
    <x v="1"/>
    <x v="0"/>
    <x v="0"/>
    <x v="1"/>
    <m/>
    <m/>
    <x v="0"/>
    <s v="IP"/>
    <m/>
    <d v="2013-01-15T00:00:00"/>
    <s v="Close: Duplicate Camp (MMR015CMP020 - Zup Aung Camp) 21-Jan-14"/>
    <s v=""/>
    <n v="0"/>
    <m/>
    <n v="0"/>
    <s v=""/>
    <s v=""/>
    <s v=""/>
  </r>
  <r>
    <x v="0"/>
    <x v="1"/>
    <s v="MMR015"/>
    <s v="Muse"/>
    <s v="MMR015D002"/>
    <x v="7"/>
    <s v="MMR015011"/>
    <s v="Galeng"/>
    <m/>
    <s v="Galeng"/>
    <m/>
    <x v="33"/>
    <x v="33"/>
    <x v="6"/>
    <m/>
    <m/>
    <n v="0"/>
    <n v="0"/>
    <s v="NA"/>
    <x v="1"/>
    <x v="0"/>
    <x v="0"/>
    <x v="1"/>
    <m/>
    <m/>
    <x v="0"/>
    <s v="IP"/>
    <m/>
    <d v="2013-01-15T00:00:00"/>
    <s v="Close: Duplicate Camp (MMR015CMP015 - Kone Khem Camp) 21-Jan-14"/>
    <s v=""/>
    <n v="0"/>
    <m/>
    <n v="0"/>
    <s v=""/>
    <s v=""/>
    <s v=""/>
  </r>
  <r>
    <x v="0"/>
    <x v="0"/>
    <s v="MMR001"/>
    <s v="Myitkyina"/>
    <s v="MMR001D001"/>
    <x v="4"/>
    <s v="MMR001005"/>
    <m/>
    <m/>
    <m/>
    <m/>
    <x v="34"/>
    <x v="34"/>
    <x v="6"/>
    <m/>
    <m/>
    <m/>
    <m/>
    <s v="NA"/>
    <x v="0"/>
    <x v="0"/>
    <x v="0"/>
    <x v="1"/>
    <m/>
    <m/>
    <x v="2"/>
    <s v="IP"/>
    <m/>
    <d v="2015-04-02T00:00:00"/>
    <s v="2-Apr-15 (Closed. Source: GAD)_x000a_Responsible Agency update. KMSS-BMO to KMSS-MYT."/>
    <s v="P1"/>
    <n v="0"/>
    <m/>
    <n v="0"/>
    <s v=""/>
    <s v=""/>
    <s v=""/>
  </r>
  <r>
    <x v="1"/>
    <x v="0"/>
    <s v="MMR001"/>
    <s v="Myitkyina"/>
    <s v="MMR001D001"/>
    <x v="3"/>
    <s v="MMR001002"/>
    <s v="Hkat Shu"/>
    <s v="MMR001002003"/>
    <s v="Hkat Shu"/>
    <n v="165735"/>
    <x v="35"/>
    <x v="35"/>
    <x v="23"/>
    <n v="25.321710740740698"/>
    <n v="0"/>
    <n v="110"/>
    <n v="508"/>
    <n v="4.6181818181818182"/>
    <x v="0"/>
    <x v="0"/>
    <x v="0"/>
    <x v="1"/>
    <d v="2011-06-01T00:00:00"/>
    <n v="2"/>
    <x v="4"/>
    <s v="IP"/>
    <m/>
    <d v="2015-11-09T00:00:00"/>
    <s v="9/Nov/15. Population update. Data source: monthly report by HAP._x000a_19-Aug-15. Population update. Source: Shalom._x000a_25-Jun-15 Population update. Source : Shalom._x000a_Population update: Source: Camp Profile Round 2."/>
    <s v="P4"/>
    <n v="5"/>
    <m/>
    <n v="5"/>
    <s v="Waingmaw Town"/>
    <n v="5.0655036329811631"/>
    <n v="2"/>
  </r>
  <r>
    <x v="1"/>
    <x v="0"/>
    <s v="MMR001"/>
    <s v="Myitkyina"/>
    <s v="MMR001D001"/>
    <x v="3"/>
    <s v="MMR001002"/>
    <s v="Hpung Tang Kawng"/>
    <s v="MMR001002030"/>
    <m/>
    <m/>
    <x v="36"/>
    <x v="36"/>
    <x v="24"/>
    <n v="25.200333000000001"/>
    <n v="1023"/>
    <n v="136"/>
    <n v="1116"/>
    <n v="8.2058823529411757"/>
    <x v="1"/>
    <x v="0"/>
    <x v="0"/>
    <x v="1"/>
    <d v="2011-12-01T00:00:00"/>
    <n v="3"/>
    <x v="1"/>
    <s v="IP"/>
    <m/>
    <d v="2015-12-02T00:00:00"/>
    <s v="2/Dec/2015. Population update. Data source: KBC_x000a_25-Jun-15 Population update. Source: KBC_x000a_Update population according to KBC data"/>
    <s v="P1"/>
    <n v="36"/>
    <m/>
    <n v="36"/>
    <s v="Sadung Town"/>
    <n v="21.287604662770121"/>
    <n v="5"/>
  </r>
  <r>
    <x v="1"/>
    <x v="0"/>
    <s v="MMR001"/>
    <s v="Mohnyin"/>
    <s v="MMR001D002"/>
    <x v="0"/>
    <s v="MMR001009"/>
    <s v="Nam Si In (Karmaing Sub-township)"/>
    <s v="MMR001009012"/>
    <m/>
    <m/>
    <x v="37"/>
    <x v="37"/>
    <x v="25"/>
    <n v="25.51352"/>
    <n v="0"/>
    <n v="12"/>
    <n v="52"/>
    <n v="4.333333333333333"/>
    <x v="0"/>
    <x v="0"/>
    <x v="0"/>
    <x v="2"/>
    <d v="2012-10-01T00:00:00"/>
    <n v="1"/>
    <x v="1"/>
    <s v="IP"/>
    <m/>
    <d v="2015-12-02T00:00:00"/>
    <s v="2/Dec/2015. Population update. Data source: KBC._x000a_19-Aug-15 Population update. Source: KBC._x000a_25-Jun-15 Population update. Source: KBC_x000a_Update population according to KBC data"/>
    <s v="P4"/>
    <n v="12"/>
    <m/>
    <n v="12"/>
    <s v="Kamaing Town"/>
    <n v="1.1537462444167914"/>
    <n v="1"/>
  </r>
  <r>
    <x v="1"/>
    <x v="0"/>
    <s v="MMR001"/>
    <s v="Mohnyin"/>
    <s v="MMR001D002"/>
    <x v="0"/>
    <s v="MMR001009"/>
    <s v="Hpakan Town"/>
    <s v="MMR001009701"/>
    <s v="Maw Wam Ward"/>
    <s v="MMR001009701501"/>
    <x v="38"/>
    <x v="38"/>
    <x v="26"/>
    <n v="25.615960999999999"/>
    <n v="281"/>
    <n v="13"/>
    <n v="75"/>
    <n v="5.7692307692307692"/>
    <x v="0"/>
    <x v="0"/>
    <x v="0"/>
    <x v="2"/>
    <d v="2012-08-01T00:00:00"/>
    <n v="1"/>
    <x v="4"/>
    <s v="IP"/>
    <m/>
    <d v="2015-11-09T00:00:00"/>
    <s v="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0"/>
    <s v="MMR001"/>
    <s v="Mohnyin"/>
    <s v="MMR001D002"/>
    <x v="0"/>
    <s v="MMR001009"/>
    <s v="Hpakan Town"/>
    <s v="MMR001009701"/>
    <s v="Maw Wam Ward"/>
    <s v="MMR001009701501"/>
    <x v="39"/>
    <x v="39"/>
    <x v="6"/>
    <m/>
    <m/>
    <n v="0"/>
    <n v="0"/>
    <s v="NA"/>
    <x v="0"/>
    <x v="0"/>
    <x v="0"/>
    <x v="0"/>
    <m/>
    <m/>
    <x v="0"/>
    <m/>
    <m/>
    <m/>
    <m/>
    <s v=""/>
    <n v="0"/>
    <m/>
    <n v="0"/>
    <s v=""/>
    <s v=""/>
    <s v=""/>
  </r>
  <r>
    <x v="1"/>
    <x v="0"/>
    <s v="MMR001"/>
    <s v="Mohnyin"/>
    <s v="MMR001D002"/>
    <x v="8"/>
    <s v="MMR001007"/>
    <s v="Mohnyin Town"/>
    <s v="MMR001007701"/>
    <m/>
    <m/>
    <x v="40"/>
    <x v="40"/>
    <x v="27"/>
    <n v="24.996279999999999"/>
    <m/>
    <n v="36"/>
    <n v="153"/>
    <n v="4.25"/>
    <x v="0"/>
    <x v="0"/>
    <x v="1"/>
    <x v="0"/>
    <m/>
    <m/>
    <x v="0"/>
    <s v="IP"/>
    <m/>
    <d v="2015-03-19T00:00:00"/>
    <s v="19-Mar-2015 (WFP has been providing this host families since 2013.)"/>
    <m/>
    <n v="0"/>
    <m/>
    <n v="0"/>
    <s v=""/>
    <s v=""/>
    <s v=""/>
  </r>
  <r>
    <x v="1"/>
    <x v="0"/>
    <s v="MMR001"/>
    <s v="Bhamo"/>
    <s v="MMR001D003"/>
    <x v="1"/>
    <s v="MMR001010"/>
    <s v="Bhamo Town"/>
    <s v="MMR001010701"/>
    <m/>
    <m/>
    <x v="41"/>
    <x v="41"/>
    <x v="28"/>
    <n v="24.263786"/>
    <m/>
    <n v="211"/>
    <n v="989"/>
    <n v="4.6872037914691944"/>
    <x v="0"/>
    <x v="0"/>
    <x v="1"/>
    <x v="2"/>
    <m/>
    <m/>
    <x v="0"/>
    <s v="IP"/>
    <m/>
    <d v="2015-11-09T00:00:00"/>
    <s v="9/Nov/15. Population update. Data source: mail from Pancy (WFP)._x000a_Update IDP increased in Oct and Nov 2013 from Angela (UNHCR - Bhamo)"/>
    <s v="P4"/>
    <n v="0"/>
    <m/>
    <n v="0"/>
    <s v="Bhamo Town"/>
    <n v="1.1354007641426449"/>
    <n v="1"/>
  </r>
  <r>
    <x v="1"/>
    <x v="0"/>
    <s v="MMR001"/>
    <s v="Bhamo"/>
    <s v="MMR001D003"/>
    <x v="2"/>
    <s v="MMR001013"/>
    <s v="Mansi Town"/>
    <s v="MMR001013701"/>
    <m/>
    <m/>
    <x v="41"/>
    <x v="42"/>
    <x v="29"/>
    <n v="24.118618999999999"/>
    <m/>
    <n v="76"/>
    <n v="256"/>
    <n v="3.3684210526315788"/>
    <x v="0"/>
    <x v="0"/>
    <x v="1"/>
    <x v="2"/>
    <m/>
    <m/>
    <x v="0"/>
    <s v="IP"/>
    <m/>
    <d v="2015-11-09T00:00:00"/>
    <s v="9/Nov/15. Population update. Data source: mail from Pancy (WFP)._x000a_Update IDP increased in Oct and Nov 2013 from (UNHCR - Bhamo)"/>
    <s v="P4"/>
    <n v="0"/>
    <m/>
    <n v="0"/>
    <s v="Mansi Town"/>
    <n v="0.51447052329458698"/>
    <n v="1"/>
  </r>
  <r>
    <x v="1"/>
    <x v="0"/>
    <s v="MMR001"/>
    <s v="Bhamo"/>
    <s v="MMR001D003"/>
    <x v="5"/>
    <s v="MMR001012"/>
    <s v="Momauk Town"/>
    <s v="MMR001012701"/>
    <m/>
    <m/>
    <x v="41"/>
    <x v="43"/>
    <x v="30"/>
    <n v="24.251232000000002"/>
    <m/>
    <n v="320"/>
    <n v="1125"/>
    <n v="3.515625"/>
    <x v="0"/>
    <x v="0"/>
    <x v="1"/>
    <x v="2"/>
    <m/>
    <m/>
    <x v="0"/>
    <s v="RRD"/>
    <m/>
    <d v="2015-11-09T00:00:00"/>
    <s v="9/Nov/15. Population update. Data source: mail from Pancy (WFP)."/>
    <s v="P4"/>
    <n v="0"/>
    <m/>
    <n v="0"/>
    <s v="Momauk Town"/>
    <n v="0.60629049139006752"/>
    <n v="1"/>
  </r>
  <r>
    <x v="1"/>
    <x v="0"/>
    <s v="MMR001"/>
    <s v="Bhamo"/>
    <s v="MMR001D003"/>
    <x v="9"/>
    <s v="MMR001011"/>
    <s v="Shwegu Town"/>
    <s v="MMR001011701"/>
    <m/>
    <m/>
    <x v="41"/>
    <x v="44"/>
    <x v="31"/>
    <n v="24.224830999999998"/>
    <m/>
    <n v="9"/>
    <n v="30"/>
    <n v="3.3333333333333335"/>
    <x v="0"/>
    <x v="0"/>
    <x v="1"/>
    <x v="2"/>
    <m/>
    <m/>
    <x v="0"/>
    <s v="RRD"/>
    <m/>
    <m/>
    <m/>
    <s v="P4"/>
    <n v="0"/>
    <m/>
    <n v="0"/>
    <s v="Shwegu Town"/>
    <n v="2.3794331620169178"/>
    <n v="1"/>
  </r>
  <r>
    <x v="1"/>
    <x v="1"/>
    <s v="MMR015"/>
    <s v="Muse"/>
    <s v="MMR015D003"/>
    <x v="10"/>
    <s v="MMR015019"/>
    <s v="Man Pying (Pang Hseng (Kyu Koke)) Sub-township"/>
    <s v="MMR015009038"/>
    <s v="Hawwa"/>
    <m/>
    <x v="42"/>
    <x v="45"/>
    <x v="32"/>
    <n v="23.917631"/>
    <m/>
    <n v="32"/>
    <m/>
    <n v="0"/>
    <x v="0"/>
    <x v="0"/>
    <x v="1"/>
    <x v="1"/>
    <m/>
    <m/>
    <x v="0"/>
    <m/>
    <m/>
    <d v="2014-03-03T00:00:00"/>
    <s v="Change to Host Families."/>
    <s v="P3"/>
    <n v="0"/>
    <m/>
    <n v="0"/>
    <s v="Pang Hseng (Kyu Koke) Town"/>
    <n v="18.405283544772924"/>
    <n v="4"/>
  </r>
  <r>
    <x v="1"/>
    <x v="1"/>
    <s v="MMR015"/>
    <s v="Muse"/>
    <s v="MMR015D002"/>
    <x v="10"/>
    <s v="MMR015009"/>
    <s v="Hpai Kawng (Pang Hseng-Kyu Koke Sub-township"/>
    <s v="MMR015009031"/>
    <s v="Hpai Kawng"/>
    <n v="208156"/>
    <x v="43"/>
    <x v="46"/>
    <x v="33"/>
    <n v="24.08738"/>
    <m/>
    <n v="32"/>
    <n v="187"/>
    <n v="5.84375"/>
    <x v="1"/>
    <x v="0"/>
    <x v="1"/>
    <x v="1"/>
    <m/>
    <m/>
    <x v="0"/>
    <s v="IRRC"/>
    <m/>
    <d v="2014-03-03T00:00:00"/>
    <s v="Change to Host Families."/>
    <s v="P4"/>
    <n v="0"/>
    <m/>
    <n v="0"/>
    <s v="Pang Hseng (Kyu Koke) Town"/>
    <n v="5.5919136174199959"/>
    <n v="2"/>
  </r>
  <r>
    <x v="1"/>
    <x v="0"/>
    <s v="MMR001"/>
    <s v="Mohnyin"/>
    <s v="MMR001D002"/>
    <x v="0"/>
    <s v="MMR001009"/>
    <s v="Nam Ma Hpyit"/>
    <s v="MMR001009002"/>
    <s v="Nam Ma Hpyit"/>
    <n v="166776"/>
    <x v="44"/>
    <x v="47"/>
    <x v="34"/>
    <n v="25.611160000000002"/>
    <m/>
    <n v="116"/>
    <n v="530"/>
    <n v="4.568965517241379"/>
    <x v="0"/>
    <x v="0"/>
    <x v="0"/>
    <x v="2"/>
    <m/>
    <m/>
    <x v="1"/>
    <s v="IP"/>
    <m/>
    <d v="2015-10-14T00:00:00"/>
    <s v="14-Oct-15 Population update. Soruce; Hpakant Mission Report_WFP_x000a_25-Jun-15 Population update. Source: KBC_x000a_18-May-15 (Population update from field mission)_x000a_3-Apr-15 (Population update. Source: Camp Profile Round 3)_x000a_New camp"/>
    <s v="P4"/>
    <n v="116"/>
    <m/>
    <n v="116"/>
    <s v="Hpakant Town"/>
    <n v="0.19374952337076978"/>
    <n v="1"/>
  </r>
  <r>
    <x v="1"/>
    <x v="0"/>
    <s v="MMR001"/>
    <s v="Myitkyina"/>
    <s v="MMR001D001"/>
    <x v="4"/>
    <s v="MMR001005"/>
    <s v="Hpa Re (Pang War Sub-township)"/>
    <s v="MMR001005026"/>
    <s v="Hpa Re Waw Jang"/>
    <n v="166355"/>
    <x v="45"/>
    <x v="48"/>
    <x v="35"/>
    <n v="25.754110000000001"/>
    <n v="2785"/>
    <n v="154"/>
    <n v="920"/>
    <n v="5.9740259740259738"/>
    <x v="1"/>
    <x v="0"/>
    <x v="0"/>
    <x v="3"/>
    <d v="2012-05-01T00:00:00"/>
    <n v="2"/>
    <x v="1"/>
    <s v="IP"/>
    <m/>
    <d v="2015-12-02T00:00:00"/>
    <s v="2/Dec/2015. Population update. Data source: KBC_x000a_25-Jun-2015 Update population. Data Source: KBC_x000a_Update population according to KBC data"/>
    <s v="P1"/>
    <n v="154"/>
    <m/>
    <n v="154"/>
    <s v="Pang War Town"/>
    <n v="19.834999342466848"/>
    <n v="4"/>
  </r>
  <r>
    <x v="1"/>
    <x v="0"/>
    <s v="MMR001"/>
    <s v="Bhamo"/>
    <s v="MMR001D003"/>
    <x v="5"/>
    <s v="MMR001012"/>
    <s v="In Baw Mai Kyin (Dawthponeyan Sub-township)"/>
    <s v="MMR001012042"/>
    <s v="Hpun Lum Yang"/>
    <n v="167223"/>
    <x v="46"/>
    <x v="49"/>
    <x v="36"/>
    <n v="24.661905999999998"/>
    <n v="415"/>
    <n v="613"/>
    <n v="2969"/>
    <n v="4.8433931484502448"/>
    <x v="1"/>
    <x v="0"/>
    <x v="0"/>
    <x v="1"/>
    <d v="2011-06-01T00:00:00"/>
    <n v="5"/>
    <x v="2"/>
    <s v="IRRC"/>
    <m/>
    <d v="2015-12-02T00:00:00"/>
    <s v="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0"/>
    <m/>
    <n v="0"/>
    <s v="Laiza town"/>
    <n v="10.953347686331073"/>
    <n v="3"/>
  </r>
  <r>
    <x v="1"/>
    <x v="0"/>
    <s v="MMR001"/>
    <s v="Bhamo"/>
    <s v="MMR001D003"/>
    <x v="1"/>
    <s v="MMR001010"/>
    <s v="Bhamo Town"/>
    <s v="MMR001010701"/>
    <s v="Pauk Kone Ward"/>
    <s v="MMR001010701506"/>
    <x v="47"/>
    <x v="50"/>
    <x v="37"/>
    <n v="24.24766"/>
    <n v="0"/>
    <n v="43"/>
    <n v="237"/>
    <n v="5.5116279069767442"/>
    <x v="0"/>
    <x v="0"/>
    <x v="0"/>
    <x v="2"/>
    <d v="2011-12-01T00:00:00"/>
    <n v="1"/>
    <x v="1"/>
    <s v="IP"/>
    <m/>
    <d v="2015-12-02T00:00:00"/>
    <s v="2/Dec/2015. Population update. Data source: KBC._x000a_25-Jun-2015 Update population. Data Source: KBC_x000a_Population update: Source: Camp Profile Round 2."/>
    <s v="P4"/>
    <n v="5"/>
    <m/>
    <n v="5"/>
    <s v="Bhamo Town"/>
    <n v="0.84749304721635399"/>
    <n v="1"/>
  </r>
  <r>
    <x v="1"/>
    <x v="0"/>
    <s v="MMR001"/>
    <s v="Myitkyina"/>
    <s v="MMR001D001"/>
    <x v="3"/>
    <s v="MMR001002"/>
    <s v="Nam Sang Yang"/>
    <s v="MMR001002024"/>
    <m/>
    <m/>
    <x v="48"/>
    <x v="51"/>
    <x v="38"/>
    <n v="24.752471"/>
    <m/>
    <m/>
    <n v="1047"/>
    <s v="NA"/>
    <x v="1"/>
    <x v="0"/>
    <x v="2"/>
    <x v="2"/>
    <m/>
    <m/>
    <x v="0"/>
    <s v="IRRC"/>
    <m/>
    <d v="2014-09-17T00:00:00"/>
    <s v="In 2014, this school is no longer accepting the lower grade students."/>
    <s v="P2"/>
    <n v="0"/>
    <m/>
    <n v="0"/>
    <s v="Laiza town"/>
    <n v="2.3307568207764655"/>
    <n v="1"/>
  </r>
  <r>
    <x v="0"/>
    <x v="0"/>
    <s v="MMR001"/>
    <s v="Bhamo"/>
    <s v="MMR001D003"/>
    <x v="2"/>
    <s v="MMR001013"/>
    <m/>
    <m/>
    <m/>
    <m/>
    <x v="49"/>
    <x v="52"/>
    <x v="6"/>
    <m/>
    <m/>
    <n v="0"/>
    <n v="0"/>
    <s v="NA"/>
    <x v="0"/>
    <x v="0"/>
    <x v="3"/>
    <x v="0"/>
    <m/>
    <m/>
    <x v="0"/>
    <s v="IP"/>
    <m/>
    <d v="2014-02-07T00:00:00"/>
    <s v="Source OCHA"/>
    <s v=""/>
    <n v="0"/>
    <m/>
    <n v="0"/>
    <s v=""/>
    <s v=""/>
    <s v=""/>
  </r>
  <r>
    <x v="1"/>
    <x v="0"/>
    <s v="MMR001"/>
    <s v="Puta-O"/>
    <s v="MMR001D004"/>
    <x v="11"/>
    <s v="MMR001014"/>
    <s v="Lang Taung"/>
    <s v="MMR001014009"/>
    <s v="Inn Lel Yan"/>
    <n v="217032"/>
    <x v="50"/>
    <x v="53"/>
    <x v="39"/>
    <n v="27.248964999999998"/>
    <n v="398"/>
    <n v="10"/>
    <n v="56"/>
    <n v="5.6"/>
    <x v="0"/>
    <x v="0"/>
    <x v="1"/>
    <x v="1"/>
    <d v="2013-08-01T00:00:00"/>
    <m/>
    <x v="0"/>
    <s v="IP"/>
    <m/>
    <d v="2014-04-07T00:00:00"/>
    <s v="New host families."/>
    <s v="P3"/>
    <n v="0"/>
    <m/>
    <n v="0"/>
    <s v="Machanbaw Town"/>
    <n v="4.789460146835963"/>
    <n v="1"/>
  </r>
  <r>
    <x v="1"/>
    <x v="0"/>
    <s v="MMR001"/>
    <s v="Myitkyina"/>
    <s v="MMR001D001"/>
    <x v="6"/>
    <s v="MMR001001"/>
    <s v="Myitkyina Town"/>
    <s v="MMR001001701"/>
    <m/>
    <m/>
    <x v="51"/>
    <x v="54"/>
    <x v="40"/>
    <n v="25.403476999999999"/>
    <n v="0"/>
    <n v="203"/>
    <n v="1072"/>
    <n v="5.2807881773399012"/>
    <x v="0"/>
    <x v="0"/>
    <x v="0"/>
    <x v="2"/>
    <d v="2011-07-01T00:00:00"/>
    <n v="2"/>
    <x v="1"/>
    <s v="IP"/>
    <m/>
    <d v="2015-12-02T00:00:00"/>
    <s v="2/Dec/2015. Population update. Data source: KBC._x000a_19-Aug-15 Update population from KBC._x000a_25-Jun-2015 Update population from KBC._x000a_Checked with KBC data"/>
    <s v="P4"/>
    <n v="43"/>
    <m/>
    <n v="43"/>
    <s v="Myitkyina Town"/>
    <n v="2.4647367211404561"/>
    <n v="1"/>
  </r>
  <r>
    <x v="1"/>
    <x v="0"/>
    <s v="MMR001"/>
    <s v="Myitkyina"/>
    <s v="MMR001D001"/>
    <x v="6"/>
    <s v="MMR001001"/>
    <s v="Myitkyina Town"/>
    <s v="MMR001001701"/>
    <s v="Jan Mai Kawng"/>
    <m/>
    <x v="52"/>
    <x v="55"/>
    <x v="41"/>
    <n v="25.401061110000001"/>
    <m/>
    <n v="109"/>
    <n v="493"/>
    <n v="4.522935779816514"/>
    <x v="0"/>
    <x v="0"/>
    <x v="0"/>
    <x v="2"/>
    <d v="2011-07-01T00:00:00"/>
    <n v="3"/>
    <x v="2"/>
    <s v="IP"/>
    <m/>
    <d v="2015-12-02T00:00:00"/>
    <s v="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29"/>
    <m/>
    <n v="29"/>
    <s v="Myitkyina Town"/>
    <n v="1.8563710010113432"/>
    <n v="1"/>
  </r>
  <r>
    <x v="1"/>
    <x v="0"/>
    <s v="MMR001"/>
    <s v="Bhamo"/>
    <s v="MMR001D003"/>
    <x v="5"/>
    <s v="MMR001012"/>
    <s v="Ton Hone Yang (Dawthponeyan Sub-township)"/>
    <s v="MMR001012050"/>
    <m/>
    <m/>
    <x v="53"/>
    <x v="56"/>
    <x v="42"/>
    <n v="24.688338999999999"/>
    <n v="314"/>
    <n v="1692"/>
    <n v="8818"/>
    <n v="5.211583924349882"/>
    <x v="1"/>
    <x v="0"/>
    <x v="0"/>
    <x v="1"/>
    <d v="2012-06-01T00:00:00"/>
    <n v="7"/>
    <x v="2"/>
    <s v="IP"/>
    <m/>
    <d v="2015-12-02T00:00:00"/>
    <s v="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497"/>
    <m/>
    <n v="497"/>
    <s v="Laiza town"/>
    <n v="7.985347533011188"/>
    <n v="2"/>
  </r>
  <r>
    <x v="0"/>
    <x v="0"/>
    <s v="MMR001"/>
    <s v="Bhamo"/>
    <s v="MMR001D003"/>
    <x v="1"/>
    <s v="MMR001010"/>
    <m/>
    <m/>
    <m/>
    <m/>
    <x v="54"/>
    <x v="57"/>
    <x v="43"/>
    <n v="24.262418020999998"/>
    <m/>
    <n v="0"/>
    <n v="0"/>
    <s v="NA"/>
    <x v="0"/>
    <x v="0"/>
    <x v="0"/>
    <x v="0"/>
    <m/>
    <m/>
    <x v="0"/>
    <s v="IP"/>
    <m/>
    <d v="2014-01-22T00:00:00"/>
    <s v="Closed: Source UNHCR-Bhamo"/>
    <s v=""/>
    <n v="0"/>
    <m/>
    <n v="0"/>
    <s v=""/>
    <s v=""/>
    <s v=""/>
  </r>
  <r>
    <x v="1"/>
    <x v="0"/>
    <s v="MMR001"/>
    <s v="Bhamo"/>
    <s v="MMR001D003"/>
    <x v="5"/>
    <s v="MMR001012"/>
    <s v="Khon Sint"/>
    <s v="MMR001012013"/>
    <s v="Khon Sint"/>
    <n v="167060"/>
    <x v="55"/>
    <x v="58"/>
    <x v="44"/>
    <n v="24.377054000000001"/>
    <m/>
    <n v="4"/>
    <n v="26"/>
    <n v="6.5"/>
    <x v="0"/>
    <x v="0"/>
    <x v="1"/>
    <x v="1"/>
    <m/>
    <m/>
    <x v="0"/>
    <s v="RRD"/>
    <m/>
    <d v="2014-03-03T00:00:00"/>
    <s v="Change to Host Families."/>
    <s v="P4"/>
    <n v="0"/>
    <m/>
    <n v="0"/>
    <s v="Momauk Town"/>
    <n v="13.446032768350749"/>
    <n v="3"/>
  </r>
  <r>
    <x v="1"/>
    <x v="1"/>
    <s v="MMR015"/>
    <s v="Muse"/>
    <s v="MMR015D002"/>
    <x v="7"/>
    <s v="MMR015011"/>
    <s v="Kar Lai Kone Hsar"/>
    <s v="MMR015011005"/>
    <s v="Kar Lai"/>
    <n v="208557"/>
    <x v="56"/>
    <x v="59"/>
    <x v="45"/>
    <n v="23.4008"/>
    <n v="0"/>
    <n v="87"/>
    <n v="488"/>
    <n v="5.6091954022988508"/>
    <x v="0"/>
    <x v="0"/>
    <x v="0"/>
    <x v="1"/>
    <d v="2013-01-01T00:00:00"/>
    <m/>
    <x v="1"/>
    <s v="IP"/>
    <m/>
    <d v="2015-06-25T00:00:00"/>
    <s v="25-Jun-15 Population update. Source: KBC_x000a_Update population. Source: Camp Profile."/>
    <s v="P3"/>
    <n v="0"/>
    <m/>
    <n v="0"/>
    <s v="Kutkai Town"/>
    <n v="11.65743881259678"/>
    <n v="3"/>
  </r>
  <r>
    <x v="1"/>
    <x v="0"/>
    <s v="MMR001"/>
    <s v="Mohnyin"/>
    <s v="MMR001D002"/>
    <x v="0"/>
    <s v="MMR001009"/>
    <s v="Lone Khin"/>
    <s v="MR001009001"/>
    <s v="Ku Day"/>
    <n v="216877"/>
    <x v="57"/>
    <x v="60"/>
    <x v="6"/>
    <m/>
    <m/>
    <n v="50"/>
    <n v="226"/>
    <n v="4.5199999999999996"/>
    <x v="0"/>
    <x v="0"/>
    <x v="0"/>
    <x v="1"/>
    <d v="2015-01-15T00:00:00"/>
    <m/>
    <x v="1"/>
    <s v="IP"/>
    <m/>
    <d v="2015-12-02T00:00:00"/>
    <s v="2/Dec/2015. Population update. Data source: KBC_x000a_25-Jun-15 Population update. Source: KBC_x000a_18-May-15 (Population update by field mission)_x000a_Source: CCCM Unit (Hpakant Assessement Mission)"/>
    <m/>
    <n v="0"/>
    <m/>
    <n v="0"/>
    <s v=""/>
    <s v=""/>
    <s v=""/>
  </r>
  <r>
    <x v="1"/>
    <x v="1"/>
    <s v="MMR015"/>
    <s v="Muse"/>
    <s v="MMR015D002"/>
    <x v="7"/>
    <s v="MMR015011"/>
    <s v="Kutkai Town"/>
    <s v="MMR015011701"/>
    <s v="No (5) Ward"/>
    <s v="MMR015011701505"/>
    <x v="58"/>
    <x v="61"/>
    <x v="46"/>
    <n v="23.450914000000001"/>
    <n v="4336"/>
    <n v="64"/>
    <n v="305"/>
    <n v="4.765625"/>
    <x v="0"/>
    <x v="0"/>
    <x v="0"/>
    <x v="2"/>
    <d v="2012-12-01T00:00:00"/>
    <n v="2"/>
    <x v="1"/>
    <s v="IP"/>
    <m/>
    <d v="2015-06-25T00:00:00"/>
    <s v="25-Jun-15 Population update. Source: KBC_x000a_Update population. Source: Camp Profile."/>
    <s v="P3"/>
    <n v="0"/>
    <m/>
    <n v="0"/>
    <s v="Kutkai Town"/>
    <n v="1.9281430163271129"/>
    <n v="1"/>
  </r>
  <r>
    <x v="1"/>
    <x v="1"/>
    <s v="MMR015"/>
    <s v="Muse"/>
    <s v="MMR015D002"/>
    <x v="7"/>
    <s v="MMR015011"/>
    <s v="Kutkai Town"/>
    <s v="MMR015011701"/>
    <s v="No (3) Ward"/>
    <s v="MMR015011701503"/>
    <x v="59"/>
    <x v="62"/>
    <x v="47"/>
    <n v="23.460349999999998"/>
    <n v="4430"/>
    <n v="30"/>
    <n v="139"/>
    <n v="4.6333333333333337"/>
    <x v="0"/>
    <x v="0"/>
    <x v="0"/>
    <x v="2"/>
    <d v="2012-12-01T00:00:00"/>
    <m/>
    <x v="5"/>
    <s v="IP"/>
    <m/>
    <d v="2015-08-19T00:00:00"/>
    <s v="19-Aug-15 (Population update. Source: MKSS-LSO)_x000a_25-Jun-15 (Population update. Source: KMSS-LSO)_x000a_Population updated. Source: Shelter unit."/>
    <s v="P3"/>
    <n v="0"/>
    <m/>
    <n v="0"/>
    <s v="Kutkai Town"/>
    <n v="0.42212558305526549"/>
    <n v="1"/>
  </r>
  <r>
    <x v="1"/>
    <x v="0"/>
    <s v="MMR001"/>
    <s v="Myitkyina"/>
    <s v="MMR001D001"/>
    <x v="6"/>
    <s v="MMR001001"/>
    <s v="Myitkyina Town"/>
    <s v="MMR001001701"/>
    <s v="Kyun Pin Thar Ward"/>
    <s v="MMR001001701510"/>
    <x v="60"/>
    <x v="63"/>
    <x v="48"/>
    <n v="25.3660036111111"/>
    <n v="0"/>
    <n v="45"/>
    <n v="194"/>
    <n v="4.3111111111111109"/>
    <x v="0"/>
    <x v="0"/>
    <x v="0"/>
    <x v="2"/>
    <d v="2012-01-01T00:00:00"/>
    <n v="1"/>
    <x v="1"/>
    <s v="IP"/>
    <m/>
    <d v="2015-12-02T00:00:00"/>
    <s v="2/Dec/2015 (Population update. Data source: Monthly report by KBC)._x000a_19-Aug-2015 Update population from KBC._x000a_25-Jun-2015 Update population from KBC._x000a_Update population according to KBC data"/>
    <s v="P4"/>
    <n v="40"/>
    <m/>
    <n v="40"/>
    <s v="Myitkyina Town"/>
    <n v="2.8164250706222882"/>
    <n v="1"/>
  </r>
  <r>
    <x v="1"/>
    <x v="0"/>
    <s v="MMR001"/>
    <s v="Mohnyin"/>
    <s v="MMR001D002"/>
    <x v="12"/>
    <s v="MMR001008"/>
    <s v="Mogaung Town"/>
    <s v="MMR001008701"/>
    <m/>
    <m/>
    <x v="61"/>
    <x v="64"/>
    <x v="49"/>
    <n v="25.305669999999999"/>
    <n v="470"/>
    <n v="16"/>
    <n v="69"/>
    <n v="4.3125"/>
    <x v="0"/>
    <x v="0"/>
    <x v="0"/>
    <x v="2"/>
    <d v="2012-05-01T00:00:00"/>
    <n v="1"/>
    <x v="1"/>
    <s v="IP"/>
    <m/>
    <d v="2015-12-02T00:00:00"/>
    <s v="2/Dec/2015. Population update. Data source: KBC._x000a_19-Aug-15 Update population from KBC._x000a_25-Jun-2015 Update population. Data Source: KBC_x000a_Checked with KBC data"/>
    <s v="P4"/>
    <n v="1"/>
    <m/>
    <n v="1"/>
    <s v="Mogaung Town"/>
    <n v="1.815139598767344"/>
    <n v="1"/>
  </r>
  <r>
    <x v="1"/>
    <x v="0"/>
    <s v="MMR001"/>
    <s v="Puta-O"/>
    <s v="MMR001D004"/>
    <x v="13"/>
    <s v="MMR001018"/>
    <s v="La Ja Ga"/>
    <s v="MMR001018021"/>
    <s v="La Ja"/>
    <n v="168236"/>
    <x v="62"/>
    <x v="65"/>
    <x v="50"/>
    <n v="26.890058"/>
    <n v="1393"/>
    <n v="11"/>
    <n v="17"/>
    <n v="1.5454545454545454"/>
    <x v="0"/>
    <x v="0"/>
    <x v="0"/>
    <x v="1"/>
    <m/>
    <m/>
    <x v="0"/>
    <s v="RRD"/>
    <m/>
    <d v="2014-01-07T00:00:00"/>
    <s v="Update data from OCHA IDPs List"/>
    <s v="P4"/>
    <n v="11"/>
    <m/>
    <n v="11"/>
    <s v="Khaunglanhpu Town"/>
    <n v="28.422357500443528"/>
    <n v="6"/>
  </r>
  <r>
    <x v="0"/>
    <x v="0"/>
    <s v="MMR001"/>
    <s v="Bhamo"/>
    <s v="MMR001D003"/>
    <x v="2"/>
    <s v="MMR001013"/>
    <s v="Man Mawn"/>
    <s v="MMR001013022"/>
    <m/>
    <m/>
    <x v="63"/>
    <x v="66"/>
    <x v="51"/>
    <n v="23.867713999999999"/>
    <n v="755"/>
    <n v="0"/>
    <n v="0"/>
    <s v="NA"/>
    <x v="1"/>
    <x v="0"/>
    <x v="0"/>
    <x v="1"/>
    <d v="2013-04-01T00:00:00"/>
    <n v="2"/>
    <x v="3"/>
    <s v="IP"/>
    <m/>
    <d v="2014-06-21T00:00:00"/>
    <s v="Closed. Source: Save The Children"/>
    <s v="P4"/>
    <n v="0"/>
    <m/>
    <n v="0"/>
    <s v=""/>
    <s v=""/>
    <s v=""/>
  </r>
  <r>
    <x v="0"/>
    <x v="0"/>
    <s v="MMR001"/>
    <s v="Myitkyina"/>
    <s v="MMR001D001"/>
    <x v="3"/>
    <s v="MMR001002"/>
    <s v="Nam Sang Yang"/>
    <s v="MMR001002024"/>
    <s v="Nam Sang Yang"/>
    <n v="165772"/>
    <x v="64"/>
    <x v="67"/>
    <x v="52"/>
    <n v="24.747212999999999"/>
    <n v="221"/>
    <n v="0"/>
    <n v="0"/>
    <s v="NA"/>
    <x v="1"/>
    <x v="0"/>
    <x v="0"/>
    <x v="1"/>
    <d v="2011-06-01T00:00:00"/>
    <n v="3"/>
    <x v="2"/>
    <s v="IP"/>
    <m/>
    <d v="2015-06-25T00:00:00"/>
    <s v="25-Jun-15 (Relocated to Hpum Lone Yan and Wai Choi)_x000a_Population Update. Source: UNHCR Cross-Line Mission Report. (July 2014)"/>
    <s v="P2"/>
    <n v="0"/>
    <n v="0"/>
    <n v="0"/>
    <s v="Laiza town"/>
    <n v="1.857513522619473"/>
    <n v="1"/>
  </r>
  <r>
    <x v="1"/>
    <x v="0"/>
    <s v="MMR001"/>
    <s v="Myitkyina"/>
    <s v="MMR001D001"/>
    <x v="3"/>
    <s v="MMR001002"/>
    <s v="Hpawt Dawt"/>
    <s v="MMR001002032"/>
    <s v="Lai Zar"/>
    <n v="165816"/>
    <x v="65"/>
    <x v="68"/>
    <x v="53"/>
    <n v="25.108011999999999"/>
    <m/>
    <n v="355"/>
    <n v="4450"/>
    <n v="12.535211267605634"/>
    <x v="1"/>
    <x v="1"/>
    <x v="4"/>
    <x v="2"/>
    <m/>
    <m/>
    <x v="0"/>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1"/>
    <x v="0"/>
    <s v="MMR001"/>
    <s v="Myitkyina"/>
    <s v="MMR001D001"/>
    <x v="4"/>
    <s v="MMR001005"/>
    <s v="Lang Jaw (Pang War Sub-township)"/>
    <s v="MMR001005022"/>
    <s v="Lang Jaw"/>
    <n v="166337"/>
    <x v="66"/>
    <x v="69"/>
    <x v="54"/>
    <n v="25.708763000000001"/>
    <m/>
    <m/>
    <m/>
    <s v="NA"/>
    <x v="0"/>
    <x v="0"/>
    <x v="1"/>
    <x v="1"/>
    <m/>
    <m/>
    <x v="0"/>
    <m/>
    <m/>
    <m/>
    <m/>
    <s v="P1"/>
    <n v="0"/>
    <m/>
    <n v="0"/>
    <s v="Pang War Town"/>
    <n v="12.486065224161463"/>
    <n v="3"/>
  </r>
  <r>
    <x v="1"/>
    <x v="0"/>
    <s v="MMR001"/>
    <s v="Bhamo"/>
    <s v="MMR001D003"/>
    <x v="2"/>
    <s v="MMR001013"/>
    <s v="In Ba Pa"/>
    <s v="MMR001013012"/>
    <s v="La Na"/>
    <n v="216948"/>
    <x v="67"/>
    <x v="70"/>
    <x v="55"/>
    <n v="24.056132999999999"/>
    <n v="866"/>
    <n v="541"/>
    <n v="2607"/>
    <n v="4.8188539741219962"/>
    <x v="1"/>
    <x v="0"/>
    <x v="0"/>
    <x v="1"/>
    <d v="2011-10-01T00:00:00"/>
    <n v="2"/>
    <x v="3"/>
    <s v="IP"/>
    <m/>
    <d v="2015-08-19T00:00:00"/>
    <s v="19-Aug-2015. Update Population. Data Source; KMSS-BMO_x000a_Population update: Source UNHCR-Bhamo"/>
    <s v="P2"/>
    <n v="47"/>
    <m/>
    <n v="47"/>
    <s v="Lwegel Town"/>
    <n v="18.620903555062636"/>
    <n v="4"/>
  </r>
  <r>
    <x v="1"/>
    <x v="0"/>
    <s v="MMR001"/>
    <s v="Bhamo"/>
    <s v="MMR001D003"/>
    <x v="9"/>
    <s v="MMR001011"/>
    <m/>
    <m/>
    <m/>
    <m/>
    <x v="68"/>
    <x v="71"/>
    <x v="6"/>
    <m/>
    <m/>
    <n v="375"/>
    <n v="1691"/>
    <n v="4.5093333333333332"/>
    <x v="1"/>
    <x v="0"/>
    <x v="1"/>
    <x v="1"/>
    <m/>
    <m/>
    <x v="0"/>
    <s v="IRRC"/>
    <m/>
    <d v="2014-03-03T00:00:00"/>
    <s v="Change to Host Families."/>
    <s v="P4"/>
    <n v="0"/>
    <m/>
    <n v="0"/>
    <s v=""/>
    <s v=""/>
    <s v=""/>
  </r>
  <r>
    <x v="0"/>
    <x v="0"/>
    <s v="MMR001"/>
    <s v="Myitkyina"/>
    <s v="MMR001D001"/>
    <x v="14"/>
    <s v="MMR001003"/>
    <m/>
    <m/>
    <m/>
    <m/>
    <x v="69"/>
    <x v="72"/>
    <x v="6"/>
    <m/>
    <m/>
    <n v="0"/>
    <n v="0"/>
    <s v="NA"/>
    <x v="0"/>
    <x v="0"/>
    <x v="0"/>
    <x v="0"/>
    <m/>
    <m/>
    <x v="0"/>
    <m/>
    <m/>
    <d v="2014-03-14T00:00:00"/>
    <s v="Close. According to RRC's info, this camp does not include in reported list."/>
    <s v=""/>
    <n v="0"/>
    <m/>
    <n v="0"/>
    <s v=""/>
    <s v=""/>
    <s v=""/>
  </r>
  <r>
    <x v="1"/>
    <x v="0"/>
    <s v="MMR001"/>
    <s v="Myitkyina"/>
    <s v="MMR001D001"/>
    <x v="6"/>
    <s v="MMR001001"/>
    <s v="Myitkyina Town"/>
    <s v="MMR001001701"/>
    <s v="Lel Kone Ward"/>
    <s v="MMR001001701525"/>
    <x v="70"/>
    <x v="73"/>
    <x v="56"/>
    <n v="25.362420757575801"/>
    <n v="0"/>
    <n v="108"/>
    <n v="605"/>
    <n v="5.6018518518518521"/>
    <x v="0"/>
    <x v="0"/>
    <x v="0"/>
    <x v="2"/>
    <d v="2011-03-01T00:00:00"/>
    <n v="2"/>
    <x v="1"/>
    <s v="IP"/>
    <m/>
    <d v="2015-12-02T00:00:00"/>
    <s v="2/Dec/2015. Population update. Data source: KBC._x000a_19-Aug-15 Update population from KBC._x000a_25-Jun-2015 Update population from KBC._x000a_Update population according to KBC data"/>
    <s v="P4"/>
    <n v="84"/>
    <m/>
    <n v="84"/>
    <s v="Myitkyina Town"/>
    <n v="3.3602711423118103"/>
    <n v="1"/>
  </r>
  <r>
    <x v="1"/>
    <x v="0"/>
    <s v="MMR001"/>
    <s v="Myitkyina"/>
    <s v="MMR001D001"/>
    <x v="6"/>
    <s v="MMR001001"/>
    <s v="Myitkyina Town"/>
    <s v="MMR001001701"/>
    <s v="Lel Kone Ward"/>
    <s v="MMR001001701525"/>
    <x v="71"/>
    <x v="74"/>
    <x v="57"/>
    <n v="25.3510167948718"/>
    <n v="0"/>
    <n v="163"/>
    <n v="712"/>
    <n v="4.3680981595092021"/>
    <x v="0"/>
    <x v="0"/>
    <x v="0"/>
    <x v="2"/>
    <d v="2011-06-01T00:00:00"/>
    <n v="2"/>
    <x v="1"/>
    <s v="IP"/>
    <m/>
    <d v="2015-08-19T00:00:00"/>
    <s v="19-Aug-15 Update population from KBC._x000a_Update population according to KBC data"/>
    <s v="P4"/>
    <n v="38"/>
    <m/>
    <n v="38"/>
    <s v="Myitkyina Town"/>
    <n v="4.262018365878137"/>
    <n v="1"/>
  </r>
  <r>
    <x v="1"/>
    <x v="0"/>
    <s v="MMR001"/>
    <s v="Myitkyina"/>
    <s v="MMR001D001"/>
    <x v="4"/>
    <s v="MMR001005"/>
    <s v="Urban"/>
    <s v="MMR001005701"/>
    <s v="Rit Law"/>
    <m/>
    <x v="72"/>
    <x v="75"/>
    <x v="58"/>
    <n v="25.887339999999998"/>
    <n v="259.10000000000002"/>
    <n v="144"/>
    <n v="645"/>
    <n v="4.479166666666667"/>
    <x v="0"/>
    <x v="0"/>
    <x v="0"/>
    <x v="1"/>
    <d v="2012-02-01T00:00:00"/>
    <n v="1"/>
    <x v="4"/>
    <s v="IP"/>
    <m/>
    <d v="2015-11-09T00:00:00"/>
    <s v="9/Nov/15. Population update. Data source: monthly report by HAP._x000a_19-Aug-15 Population update. Source: Shalom_x000a_25-Jun-15 (Population update. Source: Shalom)_x000a_2-Apr-15 (Population update, Source: UNHCR CCCM Mission)_x000a_Population update: Source: Camp Profile Round 2."/>
    <s v="P1"/>
    <n v="71"/>
    <m/>
    <n v="71"/>
    <s v=""/>
    <s v=""/>
    <s v=""/>
  </r>
  <r>
    <x v="1"/>
    <x v="0"/>
    <s v="MMR001"/>
    <s v="Mohnyin"/>
    <s v="MMR001D002"/>
    <x v="0"/>
    <s v="MMR001009"/>
    <s v="Seik Mu"/>
    <s v="MMR001009003"/>
    <s v="Maw Shan"/>
    <n v="166785"/>
    <x v="73"/>
    <x v="76"/>
    <x v="59"/>
    <n v="25.566510000000001"/>
    <n v="278"/>
    <n v="25"/>
    <n v="133"/>
    <n v="5.32"/>
    <x v="0"/>
    <x v="0"/>
    <x v="0"/>
    <x v="1"/>
    <d v="2013-01-01T00:00:00"/>
    <n v="1"/>
    <x v="4"/>
    <s v="IP"/>
    <m/>
    <d v="2015-10-14T00:00:00"/>
    <s v="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1"/>
    <x v="0"/>
    <s v="MMR001"/>
    <s v="Mohnyin"/>
    <s v="MMR001D002"/>
    <x v="0"/>
    <s v="MMR001009"/>
    <s v="Hpakan Town"/>
    <s v="MMR001009701"/>
    <s v="Maw Wam Ward"/>
    <s v="MMR001009701501"/>
    <x v="74"/>
    <x v="77"/>
    <x v="60"/>
    <n v="25.61842"/>
    <n v="250"/>
    <n v="15"/>
    <n v="74"/>
    <n v="4.9333333333333336"/>
    <x v="0"/>
    <x v="0"/>
    <x v="0"/>
    <x v="2"/>
    <d v="2013-01-01T00:00:00"/>
    <n v="1"/>
    <x v="4"/>
    <s v="IP"/>
    <m/>
    <d v="2015-08-19T00:00:00"/>
    <s v="19-Aug-15 Population update. Source: Shalom_x000a_25-Jun-15 (Population update. Source : Shalom)_x000a_2-Apr-15 (Population update, Source: UNHCR CCCM Mission)_x000a_Population update: Source: Camp Profile Round 2."/>
    <s v="P4"/>
    <n v="0"/>
    <m/>
    <n v="0"/>
    <s v="Hpakant Town"/>
    <n v="0.75842119772531946"/>
    <n v="1"/>
  </r>
  <r>
    <x v="1"/>
    <x v="0"/>
    <s v="MMR001"/>
    <s v="Bhamo"/>
    <s v="MMR001D003"/>
    <x v="1"/>
    <s v="MMR001010"/>
    <s v="Bhamo Town"/>
    <s v="MMR001010701"/>
    <m/>
    <m/>
    <x v="75"/>
    <x v="78"/>
    <x v="61"/>
    <n v="24.2631743589744"/>
    <n v="0"/>
    <n v="116"/>
    <n v="659"/>
    <n v="5.681034482758621"/>
    <x v="0"/>
    <x v="0"/>
    <x v="0"/>
    <x v="2"/>
    <d v="2011-06-01T00:00:00"/>
    <n v="2"/>
    <x v="4"/>
    <s v="IP"/>
    <m/>
    <d v="2015-08-19T00:00:00"/>
    <s v="19-Aug-15 Population update. Source: Shalom_x000a_25-Jun-15 (Population update. Source : Shalom)_x000a_Population update: Source: Camp Profile Round 2."/>
    <s v="P4"/>
    <n v="29"/>
    <m/>
    <n v="29"/>
    <s v="Bhamo Town"/>
    <n v="1.0876401420946245"/>
    <n v="1"/>
  </r>
  <r>
    <x v="1"/>
    <x v="0"/>
    <s v="MMR001"/>
    <s v="Bhamo"/>
    <s v="MMR001D003"/>
    <x v="5"/>
    <s v="MMR001012"/>
    <s v="Lwegel Town"/>
    <s v="MMR001012702"/>
    <m/>
    <m/>
    <x v="76"/>
    <x v="79"/>
    <x v="62"/>
    <n v="24.200972"/>
    <m/>
    <n v="29"/>
    <n v="182"/>
    <n v="6.2758620689655169"/>
    <x v="0"/>
    <x v="0"/>
    <x v="0"/>
    <x v="2"/>
    <m/>
    <n v="1"/>
    <x v="1"/>
    <s v="IP"/>
    <m/>
    <d v="2015-12-02T00:00:00"/>
    <s v="2/Dec/2015. Population update. Data source: KBC._x000a_25-Jun-2015 Update population. Data Source: KBC_x000a_Population update: Source: Camp Profile Round 2."/>
    <s v="P3"/>
    <n v="0"/>
    <m/>
    <n v="0"/>
    <s v="Lwegel Town"/>
    <n v="0.28829825866869707"/>
    <n v="1"/>
  </r>
  <r>
    <x v="1"/>
    <x v="0"/>
    <s v="MMR001"/>
    <s v="Bhamo"/>
    <s v="MMR001D003"/>
    <x v="5"/>
    <s v="MMR001012"/>
    <s v="Lwegel Town"/>
    <s v="MMR001012702"/>
    <s v="Loi Je"/>
    <m/>
    <x v="77"/>
    <x v="80"/>
    <x v="63"/>
    <n v="24.205417000000001"/>
    <m/>
    <n v="70"/>
    <n v="609"/>
    <n v="8.6999999999999993"/>
    <x v="0"/>
    <x v="0"/>
    <x v="0"/>
    <x v="2"/>
    <d v="2011-11-01T00:00:00"/>
    <n v="2"/>
    <x v="3"/>
    <s v="IP"/>
    <m/>
    <d v="2015-08-19T00:00:00"/>
    <s v="19 Aug 2015. Udate Population. Date Source; KMSS-BMO_x000a_Population update: Source: KMSS-BMO"/>
    <s v="P3"/>
    <n v="3"/>
    <m/>
    <n v="3"/>
    <s v="Lwegel Town"/>
    <n v="0.77978735578277303"/>
    <n v="1"/>
  </r>
  <r>
    <x v="1"/>
    <x v="0"/>
    <s v="MMR001"/>
    <s v="Bhamo"/>
    <s v="MMR001D003"/>
    <x v="5"/>
    <s v="MMR001012"/>
    <s v="Lwegel Town"/>
    <s v="MMR001012702"/>
    <s v="Aung Zay Yar Ward"/>
    <s v="MMR001012702505"/>
    <x v="78"/>
    <x v="81"/>
    <x v="64"/>
    <n v="24.200433"/>
    <n v="0"/>
    <n v="188"/>
    <n v="993"/>
    <n v="5.2819148936170217"/>
    <x v="0"/>
    <x v="0"/>
    <x v="0"/>
    <x v="2"/>
    <d v="2012-04-01T00:00:00"/>
    <n v="2"/>
    <x v="1"/>
    <s v="IP"/>
    <m/>
    <d v="2015-12-02T00:00:00"/>
    <s v="2/Dec/2015. Population update. Data source: KBC._x000a_25-Jun-2015 Update population. Data Source: KBC_x000a_Population update: Source: Camp Profile Round 2."/>
    <s v="P3"/>
    <n v="106"/>
    <m/>
    <n v="106"/>
    <s v="Lwegel Town"/>
    <n v="0.38934692601696641"/>
    <n v="1"/>
  </r>
  <r>
    <x v="0"/>
    <x v="0"/>
    <s v="MMR001"/>
    <s v="Bhamo"/>
    <s v="MMR001D003"/>
    <x v="2"/>
    <s v="MMR001013"/>
    <s v="La Gat Dawt"/>
    <s v="MMR001013027"/>
    <m/>
    <m/>
    <x v="79"/>
    <x v="82"/>
    <x v="65"/>
    <n v="23.9055"/>
    <n v="745"/>
    <n v="0"/>
    <n v="0"/>
    <s v="NA"/>
    <x v="1"/>
    <x v="0"/>
    <x v="0"/>
    <x v="3"/>
    <d v="2012-08-01T00:00:00"/>
    <n v="2"/>
    <x v="3"/>
    <s v="IP"/>
    <m/>
    <d v="2015-08-19T00:00:00"/>
    <s v="19-Aug-15 Close. Source: CCCM Unit._x000a_Population source: KMSS-BMO"/>
    <s v="P2"/>
    <n v="0"/>
    <m/>
    <n v="0"/>
    <s v="Namhkan Town"/>
    <n v="12.392289083396149"/>
    <n v="3"/>
  </r>
  <r>
    <x v="1"/>
    <x v="0"/>
    <s v="MMR001"/>
    <s v="Puta-O"/>
    <s v="MMR001D004"/>
    <x v="11"/>
    <s v="MMR001014"/>
    <s v="Puta-O Town"/>
    <s v="MMR001014701"/>
    <s v="Lone Sut Ward"/>
    <s v="MMR001014701510"/>
    <x v="80"/>
    <x v="83"/>
    <x v="66"/>
    <n v="27.337499999999999"/>
    <m/>
    <n v="59"/>
    <n v="274"/>
    <n v="4.6440677966101696"/>
    <x v="0"/>
    <x v="0"/>
    <x v="0"/>
    <x v="2"/>
    <m/>
    <m/>
    <x v="1"/>
    <s v="IP"/>
    <m/>
    <d v="2015-12-13T00:00:00"/>
    <s v="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59"/>
    <m/>
    <n v="59"/>
    <s v=""/>
    <s v=""/>
    <s v=""/>
  </r>
  <r>
    <x v="1"/>
    <x v="0"/>
    <m/>
    <m/>
    <m/>
    <x v="12"/>
    <s v="MMR001008"/>
    <s v="Nawng Kaing Htaw"/>
    <s v="MMR001008002"/>
    <s v="Ma Haung"/>
    <n v="166676"/>
    <x v="81"/>
    <x v="84"/>
    <x v="6"/>
    <m/>
    <m/>
    <n v="9"/>
    <n v="39"/>
    <n v="4.333333333333333"/>
    <x v="0"/>
    <x v="0"/>
    <x v="0"/>
    <x v="2"/>
    <d v="2015-05-01T00:00:00"/>
    <m/>
    <x v="2"/>
    <s v="RRD"/>
    <m/>
    <d v="2015-11-09T00:00:00"/>
    <s v="9/Nov/15. Accomodation changes from Host families to Camp. Data source: mail by Maran Tang Nau._x000a_19-Aug-15 (Population Udate. Data Source: KMSS-MYT)_x000a_25-Jun-2015 (New host families. Source: RRD)"/>
    <m/>
    <n v="9"/>
    <m/>
    <n v="9"/>
    <s v=""/>
    <s v=""/>
    <s v=""/>
  </r>
  <r>
    <x v="0"/>
    <x v="0"/>
    <s v="MMR001"/>
    <s v="Mohnyin"/>
    <s v="MMR001D002"/>
    <x v="0"/>
    <s v="MMR001009"/>
    <s v="Seik Mu"/>
    <s v="MMR001009003"/>
    <s v="Ma Mon"/>
    <n v="166790"/>
    <x v="82"/>
    <x v="85"/>
    <x v="6"/>
    <m/>
    <m/>
    <n v="0"/>
    <n v="0"/>
    <s v="NA"/>
    <x v="0"/>
    <x v="0"/>
    <x v="0"/>
    <x v="0"/>
    <m/>
    <m/>
    <x v="0"/>
    <m/>
    <m/>
    <m/>
    <s v=" "/>
    <s v=""/>
    <n v="0"/>
    <m/>
    <n v="0"/>
    <s v=""/>
    <s v=""/>
    <s v=""/>
  </r>
  <r>
    <x v="0"/>
    <x v="0"/>
    <s v="MMR001"/>
    <s v="Puta-O"/>
    <s v="MMR001D004"/>
    <x v="15"/>
    <s v="MMR001016"/>
    <m/>
    <m/>
    <m/>
    <m/>
    <x v="83"/>
    <x v="86"/>
    <x v="67"/>
    <n v="27.274059999999999"/>
    <n v="403"/>
    <n v="0"/>
    <n v="0"/>
    <s v="NA"/>
    <x v="0"/>
    <x v="0"/>
    <x v="0"/>
    <x v="1"/>
    <d v="2013-09-01T00:00:00"/>
    <m/>
    <x v="0"/>
    <s v="IP"/>
    <m/>
    <d v="2015-06-25T00:00:00"/>
    <s v="25-Jun-15 (Relocate to Long Sut)_x000a_Geo-Info, HH/Pop data received from MIRA Form"/>
    <s v="P3"/>
    <n v="0"/>
    <m/>
    <n v="0"/>
    <s v="Machanbaw Town"/>
    <n v="1.136583238544624"/>
    <n v="1"/>
  </r>
  <r>
    <x v="1"/>
    <x v="0"/>
    <s v="MMR001"/>
    <s v="Myitkyina"/>
    <s v="MMR001D001"/>
    <x v="3"/>
    <s v="MMR001002"/>
    <s v="Mading"/>
    <s v="MMR001002001"/>
    <s v="Mading/Hka Kun"/>
    <n v="165730"/>
    <x v="84"/>
    <x v="87"/>
    <x v="68"/>
    <n v="25.356632000000001"/>
    <n v="0"/>
    <n v="25"/>
    <n v="138"/>
    <n v="5.52"/>
    <x v="0"/>
    <x v="0"/>
    <x v="0"/>
    <x v="2"/>
    <d v="2012-05-01T00:00:00"/>
    <n v="1"/>
    <x v="1"/>
    <s v="IP"/>
    <m/>
    <d v="2015-12-02T00:00:00"/>
    <s v="2/Dec/2015 (Population update. Data source: Monthly report by KBC)._x000a_19-Aug-2015 Update population from KBC._x000a_25-Jun-2015 Update population from KBC._x000a_Population updated. Source: Shelter unit."/>
    <s v="P4"/>
    <n v="0"/>
    <m/>
    <n v="0"/>
    <s v="Waingmaw Town"/>
    <n v="1.1134935940025397"/>
    <n v="1"/>
  </r>
  <r>
    <x v="1"/>
    <x v="0"/>
    <s v="MMR001"/>
    <s v="Myitkyina"/>
    <s v="MMR001D001"/>
    <x v="3"/>
    <s v="MMR001002"/>
    <s v="Sa Ma"/>
    <s v="MMR001002031"/>
    <s v="Nar Gu"/>
    <n v="165790"/>
    <x v="85"/>
    <x v="88"/>
    <x v="69"/>
    <n v="24.980250000000002"/>
    <n v="984"/>
    <n v="609"/>
    <n v="2627"/>
    <n v="4.3136288998357966"/>
    <x v="1"/>
    <x v="0"/>
    <x v="0"/>
    <x v="1"/>
    <d v="2011-06-01T00:00:00"/>
    <n v="5"/>
    <x v="2"/>
    <s v="IP"/>
    <m/>
    <d v="2015-10-23T00:00:00"/>
    <s v="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5"/>
    <m/>
    <n v="5"/>
    <s v="Laiza town"/>
    <n v="28.888856599204185"/>
    <n v="6"/>
  </r>
  <r>
    <x v="1"/>
    <x v="0"/>
    <s v="MMR001"/>
    <s v="Bhamo"/>
    <s v="MMR001D003"/>
    <x v="5"/>
    <s v="MMR001012"/>
    <s v="Pan Choe Hai"/>
    <s v="MMR001012016"/>
    <m/>
    <m/>
    <x v="86"/>
    <x v="89"/>
    <x v="70"/>
    <n v="24.441697000000001"/>
    <m/>
    <n v="2"/>
    <n v="9"/>
    <n v="4.5"/>
    <x v="0"/>
    <x v="0"/>
    <x v="1"/>
    <x v="1"/>
    <m/>
    <m/>
    <x v="0"/>
    <s v="RRD"/>
    <m/>
    <d v="2014-06-13T00:00:00"/>
    <s v="Geo-Info, HH/Pop data was updated from Google Earth."/>
    <s v="P4"/>
    <n v="0"/>
    <m/>
    <n v="0"/>
    <s v="Dawthponeyan  Town"/>
    <n v="19.860265975801305"/>
    <n v="4"/>
  </r>
  <r>
    <x v="1"/>
    <x v="0"/>
    <s v="MMR001"/>
    <s v="Myitkyina"/>
    <s v="MMR001D001"/>
    <x v="3"/>
    <s v="MMR001002"/>
    <s v="Mai Na"/>
    <s v="MMR001002006"/>
    <s v="Mai Na"/>
    <n v="165740"/>
    <x v="87"/>
    <x v="90"/>
    <x v="71"/>
    <n v="25.424529444444399"/>
    <n v="0"/>
    <n v="135"/>
    <n v="738"/>
    <n v="5.4666666666666668"/>
    <x v="0"/>
    <x v="0"/>
    <x v="0"/>
    <x v="1"/>
    <d v="2013-07-01T00:00:00"/>
    <n v="1"/>
    <x v="4"/>
    <s v="IP"/>
    <m/>
    <d v="2015-11-09T00:00:00"/>
    <s v="9/Nov/15. Population update. Data source: monthly report by HAP._x000a_19-Aug-15 Population update. Source: Shalom._x000a_25-Jun-15 Population update. Source : Shalom._x000a_Update population. Source: Camp Profile."/>
    <s v="P4"/>
    <n v="28"/>
    <m/>
    <n v="28"/>
    <s v="Myitkyina Town"/>
    <n v="5.9727739497559158"/>
    <n v="2"/>
  </r>
  <r>
    <x v="1"/>
    <x v="0"/>
    <s v="MMR001"/>
    <s v="Myitkyina"/>
    <s v="MMR001D001"/>
    <x v="3"/>
    <s v="MMR001002"/>
    <s v="Mai Na"/>
    <s v="MMR001002006"/>
    <s v="Mai Na"/>
    <n v="165740"/>
    <x v="88"/>
    <x v="91"/>
    <x v="72"/>
    <n v="25.415667500000001"/>
    <m/>
    <n v="227"/>
    <n v="1218"/>
    <n v="5.3656387665198242"/>
    <x v="0"/>
    <x v="0"/>
    <x v="0"/>
    <x v="2"/>
    <d v="2013-06-01T00:00:00"/>
    <n v="4"/>
    <x v="2"/>
    <s v="IP"/>
    <m/>
    <d v="2015-12-02T00:00:00"/>
    <s v="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7"/>
    <m/>
    <n v="17"/>
    <s v="Myitkyina Town"/>
    <n v="5.7019834469756479"/>
    <n v="2"/>
  </r>
  <r>
    <x v="1"/>
    <x v="0"/>
    <s v="MMR001"/>
    <s v="Myitkyina"/>
    <s v="MMR001D001"/>
    <x v="3"/>
    <s v="MMR001002"/>
    <s v="Mai Na"/>
    <s v="MMR001002006"/>
    <s v="Mai Na"/>
    <n v="165740"/>
    <x v="89"/>
    <x v="92"/>
    <x v="73"/>
    <n v="25.4118005797101"/>
    <n v="0"/>
    <n v="428"/>
    <n v="2219"/>
    <n v="5.1845794392523361"/>
    <x v="0"/>
    <x v="0"/>
    <x v="0"/>
    <x v="1"/>
    <d v="2012-06-01T00:00:00"/>
    <n v="3"/>
    <x v="1"/>
    <s v="IP"/>
    <m/>
    <d v="2015-12-02T00:00:00"/>
    <s v="2/Dec/2015 (Population update. Data source: Monthly report by KBC)._x000a_19-Aug-15 Update population from KBC_x000a_25-Jun-2015 Update population. Data Source: KBC_x000a_Update population according to KBC data"/>
    <s v="P4"/>
    <n v="0"/>
    <m/>
    <n v="0"/>
    <s v="Myitkyina Town"/>
    <n v="5.2238983299151851"/>
    <n v="2"/>
  </r>
  <r>
    <x v="1"/>
    <x v="0"/>
    <s v="MMR001"/>
    <s v="Myitkyina"/>
    <s v="MMR001D001"/>
    <x v="3"/>
    <s v="MMR001002"/>
    <s v="Mai Na"/>
    <s v="MMR001002006"/>
    <s v="Mai Na"/>
    <n v="165740"/>
    <x v="90"/>
    <x v="93"/>
    <x v="74"/>
    <n v="25.409612685185198"/>
    <n v="0"/>
    <n v="48"/>
    <n v="199"/>
    <n v="4.145833333333333"/>
    <x v="0"/>
    <x v="0"/>
    <x v="0"/>
    <x v="2"/>
    <d v="2011-12-01T00:00:00"/>
    <n v="1"/>
    <x v="1"/>
    <s v="IP"/>
    <m/>
    <d v="2015-12-02T00:00:00"/>
    <s v="2/Dec/2015 (Population update. Data source: Monthly report by KBC)._x000a_19-Aug-15 Update population from KBC_x000a_25-Jun-2015 Update population. Data Source: KBC_x000a_Update population according to KBC data"/>
    <s v="P4"/>
    <n v="8"/>
    <m/>
    <n v="8"/>
    <s v="Myitkyina Town"/>
    <n v="4.3887485673235673"/>
    <n v="1"/>
  </r>
  <r>
    <x v="1"/>
    <x v="0"/>
    <s v="MMR001"/>
    <s v="Bhamo"/>
    <s v="MMR001D003"/>
    <x v="2"/>
    <s v="MMR001013"/>
    <s v="Maing Khaung"/>
    <n v="167301"/>
    <s v="Maing Khaung"/>
    <m/>
    <x v="91"/>
    <x v="94"/>
    <x v="75"/>
    <n v="23.972453000000002"/>
    <n v="466"/>
    <n v="372"/>
    <n v="1141"/>
    <n v="3.067204301075269"/>
    <x v="0"/>
    <x v="0"/>
    <x v="0"/>
    <x v="1"/>
    <m/>
    <n v="2"/>
    <x v="1"/>
    <s v="IP"/>
    <m/>
    <d v="2015-12-13T00:00:00"/>
    <s v="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148"/>
    <m/>
    <n v="148"/>
    <s v="Mansi Town"/>
    <n v="17.731070777343263"/>
    <n v="4"/>
  </r>
  <r>
    <x v="1"/>
    <x v="0"/>
    <s v="MMR001"/>
    <s v="Bhamo"/>
    <s v="MMR001D003"/>
    <x v="2"/>
    <s v="MMR001013"/>
    <s v="Maing Khaung"/>
    <n v="167301"/>
    <s v="Maing Khaung"/>
    <m/>
    <x v="92"/>
    <x v="95"/>
    <x v="76"/>
    <n v="23.976571"/>
    <n v="478"/>
    <n v="121"/>
    <n v="596"/>
    <n v="4.9256198347107434"/>
    <x v="0"/>
    <x v="0"/>
    <x v="0"/>
    <x v="1"/>
    <m/>
    <n v="2"/>
    <x v="3"/>
    <s v="IP"/>
    <m/>
    <d v="2015-08-19T00:00:00"/>
    <s v="19-Aug-15 Update population. Source KMSS-BMO_x000a_Geo-Info update."/>
    <s v="P4"/>
    <n v="71"/>
    <m/>
    <n v="71"/>
    <s v="Kamaing Town"/>
    <n v="12.257552920582597"/>
    <n v="3"/>
  </r>
  <r>
    <x v="1"/>
    <x v="0"/>
    <s v="MMR001"/>
    <s v="Myitkyina"/>
    <s v="MMR001D001"/>
    <x v="6"/>
    <s v="MMR001001"/>
    <s v="Myitkyina Town"/>
    <s v="MMR001001701"/>
    <m/>
    <m/>
    <x v="93"/>
    <x v="96"/>
    <x v="77"/>
    <n v="25.360463124999999"/>
    <n v="0"/>
    <n v="72"/>
    <n v="375"/>
    <n v="5.208333333333333"/>
    <x v="0"/>
    <x v="0"/>
    <x v="0"/>
    <x v="2"/>
    <d v="2011-08-01T00:00:00"/>
    <n v="2"/>
    <x v="1"/>
    <s v="IP"/>
    <m/>
    <d v="2015-12-02T00:00:00"/>
    <s v="2/Dec/2015. Population update. Data source: KBC._x000a_19-Aug-15 Update population from KBC._x000a_25-Jun-2015 Update population from KBC._x000a_Update population according to KBC data"/>
    <s v="P4"/>
    <n v="52"/>
    <m/>
    <n v="52"/>
    <s v="Waingmaw Town"/>
    <n v="3.3362307375127798"/>
    <n v="1"/>
  </r>
  <r>
    <x v="1"/>
    <x v="0"/>
    <s v="MMR001"/>
    <s v="Bhamo"/>
    <s v="MMR001D003"/>
    <x v="5"/>
    <s v="MMR001012"/>
    <s v="Man Pon"/>
    <s v="MMR001012001"/>
    <s v="Man Pon"/>
    <n v="167009"/>
    <x v="94"/>
    <x v="97"/>
    <x v="78"/>
    <n v="24.245100000000001"/>
    <m/>
    <n v="265"/>
    <n v="1084"/>
    <n v="4.090566037735849"/>
    <x v="0"/>
    <x v="0"/>
    <x v="0"/>
    <x v="2"/>
    <d v="2012-05-01T00:00:00"/>
    <n v="2"/>
    <x v="3"/>
    <s v="IP"/>
    <m/>
    <d v="2015-08-19T00:00:00"/>
    <s v="19-Aug-2015. Population Update. Data Source; KMSS-BMO_x000a_Population increased. Relocated from Momauk Catholic Church (St. Patrick) - MMR001CMP057"/>
    <s v="P4"/>
    <n v="112"/>
    <m/>
    <n v="112"/>
    <s v="Momauk Town"/>
    <n v="2.4411071835305544"/>
    <n v="1"/>
  </r>
  <r>
    <x v="1"/>
    <x v="0"/>
    <s v="MMR001"/>
    <s v="Myitkyina"/>
    <s v="MMR001D001"/>
    <x v="6"/>
    <s v="MMR001001"/>
    <s v="Myitkyina Town"/>
    <s v="MMR001001701"/>
    <s v="Man Khein Ward"/>
    <s v="MMR001001701519"/>
    <x v="95"/>
    <x v="98"/>
    <x v="79"/>
    <n v="25.428910999999999"/>
    <n v="0"/>
    <n v="96"/>
    <n v="505"/>
    <n v="5.260416666666667"/>
    <x v="0"/>
    <x v="0"/>
    <x v="0"/>
    <x v="2"/>
    <d v="2011-07-01T00:00:00"/>
    <n v="2"/>
    <x v="1"/>
    <s v="IP"/>
    <m/>
    <d v="2015-12-02T00:00:00"/>
    <s v="2/Dec/2015. Population update. Data source: KBC._x000a_19-Aug-15 Update population from KBC_x000a_25-Jun-2015 Update population from KBC._x000a_Update population according to KBC data"/>
    <s v="P4"/>
    <n v="16"/>
    <m/>
    <n v="16"/>
    <s v="Myitkyina Town"/>
    <n v="5.4145379230647226"/>
    <n v="2"/>
  </r>
  <r>
    <x v="0"/>
    <x v="0"/>
    <s v="MMR001"/>
    <s v="Bhamo"/>
    <s v="MMR001D003"/>
    <x v="2"/>
    <s v="MMR001013"/>
    <s v="Mai Bat"/>
    <s v="MMR001013018"/>
    <s v="Man Kawng"/>
    <n v="167391"/>
    <x v="96"/>
    <x v="99"/>
    <x v="80"/>
    <n v="24.181640000000002"/>
    <m/>
    <n v="0"/>
    <n v="0"/>
    <s v="NA"/>
    <x v="0"/>
    <x v="0"/>
    <x v="0"/>
    <x v="0"/>
    <m/>
    <m/>
    <x v="0"/>
    <s v="IP"/>
    <m/>
    <d v="2014-03-03T00:00:00"/>
    <s v="Closed. Duplicate with Maing Khaung."/>
    <s v=""/>
    <n v="0"/>
    <m/>
    <n v="0"/>
    <s v=""/>
    <s v=""/>
    <s v=""/>
  </r>
  <r>
    <x v="0"/>
    <x v="0"/>
    <s v="MMR001"/>
    <s v="Bhamo"/>
    <s v="MMR001D003"/>
    <x v="2"/>
    <s v="MMR001013"/>
    <s v="Mai Bat"/>
    <s v="MMR001013018"/>
    <s v="Man Kawng"/>
    <n v="167391"/>
    <x v="97"/>
    <x v="100"/>
    <x v="80"/>
    <n v="24.181640000000002"/>
    <m/>
    <n v="0"/>
    <n v="0"/>
    <s v="NA"/>
    <x v="0"/>
    <x v="0"/>
    <x v="0"/>
    <x v="0"/>
    <m/>
    <m/>
    <x v="0"/>
    <s v="IP"/>
    <m/>
    <d v="2014-03-03T00:00:00"/>
    <s v="Closed. Duplicate with Maing Khaung."/>
    <s v=""/>
    <n v="0"/>
    <m/>
    <n v="0"/>
    <s v=""/>
    <s v=""/>
    <s v=""/>
  </r>
  <r>
    <x v="1"/>
    <x v="0"/>
    <s v="MMR001"/>
    <s v="Bhamo"/>
    <s v="MMR001D003"/>
    <x v="5"/>
    <s v="MMR001012"/>
    <s v="Man Nawng"/>
    <s v="MMR001012014"/>
    <s v="Man Nawng"/>
    <n v="167063"/>
    <x v="98"/>
    <x v="101"/>
    <x v="81"/>
    <n v="24.410008999999999"/>
    <m/>
    <n v="28"/>
    <n v="136"/>
    <n v="4.8571428571428568"/>
    <x v="0"/>
    <x v="0"/>
    <x v="1"/>
    <x v="1"/>
    <m/>
    <m/>
    <x v="0"/>
    <s v="RRD"/>
    <m/>
    <m/>
    <m/>
    <s v="P4"/>
    <n v="0"/>
    <m/>
    <n v="0"/>
    <s v="Momauk Town"/>
    <n v="17.282528446236295"/>
    <n v="4"/>
  </r>
  <r>
    <x v="1"/>
    <x v="0"/>
    <s v="MMR001"/>
    <s v="Bhamo"/>
    <s v="MMR001D003"/>
    <x v="5"/>
    <s v="MMR001012"/>
    <s v="Man Ping (Ping) (Dawthponeyan Sub-township)"/>
    <s v="MMR001012052"/>
    <s v="Man Ping"/>
    <n v="167270"/>
    <x v="99"/>
    <x v="102"/>
    <x v="82"/>
    <n v="24.759551999999999"/>
    <m/>
    <m/>
    <m/>
    <s v="NA"/>
    <x v="0"/>
    <x v="0"/>
    <x v="1"/>
    <x v="1"/>
    <m/>
    <m/>
    <x v="0"/>
    <s v="RRD"/>
    <m/>
    <d v="2014-06-13T00:00:00"/>
    <s v="Geo-Info, HH/Pop data was updated from Google Earth."/>
    <s v="P4"/>
    <n v="0"/>
    <m/>
    <n v="0"/>
    <s v="Dawthponeyan  Town"/>
    <n v="24.701686141136339"/>
    <n v="5"/>
  </r>
  <r>
    <x v="1"/>
    <x v="0"/>
    <s v="MMR001"/>
    <s v="Bhamo"/>
    <s v="MMR001D003"/>
    <x v="2"/>
    <s v="MMR001013"/>
    <s v="Man Wein"/>
    <s v="MMR001013021"/>
    <m/>
    <m/>
    <x v="100"/>
    <x v="103"/>
    <x v="83"/>
    <n v="23.83013"/>
    <n v="741"/>
    <n v="114"/>
    <n v="524"/>
    <n v="4.5964912280701755"/>
    <x v="0"/>
    <x v="0"/>
    <x v="0"/>
    <x v="1"/>
    <d v="2012-02-01T00:00:00"/>
    <n v="2"/>
    <x v="1"/>
    <s v="IP"/>
    <m/>
    <d v="2015-12-13T00:00:00"/>
    <s v="13/Dec/2015. Population update. Data source: Mail by Ko Maran.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40"/>
    <m/>
    <n v="40"/>
    <s v="Namhkan Town"/>
    <n v="9.3704379947870464"/>
    <n v="2"/>
  </r>
  <r>
    <x v="1"/>
    <x v="0"/>
    <s v="MMR001"/>
    <s v="Bhamo"/>
    <s v="MMR001D003"/>
    <x v="2"/>
    <s v="MMR001013"/>
    <s v="Man Wein"/>
    <s v="MMR001013021"/>
    <s v="Man Wein"/>
    <n v="167405"/>
    <x v="101"/>
    <x v="104"/>
    <x v="84"/>
    <n v="23.829599000000002"/>
    <m/>
    <n v="114"/>
    <n v="524"/>
    <n v="4.5964912280701755"/>
    <x v="0"/>
    <x v="0"/>
    <x v="0"/>
    <x v="1"/>
    <m/>
    <m/>
    <x v="1"/>
    <s v="IP"/>
    <m/>
    <d v="2015-12-02T00:00:00"/>
    <s v="2/Dec/2015. Population update. Data source: KBC_x000a_25-Jun-15 Population update. Source: KBC_x000a_Population Update. Source: Save The Children."/>
    <s v=""/>
    <n v="114"/>
    <m/>
    <n v="114"/>
    <s v="Namhkan Town"/>
    <n v="9.2957189123335944"/>
    <n v="2"/>
  </r>
  <r>
    <x v="1"/>
    <x v="0"/>
    <s v="MMR001"/>
    <s v="Bhamo"/>
    <s v="MMR001D003"/>
    <x v="2"/>
    <s v="MMR001013"/>
    <s v="Man Wein"/>
    <s v="MMR001013021"/>
    <m/>
    <m/>
    <x v="102"/>
    <x v="105"/>
    <x v="85"/>
    <n v="23.835319999999999"/>
    <n v="795"/>
    <n v="486"/>
    <n v="2371"/>
    <n v="4.8786008230452671"/>
    <x v="0"/>
    <x v="0"/>
    <x v="0"/>
    <x v="1"/>
    <d v="2011-11-01T00:00:00"/>
    <n v="2"/>
    <x v="3"/>
    <s v="IP"/>
    <m/>
    <d v="2015-08-19T00:00:00"/>
    <s v="19-Aug-2015. Update Population. Data Source; KMSS-BMO_x000a_Population Update. Source: KMSS-BMO"/>
    <s v="P4"/>
    <n v="286"/>
    <m/>
    <n v="286"/>
    <s v="Namhkan Town"/>
    <n v="10.509375400480517"/>
    <n v="3"/>
  </r>
  <r>
    <x v="1"/>
    <x v="0"/>
    <s v="MMR001"/>
    <s v="Bhamo"/>
    <s v="MMR001D003"/>
    <x v="2"/>
    <s v="MMR001013"/>
    <s v="Man Wein"/>
    <s v="MMR001013021"/>
    <m/>
    <m/>
    <x v="103"/>
    <x v="106"/>
    <x v="86"/>
    <n v="23.833477999999999"/>
    <n v="925"/>
    <n v="115"/>
    <n v="502"/>
    <n v="4.3652173913043475"/>
    <x v="0"/>
    <x v="0"/>
    <x v="0"/>
    <x v="1"/>
    <m/>
    <m/>
    <x v="3"/>
    <s v="IP"/>
    <m/>
    <d v="2015-08-19T00:00:00"/>
    <s v="19-Aug-2015. Update Population. Data Source; KMSS-BMO_x000a_Responsible Agency update. KMSS-MYT to KMSS-BMO."/>
    <s v="P4"/>
    <n v="115"/>
    <m/>
    <n v="115"/>
    <s v="Namhkan Town"/>
    <n v="10.527586947557506"/>
    <n v="3"/>
  </r>
  <r>
    <x v="1"/>
    <x v="0"/>
    <s v="MMR001"/>
    <s v="Bhamo"/>
    <s v="MMR001D003"/>
    <x v="2"/>
    <s v="MMR001013"/>
    <s v="Man Wein"/>
    <s v="MMR001013021"/>
    <s v="Man Wein"/>
    <n v="167405"/>
    <x v="104"/>
    <x v="107"/>
    <x v="87"/>
    <n v="23.827870999999998"/>
    <m/>
    <n v="205"/>
    <n v="1043"/>
    <n v="5.0878048780487806"/>
    <x v="0"/>
    <x v="0"/>
    <x v="1"/>
    <x v="1"/>
    <m/>
    <m/>
    <x v="0"/>
    <s v="IP"/>
    <m/>
    <d v="2015-12-13T00:00:00"/>
    <s v="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0"/>
    <x v="0"/>
    <s v="MMR001"/>
    <s v="Myitkyina"/>
    <s v="MMR001D001"/>
    <x v="3"/>
    <s v="MMR001002"/>
    <s v="Nam Sang Yang"/>
    <s v="MMR001002024"/>
    <s v="Nam Sang Yang"/>
    <n v="165772"/>
    <x v="105"/>
    <x v="108"/>
    <x v="88"/>
    <n v="24.747966999999999"/>
    <m/>
    <n v="0"/>
    <n v="0"/>
    <s v="NA"/>
    <x v="0"/>
    <x v="0"/>
    <x v="0"/>
    <x v="0"/>
    <m/>
    <m/>
    <x v="0"/>
    <m/>
    <m/>
    <m/>
    <s v="Changed to closed"/>
    <s v=""/>
    <n v="0"/>
    <m/>
    <n v="0"/>
    <s v=""/>
    <s v=""/>
    <s v=""/>
  </r>
  <r>
    <x v="0"/>
    <x v="0"/>
    <s v="MMR001"/>
    <s v="Bhamo"/>
    <s v="MMR001D003"/>
    <x v="5"/>
    <s v="MMR001012"/>
    <s v="Momauk Town"/>
    <s v="MMR001012701"/>
    <s v="Ah Lin Kawng Ward"/>
    <s v="MMR001012701502"/>
    <x v="106"/>
    <x v="109"/>
    <x v="89"/>
    <n v="24.251860000000001"/>
    <n v="0"/>
    <m/>
    <m/>
    <s v="NA"/>
    <x v="0"/>
    <x v="0"/>
    <x v="0"/>
    <x v="2"/>
    <d v="2011-10-01T00:00:00"/>
    <m/>
    <x v="0"/>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1"/>
    <s v="MMR015"/>
    <s v="Kyaukme"/>
    <s v="MMR015D003"/>
    <x v="16"/>
    <s v="MMR015019"/>
    <s v="Urban"/>
    <s v="MMR015019701"/>
    <s v="Ward (2)"/>
    <m/>
    <x v="107"/>
    <x v="110"/>
    <x v="90"/>
    <n v="23.250678000000001"/>
    <n v="1250"/>
    <n v="38"/>
    <n v="164"/>
    <n v="4.3157894736842106"/>
    <x v="0"/>
    <x v="0"/>
    <x v="0"/>
    <x v="2"/>
    <d v="2012-04-01T00:00:00"/>
    <n v="1"/>
    <x v="1"/>
    <s v="IP"/>
    <m/>
    <d v="2015-06-25T00:00:00"/>
    <s v="25-Jun-15 Population update. Source: KBC_x000a_Changed NGCA to GCA. Source: CCCM Unit"/>
    <s v="P2"/>
    <n v="0"/>
    <m/>
    <n v="0"/>
    <s v="Manton Town"/>
    <n v="0.43878855438285824"/>
    <n v="1"/>
  </r>
  <r>
    <x v="1"/>
    <x v="1"/>
    <s v="MMR015"/>
    <s v="Kyaukme"/>
    <s v="MMR015D003"/>
    <x v="16"/>
    <s v="MMR015019"/>
    <s v="Urban"/>
    <s v="MMR015019701"/>
    <m/>
    <m/>
    <x v="108"/>
    <x v="111"/>
    <x v="91"/>
    <n v="23.24661"/>
    <n v="87.3"/>
    <n v="31"/>
    <n v="191"/>
    <n v="6.161290322580645"/>
    <x v="0"/>
    <x v="0"/>
    <x v="0"/>
    <x v="2"/>
    <m/>
    <m/>
    <x v="5"/>
    <s v="IP"/>
    <m/>
    <d v="2015-08-19T00:00:00"/>
    <s v="19-Aug-15 (Population update. Source: KMSS-LSO)_x000a_25-Jun-15 (Population update. Source: KMSS-LSO)_x000a_New Camp"/>
    <s v="P3"/>
    <n v="1"/>
    <m/>
    <n v="1"/>
    <s v="Manton Town"/>
    <n v="0.71762888500316424"/>
    <n v="1"/>
  </r>
  <r>
    <x v="1"/>
    <x v="0"/>
    <s v="MMR001"/>
    <s v="Mohnyin"/>
    <s v="MMR001D002"/>
    <x v="12"/>
    <s v="MMR001008"/>
    <s v="Nawng Kaing Htaw"/>
    <s v="MMR001008002"/>
    <s v="Ma Haung"/>
    <n v="166676"/>
    <x v="109"/>
    <x v="112"/>
    <x v="92"/>
    <n v="25.296579999999999"/>
    <n v="0"/>
    <n v="18"/>
    <n v="79"/>
    <n v="4.3888888888888893"/>
    <x v="0"/>
    <x v="0"/>
    <x v="0"/>
    <x v="2"/>
    <d v="2012-05-01T00:00:00"/>
    <n v="1"/>
    <x v="1"/>
    <s v="IP"/>
    <m/>
    <d v="2015-12-02T00:00:00"/>
    <s v="2/Dec/2015. Population update. Data source: KBC._x000a_19-Aug-15 Update population from KBC._x000a_25-Jun-2015 Update population. Data Source: KBC_x000a_Checked with KBC data"/>
    <s v="P4"/>
    <n v="8"/>
    <m/>
    <n v="8"/>
    <s v="Mogaung Town"/>
    <n v="0.71141459237180937"/>
    <n v="1"/>
  </r>
  <r>
    <x v="1"/>
    <x v="0"/>
    <s v="MMR001"/>
    <s v="Bhamo"/>
    <s v="MMR001D003"/>
    <x v="2"/>
    <s v="MMR001013"/>
    <s v="Mansi Town"/>
    <s v="MMR001013701"/>
    <s v="Kawng Yar Ward"/>
    <s v="MMR001013701504"/>
    <x v="110"/>
    <x v="113"/>
    <x v="93"/>
    <n v="24.129059999999999"/>
    <n v="0"/>
    <n v="221"/>
    <n v="1003"/>
    <n v="4.5384615384615383"/>
    <x v="0"/>
    <x v="0"/>
    <x v="0"/>
    <x v="2"/>
    <d v="2013-11-01T00:00:00"/>
    <n v="2"/>
    <x v="1"/>
    <s v="IP"/>
    <m/>
    <d v="2015-12-13T00:00:00"/>
    <s v="13/Dec/2015. Population update. Data source: Mail by Ko Maran. Reason for pop changes: Following September 2016 conflict there was sudden increase of IDP pp in Mansi and Mahkawng_x000a_2/Dec/2015. Population update. Data source: KBC._x000a_25-Jun-2015 Update population. Data Source: KBC_x000a_Population update: Source: Camp Profile Round 2."/>
    <s v="P4"/>
    <n v="116"/>
    <m/>
    <n v="116"/>
    <s v="Mansi Town"/>
    <n v="1.0576516850656514"/>
    <n v="1"/>
  </r>
  <r>
    <x v="0"/>
    <x v="0"/>
    <s v="MMR001"/>
    <s v="Mohnyin"/>
    <s v="MMR001D002"/>
    <x v="0"/>
    <s v="MMR001009"/>
    <s v="Hpakan Town"/>
    <s v="MMR001009701"/>
    <s v="Ma Shi Ka Htaung Ward"/>
    <s v="MMR001009701505"/>
    <x v="111"/>
    <x v="114"/>
    <x v="94"/>
    <n v="25.609179999999999"/>
    <m/>
    <n v="0"/>
    <n v="0"/>
    <s v="NA"/>
    <x v="0"/>
    <x v="0"/>
    <x v="0"/>
    <x v="0"/>
    <m/>
    <m/>
    <x v="0"/>
    <m/>
    <m/>
    <m/>
    <s v=" "/>
    <s v=""/>
    <n v="0"/>
    <m/>
    <n v="0"/>
    <s v=""/>
    <s v=""/>
    <s v=""/>
  </r>
  <r>
    <x v="0"/>
    <x v="0"/>
    <s v="MMR001"/>
    <s v="Mohnyin"/>
    <s v="MMR001D002"/>
    <x v="0"/>
    <s v="MMR001009"/>
    <s v="Hpakan Town"/>
    <s v="MMR001009701"/>
    <s v="Ma Shi Ka Htaung Ward"/>
    <s v="MMR001009701505"/>
    <x v="112"/>
    <x v="115"/>
    <x v="6"/>
    <m/>
    <m/>
    <n v="0"/>
    <n v="0"/>
    <s v="NA"/>
    <x v="0"/>
    <x v="0"/>
    <x v="0"/>
    <x v="0"/>
    <m/>
    <m/>
    <x v="0"/>
    <m/>
    <m/>
    <m/>
    <s v=" "/>
    <s v=""/>
    <n v="0"/>
    <m/>
    <n v="0"/>
    <s v=""/>
    <s v=""/>
    <s v=""/>
  </r>
  <r>
    <x v="0"/>
    <x v="0"/>
    <s v="MMR001"/>
    <s v="Mohnyin"/>
    <s v="MMR001D002"/>
    <x v="0"/>
    <s v="MMR001009"/>
    <s v="Hpakan Town"/>
    <s v="MMR001009701"/>
    <s v="Ma Shi Ka Htaung Ward"/>
    <s v="MMR001009701505"/>
    <x v="113"/>
    <x v="116"/>
    <x v="6"/>
    <m/>
    <m/>
    <n v="0"/>
    <n v="0"/>
    <s v="NA"/>
    <x v="0"/>
    <x v="0"/>
    <x v="0"/>
    <x v="0"/>
    <m/>
    <m/>
    <x v="0"/>
    <m/>
    <m/>
    <m/>
    <s v=" "/>
    <s v=""/>
    <n v="0"/>
    <m/>
    <n v="0"/>
    <s v=""/>
    <s v=""/>
    <s v=""/>
  </r>
  <r>
    <x v="0"/>
    <x v="0"/>
    <s v="MMR001"/>
    <s v="Mohnyin"/>
    <s v="MMR001D002"/>
    <x v="0"/>
    <s v="MMR001009"/>
    <s v="Hpakan Town"/>
    <s v="MMR001009701"/>
    <s v="Ma Shi Ka Htaung Ward"/>
    <s v="MMR001009701505"/>
    <x v="114"/>
    <x v="117"/>
    <x v="6"/>
    <m/>
    <m/>
    <n v="0"/>
    <n v="0"/>
    <s v="NA"/>
    <x v="0"/>
    <x v="0"/>
    <x v="0"/>
    <x v="0"/>
    <m/>
    <m/>
    <x v="0"/>
    <m/>
    <m/>
    <m/>
    <s v=" "/>
    <s v=""/>
    <n v="0"/>
    <m/>
    <n v="0"/>
    <s v=""/>
    <s v=""/>
    <s v=""/>
  </r>
  <r>
    <x v="0"/>
    <x v="0"/>
    <s v="MMR001"/>
    <s v="Mohnyin"/>
    <s v="MMR001D002"/>
    <x v="0"/>
    <s v="MMR001009"/>
    <s v="Hpakan Town"/>
    <s v="MMR001009701"/>
    <s v="Ma Shi Ka Htaung Ward"/>
    <s v="MMR001009701505"/>
    <x v="115"/>
    <x v="118"/>
    <x v="6"/>
    <m/>
    <m/>
    <n v="0"/>
    <n v="0"/>
    <s v="NA"/>
    <x v="0"/>
    <x v="0"/>
    <x v="0"/>
    <x v="0"/>
    <m/>
    <m/>
    <x v="0"/>
    <m/>
    <m/>
    <m/>
    <s v=" "/>
    <s v=""/>
    <n v="0"/>
    <m/>
    <n v="0"/>
    <s v=""/>
    <s v=""/>
    <s v=""/>
  </r>
  <r>
    <x v="0"/>
    <x v="0"/>
    <s v="MMR001"/>
    <s v="Mohnyin"/>
    <s v="MMR001D002"/>
    <x v="0"/>
    <s v="MMR001009"/>
    <s v="Hpakan Town"/>
    <s v="MMR001009701"/>
    <s v="Ma Shi Ka Htaung Ward"/>
    <s v="MMR001009701505"/>
    <x v="116"/>
    <x v="119"/>
    <x v="6"/>
    <m/>
    <m/>
    <n v="0"/>
    <n v="0"/>
    <s v="NA"/>
    <x v="0"/>
    <x v="0"/>
    <x v="0"/>
    <x v="0"/>
    <m/>
    <m/>
    <x v="0"/>
    <m/>
    <m/>
    <m/>
    <s v=" "/>
    <s v=""/>
    <n v="0"/>
    <m/>
    <n v="0"/>
    <s v=""/>
    <s v=""/>
    <s v=""/>
  </r>
  <r>
    <x v="0"/>
    <x v="0"/>
    <s v="MMR001"/>
    <s v="Mohnyin"/>
    <s v="MMR001D002"/>
    <x v="0"/>
    <s v="MMR001009"/>
    <s v="Hpakan Town"/>
    <s v="MMR001009701"/>
    <s v="Ma Shi Ka Htaung Ward"/>
    <s v="MMR001009701505"/>
    <x v="117"/>
    <x v="120"/>
    <x v="6"/>
    <m/>
    <m/>
    <n v="0"/>
    <n v="0"/>
    <s v="NA"/>
    <x v="0"/>
    <x v="0"/>
    <x v="0"/>
    <x v="0"/>
    <m/>
    <m/>
    <x v="0"/>
    <m/>
    <m/>
    <m/>
    <s v=" "/>
    <s v=""/>
    <n v="0"/>
    <m/>
    <n v="0"/>
    <s v=""/>
    <s v=""/>
    <s v=""/>
  </r>
  <r>
    <x v="0"/>
    <x v="0"/>
    <s v="MMR001"/>
    <s v="Mohnyin"/>
    <s v="MMR001D002"/>
    <x v="0"/>
    <s v="MMR001009"/>
    <s v="Hpakan Town"/>
    <s v="MMR001009701"/>
    <s v="Ma Shi Ka Htaung Ward"/>
    <s v="MMR001009701505"/>
    <x v="118"/>
    <x v="121"/>
    <x v="6"/>
    <m/>
    <m/>
    <n v="0"/>
    <n v="0"/>
    <s v="NA"/>
    <x v="0"/>
    <x v="0"/>
    <x v="0"/>
    <x v="0"/>
    <m/>
    <m/>
    <x v="0"/>
    <m/>
    <m/>
    <m/>
    <s v=" "/>
    <s v=""/>
    <n v="0"/>
    <m/>
    <n v="0"/>
    <s v=""/>
    <s v=""/>
    <s v=""/>
  </r>
  <r>
    <x v="1"/>
    <x v="0"/>
    <s v="MMR001"/>
    <s v="Myitkyina"/>
    <s v="MMR001D001"/>
    <x v="6"/>
    <s v="MMR001001"/>
    <s v="Maw Hpawng"/>
    <s v="MMR001001007"/>
    <s v="Maw Hpawng"/>
    <n v="165698"/>
    <x v="119"/>
    <x v="122"/>
    <x v="95"/>
    <n v="25.374343974359"/>
    <n v="0"/>
    <n v="22"/>
    <n v="103"/>
    <n v="4.6818181818181817"/>
    <x v="0"/>
    <x v="0"/>
    <x v="0"/>
    <x v="1"/>
    <d v="2011-10-01T00:00:00"/>
    <n v="1"/>
    <x v="4"/>
    <s v="IP"/>
    <m/>
    <d v="2015-11-09T00:00:00"/>
    <s v="9/Nov/15. Population Upate. Data source: monthly report by HAP._x000a_19-Aug-15 Population update. Source: Shalom_x000a_25-Jun-15 Population update. Source : Shalom._x000a_Population update: Source: Camp Profile Round 2."/>
    <s v="P4"/>
    <n v="0"/>
    <m/>
    <n v="0"/>
    <s v="Myitkyina Town"/>
    <n v="10.744749696609457"/>
    <n v="3"/>
  </r>
  <r>
    <x v="1"/>
    <x v="0"/>
    <s v="MMR001"/>
    <s v="Myitkyina"/>
    <s v="MMR001D001"/>
    <x v="6"/>
    <s v="MMR001001"/>
    <s v="Maw Hpawng"/>
    <s v="MMR001001007"/>
    <s v="Maw Hpawng"/>
    <n v="165698"/>
    <x v="120"/>
    <x v="123"/>
    <x v="96"/>
    <n v="25.371049444444399"/>
    <n v="476"/>
    <n v="14"/>
    <n v="73"/>
    <n v="5.2142857142857144"/>
    <x v="0"/>
    <x v="0"/>
    <x v="0"/>
    <x v="1"/>
    <d v="2011-10-01T00:00:00"/>
    <n v="1"/>
    <x v="4"/>
    <s v="IP"/>
    <m/>
    <d v="2015-06-25T00:00:00"/>
    <s v="25-Jun-15 Population update. Source : Shalom._x000a_Population update: Source: Camp Profile Round 2."/>
    <s v="P4"/>
    <n v="0"/>
    <m/>
    <n v="0"/>
    <s v="Myitkyina Town"/>
    <n v="10.15228229456989"/>
    <n v="3"/>
  </r>
  <r>
    <x v="0"/>
    <x v="0"/>
    <s v="MMR001"/>
    <s v="Mohnyin"/>
    <s v="MMR001D002"/>
    <x v="0"/>
    <s v="MMR001009"/>
    <m/>
    <m/>
    <m/>
    <m/>
    <x v="121"/>
    <x v="124"/>
    <x v="97"/>
    <n v="25.6447"/>
    <m/>
    <n v="0"/>
    <n v="0"/>
    <s v="NA"/>
    <x v="0"/>
    <x v="0"/>
    <x v="0"/>
    <x v="0"/>
    <m/>
    <m/>
    <x v="0"/>
    <m/>
    <m/>
    <m/>
    <s v=" "/>
    <s v=""/>
    <n v="0"/>
    <m/>
    <n v="0"/>
    <s v=""/>
    <s v=""/>
    <s v=""/>
  </r>
  <r>
    <x v="0"/>
    <x v="0"/>
    <s v="MMR001"/>
    <s v="Mohnyin"/>
    <s v="MMR001D002"/>
    <x v="0"/>
    <s v="MMR001009"/>
    <s v="Hpakan Town"/>
    <s v="MMR001009701"/>
    <s v="Maw Wam Ward"/>
    <s v="MMR001009701501"/>
    <x v="122"/>
    <x v="125"/>
    <x v="6"/>
    <m/>
    <m/>
    <n v="0"/>
    <n v="0"/>
    <s v="NA"/>
    <x v="0"/>
    <x v="0"/>
    <x v="0"/>
    <x v="0"/>
    <m/>
    <m/>
    <x v="0"/>
    <m/>
    <m/>
    <m/>
    <s v=" "/>
    <s v=""/>
    <n v="0"/>
    <m/>
    <n v="0"/>
    <s v=""/>
    <s v=""/>
    <s v=""/>
  </r>
  <r>
    <x v="0"/>
    <x v="0"/>
    <s v="MMR001"/>
    <s v="Mohnyin"/>
    <s v="MMR001D002"/>
    <x v="0"/>
    <s v="MMR001009"/>
    <s v="Hpakan Town"/>
    <s v="MMR001009701"/>
    <s v="Maw Wam Ward"/>
    <s v="MMR001009701501"/>
    <x v="123"/>
    <x v="126"/>
    <x v="98"/>
    <n v="25.619221"/>
    <m/>
    <n v="0"/>
    <n v="0"/>
    <s v="NA"/>
    <x v="0"/>
    <x v="0"/>
    <x v="0"/>
    <x v="0"/>
    <m/>
    <m/>
    <x v="0"/>
    <m/>
    <m/>
    <m/>
    <s v=" "/>
    <s v=""/>
    <n v="0"/>
    <m/>
    <n v="0"/>
    <s v=""/>
    <s v=""/>
    <s v=""/>
  </r>
  <r>
    <x v="0"/>
    <x v="0"/>
    <s v="MMR001"/>
    <s v="Mohnyin"/>
    <s v="MMR001D002"/>
    <x v="0"/>
    <s v="MMR001009"/>
    <s v="Hpakan Town"/>
    <s v="MMR001009701"/>
    <s v="Maw Wam Ward"/>
    <s v="MMR001009701501"/>
    <x v="124"/>
    <x v="127"/>
    <x v="6"/>
    <m/>
    <m/>
    <n v="0"/>
    <n v="0"/>
    <s v="NA"/>
    <x v="0"/>
    <x v="0"/>
    <x v="0"/>
    <x v="0"/>
    <m/>
    <m/>
    <x v="0"/>
    <m/>
    <m/>
    <m/>
    <s v=" "/>
    <s v=""/>
    <n v="0"/>
    <m/>
    <n v="0"/>
    <s v=""/>
    <s v=""/>
    <s v=""/>
  </r>
  <r>
    <x v="1"/>
    <x v="0"/>
    <s v="MMR001"/>
    <s v="Mohnyin"/>
    <s v="MMR001D002"/>
    <x v="0"/>
    <s v="MMR001009"/>
    <s v="Hpakan Town"/>
    <s v="MMR001009701"/>
    <s v="Maw Wam Ward"/>
    <s v="MMR001009701501"/>
    <x v="125"/>
    <x v="128"/>
    <x v="99"/>
    <n v="25.6145"/>
    <n v="65"/>
    <n v="5"/>
    <n v="26"/>
    <n v="5.2"/>
    <x v="0"/>
    <x v="0"/>
    <x v="0"/>
    <x v="2"/>
    <d v="2012-08-01T00:00:00"/>
    <n v="1"/>
    <x v="4"/>
    <s v="IP"/>
    <m/>
    <d v="2015-06-25T00:00:00"/>
    <s v="25-Jun-15 (Population update. Source : Shalom)_x000a_Population update: Source: Camp Profile Round 2."/>
    <s v="P4"/>
    <n v="0"/>
    <m/>
    <n v="0"/>
    <s v="Hpakant Town"/>
    <n v="0.79577754007276646"/>
    <n v="1"/>
  </r>
  <r>
    <x v="0"/>
    <x v="0"/>
    <s v="MMR001"/>
    <s v="Mohnyin"/>
    <s v="MMR001D002"/>
    <x v="0"/>
    <s v="MMR001009"/>
    <s v="Hpakan Town"/>
    <s v="MMR001009701"/>
    <s v="Maw Wam Ward"/>
    <s v="MMR001009701501"/>
    <x v="126"/>
    <x v="129"/>
    <x v="6"/>
    <m/>
    <m/>
    <n v="0"/>
    <n v="0"/>
    <s v="NA"/>
    <x v="0"/>
    <x v="0"/>
    <x v="0"/>
    <x v="0"/>
    <m/>
    <m/>
    <x v="0"/>
    <m/>
    <m/>
    <m/>
    <s v=" "/>
    <s v=""/>
    <n v="0"/>
    <m/>
    <n v="0"/>
    <s v=""/>
    <s v=""/>
    <s v=""/>
  </r>
  <r>
    <x v="0"/>
    <x v="0"/>
    <s v="MMR001"/>
    <s v="Mohnyin"/>
    <s v="MMR001D002"/>
    <x v="0"/>
    <s v="MMR001009"/>
    <s v="Lone Khin"/>
    <s v="MMR001009001"/>
    <s v="Lone Khin"/>
    <n v="166773"/>
    <x v="127"/>
    <x v="130"/>
    <x v="100"/>
    <n v="25.651440000000001"/>
    <m/>
    <n v="0"/>
    <n v="0"/>
    <s v="NA"/>
    <x v="0"/>
    <x v="0"/>
    <x v="0"/>
    <x v="0"/>
    <m/>
    <m/>
    <x v="0"/>
    <m/>
    <m/>
    <m/>
    <s v=" "/>
    <s v=""/>
    <n v="0"/>
    <m/>
    <n v="0"/>
    <s v=""/>
    <s v=""/>
    <s v=""/>
  </r>
  <r>
    <x v="1"/>
    <x v="1"/>
    <s v="MMR015"/>
    <s v="Muse"/>
    <s v="MMR015D002"/>
    <x v="7"/>
    <s v="MMR015011"/>
    <s v="Mong Yu"/>
    <s v="MMR015011030"/>
    <s v="Mong Yu"/>
    <m/>
    <x v="128"/>
    <x v="131"/>
    <x v="101"/>
    <n v="23.588920000000002"/>
    <n v="1012.5"/>
    <n v="79"/>
    <n v="318"/>
    <n v="4.0253164556962027"/>
    <x v="0"/>
    <x v="0"/>
    <x v="0"/>
    <x v="1"/>
    <d v="2013-01-01T00:00:00"/>
    <n v="2"/>
    <x v="1"/>
    <s v="IP"/>
    <m/>
    <d v="2015-12-02T00:00:00"/>
    <s v="2/Dec/2015. Population update. Data source: KBC_x000a_25-Jun-15 Population update. Source: KBC_x000a_Update population. Source: Camp Profile."/>
    <s v="P3"/>
    <n v="16"/>
    <m/>
    <n v="16"/>
    <s v="Kutkai Town"/>
    <n v="21.050742639251741"/>
    <n v="5"/>
  </r>
  <r>
    <x v="1"/>
    <x v="0"/>
    <s v="MMR001"/>
    <s v="Mohnyin"/>
    <s v="MMR001D002"/>
    <x v="8"/>
    <s v="MMR001007"/>
    <s v="Mohnyin Town"/>
    <s v="MMR001007701"/>
    <m/>
    <m/>
    <x v="129"/>
    <x v="132"/>
    <x v="102"/>
    <n v="24.764959999999999"/>
    <m/>
    <n v="18"/>
    <n v="74"/>
    <n v="4.1111111111111107"/>
    <x v="0"/>
    <x v="0"/>
    <x v="1"/>
    <x v="0"/>
    <m/>
    <m/>
    <x v="0"/>
    <s v="IP"/>
    <m/>
    <d v="2015-11-09T00:00:00"/>
    <s v="9/Nov/15. Population update. Data source: mail from Pancy (WFP)._x000a_19-Mar-2015 (WFP has been providing this host families since 2013.)"/>
    <m/>
    <n v="0"/>
    <m/>
    <n v="0"/>
    <s v=""/>
    <s v=""/>
    <s v=""/>
  </r>
  <r>
    <x v="0"/>
    <x v="0"/>
    <s v="MMR001"/>
    <s v="Myitkyina"/>
    <s v="MMR001D001"/>
    <x v="3"/>
    <s v="MMR001002"/>
    <s v="Hkat Shu"/>
    <s v="MMR001002003"/>
    <s v="Hkat Shu"/>
    <n v="165735"/>
    <x v="130"/>
    <x v="133"/>
    <x v="103"/>
    <n v="25.328987000000001"/>
    <m/>
    <n v="0"/>
    <n v="0"/>
    <s v="NA"/>
    <x v="0"/>
    <x v="0"/>
    <x v="0"/>
    <x v="0"/>
    <m/>
    <m/>
    <x v="0"/>
    <m/>
    <m/>
    <m/>
    <s v=" "/>
    <s v=""/>
    <n v="0"/>
    <m/>
    <n v="0"/>
    <s v=""/>
    <s v=""/>
    <s v=""/>
  </r>
  <r>
    <x v="1"/>
    <x v="0"/>
    <s v="MMR001"/>
    <s v="Bhamo"/>
    <s v="MMR001D003"/>
    <x v="5"/>
    <s v="MMR001012"/>
    <s v="Momauk Town"/>
    <s v="MMR001012701"/>
    <s v="Ah Lin Kawng Ward"/>
    <s v="MMR001012701502"/>
    <x v="131"/>
    <x v="134"/>
    <x v="104"/>
    <n v="24.250689999999999"/>
    <n v="0"/>
    <n v="207"/>
    <n v="1863"/>
    <n v="9"/>
    <x v="0"/>
    <x v="0"/>
    <x v="0"/>
    <x v="2"/>
    <d v="2011-06-01T00:00:00"/>
    <n v="3"/>
    <x v="1"/>
    <s v="IP"/>
    <m/>
    <d v="2015-12-02T00:00:00"/>
    <s v="2/Dec/2015. Population update. Data source: KBC_x000a_25-Jun-2015 Update population. Data Source: KBC_x000a_Population update: Source: Camp Profile Round 2."/>
    <s v="P4"/>
    <n v="0"/>
    <m/>
    <n v="0"/>
    <s v="Momauk Town"/>
    <n v="0.62513510418653162"/>
    <n v="1"/>
  </r>
  <r>
    <x v="0"/>
    <x v="0"/>
    <s v="MMR001"/>
    <s v="Bhamo"/>
    <s v="MMR001D003"/>
    <x v="5"/>
    <s v="MMR001012"/>
    <s v="Momauk Town"/>
    <s v="MMR001012701"/>
    <s v="Kyay Nan Waing Ward"/>
    <s v="MMR001012701503"/>
    <x v="132"/>
    <x v="135"/>
    <x v="105"/>
    <n v="24.25177"/>
    <n v="0"/>
    <m/>
    <m/>
    <s v="NA"/>
    <x v="0"/>
    <x v="0"/>
    <x v="0"/>
    <x v="2"/>
    <d v="2011-08-01T00:00:00"/>
    <n v="2"/>
    <x v="3"/>
    <s v="IP"/>
    <m/>
    <d v="2014-11-28T00:00:00"/>
    <s v="Closed. Population relocated to Man Bung Catholic Compound (MMR001CMP062)"/>
    <s v="P4"/>
    <n v="0"/>
    <m/>
    <n v="0"/>
    <s v=""/>
    <s v=""/>
    <s v=""/>
  </r>
  <r>
    <x v="1"/>
    <x v="1"/>
    <s v="MMR015"/>
    <s v="Muse"/>
    <s v="MMR015D002"/>
    <x v="10"/>
    <s v="MMR015009"/>
    <s v="Man Gyat (Monekoe Sub-township)"/>
    <s v="MMR015009048"/>
    <s v="Gwum Hsan"/>
    <m/>
    <x v="133"/>
    <x v="136"/>
    <x v="106"/>
    <n v="24.101320999999999"/>
    <n v="2979"/>
    <n v="9"/>
    <n v="52"/>
    <n v="5.7777777777777777"/>
    <x v="1"/>
    <x v="0"/>
    <x v="0"/>
    <x v="2"/>
    <d v="2012-07-01T00:00:00"/>
    <n v="1"/>
    <x v="1"/>
    <s v="IP"/>
    <m/>
    <d v="2015-12-02T00:00:00"/>
    <s v="2/Dec/2015. Population update. Data source: KBC_x000a_25-Jun-15 Population update. Source: KBC_x000a_Update population. Source: Camp Profile."/>
    <s v="P1"/>
    <n v="9"/>
    <m/>
    <n v="9"/>
    <s v="Monekoe Town"/>
    <n v="1.789574394782699"/>
    <n v="1"/>
  </r>
  <r>
    <x v="1"/>
    <x v="1"/>
    <s v="MMR015"/>
    <s v="Muse"/>
    <s v="MMR015D002"/>
    <x v="10"/>
    <s v="MMR015009"/>
    <s v="Mung Baw "/>
    <s v="MMR015009013"/>
    <s v="Mung Baw "/>
    <m/>
    <x v="134"/>
    <x v="137"/>
    <x v="107"/>
    <n v="24.008452999999999"/>
    <n v="3396"/>
    <n v="123"/>
    <n v="503"/>
    <n v="4.0894308943089435"/>
    <x v="1"/>
    <x v="0"/>
    <x v="1"/>
    <x v="1"/>
    <m/>
    <m/>
    <x v="0"/>
    <s v="IRRC"/>
    <m/>
    <d v="2014-03-03T00:00:00"/>
    <s v="Change to Host Families."/>
    <s v="P1"/>
    <n v="0"/>
    <m/>
    <n v="0"/>
    <s v="Pang Hseng (Kyu Koke) Town"/>
    <n v="7.490291417449443"/>
    <n v="2"/>
  </r>
  <r>
    <x v="0"/>
    <x v="0"/>
    <s v="MMR001"/>
    <s v="Bhamo"/>
    <s v="MMR001D003"/>
    <x v="2"/>
    <s v="MMR001013"/>
    <s v="Mung Ding Pa"/>
    <s v="MMR001013038"/>
    <s v="Mung Ding Pa"/>
    <n v="167495"/>
    <x v="135"/>
    <x v="138"/>
    <x v="108"/>
    <n v="23.867000000000001"/>
    <m/>
    <n v="0"/>
    <n v="0"/>
    <s v="NA"/>
    <x v="1"/>
    <x v="0"/>
    <x v="0"/>
    <x v="0"/>
    <m/>
    <m/>
    <x v="0"/>
    <m/>
    <m/>
    <d v="2014-03-03T00:00:00"/>
    <s v="Closed. Same with (Namhkan St. Thomas 1)"/>
    <s v=""/>
    <n v="0"/>
    <m/>
    <n v="0"/>
    <s v=""/>
    <s v=""/>
    <s v=""/>
  </r>
  <r>
    <x v="0"/>
    <x v="0"/>
    <s v="MMR001"/>
    <s v="Bhamo"/>
    <s v="MMR001D003"/>
    <x v="2"/>
    <s v="MMR001013"/>
    <s v="Mung Ding Pa"/>
    <s v="MMR001013038"/>
    <m/>
    <m/>
    <x v="136"/>
    <x v="139"/>
    <x v="109"/>
    <n v="24.20645"/>
    <n v="781.8"/>
    <n v="0"/>
    <n v="0"/>
    <s v="NA"/>
    <x v="1"/>
    <x v="0"/>
    <x v="0"/>
    <x v="1"/>
    <d v="2012-07-01T00:00:00"/>
    <m/>
    <x v="0"/>
    <s v="IP"/>
    <m/>
    <d v="2014-01-22T00:00:00"/>
    <s v="Closed: Source UNHCR-Bhamo"/>
    <s v=""/>
    <n v="0"/>
    <m/>
    <n v="0"/>
    <s v=""/>
    <s v=""/>
    <s v=""/>
  </r>
  <r>
    <x v="1"/>
    <x v="1"/>
    <s v="MMR015"/>
    <s v="Muse"/>
    <s v="MMR015D002"/>
    <x v="7"/>
    <s v="MMR015011"/>
    <s v="Long Waun Nam Rein (Tarmoenye Sub-township)"/>
    <s v="MMR015011050"/>
    <s v="Mai Pong (Shu See)"/>
    <m/>
    <x v="137"/>
    <x v="140"/>
    <x v="110"/>
    <n v="23.400155999999999"/>
    <n v="3109"/>
    <n v="51"/>
    <n v="261"/>
    <n v="5.117647058823529"/>
    <x v="0"/>
    <x v="0"/>
    <x v="0"/>
    <x v="1"/>
    <d v="2011-09-01T00:00:00"/>
    <n v="1"/>
    <x v="1"/>
    <s v="IP"/>
    <m/>
    <d v="2015-12-02T00:00:00"/>
    <s v="2/Dec/2015. Population update. Data source: KBC_x000a_25-Jun-15 Population update. Source: KBC_x000a_27-Mar-15 (Changed to GCA. Source UNHCR-Bhamo)_x000a_Update population. Source: Camp Profile."/>
    <s v="P1"/>
    <n v="46"/>
    <m/>
    <n v="46"/>
    <s v="Tarmoenye Town"/>
    <n v="23.172399462804503"/>
    <n v="5"/>
  </r>
  <r>
    <x v="1"/>
    <x v="1"/>
    <s v="MMR015"/>
    <s v="Muse"/>
    <s v="MMR015D002"/>
    <x v="7"/>
    <s v="MMR015011"/>
    <s v="Long Waun Nam Rein (Tarmoenye Sub-township)"/>
    <s v="MMR015011050"/>
    <s v="Mai Pong (Shu See)"/>
    <m/>
    <x v="138"/>
    <x v="141"/>
    <x v="6"/>
    <m/>
    <m/>
    <n v="21"/>
    <n v="107"/>
    <n v="5.0952380952380949"/>
    <x v="0"/>
    <x v="0"/>
    <x v="0"/>
    <x v="1"/>
    <m/>
    <m/>
    <x v="5"/>
    <s v="IP"/>
    <m/>
    <d v="2015-08-19T00:00:00"/>
    <s v="19-Aug-15 (Population update. Source KMSS-LSO)_x000a_25-Jun-15 (Population update. Source KMSS-LSO)_x000a_27-Mar-15 (Changed to GCA. Source UNHCR-Bhamo)_x000a_New camp. Source: KMSS-BMO"/>
    <m/>
    <n v="21"/>
    <m/>
    <n v="21"/>
    <s v=""/>
    <s v=""/>
    <s v=""/>
  </r>
  <r>
    <x v="0"/>
    <x v="1"/>
    <s v="MMR015"/>
    <s v="Muse"/>
    <s v="MMR015D002"/>
    <x v="7"/>
    <s v="MMR015011"/>
    <s v="Long Waun Nam Rein (Tarmoenye Sub-township)"/>
    <s v="MMR015011050"/>
    <s v="Mai Pong (Shu See)"/>
    <m/>
    <x v="139"/>
    <x v="142"/>
    <x v="111"/>
    <n v="23.391741"/>
    <n v="0"/>
    <n v="0"/>
    <n v="0"/>
    <s v="NA"/>
    <x v="0"/>
    <x v="0"/>
    <x v="0"/>
    <x v="1"/>
    <d v="2011-09-01T00:00:00"/>
    <m/>
    <x v="0"/>
    <s v="IP"/>
    <m/>
    <d v="2014-03-03T00:00:00"/>
    <s v="Close. Same with Kutkai Down Town RC. Source UNHCR Bhamo"/>
    <s v=""/>
    <n v="0"/>
    <m/>
    <n v="0"/>
    <s v=""/>
    <s v=""/>
    <s v=""/>
  </r>
  <r>
    <x v="0"/>
    <x v="0"/>
    <s v="MMR001"/>
    <s v="Mohnyin"/>
    <s v="MMR001D002"/>
    <x v="0"/>
    <s v="MMR001009"/>
    <s v="Lone Khin"/>
    <s v="MMR001009001"/>
    <s v="Lone Khin"/>
    <n v="166773"/>
    <x v="140"/>
    <x v="143"/>
    <x v="112"/>
    <n v="25.658670000000001"/>
    <n v="0"/>
    <n v="0"/>
    <n v="0"/>
    <s v="NA"/>
    <x v="0"/>
    <x v="0"/>
    <x v="0"/>
    <x v="1"/>
    <d v="2013-01-01T00:00:00"/>
    <m/>
    <x v="0"/>
    <s v="RRD"/>
    <m/>
    <d v="2014-05-15T00:00:00"/>
    <s v="Closed."/>
    <s v=""/>
    <n v="0"/>
    <m/>
    <n v="0"/>
    <s v=""/>
    <s v=""/>
    <s v=""/>
  </r>
  <r>
    <x v="1"/>
    <x v="1"/>
    <s v="MMR015"/>
    <s v="Muse"/>
    <s v="MMR015D002"/>
    <x v="10"/>
    <s v="MMR015009"/>
    <s v="Muse Town"/>
    <s v="MMR015009701"/>
    <s v="Ho Mun Ward"/>
    <s v="MMR015009701504"/>
    <x v="141"/>
    <x v="144"/>
    <x v="113"/>
    <n v="24.006319999999999"/>
    <n v="812.7"/>
    <n v="55"/>
    <n v="237"/>
    <n v="4.3090909090909095"/>
    <x v="0"/>
    <x v="0"/>
    <x v="0"/>
    <x v="2"/>
    <d v="2014-03-05T00:00:00"/>
    <m/>
    <x v="1"/>
    <s v="IP"/>
    <m/>
    <d v="2015-12-02T00:00:00"/>
    <s v="2/Dec/2015. Population update. Data source: KBC_x000a_25-Jun-15 Population update. Source: KBC_x000a_New camp."/>
    <s v="P4"/>
    <n v="11"/>
    <m/>
    <n v="11"/>
    <s v="Muse Town"/>
    <n v="1.989668595899414"/>
    <n v="1"/>
  </r>
  <r>
    <x v="1"/>
    <x v="1"/>
    <s v="MMR015"/>
    <s v="Muse"/>
    <s v="MMR015D002"/>
    <x v="10"/>
    <s v="MMR015009"/>
    <s v="Muse Town"/>
    <s v="MMR015009701"/>
    <s v="Ho Mun Ward"/>
    <s v="MMR015009701504"/>
    <x v="142"/>
    <x v="145"/>
    <x v="114"/>
    <n v="24.006789000000001"/>
    <n v="814"/>
    <n v="30"/>
    <n v="188"/>
    <n v="6.2666666666666666"/>
    <x v="0"/>
    <x v="0"/>
    <x v="0"/>
    <x v="2"/>
    <d v="2014-04-05T00:00:00"/>
    <m/>
    <x v="5"/>
    <s v="IP"/>
    <m/>
    <d v="2015-08-19T00:00:00"/>
    <s v="19-Aug-15 (Population update. Source: MKSS-LSO)_x000a_25-Jun-15 (Population update. Source: KMSS-LSO)_x000a_Population Update. Source: Save The Children."/>
    <s v="P4"/>
    <n v="0"/>
    <m/>
    <n v="0"/>
    <s v="Muse Town"/>
    <n v="2.1362355825722226"/>
    <n v="1"/>
  </r>
  <r>
    <x v="1"/>
    <x v="0"/>
    <s v="MMR001"/>
    <s v="Bhamo"/>
    <s v="MMR001D003"/>
    <x v="1"/>
    <s v="MMR001010"/>
    <s v="Bhamo Town"/>
    <s v="MMR001010701"/>
    <s v="Pauk Kone Ward"/>
    <s v="MMR001010701506"/>
    <x v="143"/>
    <x v="146"/>
    <x v="115"/>
    <n v="24.253067000000001"/>
    <n v="0"/>
    <n v="23"/>
    <n v="86"/>
    <n v="3.7391304347826089"/>
    <x v="0"/>
    <x v="0"/>
    <x v="0"/>
    <x v="2"/>
    <d v="2012-10-01T00:00:00"/>
    <n v="1"/>
    <x v="4"/>
    <s v="IP"/>
    <m/>
    <d v="2015-11-09T00:00:00"/>
    <s v="9/Nov/15. Population update. Data source: monthly report by HAP._x000a_19-Aug-15 Population update. Source Shalom._x000a_25-Jun-15 Population update. Source Shalom_x000a_Population update: Source: Camp Profile Round 2."/>
    <s v="P4"/>
    <n v="5"/>
    <m/>
    <n v="5"/>
    <s v="Bhamo Town"/>
    <n v="0.20824727902294948"/>
    <n v="1"/>
  </r>
  <r>
    <x v="0"/>
    <x v="0"/>
    <s v="MMR001"/>
    <s v="Myitkyina"/>
    <s v="MMR001D001"/>
    <x v="6"/>
    <s v="MMR001001"/>
    <s v="Myitkyina Town"/>
    <s v="MMR001001701"/>
    <s v="Myay Myint Ward"/>
    <s v="MMR001001701517"/>
    <x v="144"/>
    <x v="147"/>
    <x v="116"/>
    <n v="25.387862999999999"/>
    <n v="0"/>
    <n v="0"/>
    <n v="0"/>
    <s v="NA"/>
    <x v="0"/>
    <x v="0"/>
    <x v="0"/>
    <x v="2"/>
    <d v="2011-10-01T00:00:00"/>
    <n v="1"/>
    <x v="4"/>
    <s v="IP"/>
    <m/>
    <d v="2015-06-25T00:00:00"/>
    <s v="25-Jun-15 Relocate to Shatapru Thida Aye Baptist Church_x000a_Population update: Source: Camp Profile Round 2."/>
    <s v="P4"/>
    <n v="0"/>
    <m/>
    <n v="0"/>
    <s v="Myitkyina Town"/>
    <n v="1.3751794210741128"/>
    <n v="1"/>
  </r>
  <r>
    <x v="1"/>
    <x v="0"/>
    <s v="MMR001"/>
    <s v="Bhamo"/>
    <s v="MMR001D003"/>
    <x v="5"/>
    <s v="MMR001012"/>
    <s v="Myo Thit"/>
    <s v="MMR001012010"/>
    <s v="Myo Thit"/>
    <n v="167048"/>
    <x v="145"/>
    <x v="148"/>
    <x v="117"/>
    <n v="24.404876999999999"/>
    <m/>
    <n v="13"/>
    <n v="53"/>
    <n v="4.0769230769230766"/>
    <x v="0"/>
    <x v="0"/>
    <x v="1"/>
    <x v="1"/>
    <m/>
    <m/>
    <x v="0"/>
    <s v="RRD"/>
    <m/>
    <d v="2014-06-13T00:00:00"/>
    <s v="Geo-Info, HH/Pop data was updated from Google Earth."/>
    <s v="P4"/>
    <n v="0"/>
    <m/>
    <n v="0"/>
    <s v="Momauk Town"/>
    <n v="17.689123339899055"/>
    <n v="4"/>
  </r>
  <r>
    <x v="0"/>
    <x v="0"/>
    <s v="MMR001"/>
    <s v="Bhamo"/>
    <s v="MMR001D003"/>
    <x v="2"/>
    <s v="MMR001013"/>
    <s v="Man Wein"/>
    <s v="MMR001013021"/>
    <m/>
    <m/>
    <x v="146"/>
    <x v="149"/>
    <x v="6"/>
    <m/>
    <m/>
    <n v="0"/>
    <n v="0"/>
    <s v="NA"/>
    <x v="1"/>
    <x v="0"/>
    <x v="0"/>
    <x v="0"/>
    <m/>
    <m/>
    <x v="0"/>
    <s v="IP"/>
    <m/>
    <d v="2014-04-08T00:00:00"/>
    <s v="Closed. Move to Bum Tist Pa II and Man Wing. HH113/Pop837"/>
    <s v=""/>
    <n v="0"/>
    <m/>
    <n v="0"/>
    <s v=""/>
    <s v=""/>
    <s v=""/>
  </r>
  <r>
    <x v="1"/>
    <x v="1"/>
    <s v="MMR015"/>
    <s v="Muse"/>
    <s v="MMR015D002"/>
    <x v="17"/>
    <s v="MMR015010"/>
    <s v="Nawng Hkam"/>
    <s v="MMR015010010"/>
    <s v="Nawng Hkam"/>
    <n v="208353"/>
    <x v="147"/>
    <x v="150"/>
    <x v="118"/>
    <n v="23.821380000000001"/>
    <n v="811.6"/>
    <n v="82"/>
    <n v="408"/>
    <n v="4.975609756097561"/>
    <x v="0"/>
    <x v="0"/>
    <x v="0"/>
    <x v="2"/>
    <d v="2013-12-01T00:00:00"/>
    <n v="2"/>
    <x v="1"/>
    <s v="IP"/>
    <m/>
    <d v="2015-12-02T00:00:00"/>
    <s v="2/Dec/2015. Population update. Data source: KBC_x000a_25-Jun-15 Population update. Source: KBC_x000a_Population Update. Source: Save The Children."/>
    <s v="P3"/>
    <n v="0"/>
    <m/>
    <n v="0"/>
    <s v="Namhkan Town"/>
    <n v="1.7369508287203668"/>
    <n v="1"/>
  </r>
  <r>
    <x v="1"/>
    <x v="1"/>
    <s v="MMR015"/>
    <s v="Muse"/>
    <s v="MMR015D002"/>
    <x v="17"/>
    <s v="MMR015010"/>
    <s v="Nawng Hkam"/>
    <s v="MMR015010010"/>
    <s v="Nawng Hkam"/>
    <n v="208353"/>
    <x v="148"/>
    <x v="151"/>
    <x v="119"/>
    <n v="23.828520000000001"/>
    <n v="740"/>
    <n v="68"/>
    <n v="376"/>
    <n v="5.5294117647058822"/>
    <x v="0"/>
    <x v="0"/>
    <x v="0"/>
    <x v="2"/>
    <d v="2011-12-01T00:00:00"/>
    <n v="2"/>
    <x v="1"/>
    <s v="IP"/>
    <m/>
    <d v="2015-12-02T00:00:00"/>
    <s v="2/Dec/2015. Population update. Data source: KBC_x000a_25-Jun-15 Population update. Source: KBC_x000a_Population Update. Source: Save The Children."/>
    <s v="P3"/>
    <n v="38"/>
    <m/>
    <n v="38"/>
    <s v="Namhkan Town"/>
    <n v="1.5619149693996526"/>
    <n v="1"/>
  </r>
  <r>
    <x v="1"/>
    <x v="1"/>
    <s v="MMR015"/>
    <s v="Muse"/>
    <s v="MMR015D002"/>
    <x v="17"/>
    <s v="MMR015010"/>
    <s v="Nawng Hkam"/>
    <s v="MMR015010010"/>
    <s v="Nawng Hkam"/>
    <n v="208353"/>
    <x v="149"/>
    <x v="152"/>
    <x v="120"/>
    <n v="23.841646999999998"/>
    <n v="798"/>
    <n v="41"/>
    <n v="225"/>
    <n v="5.4878048780487809"/>
    <x v="0"/>
    <x v="0"/>
    <x v="0"/>
    <x v="2"/>
    <d v="2014-11-04T00:00:00"/>
    <m/>
    <x v="1"/>
    <s v="IP"/>
    <m/>
    <d v="2015-12-02T00:00:00"/>
    <s v="2/Dec/2015. Population update. Data source: KBC_x000a_25-Jun-15 Population update. Source: KBC_x000a_Population Update. Source: Save The Children."/>
    <s v="P4"/>
    <n v="29"/>
    <m/>
    <n v="29"/>
    <s v="Namhkan Town"/>
    <n v="2.0141034419413328"/>
    <n v="1"/>
  </r>
  <r>
    <x v="1"/>
    <x v="1"/>
    <s v="MMR015"/>
    <s v="Muse"/>
    <s v="MMR015D002"/>
    <x v="17"/>
    <s v="MMR015010"/>
    <s v="Nawng Hkam"/>
    <s v="MMR015010010"/>
    <s v="Nawng Hkam"/>
    <n v="208353"/>
    <x v="150"/>
    <x v="153"/>
    <x v="121"/>
    <n v="23.828150000000001"/>
    <n v="751.8"/>
    <n v="50"/>
    <n v="218"/>
    <n v="4.3600000000000003"/>
    <x v="0"/>
    <x v="0"/>
    <x v="0"/>
    <x v="2"/>
    <d v="2011-12-01T00:00:00"/>
    <m/>
    <x v="5"/>
    <s v="IP"/>
    <m/>
    <d v="2015-08-19T00:00:00"/>
    <s v="19-Aug-15 (Population update. Source: KMSS-LSO)_x000a_25-Jun-15 (Population update. Source: KMSS-LSO)_x000a_Population update. Changed NGCA to GCA. Source: CCCM Unit"/>
    <s v="P3"/>
    <n v="50"/>
    <m/>
    <n v="50"/>
    <s v="Namhkan Town"/>
    <n v="1.5239325151406049"/>
    <n v="1"/>
  </r>
  <r>
    <x v="0"/>
    <x v="1"/>
    <s v="MMR015"/>
    <s v="Muse"/>
    <s v="MMR015D002"/>
    <x v="17"/>
    <s v="MMR015010"/>
    <s v="Nawng Hkam"/>
    <s v="MMR015010010"/>
    <s v="Nawng Hkam"/>
    <n v="208353"/>
    <x v="151"/>
    <x v="154"/>
    <x v="122"/>
    <n v="23.82152"/>
    <n v="813.4"/>
    <n v="0"/>
    <n v="0"/>
    <s v="NA"/>
    <x v="1"/>
    <x v="0"/>
    <x v="0"/>
    <x v="0"/>
    <m/>
    <m/>
    <x v="3"/>
    <s v="IP"/>
    <m/>
    <d v="2014-03-14T00:00:00"/>
    <s v="Closed. Source Cluster Coordinator"/>
    <s v=""/>
    <n v="0"/>
    <m/>
    <n v="0"/>
    <s v=""/>
    <s v=""/>
    <s v=""/>
  </r>
  <r>
    <x v="0"/>
    <x v="1"/>
    <s v="MMR015"/>
    <s v="Muse"/>
    <s v="MMR015D002"/>
    <x v="17"/>
    <s v="MMR015010"/>
    <s v="Nawng Hkam"/>
    <s v="MMR015010010"/>
    <s v="Nawng Hkam"/>
    <n v="208353"/>
    <x v="152"/>
    <x v="155"/>
    <x v="6"/>
    <m/>
    <m/>
    <n v="0"/>
    <n v="0"/>
    <s v="NA"/>
    <x v="1"/>
    <x v="0"/>
    <x v="0"/>
    <x v="0"/>
    <m/>
    <m/>
    <x v="0"/>
    <s v="IP"/>
    <m/>
    <d v="2014-03-03T00:00:00"/>
    <s v="Closed. Same with (Nam Hkam Catholic Church  St. Thomas II)"/>
    <s v=""/>
    <n v="0"/>
    <m/>
    <n v="0"/>
    <s v=""/>
    <s v=""/>
    <s v=""/>
  </r>
  <r>
    <x v="1"/>
    <x v="1"/>
    <s v="MMR015"/>
    <s v="Muse"/>
    <s v="MMR015D002"/>
    <x v="10"/>
    <s v="MMR015009"/>
    <s v="Man Nway (Pang Hseng (Kyu Koke)) Sub-township"/>
    <s v="MMR015009036"/>
    <s v="Nam Hkawng Khu"/>
    <n v="208182"/>
    <x v="153"/>
    <x v="156"/>
    <x v="6"/>
    <m/>
    <n v="0"/>
    <n v="9"/>
    <n v="44"/>
    <n v="4.8888888888888893"/>
    <x v="1"/>
    <x v="0"/>
    <x v="0"/>
    <x v="1"/>
    <d v="2011-09-01T00:00:00"/>
    <n v="1"/>
    <x v="1"/>
    <s v="IP"/>
    <m/>
    <d v="2015-12-02T00:00:00"/>
    <s v="2/Dec/2015. Population update. Data source: KBC_x000a_25-Jun-15 Population update. Source: KBC_x000a_Update population. Source: Camp Profile."/>
    <s v="P2"/>
    <n v="9"/>
    <m/>
    <n v="9"/>
    <s v=""/>
    <s v=""/>
    <s v=""/>
  </r>
  <r>
    <x v="1"/>
    <x v="1"/>
    <s v="MMR015"/>
    <s v="Muse"/>
    <s v="MMR015D003"/>
    <x v="10"/>
    <s v="MMR015019"/>
    <s v="Mone Paw Nam Chet (Zay) (Pang Hseng (Kyu Koke)) Sub-township"/>
    <s v="MMR015009033"/>
    <s v="Mone Paw Nam Chet"/>
    <n v="208167"/>
    <x v="154"/>
    <x v="157"/>
    <x v="123"/>
    <n v="23.978088"/>
    <m/>
    <n v="6"/>
    <m/>
    <n v="0"/>
    <x v="0"/>
    <x v="0"/>
    <x v="1"/>
    <x v="1"/>
    <m/>
    <m/>
    <x v="0"/>
    <m/>
    <m/>
    <d v="2014-03-03T00:00:00"/>
    <s v="Change to Host Families."/>
    <s v="P3"/>
    <n v="0"/>
    <m/>
    <n v="0"/>
    <s v="Pang Hseng (Kyu Koke) Town"/>
    <n v="12.794700705104317"/>
    <n v="3"/>
  </r>
  <r>
    <x v="1"/>
    <x v="1"/>
    <s v="MMR015"/>
    <s v="Muse"/>
    <s v="MMR015D002"/>
    <x v="7"/>
    <s v="MMR015011"/>
    <s v="Nam Hpat Kar"/>
    <s v="MMR015011020"/>
    <s v="Nam Hpat Kar (Ho Pon + Pang Sa Lorp)"/>
    <m/>
    <x v="155"/>
    <x v="158"/>
    <x v="124"/>
    <n v="23.694130000000001"/>
    <n v="1135.7"/>
    <n v="71"/>
    <n v="278"/>
    <n v="3.915492957746479"/>
    <x v="0"/>
    <x v="0"/>
    <x v="0"/>
    <x v="1"/>
    <d v="2011-12-01T00:00:00"/>
    <n v="1"/>
    <x v="1"/>
    <s v="IP"/>
    <m/>
    <d v="2015-12-02T00:00:00"/>
    <s v="2/Dec/2015. Population update. Data source: KBC_x000a_25-Jun-15 Population update. Source: KBC_x000a_Update population. Source: Camp Profile."/>
    <s v="P3"/>
    <n v="45"/>
    <m/>
    <n v="45"/>
    <s v="Namhkan Town"/>
    <n v="21.148671772283631"/>
    <n v="5"/>
  </r>
  <r>
    <x v="0"/>
    <x v="0"/>
    <s v="MMR001"/>
    <s v="Bhamo"/>
    <s v="MMR001D003"/>
    <x v="2"/>
    <s v="MMR001013"/>
    <s v="Nam Lin Pa"/>
    <s v="MMR001013037"/>
    <m/>
    <m/>
    <x v="156"/>
    <x v="159"/>
    <x v="125"/>
    <n v="23.75817"/>
    <n v="781.8"/>
    <n v="0"/>
    <n v="0"/>
    <s v="NA"/>
    <x v="1"/>
    <x v="0"/>
    <x v="0"/>
    <x v="1"/>
    <d v="2012-07-01T00:00:00"/>
    <m/>
    <x v="0"/>
    <s v="IP"/>
    <m/>
    <m/>
    <s v="Closed: Source UNHCR-Bhamo"/>
    <s v=""/>
    <n v="0"/>
    <m/>
    <n v="0"/>
    <s v=""/>
    <s v=""/>
    <s v=""/>
  </r>
  <r>
    <x v="0"/>
    <x v="0"/>
    <s v="MMR001"/>
    <s v="Bhamo"/>
    <s v="MMR001D003"/>
    <x v="2"/>
    <s v="MMR001013"/>
    <s v="Nam Lin Pa"/>
    <s v="MMR001013037"/>
    <m/>
    <m/>
    <x v="157"/>
    <x v="160"/>
    <x v="6"/>
    <m/>
    <m/>
    <n v="0"/>
    <n v="0"/>
    <s v="NA"/>
    <x v="1"/>
    <x v="0"/>
    <x v="0"/>
    <x v="0"/>
    <m/>
    <m/>
    <x v="0"/>
    <s v="IP"/>
    <m/>
    <m/>
    <s v="Closed: Source UNHCR-Bhamo"/>
    <s v=""/>
    <n v="0"/>
    <m/>
    <n v="0"/>
    <s v=""/>
    <s v=""/>
    <s v=""/>
  </r>
  <r>
    <x v="0"/>
    <x v="0"/>
    <s v="MMR001"/>
    <s v="Bhamo"/>
    <s v="MMR001D003"/>
    <x v="2"/>
    <s v="MMR001013"/>
    <s v="Nam Lin Pa"/>
    <s v="MMR001013037"/>
    <m/>
    <m/>
    <x v="158"/>
    <x v="161"/>
    <x v="125"/>
    <n v="23.75817"/>
    <m/>
    <n v="0"/>
    <n v="0"/>
    <s v="NA"/>
    <x v="1"/>
    <x v="0"/>
    <x v="0"/>
    <x v="0"/>
    <m/>
    <m/>
    <x v="0"/>
    <s v="IRRC"/>
    <m/>
    <m/>
    <s v="This IDP are registered in Nam Lim pa (Boarder) (MMR001CMP204). We should not calculate this number in total. "/>
    <s v=""/>
    <n v="0"/>
    <m/>
    <n v="0"/>
    <s v=""/>
    <s v=""/>
    <s v=""/>
  </r>
  <r>
    <x v="1"/>
    <x v="0"/>
    <s v="MMR001"/>
    <s v="Mohnyin"/>
    <s v="MMR001D002"/>
    <x v="0"/>
    <s v="MMR001009"/>
    <s v="Nam Ma Hpyit"/>
    <s v="MMR001009002"/>
    <s v="Nam Ma Hpyit"/>
    <n v="166776"/>
    <x v="159"/>
    <x v="162"/>
    <x v="126"/>
    <n v="25.617998"/>
    <m/>
    <n v="17"/>
    <n v="64"/>
    <n v="3.7647058823529411"/>
    <x v="0"/>
    <x v="0"/>
    <x v="0"/>
    <x v="2"/>
    <d v="2013-01-01T00:00:00"/>
    <n v="1"/>
    <x v="4"/>
    <s v="IP"/>
    <m/>
    <d v="2015-11-09T00:00:00"/>
    <s v="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2"/>
    <m/>
    <n v="2"/>
    <s v="Hpakant Town"/>
    <n v="2.814225084976667"/>
    <n v="1"/>
  </r>
  <r>
    <x v="1"/>
    <x v="1"/>
    <s v="MMR015"/>
    <s v="Lashio"/>
    <s v="MMR015D001"/>
    <x v="18"/>
    <s v="MMR015002"/>
    <s v="Nam Sa Larp"/>
    <s v="MMR015002021"/>
    <s v="Nam Sa Larp"/>
    <n v="206352"/>
    <x v="160"/>
    <x v="163"/>
    <x v="127"/>
    <n v="23.354268999999999"/>
    <m/>
    <n v="44"/>
    <n v="273"/>
    <n v="6.2045454545454541"/>
    <x v="0"/>
    <x v="0"/>
    <x v="0"/>
    <x v="1"/>
    <m/>
    <m/>
    <x v="1"/>
    <s v="IP"/>
    <m/>
    <d v="2015-08-19T00:00:00"/>
    <s v="19-Aug-15 Population update. Source KBC._x000a_25-Jun-15 New camp. Data Source : KBC"/>
    <m/>
    <n v="34"/>
    <m/>
    <n v="34"/>
    <s v=""/>
    <s v=""/>
    <s v=""/>
  </r>
  <r>
    <x v="1"/>
    <x v="1"/>
    <s v="MMR015"/>
    <s v="Kyaukme"/>
    <s v="MMR015D003"/>
    <x v="19"/>
    <s v="MMR015015"/>
    <s v="Namtu Town"/>
    <s v="MMR015015701"/>
    <s v="Namtu Ward"/>
    <s v="MMR015015701501"/>
    <x v="161"/>
    <x v="164"/>
    <x v="128"/>
    <n v="23.094290000000001"/>
    <n v="534.29999999999995"/>
    <n v="10"/>
    <n v="41"/>
    <n v="4.0999999999999996"/>
    <x v="0"/>
    <x v="0"/>
    <x v="0"/>
    <x v="2"/>
    <d v="2012-04-01T00:00:00"/>
    <n v="1"/>
    <x v="1"/>
    <s v="IP"/>
    <m/>
    <d v="2015-12-02T00:00:00"/>
    <s v="2/Dec/2015. Population update. Data source: KBC_x000a_25-Jun-15 Population update. Source: KBC_x000a_Update population. Source: Camp Profile."/>
    <s v="P3"/>
    <n v="0"/>
    <m/>
    <n v="0"/>
    <s v="Namtu Town"/>
    <n v="0.37588352961435612"/>
    <n v="1"/>
  </r>
  <r>
    <x v="1"/>
    <x v="1"/>
    <s v="MMR015"/>
    <s v="Kyaukme"/>
    <s v="MMR015D003"/>
    <x v="19"/>
    <s v="MMR015015"/>
    <s v="Namtu Town"/>
    <s v="MMR015015701"/>
    <s v="Namtu Ward"/>
    <s v="MMR015015701501"/>
    <x v="162"/>
    <x v="165"/>
    <x v="129"/>
    <n v="23.088058"/>
    <n v="1948"/>
    <n v="118"/>
    <n v="520"/>
    <n v="4.406779661016949"/>
    <x v="0"/>
    <x v="0"/>
    <x v="1"/>
    <x v="2"/>
    <m/>
    <m/>
    <x v="0"/>
    <s v="IP"/>
    <m/>
    <d v="2014-09-01T00:00:00"/>
    <s v="Change to Host Families. Source: Programme Unit."/>
    <s v="P3"/>
    <n v="0"/>
    <m/>
    <n v="0"/>
    <s v="Namtu Town"/>
    <n v="0.63626694856259092"/>
    <n v="1"/>
  </r>
  <r>
    <x v="1"/>
    <x v="1"/>
    <s v="MMR015"/>
    <s v="Muse"/>
    <s v="MMR015D002"/>
    <x v="17"/>
    <s v="MMR015010"/>
    <s v="Ho Nar"/>
    <s v="MMR015010002"/>
    <s v="Pang Long"/>
    <n v="208338"/>
    <x v="163"/>
    <x v="166"/>
    <x v="130"/>
    <n v="23.838190000000001"/>
    <n v="829.8"/>
    <n v="141"/>
    <n v="669"/>
    <n v="4.7446808510638299"/>
    <x v="0"/>
    <x v="0"/>
    <x v="0"/>
    <x v="2"/>
    <d v="2014-04-18T00:00:00"/>
    <m/>
    <x v="1"/>
    <s v="IP"/>
    <m/>
    <d v="2015-12-02T00:00:00"/>
    <s v="2/Dec/2015. Population update. Data source: KBC_x000a_25-Jun-15 Population update. Source: KBC_x000a_Population Update. Source: Save The Children."/>
    <s v="P4"/>
    <n v="105"/>
    <m/>
    <n v="105"/>
    <s v="Namhkan Town"/>
    <n v="2.8590638493982405"/>
    <n v="1"/>
  </r>
  <r>
    <x v="1"/>
    <x v="0"/>
    <s v="MMR001"/>
    <s v="Myitkyina"/>
    <s v="MMR001D001"/>
    <x v="6"/>
    <s v="MMR001001"/>
    <s v="Nam Koi"/>
    <s v="MMR001001005"/>
    <s v="Nam Koi"/>
    <n v="165695"/>
    <x v="164"/>
    <x v="167"/>
    <x v="131"/>
    <n v="25.410569299999999"/>
    <m/>
    <n v="70"/>
    <n v="326"/>
    <n v="4.6571428571428575"/>
    <x v="0"/>
    <x v="0"/>
    <x v="0"/>
    <x v="2"/>
    <d v="2012-01-01T00:00:00"/>
    <m/>
    <x v="2"/>
    <s v="IP"/>
    <m/>
    <d v="2015-10-23T00:00:00"/>
    <s v="23-Oct-15 (Population update. Data source: Monthly report by KMSS-MYT). Reason for changes; Arrive from the Daily Work._x000a_19-Aug-15 (Population update. Data Source: KMSS-MYT) _x000a_25-Jun-15 (Population update. Source: KMSS-MYT)"/>
    <s v="P4"/>
    <n v="3"/>
    <m/>
    <n v="3"/>
    <s v="Myitkyina Town"/>
    <n v="4.037940696665812"/>
    <n v="1"/>
  </r>
  <r>
    <x v="1"/>
    <x v="0"/>
    <s v="MMR001"/>
    <s v="Bhamo"/>
    <s v="MMR001D003"/>
    <x v="1"/>
    <s v="MMR001010"/>
    <s v="Nam Hlaing"/>
    <s v="MMR001010015"/>
    <s v="Nam Hlaing"/>
    <n v="166844"/>
    <x v="165"/>
    <x v="168"/>
    <x v="132"/>
    <n v="24.32638"/>
    <m/>
    <n v="23"/>
    <n v="124"/>
    <n v="5.3913043478260869"/>
    <x v="0"/>
    <x v="0"/>
    <x v="0"/>
    <x v="2"/>
    <d v="2011-11-01T00:00:00"/>
    <n v="2"/>
    <x v="3"/>
    <s v="IP"/>
    <m/>
    <d v="2015-08-19T00:00:00"/>
    <s v="19-Aug-2015. Update Population. Data Source; KMSS-BMO_x000a_Update population. Source UNHCR Bhamo"/>
    <s v="P4"/>
    <n v="13"/>
    <m/>
    <n v="13"/>
    <s v="Momauk Town"/>
    <n v="8.3788619521763046"/>
    <n v="2"/>
  </r>
  <r>
    <x v="1"/>
    <x v="0"/>
    <s v="MMR001"/>
    <s v="Mohnyin"/>
    <s v="MMR001D002"/>
    <x v="0"/>
    <s v="MMR001009"/>
    <s v="Nam Ma Hpyit"/>
    <s v="MMR001009002"/>
    <s v="Nam Ma Hpyit"/>
    <n v="166776"/>
    <x v="166"/>
    <x v="169"/>
    <x v="133"/>
    <n v="25.613894999999999"/>
    <n v="251"/>
    <n v="54"/>
    <n v="262"/>
    <n v="4.8518518518518521"/>
    <x v="0"/>
    <x v="0"/>
    <x v="0"/>
    <x v="2"/>
    <d v="2013-08-01T00:00:00"/>
    <n v="3"/>
    <x v="2"/>
    <s v="IP"/>
    <m/>
    <d v="2015-10-23T00:00:00"/>
    <s v="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0"/>
    <x v="0"/>
    <s v="MMR001"/>
    <s v="Mohnyin"/>
    <s v="MMR001D002"/>
    <x v="8"/>
    <s v="MMR001007"/>
    <s v="Nam Mun"/>
    <s v="MMR001007016"/>
    <s v="Nam Mun"/>
    <n v="166591"/>
    <x v="167"/>
    <x v="170"/>
    <x v="134"/>
    <n v="24.998349999999999"/>
    <n v="0"/>
    <n v="0"/>
    <n v="0"/>
    <s v="NA"/>
    <x v="0"/>
    <x v="0"/>
    <x v="0"/>
    <x v="1"/>
    <d v="2012-03-01T00:00:00"/>
    <m/>
    <x v="1"/>
    <s v="RRD"/>
    <m/>
    <d v="2014-07-17T00:00:00"/>
    <s v="Closed. Duplicate with (Nawng Ing (Indawgyi) Baptist Church)"/>
    <s v="P4"/>
    <n v="0"/>
    <m/>
    <n v="0"/>
    <s v=""/>
    <s v=""/>
    <s v=""/>
  </r>
  <r>
    <x v="1"/>
    <x v="1"/>
    <s v="MMR015"/>
    <s v="Lashio"/>
    <s v="MMR015D001"/>
    <x v="18"/>
    <s v="MMR015002"/>
    <s v="Nar Tee"/>
    <s v="MMR015002029"/>
    <s v="Nar Tee"/>
    <n v="206422"/>
    <x v="168"/>
    <x v="171"/>
    <x v="135"/>
    <n v="23.372409999999999"/>
    <n v="617.6"/>
    <n v="67"/>
    <n v="392"/>
    <n v="5.8507462686567164"/>
    <x v="1"/>
    <x v="0"/>
    <x v="1"/>
    <x v="1"/>
    <d v="2013-04-01T00:00:00"/>
    <m/>
    <x v="0"/>
    <s v="IP"/>
    <m/>
    <d v="2014-03-03T00:00:00"/>
    <s v="Change to Host Families."/>
    <s v="P4"/>
    <n v="0"/>
    <m/>
    <n v="0"/>
    <s v="Kunlong Town"/>
    <n v="30.037709702375544"/>
    <n v="7"/>
  </r>
  <r>
    <x v="1"/>
    <x v="0"/>
    <s v="MMR001"/>
    <s v="Mohnyin"/>
    <s v="MMR001D002"/>
    <x v="12"/>
    <s v="MMR001008"/>
    <s v="Mogaung Town"/>
    <s v="MMR001008701"/>
    <s v="Nat Gyi Kone Ward"/>
    <s v="MMR001008701506"/>
    <x v="169"/>
    <x v="172"/>
    <x v="136"/>
    <n v="25.30442"/>
    <n v="100"/>
    <n v="14"/>
    <n v="44"/>
    <n v="3.1428571428571428"/>
    <x v="0"/>
    <x v="0"/>
    <x v="0"/>
    <x v="2"/>
    <d v="2012-03-01T00:00:00"/>
    <n v="1"/>
    <x v="1"/>
    <s v="IP"/>
    <m/>
    <d v="2015-08-19T00:00:00"/>
    <s v="19-Aug-15 Update population. Data Source: KBC._x000a_25-Jun-2015 Update population. Data Source: KBC_x000a_Update population according to KBC data"/>
    <s v="P4"/>
    <n v="0"/>
    <m/>
    <n v="0"/>
    <s v="Mogaung Town"/>
    <n v="0.86042374061342075"/>
    <n v="1"/>
  </r>
  <r>
    <x v="0"/>
    <x v="0"/>
    <s v="MMR001"/>
    <s v="Puta-O"/>
    <s v="MMR001D004"/>
    <x v="11"/>
    <s v="MMR001014"/>
    <s v="Lang Taung"/>
    <s v="MMR001014009"/>
    <s v="Nawng Hkaing"/>
    <n v="167567"/>
    <x v="170"/>
    <x v="173"/>
    <x v="137"/>
    <n v="27.270199999999999"/>
    <n v="372.9"/>
    <n v="0"/>
    <n v="0"/>
    <s v="NA"/>
    <x v="0"/>
    <x v="0"/>
    <x v="0"/>
    <x v="1"/>
    <d v="2013-08-01T00:00:00"/>
    <m/>
    <x v="0"/>
    <s v="IP"/>
    <m/>
    <d v="2014-03-27T00:00:00"/>
    <s v="25-Jun-15 (Relocated to Lone Sut)_x000a_Geo-Info, HH/Pop data received from MIRA Form"/>
    <s v="P3"/>
    <n v="0"/>
    <m/>
    <n v="0"/>
    <s v="Machanbaw Town"/>
    <n v="1.7005689699647559"/>
    <n v="1"/>
  </r>
  <r>
    <x v="1"/>
    <x v="0"/>
    <s v="MMR001"/>
    <s v="Myitkyina"/>
    <s v="MMR001D001"/>
    <x v="3"/>
    <s v="MMR001002"/>
    <s v="Ma Hkan Tee"/>
    <s v="MMR001002009"/>
    <s v="Nawng Hee"/>
    <n v="165745"/>
    <x v="171"/>
    <x v="174"/>
    <x v="138"/>
    <n v="25.351965"/>
    <m/>
    <n v="18"/>
    <n v="82"/>
    <n v="4.5555555555555554"/>
    <x v="0"/>
    <x v="0"/>
    <x v="0"/>
    <x v="1"/>
    <m/>
    <n v="1"/>
    <x v="4"/>
    <s v="IP"/>
    <m/>
    <d v="2015-08-19T00:00:00"/>
    <s v="19-Aug-15 Population update. Source: Shalom._x000a_Update population. Source: Camp Profile."/>
    <s v="P4"/>
    <n v="0"/>
    <m/>
    <n v="0"/>
    <s v="Myitkyina Town"/>
    <n v="6.0275881703713861"/>
    <n v="2"/>
  </r>
  <r>
    <x v="1"/>
    <x v="0"/>
    <s v="MMR001"/>
    <s v="Mohnyin"/>
    <s v="MMR001D002"/>
    <x v="8"/>
    <s v="MMR001007"/>
    <s v="Nam Mun"/>
    <s v="MMR001007016"/>
    <s v="Indawgyi"/>
    <m/>
    <x v="172"/>
    <x v="175"/>
    <x v="134"/>
    <n v="24.998349999999999"/>
    <m/>
    <n v="18"/>
    <n v="141"/>
    <n v="7.833333333333333"/>
    <x v="0"/>
    <x v="0"/>
    <x v="0"/>
    <x v="1"/>
    <m/>
    <n v="1"/>
    <x v="1"/>
    <s v="IP"/>
    <m/>
    <d v="2015-12-02T00:00:00"/>
    <s v="2/Dec/2015. Population update. Data source: KBC._x000a_19-Aug-15 Population update. Source: KBC._x000a_25-Jun-15 Population update. Source: KBC_x000a_Update population according to KBC data"/>
    <s v="P4"/>
    <n v="0"/>
    <m/>
    <n v="0"/>
    <s v="Hopin Town"/>
    <n v="16.668825701583572"/>
    <n v="4"/>
  </r>
  <r>
    <x v="0"/>
    <x v="0"/>
    <s v="MMR001"/>
    <s v="Myitkyina"/>
    <s v="MMR001D001"/>
    <x v="3"/>
    <s v="MMR001002"/>
    <s v="Nawng Si Paw"/>
    <s v="MMR001002013"/>
    <s v="Nawng Si Paw"/>
    <n v="165750"/>
    <x v="173"/>
    <x v="176"/>
    <x v="6"/>
    <m/>
    <m/>
    <n v="0"/>
    <n v="0"/>
    <s v="NA"/>
    <x v="0"/>
    <x v="0"/>
    <x v="0"/>
    <x v="0"/>
    <m/>
    <m/>
    <x v="0"/>
    <m/>
    <m/>
    <m/>
    <s v=" "/>
    <s v=""/>
    <n v="0"/>
    <m/>
    <n v="0"/>
    <s v=""/>
    <s v=""/>
    <s v=""/>
  </r>
  <r>
    <x v="1"/>
    <x v="0"/>
    <s v="MMR001"/>
    <s v="Puta-O"/>
    <s v="MMR001D004"/>
    <x v="20"/>
    <s v="MMR001015"/>
    <m/>
    <m/>
    <m/>
    <m/>
    <x v="174"/>
    <x v="177"/>
    <x v="139"/>
    <n v="26.569633"/>
    <m/>
    <n v="161"/>
    <n v="711"/>
    <n v="4.4161490683229809"/>
    <x v="0"/>
    <x v="0"/>
    <x v="0"/>
    <x v="0"/>
    <m/>
    <m/>
    <x v="0"/>
    <m/>
    <m/>
    <d v="2015-10-02T00:00:00"/>
    <s v="10/2/2015. New Camp. Data source: CCCM team-Ko Maran"/>
    <m/>
    <n v="161"/>
    <m/>
    <n v="161"/>
    <s v=""/>
    <s v=""/>
    <s v=""/>
  </r>
  <r>
    <x v="1"/>
    <x v="1"/>
    <s v="MMR015"/>
    <s v="Muse"/>
    <s v="MMR015D002"/>
    <x v="7"/>
    <s v="MMR015011"/>
    <s v="Kar Lai Kone Hsar"/>
    <s v="MMR015011005"/>
    <m/>
    <m/>
    <x v="175"/>
    <x v="178"/>
    <x v="140"/>
    <n v="23.264959999999999"/>
    <m/>
    <n v="105"/>
    <n v="568"/>
    <n v="5.4095238095238098"/>
    <x v="0"/>
    <x v="0"/>
    <x v="0"/>
    <x v="1"/>
    <d v="2015-02-01T00:00:00"/>
    <m/>
    <x v="0"/>
    <m/>
    <m/>
    <d v="2015-11-09T00:00:00"/>
    <s v="9/Nov/15. New added camp. Data source: UNHCR CCCM officer NSS mission 8-12 July 2015."/>
    <m/>
    <n v="105"/>
    <m/>
    <n v="105"/>
    <s v=""/>
    <s v=""/>
    <s v=""/>
  </r>
  <r>
    <x v="0"/>
    <x v="0"/>
    <s v="MMR001"/>
    <s v="Mohnyin"/>
    <s v="MMR001D002"/>
    <x v="0"/>
    <s v="MMR001009"/>
    <s v="Hpakan Town"/>
    <s v="MMR001009701"/>
    <s v="Hnget Pyaw Taw Ward"/>
    <s v="MMR001009701502"/>
    <x v="176"/>
    <x v="179"/>
    <x v="34"/>
    <n v="25.611160000000002"/>
    <n v="0"/>
    <n v="0"/>
    <n v="0"/>
    <s v="NA"/>
    <x v="0"/>
    <x v="0"/>
    <x v="0"/>
    <x v="2"/>
    <d v="2012-08-01T00:00:00"/>
    <n v="2"/>
    <x v="1"/>
    <s v="IP"/>
    <m/>
    <d v="2014-05-15T00:00:00"/>
    <s v="Closed.Moved to Na Ma Pyit KBC."/>
    <s v=""/>
    <n v="0"/>
    <m/>
    <n v="0"/>
    <s v=""/>
    <s v=""/>
    <s v=""/>
  </r>
  <r>
    <x v="0"/>
    <x v="0"/>
    <s v="MMR001"/>
    <s v="Mohnyin"/>
    <s v="MMR001D002"/>
    <x v="0"/>
    <s v="MMR001009"/>
    <s v="Hpakan Town"/>
    <s v="MMR001009701"/>
    <s v="Hnget Pyaw Taw Ward"/>
    <s v="MMR001009701502"/>
    <x v="177"/>
    <x v="180"/>
    <x v="141"/>
    <n v="25.611899999999999"/>
    <m/>
    <n v="0"/>
    <n v="0"/>
    <s v="NA"/>
    <x v="0"/>
    <x v="0"/>
    <x v="0"/>
    <x v="0"/>
    <m/>
    <m/>
    <x v="0"/>
    <m/>
    <m/>
    <m/>
    <s v=" "/>
    <s v=""/>
    <n v="0"/>
    <m/>
    <n v="0"/>
    <s v=""/>
    <s v=""/>
    <s v=""/>
  </r>
  <r>
    <x v="1"/>
    <x v="0"/>
    <s v="MMR001"/>
    <s v="Bhamo"/>
    <s v="MMR001D003"/>
    <x v="5"/>
    <s v="MMR001012"/>
    <s v="Ba Lawng Kawng (Lwegel Sub-township)"/>
    <s v="MMR001012030"/>
    <s v="Hpa Lum"/>
    <n v="167138"/>
    <x v="178"/>
    <x v="181"/>
    <x v="142"/>
    <n v="24.378167000000001"/>
    <n v="1149"/>
    <n v="412"/>
    <n v="1700"/>
    <n v="4.1262135922330101"/>
    <x v="1"/>
    <x v="0"/>
    <x v="0"/>
    <x v="1"/>
    <d v="2012-04-01T00:00:00"/>
    <n v="2"/>
    <x v="3"/>
    <s v="IP"/>
    <m/>
    <d v="2015-08-19T00:00:00"/>
    <s v="19-Aug-2015. Update population. Data Source; KMSS-BMO_x000a_Population Update. Source: Save The Children."/>
    <s v="P1"/>
    <n v="0"/>
    <m/>
    <n v="0"/>
    <s v="Lwegel Town"/>
    <n v="20.558236360788097"/>
    <n v="5"/>
  </r>
  <r>
    <x v="1"/>
    <x v="0"/>
    <s v="MMR001"/>
    <s v="Bhamo"/>
    <s v="MMR001D003"/>
    <x v="5"/>
    <s v="MMR001012"/>
    <s v="Momauk Town"/>
    <s v="MMR001012701"/>
    <s v="Ah Lin Kawng Ward"/>
    <s v="MMR001012701502"/>
    <x v="179"/>
    <x v="182"/>
    <x v="143"/>
    <n v="24.253769999999999"/>
    <n v="0"/>
    <n v="24"/>
    <n v="89"/>
    <n v="3.7083333333333335"/>
    <x v="0"/>
    <x v="0"/>
    <x v="0"/>
    <x v="2"/>
    <d v="2011-10-01T00:00:00"/>
    <n v="1"/>
    <x v="4"/>
    <s v="IP"/>
    <m/>
    <d v="2015-11-09T00:00:00"/>
    <s v="9/Nov/15. Population update. Data source: monthly report by HAP._x000a_19-Aug-15 Population update. Source: Shalom_x000a_25-Jun-15 (Population update. Source : Shalom)_x000a_Population update: Source UNHCR-Bhamo"/>
    <s v="P4"/>
    <n v="0"/>
    <m/>
    <n v="0"/>
    <s v="Momauk Town"/>
    <n v="0.32830807173487342"/>
    <n v="1"/>
  </r>
  <r>
    <x v="1"/>
    <x v="0"/>
    <s v="MMR001"/>
    <s v="Myitkyina"/>
    <s v="MMR001D001"/>
    <x v="6"/>
    <s v="MMR001001"/>
    <s v="Myitkyina Town"/>
    <s v="MMR001001701"/>
    <s v="N Jang Dung"/>
    <m/>
    <x v="180"/>
    <x v="183"/>
    <x v="144"/>
    <n v="25.422194000000001"/>
    <n v="0"/>
    <n v="57"/>
    <n v="233"/>
    <n v="4.0877192982456139"/>
    <x v="0"/>
    <x v="0"/>
    <x v="0"/>
    <x v="2"/>
    <d v="2011-06-01T00:00:00"/>
    <n v="1"/>
    <x v="1"/>
    <s v="IP"/>
    <m/>
    <d v="2015-12-02T00:00:00"/>
    <s v="2/Dec/2015. Population update. Data source: KBC._x000a_19-Aug-15 Update population from KBC_x000a_25-Jun-2015 Update population from KBC._x000a_Checked with KBC data"/>
    <s v="P4"/>
    <n v="5"/>
    <m/>
    <n v="5"/>
    <s v="Myitkyina Town"/>
    <n v="3.8820329084732181"/>
    <n v="1"/>
  </r>
  <r>
    <x v="1"/>
    <x v="0"/>
    <s v="MMR001"/>
    <s v="Bhamo"/>
    <s v="MMR001D003"/>
    <x v="5"/>
    <s v="MMR001012"/>
    <s v="Wein  Hkam (Lwegel Sub-township)"/>
    <s v="MMR001012039"/>
    <m/>
    <m/>
    <x v="181"/>
    <x v="184"/>
    <x v="145"/>
    <n v="24.205417000000001"/>
    <n v="0"/>
    <n v="50"/>
    <n v="293"/>
    <n v="5.86"/>
    <x v="0"/>
    <x v="0"/>
    <x v="0"/>
    <x v="2"/>
    <d v="2012-08-01T00:00:00"/>
    <n v="1"/>
    <x v="1"/>
    <s v="IP"/>
    <m/>
    <d v="2015-12-02T00:00:00"/>
    <s v="2/Dec/2015. Population update. Data source: KBC_x000a_25-Jun-2015 Update population. Data Source: KBC_x000a_Population update: Source: Camp Profile Round 2."/>
    <s v="P3"/>
    <n v="5"/>
    <m/>
    <n v="5"/>
    <s v="Lwegel Town"/>
    <n v="0.77561767807574999"/>
    <n v="1"/>
  </r>
  <r>
    <x v="1"/>
    <x v="0"/>
    <s v="MMR001"/>
    <s v="Myitkyina"/>
    <s v="MMR001D001"/>
    <x v="6"/>
    <s v="MMR001001"/>
    <s v="Pa La Na Sa Khan Myar"/>
    <s v="MMR001001003"/>
    <s v="Pi Tauk Myaing"/>
    <n v="165685"/>
    <x v="182"/>
    <x v="185"/>
    <x v="146"/>
    <n v="25.493819999999999"/>
    <m/>
    <n v="57"/>
    <n v="292"/>
    <n v="5.1228070175438596"/>
    <x v="0"/>
    <x v="0"/>
    <x v="0"/>
    <x v="2"/>
    <d v="2012-12-01T00:00:00"/>
    <m/>
    <x v="2"/>
    <s v="IP"/>
    <m/>
    <d v="2015-12-13T00:00:00"/>
    <s v="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27"/>
    <m/>
    <n v="27"/>
    <s v="Myitkyina Town"/>
    <n v="12.627188913244609"/>
    <n v="3"/>
  </r>
  <r>
    <x v="1"/>
    <x v="0"/>
    <s v="MMR001"/>
    <s v="Bhamo"/>
    <s v="MMR001D003"/>
    <x v="5"/>
    <s v="MMR001012"/>
    <s v="Kawng Hsa (Lwegel Sub-township)"/>
    <s v="MMR001012033"/>
    <s v="Mai Gyar Yang"/>
    <n v="216913"/>
    <x v="183"/>
    <x v="186"/>
    <x v="147"/>
    <n v="24.2744"/>
    <n v="978"/>
    <n v="840"/>
    <n v="3249"/>
    <n v="3.8678571428571429"/>
    <x v="1"/>
    <x v="0"/>
    <x v="0"/>
    <x v="1"/>
    <d v="2012-04-01T00:00:00"/>
    <n v="2"/>
    <x v="3"/>
    <s v="IP"/>
    <m/>
    <d v="2015-08-19T00:00:00"/>
    <s v="19-Aug-2015. Population Update. Data Source; KMSS-BMO_x000a_Population update: Source: Camp Profile Round 2."/>
    <s v="P2"/>
    <n v="123"/>
    <m/>
    <n v="123"/>
    <s v="Lwegel Town"/>
    <n v="8.953204937938569"/>
    <n v="2"/>
  </r>
  <r>
    <x v="1"/>
    <x v="0"/>
    <s v="MMR001"/>
    <s v="Myitkyina"/>
    <s v="MMR001D001"/>
    <x v="3"/>
    <s v="MMR001002"/>
    <s v="Sa Ma"/>
    <s v="MMR001002031"/>
    <s v="Pa Jau"/>
    <m/>
    <x v="184"/>
    <x v="187"/>
    <x v="148"/>
    <n v="24.831944"/>
    <n v="2330"/>
    <n v="191"/>
    <n v="768"/>
    <n v="4.0209424083769632"/>
    <x v="1"/>
    <x v="0"/>
    <x v="0"/>
    <x v="1"/>
    <d v="2011-07-01T00:00:00"/>
    <n v="3"/>
    <x v="1"/>
    <s v="IP"/>
    <m/>
    <d v="2015-12-02T00:00:00"/>
    <s v="2/Dec/2015. Population update. Data source: KBC_x000a_25-Jun-15 Population update. Source: KBC_x000a_Update population according to KBC data"/>
    <s v="P1"/>
    <n v="156"/>
    <m/>
    <n v="156"/>
    <s v="Laiza town"/>
    <n v="20.599512012485512"/>
    <n v="5"/>
  </r>
  <r>
    <x v="1"/>
    <x v="0"/>
    <s v="MMR001"/>
    <s v="Myitkyina"/>
    <s v="MMR001D001"/>
    <x v="4"/>
    <s v="MMR001005"/>
    <s v="Ma Gaung"/>
    <s v="MMR001005009"/>
    <m/>
    <m/>
    <x v="185"/>
    <x v="188"/>
    <x v="149"/>
    <n v="25.60867"/>
    <n v="2345"/>
    <n v="65"/>
    <n v="306"/>
    <n v="4.7076923076923078"/>
    <x v="0"/>
    <x v="0"/>
    <x v="0"/>
    <x v="1"/>
    <m/>
    <n v="1"/>
    <x v="2"/>
    <s v="IP"/>
    <m/>
    <d v="2015-10-23T00:00:00"/>
    <s v="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5"/>
    <m/>
    <n v="65"/>
    <s v="Pang War Town"/>
    <n v="0.18710270881855062"/>
    <n v="1"/>
  </r>
  <r>
    <x v="0"/>
    <x v="0"/>
    <s v="MMR001"/>
    <s v="Mohnyin"/>
    <s v="MMR001D002"/>
    <x v="0"/>
    <s v="MMR001009"/>
    <s v="Hpakan Town"/>
    <s v="MMR001009701"/>
    <s v="Myo Ma Ward"/>
    <s v="MMR001009701503"/>
    <x v="186"/>
    <x v="189"/>
    <x v="6"/>
    <m/>
    <m/>
    <n v="0"/>
    <n v="0"/>
    <s v="NA"/>
    <x v="0"/>
    <x v="0"/>
    <x v="0"/>
    <x v="0"/>
    <m/>
    <m/>
    <x v="0"/>
    <m/>
    <m/>
    <m/>
    <s v=" "/>
    <s v=""/>
    <n v="0"/>
    <m/>
    <n v="0"/>
    <s v=""/>
    <s v=""/>
    <s v=""/>
  </r>
  <r>
    <x v="1"/>
    <x v="0"/>
    <s v="MMR001"/>
    <s v="Bhamo"/>
    <s v="MMR001D003"/>
    <x v="1"/>
    <s v="MMR001010"/>
    <s v="Han Te"/>
    <s v="MMR001010024"/>
    <s v="Hpan Hkar Kone"/>
    <n v="166854"/>
    <x v="187"/>
    <x v="190"/>
    <x v="7"/>
    <n v="24.222349999999999"/>
    <n v="0"/>
    <n v="157"/>
    <n v="761"/>
    <n v="4.8471337579617835"/>
    <x v="0"/>
    <x v="0"/>
    <x v="0"/>
    <x v="2"/>
    <d v="2013-01-01T00:00:00"/>
    <n v="1"/>
    <x v="1"/>
    <s v="IP"/>
    <m/>
    <d v="2015-12-02T00:00:00"/>
    <s v="2/Dec/2015. Population update. Data source: KBC._x000a_25-Jun-15 Population update. Source: KBC_x000a_Population update: Source: Camp Profile Round 2."/>
    <s v="P4"/>
    <n v="31"/>
    <m/>
    <n v="31"/>
    <s v="Bhamo Town"/>
    <n v="4.067486452659054"/>
    <n v="1"/>
  </r>
  <r>
    <x v="1"/>
    <x v="0"/>
    <s v="MMR001"/>
    <s v="Bhamo"/>
    <s v="MMR001D003"/>
    <x v="5"/>
    <s v="MMR001012"/>
    <s v="Hpar Kei (Dawthponeyan Sub-township)"/>
    <s v="MMR001012046"/>
    <s v="Hpar Kei"/>
    <n v="167242"/>
    <x v="188"/>
    <x v="191"/>
    <x v="150"/>
    <n v="24.630859999999998"/>
    <m/>
    <n v="39"/>
    <n v="176"/>
    <n v="4.5128205128205128"/>
    <x v="0"/>
    <x v="0"/>
    <x v="1"/>
    <x v="1"/>
    <m/>
    <m/>
    <x v="0"/>
    <s v="RRD"/>
    <m/>
    <d v="2014-01-07T00:00:00"/>
    <s v="Update from OCHA Data (2 Jan 2014)"/>
    <s v="P4"/>
    <n v="0"/>
    <m/>
    <n v="0"/>
    <s v="Dawthponeyan  Town"/>
    <n v="3.6887624513681017"/>
    <n v="1"/>
  </r>
  <r>
    <x v="1"/>
    <x v="0"/>
    <s v="MMR001"/>
    <s v="Myitkyina"/>
    <s v="MMR001D001"/>
    <x v="3"/>
    <s v="MMR001002"/>
    <s v="Saga Pa (Sadung Sub-township)"/>
    <s v="MMR001002040"/>
    <m/>
    <m/>
    <x v="189"/>
    <x v="192"/>
    <x v="151"/>
    <n v="25.265277999999999"/>
    <n v="2764"/>
    <n v="108"/>
    <n v="647"/>
    <n v="5.9907407407407405"/>
    <x v="1"/>
    <x v="0"/>
    <x v="0"/>
    <x v="3"/>
    <d v="2011-11-01T00:00:00"/>
    <n v="2"/>
    <x v="2"/>
    <s v="IP"/>
    <m/>
    <d v="2015-12-02T00:00:00"/>
    <s v="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108"/>
    <m/>
    <n v="108"/>
    <s v="Sadung Town"/>
    <n v="17.035515422123492"/>
    <n v="4"/>
  </r>
  <r>
    <x v="1"/>
    <x v="0"/>
    <s v="MMR001"/>
    <s v="Myitkyina"/>
    <s v="MMR001D001"/>
    <x v="3"/>
    <s v="MMR001002"/>
    <s v="Waingmaw Town"/>
    <s v="MMR001002701"/>
    <s v="No (2) Ward"/>
    <s v="MMR001002701502"/>
    <x v="190"/>
    <x v="193"/>
    <x v="152"/>
    <n v="25.3540362037037"/>
    <n v="0"/>
    <n v="94"/>
    <n v="341"/>
    <n v="3.6276595744680851"/>
    <x v="0"/>
    <x v="0"/>
    <x v="0"/>
    <x v="2"/>
    <d v="2011-07-01T00:00:00"/>
    <n v="2"/>
    <x v="4"/>
    <s v="IP"/>
    <m/>
    <d v="2015-08-19T00:00:00"/>
    <s v="19-Aug-15 Population update. Source: Shalom._x000a_25-Jun-15 Population update. Source : Shalom."/>
    <s v="P4"/>
    <n v="0"/>
    <m/>
    <n v="0"/>
    <s v="Waingmaw Town"/>
    <n v="0.37684287609457234"/>
    <n v="1"/>
  </r>
  <r>
    <x v="1"/>
    <x v="0"/>
    <s v="MMR001"/>
    <s v="Myitkyina"/>
    <s v="MMR001D001"/>
    <x v="3"/>
    <s v="MMR001002"/>
    <s v="Waingmaw Town"/>
    <s v="MMR001002701"/>
    <s v="No (2) Ward"/>
    <s v="MMR001002701502"/>
    <x v="191"/>
    <x v="194"/>
    <x v="153"/>
    <n v="25.351724999999998"/>
    <n v="0"/>
    <n v="65"/>
    <n v="322"/>
    <n v="4.953846153846154"/>
    <x v="0"/>
    <x v="0"/>
    <x v="0"/>
    <x v="2"/>
    <d v="2011-06-01T00:00:00"/>
    <n v="2"/>
    <x v="1"/>
    <s v="IP"/>
    <m/>
    <d v="2015-12-02T00:00:00"/>
    <s v="2/Dec/2015 (Population update. Data source: Monthly report by KBC)._x000a_19-Aug-2015 Update population from KBC._x000a_25-Jun-2015 Update population from KBC._x000a_Checked with KBC data"/>
    <s v="P4"/>
    <n v="27"/>
    <m/>
    <n v="27"/>
    <s v="Waingmaw Town"/>
    <n v="0.4474205416025816"/>
    <n v="1"/>
  </r>
  <r>
    <x v="1"/>
    <x v="0"/>
    <s v="MMR001"/>
    <s v="Myitkyina"/>
    <s v="MMR001D001"/>
    <x v="3"/>
    <s v="MMR001002"/>
    <s v="Waingmaw Town"/>
    <s v="MMR001002701"/>
    <s v="No (3) Ward"/>
    <s v="MMR001002701503"/>
    <x v="192"/>
    <x v="195"/>
    <x v="154"/>
    <n v="25.345918166666699"/>
    <m/>
    <n v="31"/>
    <n v="170"/>
    <n v="5.4838709677419351"/>
    <x v="0"/>
    <x v="0"/>
    <x v="0"/>
    <x v="2"/>
    <d v="2011-06-01T00:00:00"/>
    <n v="1"/>
    <x v="4"/>
    <s v="IP"/>
    <m/>
    <d v="2015-06-25T00:00:00"/>
    <s v="25-Jun-15 Population update. Source : Shalom._x000a_Population update: Source: Camp Profile Round 2."/>
    <s v="P4"/>
    <n v="0"/>
    <m/>
    <n v="0"/>
    <s v="Waingmaw Town"/>
    <n v="0.77827912736780092"/>
    <n v="1"/>
  </r>
  <r>
    <x v="1"/>
    <x v="0"/>
    <s v="MMR001"/>
    <s v="Myitkyina"/>
    <s v="MMR001D001"/>
    <x v="3"/>
    <s v="MMR001002"/>
    <s v="Waingmaw Town"/>
    <s v="MMR001002701"/>
    <s v="No (4) Ward"/>
    <s v="MMR001002701504"/>
    <x v="193"/>
    <x v="196"/>
    <x v="155"/>
    <n v="25.350809000000002"/>
    <n v="0"/>
    <n v="91"/>
    <n v="472"/>
    <n v="5.186813186813187"/>
    <x v="0"/>
    <x v="0"/>
    <x v="0"/>
    <x v="2"/>
    <d v="2012-02-01T00:00:00"/>
    <n v="1"/>
    <x v="4"/>
    <s v="IP"/>
    <m/>
    <d v="2015-11-09T00:00:00"/>
    <s v="9/Nov/15. Population update. Data source: monthly report by HAP._x000a_19-Aug-15 Population update. Source: Shalom._x000a_25-Jun-15 Population update. Source : Shalom._x000a_Population update: Source: Camp Profile Round 2."/>
    <s v="P4"/>
    <n v="0"/>
    <m/>
    <n v="0"/>
    <s v="Waingmaw Town"/>
    <n v="1.0367202051285227"/>
    <n v="1"/>
  </r>
  <r>
    <x v="1"/>
    <x v="0"/>
    <s v="MMR001"/>
    <s v="Mohnyin"/>
    <s v="MMR001D002"/>
    <x v="0"/>
    <s v="MMR001009"/>
    <s v="Seik Mu"/>
    <s v="MMR001009003"/>
    <s v="Maw Shan"/>
    <n v="166785"/>
    <x v="194"/>
    <x v="197"/>
    <x v="156"/>
    <n v="25.56551"/>
    <n v="259"/>
    <n v="10"/>
    <n v="39"/>
    <n v="3.9"/>
    <x v="0"/>
    <x v="0"/>
    <x v="0"/>
    <x v="1"/>
    <d v="2013-01-01T00:00:00"/>
    <n v="1"/>
    <x v="4"/>
    <s v="IP"/>
    <m/>
    <d v="2015-10-14T00:00:00"/>
    <s v="14-Oct-15 Population update. Soruce; Hpakant Mission Report_WFP_x000a_19-Aug-15 Population updae. Source: Shalom._x000a_25-Jun-15 (Population update. Source Shalom)_x000a_Population update: Source: Camp Profile Round 2."/>
    <s v="P4"/>
    <n v="0"/>
    <m/>
    <n v="0"/>
    <s v="Hpakant Town"/>
    <n v="6.2085564346706201"/>
    <n v="2"/>
  </r>
  <r>
    <x v="1"/>
    <x v="0"/>
    <s v="MMR001"/>
    <s v="Bhamo"/>
    <s v="MMR001D003"/>
    <x v="1"/>
    <s v="MMR001010"/>
    <s v="Bhamo Town"/>
    <s v="MMR001010701"/>
    <s v="Nyaung Pin Ward"/>
    <s v="MMR001010701508"/>
    <x v="195"/>
    <x v="198"/>
    <x v="157"/>
    <n v="24.268292826086999"/>
    <m/>
    <n v="652"/>
    <n v="3706"/>
    <n v="5.6840490797546011"/>
    <x v="0"/>
    <x v="0"/>
    <x v="0"/>
    <x v="2"/>
    <d v="2011-07-01T00:00:00"/>
    <n v="3"/>
    <x v="1"/>
    <s v="IP"/>
    <m/>
    <d v="2015-12-02T00:00:00"/>
    <s v="2/Dec/2015. Population update. Data source: KBC._x000a_25-Jun-2015 Update population. Data Source: KBC_x000a_Population update: Source: Camp Profile Round 2."/>
    <s v="P4"/>
    <n v="227"/>
    <m/>
    <n v="227"/>
    <s v="Bhamo Town"/>
    <n v="1.5797992800898704"/>
    <n v="1"/>
  </r>
  <r>
    <x v="0"/>
    <x v="0"/>
    <s v="MMR001"/>
    <s v="Mohnyin"/>
    <s v="MMR001D002"/>
    <x v="0"/>
    <s v="MMR001009"/>
    <m/>
    <m/>
    <m/>
    <m/>
    <x v="196"/>
    <x v="199"/>
    <x v="6"/>
    <m/>
    <m/>
    <n v="0"/>
    <n v="0"/>
    <s v="NA"/>
    <x v="0"/>
    <x v="0"/>
    <x v="0"/>
    <x v="0"/>
    <m/>
    <m/>
    <x v="0"/>
    <m/>
    <m/>
    <m/>
    <m/>
    <s v=""/>
    <n v="0"/>
    <m/>
    <n v="0"/>
    <s v=""/>
    <s v=""/>
    <s v=""/>
  </r>
  <r>
    <x v="1"/>
    <x v="0"/>
    <s v="MMR001"/>
    <s v="Mohnyin"/>
    <s v="MMR001D002"/>
    <x v="0"/>
    <s v="MMR001009"/>
    <s v="Lone Khin"/>
    <s v="MR001009001"/>
    <m/>
    <m/>
    <x v="197"/>
    <x v="200"/>
    <x v="158"/>
    <n v="25.668399999999998"/>
    <n v="0"/>
    <n v="8"/>
    <n v="40"/>
    <n v="5"/>
    <x v="0"/>
    <x v="0"/>
    <x v="0"/>
    <x v="1"/>
    <d v="2013-01-01T00:00:00"/>
    <n v="1"/>
    <x v="1"/>
    <s v="IP"/>
    <m/>
    <d v="2015-10-14T00:00:00"/>
    <s v="14-Oct-15 Population update. Soruce; Hpakant Mission Report_WFP_x000a_25-Jun-15 Population update. Source: KBC_x000a_2-Apr-15 (Population update, Source: UNHCR CCCM Mission)_x000a_Update population according to KBC data"/>
    <s v="P4"/>
    <n v="3"/>
    <m/>
    <n v="3"/>
    <s v="Hpakant Town"/>
    <n v="7.419312682373878"/>
    <n v="2"/>
  </r>
  <r>
    <x v="1"/>
    <x v="0"/>
    <s v="MMR001"/>
    <s v="Puta-O"/>
    <s v="MMR001D004"/>
    <x v="20"/>
    <s v="MMR001015"/>
    <m/>
    <m/>
    <m/>
    <m/>
    <x v="198"/>
    <x v="201"/>
    <x v="159"/>
    <n v="26.548506"/>
    <m/>
    <m/>
    <n v="489"/>
    <s v="NA"/>
    <x v="0"/>
    <x v="0"/>
    <x v="0"/>
    <x v="0"/>
    <m/>
    <m/>
    <x v="0"/>
    <m/>
    <m/>
    <d v="2015-10-02T00:00:00"/>
    <s v="10/2/2015. New Camp. Data source: CCCM team-Ko Maran"/>
    <m/>
    <n v="0"/>
    <m/>
    <n v="0"/>
    <s v=""/>
    <s v=""/>
    <s v=""/>
  </r>
  <r>
    <x v="0"/>
    <x v="0"/>
    <s v="MMR001"/>
    <s v="Mohnyin"/>
    <s v="MMR001D002"/>
    <x v="0"/>
    <s v="MMR001009"/>
    <m/>
    <m/>
    <m/>
    <m/>
    <x v="199"/>
    <x v="202"/>
    <x v="6"/>
    <m/>
    <m/>
    <n v="0"/>
    <n v="0"/>
    <s v="NA"/>
    <x v="0"/>
    <x v="0"/>
    <x v="0"/>
    <x v="0"/>
    <m/>
    <m/>
    <x v="0"/>
    <m/>
    <m/>
    <m/>
    <s v=" "/>
    <s v=""/>
    <n v="0"/>
    <m/>
    <n v="0"/>
    <s v=""/>
    <s v=""/>
    <s v=""/>
  </r>
  <r>
    <x v="1"/>
    <x v="0"/>
    <m/>
    <m/>
    <m/>
    <x v="12"/>
    <s v="MMR001008"/>
    <s v="Sar Hmaw"/>
    <s v="MMR001008018"/>
    <s v="Sar Hmaw"/>
    <n v="166724"/>
    <x v="200"/>
    <x v="203"/>
    <x v="6"/>
    <m/>
    <m/>
    <n v="24"/>
    <n v="83"/>
    <n v="3.4583333333333335"/>
    <x v="0"/>
    <x v="0"/>
    <x v="1"/>
    <x v="1"/>
    <d v="2015-05-01T00:00:00"/>
    <m/>
    <x v="0"/>
    <s v="RRD"/>
    <m/>
    <d v="2015-06-25T00:00:00"/>
    <s v="25-Jun-2015 (New host families. Source: RRD)"/>
    <m/>
    <n v="0"/>
    <m/>
    <n v="0"/>
    <s v=""/>
    <s v=""/>
    <s v=""/>
  </r>
  <r>
    <x v="1"/>
    <x v="0"/>
    <m/>
    <m/>
    <m/>
    <x v="12"/>
    <s v="MMR001008"/>
    <s v="Sar Hmaw"/>
    <s v="MMR001008018"/>
    <s v="Sar Hmaw"/>
    <n v="166724"/>
    <x v="201"/>
    <x v="204"/>
    <x v="6"/>
    <m/>
    <m/>
    <n v="40"/>
    <n v="158"/>
    <n v="3.95"/>
    <x v="0"/>
    <x v="0"/>
    <x v="1"/>
    <x v="1"/>
    <d v="2015-05-01T00:00:00"/>
    <m/>
    <x v="0"/>
    <s v="RRD"/>
    <m/>
    <d v="2015-12-13T00:00:00"/>
    <s v="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
    <s v=""/>
    <s v=""/>
  </r>
  <r>
    <x v="1"/>
    <x v="0"/>
    <s v="MMR001"/>
    <s v="Myitkyina"/>
    <s v="MMR001D001"/>
    <x v="4"/>
    <s v="MMR001005"/>
    <m/>
    <m/>
    <m/>
    <m/>
    <x v="202"/>
    <x v="205"/>
    <x v="160"/>
    <n v="25.645959999999999"/>
    <n v="1945"/>
    <n v="30"/>
    <n v="181"/>
    <n v="6.0333333333333332"/>
    <x v="0"/>
    <x v="0"/>
    <x v="0"/>
    <x v="2"/>
    <m/>
    <m/>
    <x v="2"/>
    <s v="IP"/>
    <m/>
    <d v="2015-08-19T00:00:00"/>
    <s v="19-Aug-15 (Population update. Data Source: KMSS-MYT)_x000a_2-Apr-15 (Population update, Source: UNHCR CCCM Mission)_x000a_Population Update. Source: KMSS-MYT"/>
    <s v="P1"/>
    <n v="30"/>
    <m/>
    <n v="30"/>
    <s v="Naypyitaw Town"/>
    <n v="0"/>
    <n v="1"/>
  </r>
  <r>
    <x v="1"/>
    <x v="0"/>
    <s v="MMR001"/>
    <s v="Bhamo"/>
    <s v="MMR001D003"/>
    <x v="5"/>
    <s v="MMR001012"/>
    <s v="Wein  Hkam (Lwegel Sub-township)"/>
    <s v="MMR001012039"/>
    <m/>
    <m/>
    <x v="203"/>
    <x v="206"/>
    <x v="161"/>
    <n v="24.207332999999998"/>
    <n v="0"/>
    <n v="45"/>
    <n v="269"/>
    <n v="5.9777777777777779"/>
    <x v="0"/>
    <x v="0"/>
    <x v="0"/>
    <x v="2"/>
    <d v="2012-08-01T00:00:00"/>
    <n v="1"/>
    <x v="1"/>
    <s v="IP"/>
    <m/>
    <d v="2015-12-02T00:00:00"/>
    <s v="2/Dec/2015. Population update. Data source: KBC_x000a_25-Jun-2015 Update population. Data Source: KBC_x000a_Population update: Source: Camp Profile Round 2."/>
    <s v="P3"/>
    <n v="5"/>
    <m/>
    <n v="5"/>
    <s v="Lwegel Town"/>
    <n v="1.343152344964242"/>
    <n v="1"/>
  </r>
  <r>
    <x v="1"/>
    <x v="0"/>
    <s v="MMR001"/>
    <s v="Myitkyina"/>
    <s v="MMR001D001"/>
    <x v="6"/>
    <s v="MMR001001"/>
    <s v="Myitkyina Town"/>
    <s v="MMR001001701"/>
    <s v="Si Tar Pu Ward"/>
    <s v="MMR001001701521"/>
    <x v="204"/>
    <x v="207"/>
    <x v="162"/>
    <n v="25.412313000000001"/>
    <n v="0"/>
    <n v="95"/>
    <n v="385"/>
    <n v="4.0526315789473681"/>
    <x v="0"/>
    <x v="0"/>
    <x v="0"/>
    <x v="2"/>
    <d v="2011-08-01T00:00:00"/>
    <n v="2"/>
    <x v="1"/>
    <s v="IP"/>
    <m/>
    <d v="2015-12-02T00:00:00"/>
    <s v="2/Dec/2015. Population update. Data source: KBC._x000a_19-Aug-2015 Update population from KBC._x000a_25-Jun-2015 Update population from KBC._x000a_Update population according to KBC data"/>
    <s v="P4"/>
    <n v="31"/>
    <m/>
    <n v="31"/>
    <s v="Myitkyina Town"/>
    <n v="2.9133254097712102"/>
    <n v="1"/>
  </r>
  <r>
    <x v="1"/>
    <x v="0"/>
    <s v="MMR001"/>
    <s v="Myitkyina"/>
    <s v="MMR001D001"/>
    <x v="6"/>
    <s v="MMR001001"/>
    <s v="Myitkyina Town"/>
    <s v="MMR001001701"/>
    <s v="Si Tar Pu Ward"/>
    <s v="MMR001001701521"/>
    <x v="205"/>
    <x v="208"/>
    <x v="163"/>
    <n v="25.423817"/>
    <n v="0"/>
    <n v="28"/>
    <n v="130"/>
    <n v="4.6428571428571432"/>
    <x v="0"/>
    <x v="0"/>
    <x v="0"/>
    <x v="2"/>
    <d v="2012-01-01T00:00:00"/>
    <n v="1"/>
    <x v="4"/>
    <s v="IP"/>
    <m/>
    <d v="2015-08-19T00:00:00"/>
    <s v="19-Aug-15 Population update. Source Shalom._x000a_25-Jun-15 Population update. Source Shalom._x000a_Population update: Source: Camp Profile Round 2."/>
    <s v="P4"/>
    <n v="28"/>
    <m/>
    <n v="28"/>
    <s v="Myitkyina Town"/>
    <n v="4.9021696969220816"/>
    <n v="1"/>
  </r>
  <r>
    <x v="1"/>
    <x v="0"/>
    <s v="MMR001"/>
    <s v="Myitkyina"/>
    <s v="MMR001D001"/>
    <x v="3"/>
    <s v="MMR001002"/>
    <s v="Waw Shung (Kan Paik Ti Sub-township)"/>
    <s v="MMR001002035"/>
    <s v="Shan Kyaing"/>
    <n v="165845"/>
    <x v="206"/>
    <x v="209"/>
    <x v="164"/>
    <n v="25.418084"/>
    <m/>
    <n v="172"/>
    <n v="838"/>
    <n v="4.8720930232558137"/>
    <x v="0"/>
    <x v="0"/>
    <x v="0"/>
    <x v="1"/>
    <m/>
    <n v="2"/>
    <x v="1"/>
    <s v="IP"/>
    <m/>
    <d v="2015-06-25T00:00:00"/>
    <s v="25-Jun-2015 Update population. Data Source: KBC_x000a_Changed NGCA to GCA. Source: Programme Unit."/>
    <s v="P1"/>
    <n v="0"/>
    <m/>
    <n v="0"/>
    <s v="Kan Paik Ti Town"/>
    <n v="9.3609732231189877"/>
    <n v="2"/>
  </r>
  <r>
    <x v="1"/>
    <x v="0"/>
    <s v="MMR001"/>
    <s v="Bhamo"/>
    <s v="MMR001D003"/>
    <x v="9"/>
    <s v="MMR001011"/>
    <s v="Shwegu Town"/>
    <s v="MMR001011701"/>
    <s v="Shwegu Town"/>
    <s v="MMR001011701504"/>
    <x v="207"/>
    <x v="210"/>
    <x v="165"/>
    <n v="24.200361000000001"/>
    <n v="0"/>
    <n v="83"/>
    <n v="293"/>
    <n v="3.5301204819277108"/>
    <x v="0"/>
    <x v="0"/>
    <x v="0"/>
    <x v="2"/>
    <d v="2011-07-01T00:00:00"/>
    <n v="1"/>
    <x v="1"/>
    <s v="IP"/>
    <m/>
    <d v="2015-12-02T00:00:00"/>
    <s v="2/Dec/2015. Population update. Data source: KBC_x000a_25-Jun-2015 Update population. Data Source: KBC_x000a_Population update: Source UNHCR-Bhamo"/>
    <s v="P4"/>
    <n v="41"/>
    <m/>
    <n v="41"/>
    <s v="Shwegu Town"/>
    <n v="0.74396039478864395"/>
    <n v="1"/>
  </r>
  <r>
    <x v="1"/>
    <x v="0"/>
    <s v="MMR001"/>
    <s v="Bhamo"/>
    <s v="MMR001D003"/>
    <x v="9"/>
    <s v="MMR001011"/>
    <s v="Shwegu Town"/>
    <s v="MMR001011701"/>
    <s v="Shwegu Town"/>
    <s v="MMR001011701504"/>
    <x v="208"/>
    <x v="211"/>
    <x v="165"/>
    <n v="24.200367"/>
    <m/>
    <n v="40"/>
    <n v="208"/>
    <n v="5.2"/>
    <x v="0"/>
    <x v="0"/>
    <x v="0"/>
    <x v="2"/>
    <d v="2011-07-01T00:00:00"/>
    <n v="2"/>
    <x v="3"/>
    <s v="IP"/>
    <m/>
    <d v="2015-08-19T00:00:00"/>
    <s v="19 Aug 2015. Update Population. Data Source; KMSS-BMO_x000a_Population update: Source UNHCR-Bhamo"/>
    <s v="P4"/>
    <n v="0"/>
    <m/>
    <n v="0"/>
    <s v="Shwegu Town"/>
    <n v="0.74330366237812662"/>
    <n v="1"/>
  </r>
  <r>
    <x v="1"/>
    <x v="0"/>
    <s v="MMR001"/>
    <s v="Myitkyina"/>
    <s v="MMR001D001"/>
    <x v="6"/>
    <s v="MMR001001"/>
    <s v="Myitkyina Town"/>
    <s v="MMR001001701"/>
    <s v="Shwe Set Ward"/>
    <s v="MMR001001701518"/>
    <x v="209"/>
    <x v="212"/>
    <x v="166"/>
    <n v="25.440928"/>
    <n v="0"/>
    <n v="90"/>
    <n v="487"/>
    <n v="5.4111111111111114"/>
    <x v="0"/>
    <x v="0"/>
    <x v="0"/>
    <x v="2"/>
    <d v="2011-07-01T00:00:00"/>
    <n v="2"/>
    <x v="1"/>
    <s v="IP"/>
    <m/>
    <d v="2015-12-02T00:00:00"/>
    <s v="2/Dec/2015. Population update. Data source: KBC._x000a_19-Aug-15 - Update population from KBC._x000a_25-Jun-2015 Update population from KBC._x000a_Update population according to KBC data"/>
    <s v="P4"/>
    <n v="40"/>
    <m/>
    <n v="40"/>
    <s v="Myitkyina Town"/>
    <n v="6.6198004689728469"/>
    <n v="2"/>
  </r>
  <r>
    <x v="0"/>
    <x v="0"/>
    <s v="MMR001"/>
    <s v="Bhamo"/>
    <s v="MMR001D003"/>
    <x v="2"/>
    <s v="MMR001013"/>
    <m/>
    <m/>
    <m/>
    <m/>
    <x v="210"/>
    <x v="213"/>
    <x v="6"/>
    <m/>
    <m/>
    <n v="0"/>
    <n v="0"/>
    <s v="NA"/>
    <x v="0"/>
    <x v="0"/>
    <x v="0"/>
    <x v="1"/>
    <m/>
    <m/>
    <x v="0"/>
    <s v="IP"/>
    <m/>
    <d v="2014-01-13T00:00:00"/>
    <s v="Close (Source: OCHA)"/>
    <s v=""/>
    <n v="0"/>
    <m/>
    <n v="0"/>
    <s v=""/>
    <s v=""/>
    <s v=""/>
  </r>
  <r>
    <x v="1"/>
    <x v="0"/>
    <s v="MMR001"/>
    <s v="Mohnyin"/>
    <s v="MMR001D002"/>
    <x v="8"/>
    <s v="MMR001007"/>
    <s v="Mohnyin Town"/>
    <s v="MMR001007701"/>
    <m/>
    <m/>
    <x v="211"/>
    <x v="214"/>
    <x v="167"/>
    <n v="24.764800000000001"/>
    <m/>
    <n v="12"/>
    <n v="52"/>
    <n v="4.333333333333333"/>
    <x v="0"/>
    <x v="0"/>
    <x v="0"/>
    <x v="2"/>
    <m/>
    <m/>
    <x v="2"/>
    <s v="IP"/>
    <m/>
    <d v="2015-12-02T00:00:00"/>
    <s v="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0"/>
    <x v="0"/>
    <s v="MMR001"/>
    <s v="Bhamo"/>
    <s v="MMR001D003"/>
    <x v="1"/>
    <s v="MMR001010"/>
    <m/>
    <m/>
    <m/>
    <m/>
    <x v="212"/>
    <x v="215"/>
    <x v="6"/>
    <m/>
    <m/>
    <n v="0"/>
    <n v="0"/>
    <s v="NA"/>
    <x v="0"/>
    <x v="0"/>
    <x v="0"/>
    <x v="2"/>
    <m/>
    <m/>
    <x v="0"/>
    <s v="IP"/>
    <m/>
    <d v="2014-03-04T00:00:00"/>
    <s v="Closed. Rellocated next to AD 2000 Tharthana Compound and CCCM is under AD 2000"/>
    <s v=""/>
    <n v="0"/>
    <m/>
    <n v="0"/>
    <s v=""/>
    <s v=""/>
    <s v=""/>
  </r>
  <r>
    <x v="1"/>
    <x v="0"/>
    <s v="MMR001"/>
    <s v="Puta-O"/>
    <s v="MMR001D004"/>
    <x v="20"/>
    <s v="MMR001015"/>
    <s v="Sumprabum Town"/>
    <s v="MMR001015701"/>
    <m/>
    <m/>
    <x v="213"/>
    <x v="216"/>
    <x v="168"/>
    <n v="26.541930000000001"/>
    <n v="1025"/>
    <n v="5"/>
    <n v="32"/>
    <n v="6.4"/>
    <x v="0"/>
    <x v="0"/>
    <x v="0"/>
    <x v="1"/>
    <m/>
    <m/>
    <x v="0"/>
    <s v="RRD"/>
    <m/>
    <m/>
    <s v=" "/>
    <s v="P4"/>
    <n v="5"/>
    <m/>
    <n v="5"/>
    <s v="Sumprabum Town"/>
    <n v="0.23004407510846425"/>
    <n v="1"/>
  </r>
  <r>
    <x v="1"/>
    <x v="0"/>
    <s v="MMR001"/>
    <s v="Bhamo"/>
    <s v="MMR001D003"/>
    <x v="1"/>
    <s v="MMR001010"/>
    <s v="Bhamo Town"/>
    <s v="MMR001010701"/>
    <s v="Shwe Kyee Nar Ward"/>
    <s v="MMR001010701513"/>
    <x v="214"/>
    <x v="217"/>
    <x v="169"/>
    <n v="24.29138"/>
    <n v="0"/>
    <n v="25"/>
    <n v="104"/>
    <n v="4.16"/>
    <x v="0"/>
    <x v="0"/>
    <x v="0"/>
    <x v="2"/>
    <d v="2012-05-01T00:00:00"/>
    <n v="2"/>
    <x v="4"/>
    <s v="IP"/>
    <m/>
    <d v="2015-11-09T00:00:00"/>
    <s v="9/Nov/15. Population update. Data source: monthly report by HAP._x000a_19-Aug-15 Population update. Source: Shalom._x000a_25-Jun-15 (Population update. Source : Shalom)_x000a_Population update: Source: Camp Profile Round 2."/>
    <s v="P4"/>
    <n v="0"/>
    <n v="0"/>
    <n v="0"/>
    <s v="Bhamo Town"/>
    <n v="4.108228790802368"/>
    <n v="1"/>
  </r>
  <r>
    <x v="0"/>
    <x v="0"/>
    <s v="MMR001"/>
    <s v="Mohnyin"/>
    <s v="MMR001D002"/>
    <x v="0"/>
    <s v="MMR001009"/>
    <s v="Haung Par"/>
    <s v="MMR001009004"/>
    <s v="Haung Par"/>
    <n v="166794"/>
    <x v="215"/>
    <x v="218"/>
    <x v="6"/>
    <m/>
    <m/>
    <n v="0"/>
    <n v="0"/>
    <s v="NA"/>
    <x v="0"/>
    <x v="0"/>
    <x v="0"/>
    <x v="0"/>
    <m/>
    <m/>
    <x v="0"/>
    <m/>
    <m/>
    <m/>
    <m/>
    <s v=""/>
    <n v="0"/>
    <m/>
    <n v="0"/>
    <s v=""/>
    <s v=""/>
    <s v=""/>
  </r>
  <r>
    <x v="1"/>
    <x v="0"/>
    <s v="MMR001"/>
    <s v="Bhamo"/>
    <s v="MMR001D003"/>
    <x v="5"/>
    <s v="MMR001012"/>
    <s v="Tar Li"/>
    <s v="MMR001012021"/>
    <s v="Tar Li"/>
    <n v="167086"/>
    <x v="216"/>
    <x v="219"/>
    <x v="170"/>
    <n v="24.492493"/>
    <m/>
    <n v="10"/>
    <n v="38"/>
    <n v="3.8"/>
    <x v="0"/>
    <x v="0"/>
    <x v="1"/>
    <x v="1"/>
    <m/>
    <m/>
    <x v="0"/>
    <s v="RRD"/>
    <m/>
    <d v="2014-06-13T00:00:00"/>
    <s v="Geo-Info, HH/Pop data was updated from Google Earth."/>
    <s v="P4"/>
    <n v="0"/>
    <m/>
    <n v="0"/>
    <s v="Dawthponeyan  Town"/>
    <n v="14.236592976936194"/>
    <n v="3"/>
  </r>
  <r>
    <x v="1"/>
    <x v="0"/>
    <s v="MMR001"/>
    <s v="Myitkyina"/>
    <s v="MMR001D001"/>
    <x v="6"/>
    <s v="MMR001001"/>
    <s v="Myitkyina Town"/>
    <s v="MMR001001701"/>
    <s v="Tat Kone Ward"/>
    <s v="MMR001001701520"/>
    <x v="217"/>
    <x v="220"/>
    <x v="171"/>
    <n v="25.415482000000001"/>
    <n v="0"/>
    <n v="70"/>
    <n v="369"/>
    <n v="5.2714285714285714"/>
    <x v="0"/>
    <x v="0"/>
    <x v="0"/>
    <x v="2"/>
    <d v="2011-06-01T00:00:00"/>
    <n v="1"/>
    <x v="1"/>
    <s v="IP"/>
    <m/>
    <d v="2015-12-02T00:00:00"/>
    <s v="2/Dec/2015. Population update. Data source: KBC._x000a_19-Aug-15 Update population from KBC_x000a_25-Jun-2015 Update population from KBC._x000a_Checked with KBC data"/>
    <s v="P4"/>
    <n v="10"/>
    <m/>
    <n v="10"/>
    <s v="Myitkyina Town"/>
    <n v="3.1341427522962952"/>
    <n v="1"/>
  </r>
  <r>
    <x v="1"/>
    <x v="0"/>
    <s v="MMR001"/>
    <s v="Myitkyina"/>
    <s v="MMR001D001"/>
    <x v="6"/>
    <s v="MMR001001"/>
    <s v="Myitkyina Town"/>
    <s v="MMR001001701"/>
    <s v="Tat Kone Ward"/>
    <s v="MMR001001701520"/>
    <x v="218"/>
    <x v="221"/>
    <x v="172"/>
    <n v="25.410913749999999"/>
    <n v="0"/>
    <n v="68"/>
    <n v="339"/>
    <n v="4.9852941176470589"/>
    <x v="0"/>
    <x v="0"/>
    <x v="0"/>
    <x v="2"/>
    <d v="2012-04-01T00:00:00"/>
    <n v="1"/>
    <x v="4"/>
    <s v="IP"/>
    <m/>
    <d v="2015-11-09T00:00:00"/>
    <s v="9/Nov/15. Population update. Data source: monthly report by HAP._x000a_19-Aug-15 Update population. Source: Shalom_x000a_25-Jun-15 Population update. Source : Shalom._x000a_Population update: Source: Camp Profile Round 2."/>
    <s v="P4"/>
    <n v="0"/>
    <m/>
    <n v="0"/>
    <s v="Myitkyina Town"/>
    <n v="2.6190942927115026"/>
    <n v="1"/>
  </r>
  <r>
    <x v="1"/>
    <x v="0"/>
    <s v="MMR001"/>
    <s v="Myitkyina"/>
    <s v="MMR001D001"/>
    <x v="6"/>
    <s v="MMR001001"/>
    <s v="Myitkyina Town"/>
    <s v="MMR001001701"/>
    <s v="Tat Kone Ward"/>
    <s v="MMR001001701520"/>
    <x v="219"/>
    <x v="222"/>
    <x v="173"/>
    <n v="25.417733999999999"/>
    <n v="0"/>
    <n v="12"/>
    <n v="55"/>
    <n v="4.583333333333333"/>
    <x v="0"/>
    <x v="0"/>
    <x v="0"/>
    <x v="2"/>
    <d v="2011-08-01T00:00:00"/>
    <n v="1"/>
    <x v="4"/>
    <s v="IP"/>
    <m/>
    <d v="2015-11-09T00:00:00"/>
    <s v="9/Nov/15. Population update. Data source: monthly report by HAP._x000a_19-Aug-15 Update Population. Source: Shalom._x000a_25-Jun-2015 Update population. Source : Shalom._x000a_Population update: Source: Camp Profile Round 2."/>
    <s v="P4"/>
    <n v="0"/>
    <m/>
    <n v="0"/>
    <s v="Myitkyina Town"/>
    <n v="3.3637010801853577"/>
    <n v="1"/>
  </r>
  <r>
    <x v="1"/>
    <x v="0"/>
    <s v="MMR001"/>
    <s v="Myitkyina"/>
    <s v="MMR001D001"/>
    <x v="6"/>
    <s v="MMR001001"/>
    <s v="Myitkyina Town"/>
    <s v="MMR001001701"/>
    <s v="Tat Kone Ward"/>
    <s v="MMR001001701520"/>
    <x v="220"/>
    <x v="223"/>
    <x v="174"/>
    <n v="25.404752999999999"/>
    <n v="0"/>
    <n v="32"/>
    <n v="146"/>
    <n v="4.5625"/>
    <x v="0"/>
    <x v="0"/>
    <x v="0"/>
    <x v="2"/>
    <d v="2011-07-01T00:00:00"/>
    <n v="1"/>
    <x v="1"/>
    <s v="IP"/>
    <m/>
    <d v="2015-08-19T00:00:00"/>
    <s v="19-Aug-15 Update pouplation from KBC_x000a_25-Jun-2015 Update population from KBC._x000a_Update population according to KBC data"/>
    <s v="P4"/>
    <n v="12"/>
    <m/>
    <n v="12"/>
    <s v="Myitkyina Town"/>
    <n v="2.3045478259125423"/>
    <n v="1"/>
  </r>
  <r>
    <x v="1"/>
    <x v="0"/>
    <s v="MMR001"/>
    <s v="Myitkyina"/>
    <s v="MMR001D001"/>
    <x v="6"/>
    <s v="MMR001001"/>
    <s v="Myitkyina Town"/>
    <s v="MMR001001701"/>
    <s v="Tat Kone Ward"/>
    <s v="MMR001001701520"/>
    <x v="221"/>
    <x v="224"/>
    <x v="175"/>
    <n v="25.404015000000001"/>
    <n v="0"/>
    <n v="44"/>
    <n v="212"/>
    <n v="4.8181818181818183"/>
    <x v="0"/>
    <x v="0"/>
    <x v="0"/>
    <x v="2"/>
    <m/>
    <n v="1"/>
    <x v="1"/>
    <s v="IP"/>
    <m/>
    <d v="2015-12-02T00:00:00"/>
    <s v="2/Dec/2015 (Population update. Data source: Monthly report by KBC)._x000a_19-Aug-15 Update population from KBC._x000a_25-Jun-2015 Update population from KBC._x000a_Checked with KBC data"/>
    <s v="P4"/>
    <n v="12"/>
    <m/>
    <n v="12"/>
    <s v="Myitkyina Town"/>
    <n v="2.0123527499589278"/>
    <n v="1"/>
  </r>
  <r>
    <x v="1"/>
    <x v="0"/>
    <s v="MMR001"/>
    <s v="Myitkyina"/>
    <s v="MMR001D001"/>
    <x v="3"/>
    <s v="MMR001002"/>
    <s v="Waingmaw Town"/>
    <s v="MMR001002701"/>
    <s v="No (4) Ward"/>
    <s v="MMR001002701504"/>
    <x v="222"/>
    <x v="225"/>
    <x v="176"/>
    <n v="25.333683333333301"/>
    <m/>
    <n v="42"/>
    <n v="180"/>
    <n v="4.2857142857142856"/>
    <x v="0"/>
    <x v="0"/>
    <x v="0"/>
    <x v="2"/>
    <m/>
    <n v="1"/>
    <x v="4"/>
    <s v="IP"/>
    <m/>
    <d v="2015-11-09T00:00:00"/>
    <s v="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Bhamo"/>
    <s v="MMR001D003"/>
    <x v="1"/>
    <s v="MMR001010"/>
    <s v="Han Te"/>
    <s v="MMR001010024"/>
    <m/>
    <m/>
    <x v="223"/>
    <x v="226"/>
    <x v="177"/>
    <n v="24.229189999999999"/>
    <n v="126"/>
    <n v="0"/>
    <n v="0"/>
    <s v="NA"/>
    <x v="0"/>
    <x v="0"/>
    <x v="0"/>
    <x v="2"/>
    <m/>
    <m/>
    <x v="4"/>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ohnyin"/>
    <s v="MMR001D002"/>
    <x v="0"/>
    <s v="MMR001009"/>
    <s v="Hpakan Town"/>
    <s v="MMR001009701"/>
    <s v="Myo Ma Ward"/>
    <s v="MMR001009701503"/>
    <x v="224"/>
    <x v="227"/>
    <x v="6"/>
    <m/>
    <m/>
    <n v="0"/>
    <n v="0"/>
    <s v="NA"/>
    <x v="0"/>
    <x v="0"/>
    <x v="0"/>
    <x v="0"/>
    <m/>
    <m/>
    <x v="0"/>
    <m/>
    <m/>
    <m/>
    <s v=" "/>
    <s v=""/>
    <n v="0"/>
    <m/>
    <n v="0"/>
    <s v=""/>
    <s v=""/>
    <s v=""/>
  </r>
  <r>
    <x v="0"/>
    <x v="0"/>
    <s v="MMR001"/>
    <s v="Bhamo"/>
    <s v="MMR001D003"/>
    <x v="1"/>
    <s v="MMR001010"/>
    <m/>
    <m/>
    <m/>
    <m/>
    <x v="225"/>
    <x v="228"/>
    <x v="6"/>
    <m/>
    <m/>
    <n v="0"/>
    <n v="0"/>
    <s v="NA"/>
    <x v="0"/>
    <x v="0"/>
    <x v="0"/>
    <x v="2"/>
    <m/>
    <m/>
    <x v="0"/>
    <s v="IP"/>
    <m/>
    <d v="2014-03-03T00:00:00"/>
    <s v="Closed. Rellocated to Tharthana Ahlin Yaung."/>
    <s v=""/>
    <n v="0"/>
    <m/>
    <n v="0"/>
    <s v=""/>
    <s v=""/>
    <s v=""/>
  </r>
  <r>
    <x v="1"/>
    <x v="0"/>
    <s v="MMR001"/>
    <s v="Puta-O"/>
    <s v="MMR001D004"/>
    <x v="11"/>
    <s v="MMR001014"/>
    <s v="Puta-O Town"/>
    <s v="MMR001014701"/>
    <s v="Doke Tan Ward"/>
    <s v="MMR001014701509"/>
    <x v="226"/>
    <x v="229"/>
    <x v="178"/>
    <n v="27.311699999999998"/>
    <n v="476.7"/>
    <n v="14"/>
    <n v="64"/>
    <n v="4.5714285714285712"/>
    <x v="0"/>
    <x v="0"/>
    <x v="1"/>
    <x v="1"/>
    <m/>
    <m/>
    <x v="0"/>
    <s v="IP"/>
    <m/>
    <d v="2014-04-07T00:00:00"/>
    <s v="Changed Camp to Host Families. Source: Camp Profile Questionnaire."/>
    <s v="P3"/>
    <n v="0"/>
    <m/>
    <n v="0"/>
    <s v="Puta-O Town"/>
    <n v="1.3759254000531889"/>
    <n v="1"/>
  </r>
  <r>
    <x v="1"/>
    <x v="0"/>
    <s v="MMR001"/>
    <s v="Myitkyina"/>
    <s v="MMR001D001"/>
    <x v="3"/>
    <s v="MMR001002"/>
    <s v="Waingmaw Town"/>
    <s v="MMR001002701"/>
    <s v="No (3) Ward"/>
    <s v="MMR001002701503"/>
    <x v="227"/>
    <x v="230"/>
    <x v="179"/>
    <n v="25.351250396825399"/>
    <n v="476"/>
    <n v="91"/>
    <n v="368"/>
    <n v="4.0439560439560438"/>
    <x v="0"/>
    <x v="0"/>
    <x v="0"/>
    <x v="2"/>
    <d v="2011-11-01T00:00:00"/>
    <n v="1"/>
    <x v="4"/>
    <s v="IP"/>
    <m/>
    <d v="2015-11-09T00:00:00"/>
    <s v="9/Nov/15. Population update. Data source: monthly report by HAP._x000a_19-Aug-15 Population update. Source: Shalom._x000a_25-Jun-15 Population update. Source : Shalom._x000a_Population update: Source: Camp Profile Round 2."/>
    <s v="P4"/>
    <n v="36"/>
    <m/>
    <n v="36"/>
    <s v="Waingmaw Town"/>
    <n v="0.15089472113650237"/>
    <n v="1"/>
  </r>
  <r>
    <x v="1"/>
    <x v="0"/>
    <s v="MMR001"/>
    <s v="Myitkyina"/>
    <s v="MMR001D001"/>
    <x v="3"/>
    <s v="MMR001002"/>
    <s v="Waingmaw Town"/>
    <s v="MMR001002701"/>
    <s v="No (2) Ward"/>
    <s v="MMR001002701502"/>
    <x v="228"/>
    <x v="231"/>
    <x v="180"/>
    <n v="25.355841999999999"/>
    <n v="0"/>
    <n v="0"/>
    <n v="90"/>
    <s v="NA"/>
    <x v="0"/>
    <x v="0"/>
    <x v="2"/>
    <x v="2"/>
    <d v="2011-11-01T00:00:00"/>
    <n v="1"/>
    <x v="1"/>
    <s v="IP"/>
    <m/>
    <d v="2015-12-02T00:00:00"/>
    <s v="2/Dec/2015 (Population update. Data source: Monthly report by KBC)._x000a_25-Jun-2015 Update population. Data Source: KBC_x000a_Changed to Boarding School."/>
    <s v="P4"/>
    <n v="0"/>
    <m/>
    <n v="0"/>
    <s v="Waingmaw Town"/>
    <n v="0.70725493400809891"/>
    <n v="1"/>
  </r>
  <r>
    <x v="0"/>
    <x v="0"/>
    <s v="MMR001"/>
    <s v="Mohnyin"/>
    <s v="MMR001D002"/>
    <x v="0"/>
    <s v="MMR001009"/>
    <s v="Seik Mu"/>
    <s v="MMR001009003"/>
    <s v="Seik Mu"/>
    <n v="166783"/>
    <x v="229"/>
    <x v="232"/>
    <x v="181"/>
    <n v="25.57921"/>
    <n v="0"/>
    <n v="0"/>
    <n v="0"/>
    <s v="NA"/>
    <x v="0"/>
    <x v="0"/>
    <x v="0"/>
    <x v="1"/>
    <d v="2013-01-01T00:00:00"/>
    <m/>
    <x v="2"/>
    <s v="RRD"/>
    <m/>
    <d v="2014-04-07T00:00:00"/>
    <s v="Move to Nant Ma Hpit Catholic Church."/>
    <s v=""/>
    <n v="0"/>
    <m/>
    <n v="0"/>
    <s v=""/>
    <s v=""/>
    <s v=""/>
  </r>
  <r>
    <x v="1"/>
    <x v="0"/>
    <s v="MMR001"/>
    <s v="Mohnyin"/>
    <s v="MMR001D002"/>
    <x v="0"/>
    <s v="MMR001009"/>
    <s v="Seik Mu"/>
    <s v="MMR001009003"/>
    <s v="Sai Taung (Ywar Haung)"/>
    <n v="166788"/>
    <x v="230"/>
    <x v="233"/>
    <x v="182"/>
    <n v="25.577559999999998"/>
    <n v="0"/>
    <n v="41"/>
    <n v="201"/>
    <n v="4.9024390243902438"/>
    <x v="0"/>
    <x v="0"/>
    <x v="0"/>
    <x v="2"/>
    <d v="2013-01-01T00:00:00"/>
    <n v="2"/>
    <x v="1"/>
    <s v="IP"/>
    <m/>
    <d v="2015-12-02T00:00:00"/>
    <s v="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26"/>
    <m/>
    <n v="26"/>
    <s v="Hpakant Town"/>
    <n v="4.6754712546149264"/>
    <n v="1"/>
  </r>
  <r>
    <x v="1"/>
    <x v="0"/>
    <s v="MMR001"/>
    <s v="Myitkyina"/>
    <s v="MMR001D001"/>
    <x v="3"/>
    <s v="MMR001002"/>
    <s v="Nam Sang Yang"/>
    <s v="MMR001002024"/>
    <s v="Nam Sang Yang"/>
    <n v="165772"/>
    <x v="231"/>
    <x v="234"/>
    <x v="183"/>
    <n v="24.755253"/>
    <n v="316"/>
    <n v="1345"/>
    <n v="6811"/>
    <n v="5.0639405204460965"/>
    <x v="1"/>
    <x v="0"/>
    <x v="0"/>
    <x v="2"/>
    <d v="2011-06-01T00:00:00"/>
    <n v="5"/>
    <x v="2"/>
    <s v="IRRC"/>
    <m/>
    <d v="2015-12-02T00:00:00"/>
    <s v="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185"/>
    <m/>
    <n v="1185"/>
    <s v="Laiza town"/>
    <n v="1.7420415164460403"/>
    <n v="1"/>
  </r>
  <r>
    <x v="0"/>
    <x v="0"/>
    <s v="MMR001"/>
    <s v="Myitkyina"/>
    <s v="MMR001D001"/>
    <x v="4"/>
    <s v="MMR001005"/>
    <m/>
    <m/>
    <m/>
    <m/>
    <x v="232"/>
    <x v="235"/>
    <x v="6"/>
    <m/>
    <m/>
    <n v="0"/>
    <n v="0"/>
    <s v="NA"/>
    <x v="0"/>
    <x v="0"/>
    <x v="0"/>
    <x v="0"/>
    <m/>
    <m/>
    <x v="0"/>
    <m/>
    <m/>
    <m/>
    <s v=" "/>
    <s v=""/>
    <n v="0"/>
    <m/>
    <n v="0"/>
    <s v=""/>
    <s v=""/>
    <s v=""/>
  </r>
  <r>
    <x v="0"/>
    <x v="0"/>
    <s v="MMR001"/>
    <s v="Mohnyin"/>
    <s v="MMR001D002"/>
    <x v="0"/>
    <s v="MMR001009"/>
    <s v="Hpakan Town"/>
    <s v="MMR001009701"/>
    <s v="Ma Shi Ka Htaung Ward"/>
    <s v="MMR001009701505"/>
    <x v="233"/>
    <x v="236"/>
    <x v="6"/>
    <m/>
    <m/>
    <n v="0"/>
    <n v="0"/>
    <s v="NA"/>
    <x v="0"/>
    <x v="0"/>
    <x v="0"/>
    <x v="0"/>
    <m/>
    <m/>
    <x v="0"/>
    <m/>
    <m/>
    <m/>
    <s v=" "/>
    <s v=""/>
    <n v="0"/>
    <m/>
    <n v="0"/>
    <s v=""/>
    <s v=""/>
    <s v=""/>
  </r>
  <r>
    <x v="1"/>
    <x v="0"/>
    <s v="MMR001"/>
    <s v="Myitkyina"/>
    <s v="MMR001D001"/>
    <x v="6"/>
    <s v="MMR001001"/>
    <s v="Myitkyina Town"/>
    <s v="MMR001001701"/>
    <s v="Kachin Su Ward"/>
    <s v="MMR001001701509"/>
    <x v="234"/>
    <x v="237"/>
    <x v="184"/>
    <n v="25.377038166666701"/>
    <n v="0"/>
    <n v="7"/>
    <n v="37"/>
    <n v="5.2857142857142856"/>
    <x v="0"/>
    <x v="0"/>
    <x v="0"/>
    <x v="2"/>
    <d v="2012-04-01T00:00:00"/>
    <n v="1"/>
    <x v="4"/>
    <s v="IP"/>
    <m/>
    <d v="2015-11-09T00:00:00"/>
    <s v="9/Nov/15. Population update. Data source: monthly report by HAP_x000a_25-Jun-15 Population update. Source : Shalom._x000a_Population update: Source: Camp Profile Round 2."/>
    <s v="P4"/>
    <n v="0"/>
    <m/>
    <n v="0"/>
    <s v="Myitkyina Town"/>
    <n v="1.7877148351104664"/>
    <n v="1"/>
  </r>
  <r>
    <x v="1"/>
    <x v="0"/>
    <s v="MMR001"/>
    <s v="Bhamo"/>
    <s v="MMR001D003"/>
    <x v="1"/>
    <s v="MMR001010"/>
    <s v="Bhamo Town"/>
    <s v="MMR001010701"/>
    <m/>
    <m/>
    <x v="235"/>
    <x v="238"/>
    <x v="185"/>
    <n v="24.24953"/>
    <n v="0"/>
    <n v="15"/>
    <n v="64"/>
    <n v="4.2666666666666666"/>
    <x v="0"/>
    <x v="0"/>
    <x v="0"/>
    <x v="2"/>
    <d v="2012-08-01T00:00:00"/>
    <n v="1"/>
    <x v="4"/>
    <s v="IP"/>
    <m/>
    <d v="2015-11-09T00:00:00"/>
    <s v="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1"/>
    <x v="0"/>
    <s v="MMR001"/>
    <s v="Mohnyin"/>
    <s v="MMR001D002"/>
    <x v="0"/>
    <s v="MMR001009"/>
    <s v="Nam Ma Hpyit"/>
    <s v="MMR001009002"/>
    <m/>
    <m/>
    <x v="236"/>
    <x v="239"/>
    <x v="186"/>
    <n v="25.599250000000001"/>
    <n v="0"/>
    <n v="20"/>
    <n v="80"/>
    <n v="4"/>
    <x v="0"/>
    <x v="0"/>
    <x v="0"/>
    <x v="2"/>
    <d v="2012-08-01T00:00:00"/>
    <n v="1"/>
    <x v="1"/>
    <s v="IP"/>
    <m/>
    <d v="2015-12-02T00:00:00"/>
    <s v="2/Dec/2015. Population update. Data source: KBC_x000a_14-Oct-15 Population update. Soruce; Hpakant Mission Report_WFP_x000a_25-Jun-15 Population update. Source: KBC_x000a_2-Apr-15 (Population update, Source: UNHCR CCCM Mission)_x000a_Update population according to KBC data."/>
    <s v="P4"/>
    <n v="10"/>
    <m/>
    <n v="10"/>
    <s v="Hpakant Town"/>
    <n v="1.5942018764815451"/>
    <n v="1"/>
  </r>
  <r>
    <x v="1"/>
    <x v="0"/>
    <s v="MMR001"/>
    <s v="Myitkyina"/>
    <s v="MMR001D001"/>
    <x v="3"/>
    <s v="MMR001002"/>
    <s v="Hpawt Dawt"/>
    <s v="MMR001002032"/>
    <s v="Zai Aung"/>
    <m/>
    <x v="237"/>
    <x v="240"/>
    <x v="187"/>
    <n v="25.106670000000001"/>
    <n v="756"/>
    <n v="680"/>
    <n v="2913"/>
    <n v="4.283823529411765"/>
    <x v="1"/>
    <x v="0"/>
    <x v="0"/>
    <x v="1"/>
    <d v="2011-11-01T00:00:00"/>
    <n v="3"/>
    <x v="1"/>
    <s v="IP"/>
    <m/>
    <d v="2015-12-02T00:00:00"/>
    <s v="2/Dec/2015. Population update. Data source: KBC_x000a_25-Jun-15 Population update. Source: KBC_x000a_Update population according to KBC data"/>
    <s v="P2"/>
    <n v="59"/>
    <m/>
    <n v="59"/>
    <s v="Sadung Town"/>
    <n v="32.827754639406997"/>
    <n v="7"/>
  </r>
  <r>
    <x v="0"/>
    <x v="0"/>
    <s v="MMR001"/>
    <s v="Mohnyin"/>
    <s v="MMR001D002"/>
    <x v="0"/>
    <s v="MMR001009"/>
    <s v="Hpakan Town"/>
    <s v="MMR001009701"/>
    <s v="Maw Wam Ward"/>
    <s v="MMR001009701501"/>
    <x v="238"/>
    <x v="241"/>
    <x v="188"/>
    <n v="25.615006000000001"/>
    <m/>
    <n v="0"/>
    <n v="0"/>
    <s v="NA"/>
    <x v="0"/>
    <x v="0"/>
    <x v="0"/>
    <x v="0"/>
    <m/>
    <m/>
    <x v="0"/>
    <m/>
    <m/>
    <m/>
    <s v=" "/>
    <s v=""/>
    <n v="0"/>
    <m/>
    <n v="0"/>
    <s v=""/>
    <s v=""/>
    <s v=""/>
  </r>
  <r>
    <x v="1"/>
    <x v="1"/>
    <s v="MMR015"/>
    <s v="Muse"/>
    <s v="MMR015D002"/>
    <x v="7"/>
    <s v="MMR015011"/>
    <s v="Kar Lai Kone Hsar"/>
    <s v="MMR015011005"/>
    <s v="Kar Lai"/>
    <n v="208557"/>
    <x v="239"/>
    <x v="242"/>
    <x v="189"/>
    <n v="23.38503"/>
    <n v="0"/>
    <n v="178"/>
    <n v="827"/>
    <n v="4.6460674157303368"/>
    <x v="0"/>
    <x v="0"/>
    <x v="0"/>
    <x v="1"/>
    <d v="2012-12-01T00:00:00"/>
    <m/>
    <x v="1"/>
    <s v="IP"/>
    <m/>
    <d v="2015-06-25T00:00:00"/>
    <s v="25-Jun-15 Population update. Source: KBC_x000a_Population update. Source: KBC."/>
    <s v="P3"/>
    <n v="93"/>
    <m/>
    <n v="93"/>
    <s v="Kutkai Town"/>
    <n v="13.632081902964599"/>
    <n v="3"/>
  </r>
</pivotCacheRecords>
</file>

<file path=xl/pivotCache/pivotCacheRecords4.xml><?xml version="1.0" encoding="utf-8"?>
<pivotCacheRecords xmlns="http://schemas.openxmlformats.org/spreadsheetml/2006/main" xmlns:r="http://schemas.openxmlformats.org/officeDocument/2006/relationships" count="910">
  <r>
    <n v="-0.8"/>
    <d v="2015-11-25T00:00:00"/>
    <x v="0"/>
    <s v="KBC"/>
    <s v="Kachin"/>
    <s v="Shwegu"/>
    <s v="Shwe Gu Baptist Church"/>
    <m/>
    <m/>
    <m/>
    <m/>
    <n v="13"/>
    <n v="39"/>
    <n v="13"/>
    <m/>
    <n v="13"/>
    <n v="47"/>
    <m/>
    <m/>
    <m/>
    <m/>
    <n v="13"/>
    <n v="0"/>
    <n v="0"/>
    <n v="0"/>
    <n v="0"/>
    <n v="13"/>
    <n v="39"/>
    <n v="13"/>
    <n v="0"/>
    <n v="13"/>
    <n v="117.5"/>
    <n v="0"/>
    <n v="0"/>
    <n v="0"/>
    <n v="0"/>
    <x v="0"/>
    <n v="13"/>
    <s v="MMR001CMP067"/>
    <x v="0"/>
    <x v="0"/>
    <x v="0"/>
    <n v="0.15662650602409639"/>
    <m/>
    <s v="Updated on 2/Dec/2015. Data source: mail by win aung tun"/>
  </r>
  <r>
    <n v="-0.8"/>
    <d v="2015-11-25T00:00:00"/>
    <x v="0"/>
    <s v="KBC"/>
    <s v="Kachin"/>
    <s v="Shwegu"/>
    <s v="Shwe Gu Catholic Church"/>
    <m/>
    <m/>
    <m/>
    <m/>
    <n v="4"/>
    <n v="12"/>
    <n v="4"/>
    <m/>
    <n v="4"/>
    <n v="14"/>
    <m/>
    <m/>
    <m/>
    <m/>
    <n v="4"/>
    <n v="0"/>
    <n v="0"/>
    <n v="0"/>
    <n v="0"/>
    <n v="4"/>
    <n v="12"/>
    <n v="4"/>
    <n v="0"/>
    <n v="4"/>
    <n v="35"/>
    <n v="0"/>
    <n v="0"/>
    <n v="0"/>
    <n v="0"/>
    <x v="0"/>
    <n v="4"/>
    <s v="MMR001CMP068"/>
    <x v="0"/>
    <x v="0"/>
    <x v="0"/>
    <n v="0.1"/>
    <m/>
    <s v="Updated on 2/Dec/2015. Data source: mail by win aung tun"/>
  </r>
  <r>
    <n v="-3.3333333333333333E-2"/>
    <d v="2015-11-02T00:00:00"/>
    <x v="0"/>
    <s v="KBC"/>
    <s v="Kachin"/>
    <s v="Mansi"/>
    <s v="Maing Khaung"/>
    <m/>
    <m/>
    <n v="225"/>
    <n v="3"/>
    <n v="30"/>
    <n v="73"/>
    <m/>
    <m/>
    <m/>
    <n v="345"/>
    <m/>
    <m/>
    <m/>
    <m/>
    <m/>
    <n v="0"/>
    <n v="0"/>
    <n v="225"/>
    <n v="3"/>
    <n v="30"/>
    <n v="73"/>
    <n v="0"/>
    <n v="0"/>
    <n v="0"/>
    <n v="862.5"/>
    <n v="0"/>
    <n v="0"/>
    <n v="0"/>
    <n v="0"/>
    <x v="0"/>
    <n v="0"/>
    <s v="MMR001CMP218"/>
    <x v="0"/>
    <x v="0"/>
    <x v="0"/>
    <n v="0"/>
    <m/>
    <s v="Updated on 2/Dec/2015. Data source: mail by win aung tun"/>
  </r>
  <r>
    <n v="0.8"/>
    <d v="2015-10-08T00:00:00"/>
    <x v="0"/>
    <s v="KBC"/>
    <s v="Kachin"/>
    <s v="Mansi"/>
    <s v="Maing Khaung"/>
    <m/>
    <m/>
    <n v="57"/>
    <m/>
    <m/>
    <m/>
    <m/>
    <n v="77"/>
    <m/>
    <n v="146"/>
    <m/>
    <m/>
    <m/>
    <m/>
    <m/>
    <n v="0"/>
    <n v="0"/>
    <n v="57"/>
    <n v="0"/>
    <n v="0"/>
    <n v="0"/>
    <n v="0"/>
    <n v="77"/>
    <n v="0"/>
    <n v="365"/>
    <n v="0"/>
    <n v="0"/>
    <n v="0"/>
    <n v="0"/>
    <x v="0"/>
    <n v="0"/>
    <s v="MMR001CMP218"/>
    <x v="0"/>
    <x v="0"/>
    <x v="0"/>
    <n v="0"/>
    <m/>
    <s v="Data Source: La Nu (this data will not match as La Nu sent, need to confirmed again)"/>
  </r>
  <r>
    <n v="0.83333333333333337"/>
    <d v="2015-10-07T00:00:00"/>
    <x v="0"/>
    <s v="KBC"/>
    <s v="Kachin"/>
    <s v="Mansi"/>
    <s v="Mansi Baptist Church"/>
    <m/>
    <m/>
    <n v="70"/>
    <n v="92"/>
    <n v="55"/>
    <n v="92"/>
    <n v="55"/>
    <m/>
    <n v="55"/>
    <n v="263"/>
    <m/>
    <m/>
    <m/>
    <m/>
    <n v="55"/>
    <n v="0"/>
    <n v="0"/>
    <n v="70"/>
    <n v="92"/>
    <n v="55"/>
    <n v="92"/>
    <n v="55"/>
    <n v="0"/>
    <n v="55"/>
    <n v="657.5"/>
    <n v="0"/>
    <n v="0"/>
    <n v="0"/>
    <n v="0"/>
    <x v="0"/>
    <n v="55"/>
    <s v="MMR001CMP066"/>
    <x v="0"/>
    <x v="0"/>
    <x v="0"/>
    <n v="0.24886877828054299"/>
    <m/>
    <s v="Updated on 10/Nov/2015. Added jerry can data. Data source: mail by La Nu"/>
  </r>
  <r>
    <n v="0.9"/>
    <d v="2015-10-05T00:00:00"/>
    <x v="0"/>
    <s v="KBC"/>
    <s v="Kachin"/>
    <s v="Mansi"/>
    <s v="Maing Khaung"/>
    <m/>
    <m/>
    <n v="82"/>
    <n v="126"/>
    <n v="60"/>
    <n v="126"/>
    <n v="60"/>
    <m/>
    <n v="60"/>
    <n v="201"/>
    <m/>
    <m/>
    <m/>
    <m/>
    <n v="60"/>
    <n v="0"/>
    <n v="0"/>
    <n v="82"/>
    <n v="126"/>
    <n v="60"/>
    <n v="126"/>
    <n v="60"/>
    <n v="0"/>
    <n v="60"/>
    <n v="502.5"/>
    <n v="0"/>
    <n v="0"/>
    <n v="0"/>
    <n v="0"/>
    <x v="0"/>
    <n v="60"/>
    <s v="MMR001CMP218"/>
    <x v="0"/>
    <x v="0"/>
    <x v="0"/>
    <n v="0.16129032258064516"/>
    <m/>
    <s v="Updated on 10/Nov/2015. Added jerry can data. Data source: mail by La Nu"/>
  </r>
  <r>
    <n v="1"/>
    <d v="2015-10-02T00:00:00"/>
    <x v="0"/>
    <s v="KBC"/>
    <s v="Kachin"/>
    <s v="Mansi"/>
    <s v="Maing Khaung Catholic Church"/>
    <m/>
    <m/>
    <n v="79"/>
    <n v="109"/>
    <n v="69"/>
    <n v="109"/>
    <n v="69"/>
    <m/>
    <n v="6"/>
    <n v="315"/>
    <m/>
    <m/>
    <m/>
    <m/>
    <n v="69"/>
    <n v="0"/>
    <n v="0"/>
    <n v="79"/>
    <n v="109"/>
    <n v="69"/>
    <n v="109"/>
    <n v="69"/>
    <n v="0"/>
    <n v="6"/>
    <n v="787.5"/>
    <n v="0"/>
    <n v="0"/>
    <n v="0"/>
    <n v="0"/>
    <x v="0"/>
    <n v="69"/>
    <s v="MMR001CMP223"/>
    <x v="0"/>
    <x v="0"/>
    <x v="0"/>
    <n v="0.57024793388429751"/>
    <m/>
    <s v="Updated on 10/Nov/2015. Added jerry can data. Data source: mail by La Nu"/>
  </r>
  <r>
    <n v="1.3666666666666667"/>
    <d v="2015-09-21T00:00:00"/>
    <x v="0"/>
    <s v="KMSS"/>
    <s v="Kachin"/>
    <s v="Waingmaw"/>
    <s v="Maina Catholic Church (St. Joseph)"/>
    <m/>
    <m/>
    <m/>
    <n v="41"/>
    <n v="16"/>
    <n v="41"/>
    <n v="16"/>
    <m/>
    <n v="16"/>
    <n v="80"/>
    <m/>
    <m/>
    <m/>
    <m/>
    <n v="16"/>
    <n v="0"/>
    <n v="0"/>
    <n v="0"/>
    <n v="41"/>
    <n v="16"/>
    <n v="41"/>
    <n v="16"/>
    <n v="0"/>
    <n v="16"/>
    <n v="200"/>
    <n v="0"/>
    <n v="0"/>
    <n v="0"/>
    <n v="0"/>
    <x v="0"/>
    <n v="16"/>
    <s v="MMR001CMP029"/>
    <x v="0"/>
    <x v="0"/>
    <x v="0"/>
    <n v="7.0484581497797363E-2"/>
    <m/>
    <s v="Updated on 2/Dec/2015. Data source: mail by Win Aung Htun_x000a_Updated on 11/Nov/2015. Added jerry can data. Data source: mail by Win Aung Htun_x000a_Updated on 29/Sep/2015. _x000a_Data Source: Lu Lu Awng and Win Aung Tun"/>
  </r>
  <r>
    <n v="1.3666666666666667"/>
    <d v="2015-09-21T00:00:00"/>
    <x v="0"/>
    <s v="KMSS"/>
    <s v="Kachin"/>
    <s v="Myitkyina"/>
    <s v="Pa Dauk Myaing(Pa La Na)"/>
    <m/>
    <n v="12"/>
    <n v="15"/>
    <n v="1"/>
    <n v="1"/>
    <n v="1"/>
    <n v="1"/>
    <m/>
    <n v="1"/>
    <n v="2"/>
    <m/>
    <m/>
    <m/>
    <m/>
    <n v="1"/>
    <n v="0"/>
    <n v="12"/>
    <n v="15"/>
    <n v="1"/>
    <n v="1"/>
    <n v="1"/>
    <n v="1"/>
    <n v="0"/>
    <n v="1"/>
    <n v="5"/>
    <n v="0"/>
    <n v="0"/>
    <n v="0"/>
    <n v="0"/>
    <x v="0"/>
    <n v="1"/>
    <s v="MMR001CMP162"/>
    <x v="0"/>
    <x v="0"/>
    <x v="0"/>
    <n v="1.7543859649122806E-2"/>
    <m/>
    <s v="Updated on 2/Dec/2015. Data source: mail by Win Aung Htun_x000a_Updated on 29/Sep/2015. _x000a_Data Source: Lu Lu Awng and Win Aung Tun"/>
  </r>
  <r>
    <n v="1.3666666666666667"/>
    <d v="2015-09-21T00:00:00"/>
    <x v="0"/>
    <s v="KBC"/>
    <s v="Kachin"/>
    <s v="Mansi"/>
    <s v="Maing Khaung"/>
    <m/>
    <m/>
    <n v="145"/>
    <n v="132"/>
    <n v="66"/>
    <n v="90"/>
    <n v="66"/>
    <m/>
    <n v="66"/>
    <n v="243"/>
    <m/>
    <m/>
    <m/>
    <n v="42"/>
    <n v="66"/>
    <n v="0"/>
    <n v="0"/>
    <n v="145"/>
    <n v="132"/>
    <n v="66"/>
    <n v="90"/>
    <n v="66"/>
    <n v="0"/>
    <n v="66"/>
    <n v="607.5"/>
    <n v="0"/>
    <n v="0"/>
    <n v="0"/>
    <n v="42"/>
    <x v="1"/>
    <n v="66"/>
    <s v="MMR001CMP218"/>
    <x v="0"/>
    <x v="0"/>
    <x v="0"/>
    <n v="0.17741935483870969"/>
    <m/>
    <s v="Updated on 2/Dec/2015. Data source: mail by Win Aung Htun_x000a_Updated on 29/Sep/2015. _x000a_Data Source: La Nu and Win Aung Tun"/>
  </r>
  <r>
    <n v="1.4666666666666666"/>
    <d v="2015-09-18T00:00:00"/>
    <x v="0"/>
    <s v="KMSS"/>
    <s v="Kachin"/>
    <s v="Myitkyina"/>
    <s v="Pa Dauk Myaing(Pa La Na)"/>
    <m/>
    <n v="120"/>
    <n v="150"/>
    <n v="20"/>
    <n v="15"/>
    <n v="20"/>
    <n v="10"/>
    <m/>
    <n v="10"/>
    <n v="40"/>
    <m/>
    <m/>
    <m/>
    <m/>
    <n v="10"/>
    <n v="0"/>
    <n v="120"/>
    <n v="150"/>
    <n v="20"/>
    <n v="15"/>
    <n v="20"/>
    <n v="10"/>
    <n v="0"/>
    <n v="10"/>
    <n v="100"/>
    <n v="0"/>
    <n v="0"/>
    <n v="0"/>
    <n v="0"/>
    <x v="0"/>
    <n v="10"/>
    <s v="MMR001CMP162"/>
    <x v="0"/>
    <x v="0"/>
    <x v="0"/>
    <n v="0.17543859649122806"/>
    <m/>
    <s v="Updated on 2/Dec/2015. Data source: mail by Win Aung Htun_x000a_Updated on 11/Nov/2015. Added jerry can data. Data source: mail by Win Aung Htun_x000a_Updated on 29/Sep/2015. _x000a_Data Source: Lu Lu Awng and Win Aung Tun"/>
  </r>
  <r>
    <n v="2.7333333333333334"/>
    <d v="2015-08-11T00:00:00"/>
    <x v="0"/>
    <s v="KBC"/>
    <s v="Kachin"/>
    <s v="Mogaung"/>
    <s v="Kyun Taw Baptist Church "/>
    <m/>
    <m/>
    <m/>
    <n v="14"/>
    <n v="14"/>
    <m/>
    <m/>
    <m/>
    <m/>
    <m/>
    <m/>
    <m/>
    <m/>
    <m/>
    <m/>
    <n v="0"/>
    <n v="0"/>
    <n v="0"/>
    <n v="14"/>
    <n v="14"/>
    <n v="0"/>
    <n v="0"/>
    <n v="0"/>
    <n v="0"/>
    <n v="0"/>
    <n v="0"/>
    <n v="0"/>
    <n v="0"/>
    <n v="0"/>
    <x v="0"/>
    <n v="0"/>
    <s v="MMR001CMP078"/>
    <x v="0"/>
    <x v="0"/>
    <x v="0"/>
    <n v="0"/>
    <m/>
    <m/>
  </r>
  <r>
    <n v="2.7333333333333334"/>
    <d v="2015-08-11T00:00:00"/>
    <x v="0"/>
    <s v="Shalom"/>
    <s v="Kachin"/>
    <s v="Myitkyina"/>
    <s v="Tat Kone Emanuel Church"/>
    <m/>
    <m/>
    <m/>
    <n v="6"/>
    <n v="4"/>
    <n v="6"/>
    <n v="4"/>
    <m/>
    <n v="4"/>
    <n v="10"/>
    <m/>
    <m/>
    <m/>
    <m/>
    <m/>
    <n v="0"/>
    <n v="0"/>
    <n v="0"/>
    <n v="6"/>
    <n v="4"/>
    <n v="6"/>
    <n v="4"/>
    <n v="0"/>
    <n v="4"/>
    <n v="25"/>
    <n v="0"/>
    <n v="0"/>
    <n v="0"/>
    <n v="0"/>
    <x v="0"/>
    <n v="0"/>
    <s v="MMR001CMP004"/>
    <x v="0"/>
    <x v="0"/>
    <x v="0"/>
    <n v="0.33333333333333331"/>
    <m/>
    <m/>
  </r>
  <r>
    <n v="2.7333333333333334"/>
    <d v="2015-08-11T00:00:00"/>
    <x v="0"/>
    <s v="KMSS"/>
    <s v="Kachin"/>
    <m/>
    <s v="Majibum Village"/>
    <m/>
    <m/>
    <m/>
    <m/>
    <m/>
    <m/>
    <m/>
    <m/>
    <m/>
    <m/>
    <m/>
    <m/>
    <m/>
    <m/>
    <n v="53"/>
    <n v="0"/>
    <n v="0"/>
    <n v="0"/>
    <n v="0"/>
    <n v="0"/>
    <n v="0"/>
    <n v="0"/>
    <n v="0"/>
    <n v="0"/>
    <n v="0"/>
    <n v="0"/>
    <n v="0"/>
    <n v="0"/>
    <n v="0"/>
    <x v="0"/>
    <n v="53"/>
    <s v=""/>
    <x v="1"/>
    <x v="1"/>
    <x v="1"/>
    <s v=""/>
    <m/>
    <s v="Updated on 11/Nov/2015. Added jerry can data. Data source: mail by Win Aung Htun"/>
  </r>
  <r>
    <n v="2.7333333333333334"/>
    <d v="2015-08-11T00:00:00"/>
    <x v="0"/>
    <s v="Shalom"/>
    <s v="Kachin"/>
    <s v="Sumprabum"/>
    <s v="Sumprabum village"/>
    <m/>
    <m/>
    <m/>
    <m/>
    <m/>
    <m/>
    <m/>
    <m/>
    <m/>
    <m/>
    <m/>
    <m/>
    <m/>
    <m/>
    <n v="4"/>
    <n v="0"/>
    <n v="0"/>
    <n v="0"/>
    <n v="0"/>
    <n v="0"/>
    <n v="0"/>
    <n v="0"/>
    <n v="0"/>
    <n v="0"/>
    <n v="0"/>
    <n v="0"/>
    <n v="0"/>
    <n v="0"/>
    <n v="0"/>
    <x v="0"/>
    <n v="4"/>
    <s v=""/>
    <x v="1"/>
    <x v="1"/>
    <x v="1"/>
    <s v=""/>
    <m/>
    <s v="Updated on 11/Nov/2015. Added jerry can data. Data source: mail by Win Aung Htun. For new arrivals"/>
  </r>
  <r>
    <n v="3.4"/>
    <d v="2015-07-22T00:00:00"/>
    <x v="0"/>
    <m/>
    <s v="Kachin"/>
    <s v="Mogaung"/>
    <s v="Mang Hawng Baptist Church"/>
    <m/>
    <m/>
    <m/>
    <m/>
    <n v="15"/>
    <m/>
    <m/>
    <m/>
    <m/>
    <n v="25"/>
    <m/>
    <m/>
    <m/>
    <m/>
    <m/>
    <n v="0"/>
    <n v="0"/>
    <n v="0"/>
    <n v="0"/>
    <n v="15"/>
    <n v="0"/>
    <n v="0"/>
    <n v="0"/>
    <n v="0"/>
    <n v="62.5"/>
    <n v="0"/>
    <n v="0"/>
    <n v="0"/>
    <n v="0"/>
    <x v="0"/>
    <n v="0"/>
    <s v="MMR001CMP077"/>
    <x v="0"/>
    <x v="0"/>
    <x v="0"/>
    <n v="0"/>
    <m/>
    <s v="Flood"/>
  </r>
  <r>
    <n v="3.4333333333333331"/>
    <d v="2015-07-21T00:00:00"/>
    <x v="0"/>
    <s v="KBC"/>
    <s v="Kachin"/>
    <s v="Sumprabum"/>
    <s v="Sumprabum"/>
    <m/>
    <m/>
    <m/>
    <m/>
    <n v="250"/>
    <m/>
    <m/>
    <m/>
    <m/>
    <m/>
    <m/>
    <m/>
    <m/>
    <m/>
    <m/>
    <n v="0"/>
    <n v="0"/>
    <n v="0"/>
    <n v="0"/>
    <n v="250"/>
    <n v="0"/>
    <n v="0"/>
    <n v="0"/>
    <n v="0"/>
    <n v="0"/>
    <n v="0"/>
    <n v="0"/>
    <n v="0"/>
    <n v="0"/>
    <x v="0"/>
    <n v="0"/>
    <s v="MMR001CMP206"/>
    <x v="0"/>
    <x v="0"/>
    <x v="0"/>
    <n v="0"/>
    <m/>
    <m/>
  </r>
  <r>
    <n v="3.4333333333333331"/>
    <d v="2015-07-21T00:00:00"/>
    <x v="0"/>
    <s v="RRD"/>
    <s v="Kachin"/>
    <s v="Mogaung"/>
    <s v="Mogaung Tsp"/>
    <m/>
    <m/>
    <m/>
    <m/>
    <m/>
    <m/>
    <m/>
    <m/>
    <m/>
    <m/>
    <m/>
    <m/>
    <m/>
    <m/>
    <n v="165"/>
    <n v="0"/>
    <n v="0"/>
    <n v="0"/>
    <n v="0"/>
    <n v="0"/>
    <n v="0"/>
    <n v="0"/>
    <n v="0"/>
    <n v="0"/>
    <n v="0"/>
    <n v="0"/>
    <n v="0"/>
    <n v="0"/>
    <n v="0"/>
    <x v="0"/>
    <n v="165"/>
    <s v=""/>
    <x v="1"/>
    <x v="1"/>
    <x v="1"/>
    <s v=""/>
    <m/>
    <s v="Updated on 11/Nov/2015. Added jerry can data. Data source: mail by Win Aung Htun. For flood response"/>
  </r>
  <r>
    <n v="5"/>
    <d v="2015-06-04T00:00:00"/>
    <x v="0"/>
    <s v="KBC"/>
    <s v="Kachin"/>
    <s v="Momauk"/>
    <s v="Loi Je Lisu Camp"/>
    <m/>
    <m/>
    <m/>
    <m/>
    <n v="88"/>
    <m/>
    <n v="9"/>
    <m/>
    <n v="9"/>
    <n v="48"/>
    <m/>
    <m/>
    <m/>
    <n v="27"/>
    <m/>
    <n v="0"/>
    <n v="0"/>
    <n v="0"/>
    <n v="0"/>
    <n v="88"/>
    <n v="0"/>
    <n v="9"/>
    <n v="0"/>
    <n v="9"/>
    <n v="120"/>
    <n v="0"/>
    <n v="0"/>
    <n v="0"/>
    <n v="27"/>
    <x v="1"/>
    <n v="0"/>
    <s v="MMR001CMP070"/>
    <x v="0"/>
    <x v="0"/>
    <x v="2"/>
    <n v="4.7872340425531915E-2"/>
    <m/>
    <m/>
  </r>
  <r>
    <n v="5"/>
    <d v="2015-06-04T00:00:00"/>
    <x v="0"/>
    <s v="KBC"/>
    <s v="Kachin"/>
    <s v="Momauk"/>
    <s v="Momauk Baptist Church"/>
    <m/>
    <m/>
    <m/>
    <m/>
    <n v="80"/>
    <m/>
    <m/>
    <m/>
    <m/>
    <m/>
    <m/>
    <m/>
    <m/>
    <m/>
    <m/>
    <n v="0"/>
    <n v="0"/>
    <n v="0"/>
    <n v="0"/>
    <n v="80"/>
    <n v="0"/>
    <n v="0"/>
    <n v="0"/>
    <n v="0"/>
    <n v="0"/>
    <n v="0"/>
    <n v="0"/>
    <n v="0"/>
    <n v="0"/>
    <x v="0"/>
    <n v="0"/>
    <s v="MMR001CMP056"/>
    <x v="0"/>
    <x v="0"/>
    <x v="0"/>
    <n v="0"/>
    <m/>
    <m/>
  </r>
  <r>
    <n v="5"/>
    <d v="2015-06-04T00:00:00"/>
    <x v="0"/>
    <s v="KBC"/>
    <s v="Kachin"/>
    <s v="Bhamo"/>
    <s v="Phan Khar Kone"/>
    <m/>
    <m/>
    <m/>
    <m/>
    <n v="37"/>
    <m/>
    <m/>
    <m/>
    <m/>
    <m/>
    <m/>
    <m/>
    <m/>
    <m/>
    <m/>
    <n v="0"/>
    <n v="0"/>
    <n v="0"/>
    <n v="0"/>
    <n v="37"/>
    <n v="0"/>
    <n v="0"/>
    <n v="0"/>
    <n v="0"/>
    <n v="0"/>
    <n v="0"/>
    <n v="0"/>
    <n v="0"/>
    <n v="0"/>
    <x v="0"/>
    <n v="0"/>
    <s v="MMR001CMP193"/>
    <x v="0"/>
    <x v="0"/>
    <x v="0"/>
    <n v="0"/>
    <m/>
    <m/>
  </r>
  <r>
    <n v="5"/>
    <d v="2015-06-04T00:00:00"/>
    <x v="0"/>
    <s v="KBC"/>
    <s v="Kachin"/>
    <s v="Momauk"/>
    <s v="Seng Ja "/>
    <m/>
    <m/>
    <m/>
    <n v="18"/>
    <n v="35"/>
    <m/>
    <m/>
    <m/>
    <m/>
    <m/>
    <m/>
    <m/>
    <m/>
    <m/>
    <m/>
    <n v="0"/>
    <n v="0"/>
    <n v="0"/>
    <n v="18"/>
    <n v="35"/>
    <n v="0"/>
    <n v="0"/>
    <n v="0"/>
    <n v="0"/>
    <n v="0"/>
    <n v="0"/>
    <n v="0"/>
    <n v="0"/>
    <n v="0"/>
    <x v="0"/>
    <n v="0"/>
    <s v="MMR001CMP073"/>
    <x v="0"/>
    <x v="0"/>
    <x v="2"/>
    <n v="0"/>
    <m/>
    <m/>
  </r>
  <r>
    <n v="5.7333333333333334"/>
    <d v="2015-05-13T00:00:00"/>
    <x v="0"/>
    <s v="KMSS-BMO"/>
    <s v="Kachin"/>
    <s v="Momauk"/>
    <s v="Man Bung Catholic compound"/>
    <m/>
    <m/>
    <m/>
    <m/>
    <m/>
    <n v="28"/>
    <m/>
    <m/>
    <m/>
    <m/>
    <m/>
    <m/>
    <m/>
    <m/>
    <m/>
    <n v="0"/>
    <n v="0"/>
    <n v="0"/>
    <n v="0"/>
    <n v="0"/>
    <n v="28"/>
    <n v="0"/>
    <n v="0"/>
    <n v="0"/>
    <n v="0"/>
    <n v="0"/>
    <n v="0"/>
    <n v="0"/>
    <n v="0"/>
    <x v="0"/>
    <n v="0"/>
    <s v="MMR001CMP062"/>
    <x v="0"/>
    <x v="0"/>
    <x v="0"/>
    <n v="0"/>
    <m/>
    <m/>
  </r>
  <r>
    <n v="5.7333333333333334"/>
    <d v="2015-05-13T00:00:00"/>
    <x v="0"/>
    <s v="KBC"/>
    <s v="Kachin"/>
    <s v="Mansi"/>
    <s v="Maing Khaung"/>
    <m/>
    <m/>
    <m/>
    <n v="6"/>
    <n v="12"/>
    <m/>
    <n v="3"/>
    <m/>
    <n v="3"/>
    <n v="9"/>
    <m/>
    <m/>
    <m/>
    <n v="9"/>
    <m/>
    <n v="0"/>
    <n v="0"/>
    <n v="0"/>
    <n v="6"/>
    <n v="12"/>
    <n v="0"/>
    <n v="3"/>
    <n v="0"/>
    <n v="3"/>
    <n v="22.5"/>
    <n v="0"/>
    <n v="0"/>
    <n v="0"/>
    <n v="9"/>
    <x v="1"/>
    <n v="0"/>
    <s v="MMR001CMP218"/>
    <x v="0"/>
    <x v="0"/>
    <x v="0"/>
    <n v="8.0645161290322578E-3"/>
    <m/>
    <m/>
  </r>
  <r>
    <n v="6.9"/>
    <d v="2015-04-08T00:00:00"/>
    <x v="0"/>
    <s v="KBC"/>
    <s v="Kachin"/>
    <s v="Mansi"/>
    <s v="Maing Khaung"/>
    <m/>
    <m/>
    <m/>
    <n v="6"/>
    <n v="3"/>
    <n v="12"/>
    <n v="3"/>
    <m/>
    <n v="3"/>
    <m/>
    <m/>
    <m/>
    <m/>
    <m/>
    <m/>
    <n v="0"/>
    <n v="0"/>
    <n v="0"/>
    <n v="6"/>
    <n v="3"/>
    <n v="12"/>
    <n v="3"/>
    <n v="0"/>
    <n v="3"/>
    <n v="0"/>
    <n v="0"/>
    <n v="0"/>
    <n v="0"/>
    <n v="0"/>
    <x v="0"/>
    <n v="0"/>
    <s v="MMR001CMP218"/>
    <x v="0"/>
    <x v="0"/>
    <x v="0"/>
    <n v="8.0645161290322578E-3"/>
    <m/>
    <m/>
  </r>
  <r>
    <n v="6.9"/>
    <d v="2015-04-08T00:00:00"/>
    <x v="0"/>
    <s v="KMSS-BMO"/>
    <s v="Kachin"/>
    <s v="Mansi"/>
    <s v="Maing Khaung Catholic Church"/>
    <m/>
    <m/>
    <m/>
    <n v="2"/>
    <n v="1"/>
    <n v="3"/>
    <n v="1"/>
    <m/>
    <n v="1"/>
    <m/>
    <m/>
    <m/>
    <m/>
    <m/>
    <m/>
    <n v="0"/>
    <n v="0"/>
    <n v="0"/>
    <n v="2"/>
    <n v="1"/>
    <n v="3"/>
    <n v="1"/>
    <n v="0"/>
    <n v="1"/>
    <n v="0"/>
    <n v="0"/>
    <n v="0"/>
    <n v="0"/>
    <n v="0"/>
    <x v="0"/>
    <n v="0"/>
    <s v="MMR001CMP223"/>
    <x v="0"/>
    <x v="0"/>
    <x v="0"/>
    <n v="8.2644628099173556E-3"/>
    <m/>
    <m/>
  </r>
  <r>
    <n v="7.0666666666666664"/>
    <d v="2015-04-03T00:00:00"/>
    <x v="0"/>
    <s v="Shalom"/>
    <s v="Kachin"/>
    <s v="Momauk"/>
    <s v="Loi Je Baptist Church"/>
    <m/>
    <m/>
    <m/>
    <n v="62"/>
    <n v="26"/>
    <n v="272"/>
    <n v="26"/>
    <m/>
    <n v="26"/>
    <n v="720"/>
    <m/>
    <m/>
    <m/>
    <m/>
    <m/>
    <n v="0"/>
    <n v="0"/>
    <n v="0"/>
    <n v="62"/>
    <n v="26"/>
    <n v="272"/>
    <n v="26"/>
    <n v="0"/>
    <n v="26"/>
    <n v="1800"/>
    <n v="0"/>
    <n v="0"/>
    <n v="0"/>
    <n v="0"/>
    <x v="0"/>
    <n v="0"/>
    <s v="MMR001CMP071"/>
    <x v="0"/>
    <x v="0"/>
    <x v="2"/>
    <n v="0.89655172413793105"/>
    <m/>
    <m/>
  </r>
  <r>
    <n v="7.0666666666666664"/>
    <d v="2015-04-03T00:00:00"/>
    <x v="0"/>
    <s v="Shalom"/>
    <s v="Kachin"/>
    <s v="Momauk"/>
    <s v="Mandalay Monestry"/>
    <m/>
    <m/>
    <m/>
    <m/>
    <m/>
    <n v="8"/>
    <m/>
    <m/>
    <m/>
    <m/>
    <m/>
    <m/>
    <m/>
    <m/>
    <m/>
    <n v="0"/>
    <n v="0"/>
    <n v="0"/>
    <n v="0"/>
    <n v="0"/>
    <n v="8"/>
    <n v="0"/>
    <n v="0"/>
    <n v="0"/>
    <n v="0"/>
    <n v="0"/>
    <n v="0"/>
    <n v="0"/>
    <n v="0"/>
    <x v="0"/>
    <n v="0"/>
    <s v="MMR001CMP058"/>
    <x v="0"/>
    <x v="2"/>
    <x v="0"/>
    <s v=""/>
    <m/>
    <m/>
  </r>
  <r>
    <n v="7.0666666666666664"/>
    <d v="2015-04-03T00:00:00"/>
    <x v="0"/>
    <s v="Shalom"/>
    <s v="Kachin"/>
    <s v="Bhamo"/>
    <s v="Mu-yin Baptist Church"/>
    <m/>
    <m/>
    <m/>
    <n v="4"/>
    <n v="3"/>
    <n v="46"/>
    <n v="3"/>
    <m/>
    <n v="3"/>
    <n v="11"/>
    <m/>
    <m/>
    <m/>
    <m/>
    <n v="3"/>
    <n v="0"/>
    <n v="0"/>
    <n v="0"/>
    <n v="4"/>
    <n v="3"/>
    <n v="46"/>
    <n v="3"/>
    <n v="0"/>
    <n v="3"/>
    <n v="27.5"/>
    <n v="0"/>
    <n v="0"/>
    <n v="0"/>
    <n v="0"/>
    <x v="0"/>
    <n v="3"/>
    <s v="MMR001CMP051"/>
    <x v="0"/>
    <x v="0"/>
    <x v="0"/>
    <n v="0.13043478260869565"/>
    <m/>
    <s v="Updated on 10/Nov/2015. Added jerry can data. Data source: mail by La Nu"/>
  </r>
  <r>
    <n v="7.0666666666666664"/>
    <d v="2015-04-03T00:00:00"/>
    <x v="0"/>
    <s v="UNHCR"/>
    <s v="Kachin"/>
    <s v="Momauk"/>
    <s v="Nhkawng Pa "/>
    <m/>
    <m/>
    <m/>
    <m/>
    <m/>
    <m/>
    <m/>
    <m/>
    <m/>
    <m/>
    <m/>
    <m/>
    <m/>
    <m/>
    <n v="400"/>
    <n v="0"/>
    <n v="0"/>
    <n v="0"/>
    <n v="0"/>
    <n v="0"/>
    <n v="0"/>
    <n v="0"/>
    <n v="0"/>
    <n v="0"/>
    <n v="0"/>
    <n v="0"/>
    <n v="0"/>
    <n v="0"/>
    <n v="0"/>
    <x v="0"/>
    <n v="400"/>
    <s v="MMR001CMP131"/>
    <x v="0"/>
    <x v="0"/>
    <x v="3"/>
    <n v="0"/>
    <m/>
    <s v="Updated on 10/Nov/2015. Added jerry can data. Data source: mail by La Nu"/>
  </r>
  <r>
    <n v="7.0666666666666664"/>
    <d v="2015-04-03T00:00:00"/>
    <x v="0"/>
    <s v="Shalom"/>
    <s v="Kachin"/>
    <s v="Momauk"/>
    <s v="Ni Thaw Ka Monestry"/>
    <m/>
    <m/>
    <m/>
    <m/>
    <m/>
    <n v="50"/>
    <m/>
    <m/>
    <m/>
    <n v="69"/>
    <m/>
    <m/>
    <m/>
    <m/>
    <m/>
    <n v="0"/>
    <n v="0"/>
    <n v="0"/>
    <n v="0"/>
    <n v="0"/>
    <n v="50"/>
    <n v="0"/>
    <n v="0"/>
    <n v="0"/>
    <n v="172.5"/>
    <n v="0"/>
    <n v="0"/>
    <n v="0"/>
    <n v="0"/>
    <x v="0"/>
    <n v="0"/>
    <s v="MMR001CMP059"/>
    <x v="0"/>
    <x v="0"/>
    <x v="0"/>
    <n v="0"/>
    <m/>
    <m/>
  </r>
  <r>
    <n v="7.2666666666666666"/>
    <d v="2015-03-28T00:00:00"/>
    <x v="0"/>
    <s v="KMSS-BMO"/>
    <s v="Kachin"/>
    <s v="Mansi"/>
    <s v="Bum Tsit Pa "/>
    <m/>
    <m/>
    <m/>
    <n v="288"/>
    <m/>
    <n v="288"/>
    <m/>
    <m/>
    <m/>
    <m/>
    <m/>
    <m/>
    <m/>
    <m/>
    <m/>
    <n v="0"/>
    <n v="0"/>
    <n v="0"/>
    <n v="288"/>
    <n v="0"/>
    <n v="288"/>
    <n v="0"/>
    <n v="0"/>
    <n v="0"/>
    <n v="0"/>
    <n v="0"/>
    <n v="0"/>
    <n v="0"/>
    <n v="0"/>
    <x v="0"/>
    <n v="0"/>
    <s v="MMR001CMP129"/>
    <x v="0"/>
    <x v="0"/>
    <x v="4"/>
    <n v="0"/>
    <m/>
    <m/>
  </r>
  <r>
    <n v="7.2666666666666666"/>
    <d v="2015-03-28T00:00:00"/>
    <x v="0"/>
    <s v="KMSS-BMO"/>
    <s v="Kachin"/>
    <s v="Mansi"/>
    <s v="Bum Tsit Pa Camp II"/>
    <m/>
    <m/>
    <m/>
    <n v="334"/>
    <m/>
    <n v="386"/>
    <m/>
    <m/>
    <m/>
    <m/>
    <m/>
    <m/>
    <m/>
    <m/>
    <m/>
    <n v="0"/>
    <n v="0"/>
    <n v="0"/>
    <n v="334"/>
    <n v="0"/>
    <n v="386"/>
    <n v="0"/>
    <n v="0"/>
    <n v="0"/>
    <n v="0"/>
    <n v="0"/>
    <n v="0"/>
    <n v="0"/>
    <n v="0"/>
    <x v="0"/>
    <n v="0"/>
    <s v="MMR001CMP226"/>
    <x v="0"/>
    <x v="0"/>
    <x v="4"/>
    <n v="0"/>
    <m/>
    <m/>
  </r>
  <r>
    <n v="7.3"/>
    <d v="2015-03-27T00:00:00"/>
    <x v="0"/>
    <s v="KMSS-LSO"/>
    <s v="Kachin"/>
    <s v="Mansi"/>
    <s v="Lana Zup Ja "/>
    <m/>
    <m/>
    <m/>
    <n v="892"/>
    <m/>
    <n v="1032"/>
    <m/>
    <m/>
    <m/>
    <m/>
    <m/>
    <m/>
    <m/>
    <m/>
    <m/>
    <n v="0"/>
    <n v="0"/>
    <n v="0"/>
    <n v="892"/>
    <n v="0"/>
    <n v="1032"/>
    <n v="0"/>
    <n v="0"/>
    <n v="0"/>
    <n v="0"/>
    <n v="0"/>
    <n v="0"/>
    <n v="0"/>
    <n v="0"/>
    <x v="0"/>
    <n v="0"/>
    <s v="MMR001CMP128"/>
    <x v="0"/>
    <x v="0"/>
    <x v="4"/>
    <n v="0"/>
    <m/>
    <m/>
  </r>
  <r>
    <n v="7.7666666666666666"/>
    <d v="2015-03-13T00:00:00"/>
    <x v="0"/>
    <m/>
    <s v="Kachin"/>
    <s v="Waingmaw"/>
    <s v="Maina Catholic Church (St. Joseph)"/>
    <m/>
    <m/>
    <m/>
    <m/>
    <n v="1"/>
    <m/>
    <m/>
    <m/>
    <m/>
    <m/>
    <m/>
    <m/>
    <m/>
    <m/>
    <m/>
    <n v="0"/>
    <n v="0"/>
    <n v="0"/>
    <n v="0"/>
    <n v="1"/>
    <n v="0"/>
    <n v="0"/>
    <n v="0"/>
    <n v="0"/>
    <n v="0"/>
    <n v="0"/>
    <n v="0"/>
    <n v="0"/>
    <n v="0"/>
    <x v="0"/>
    <n v="0"/>
    <s v="MMR001CMP029"/>
    <x v="0"/>
    <x v="0"/>
    <x v="0"/>
    <n v="0"/>
    <m/>
    <m/>
  </r>
  <r>
    <n v="8.0333333333333332"/>
    <d v="2015-03-05T00:00:00"/>
    <x v="0"/>
    <s v="KMSS-LSO"/>
    <s v="Shan_North"/>
    <s v="Hseni"/>
    <s v="Nam Jarap"/>
    <m/>
    <m/>
    <n v="43"/>
    <n v="95"/>
    <n v="43"/>
    <m/>
    <n v="43"/>
    <n v="43"/>
    <n v="43"/>
    <n v="95"/>
    <m/>
    <m/>
    <m/>
    <m/>
    <n v="43"/>
    <n v="0"/>
    <n v="0"/>
    <n v="43"/>
    <n v="95"/>
    <n v="43"/>
    <n v="0"/>
    <n v="43"/>
    <n v="43"/>
    <n v="43"/>
    <n v="237.5"/>
    <n v="0"/>
    <n v="0"/>
    <n v="0"/>
    <n v="0"/>
    <x v="0"/>
    <n v="43"/>
    <s v=""/>
    <x v="1"/>
    <x v="1"/>
    <x v="1"/>
    <s v=""/>
    <m/>
    <s v="Updated on 10/Nov/2015. Added jerry can data. Data source: mail by La Nu"/>
  </r>
  <r>
    <n v="8.2333333333333325"/>
    <d v="2015-02-27T00:00:00"/>
    <x v="0"/>
    <s v="UNHCR"/>
    <s v="Kachin"/>
    <s v="Hpakant"/>
    <s v="5 Ward RC Church(lon Khin)"/>
    <m/>
    <m/>
    <m/>
    <m/>
    <m/>
    <m/>
    <m/>
    <m/>
    <m/>
    <m/>
    <m/>
    <m/>
    <m/>
    <m/>
    <n v="100"/>
    <n v="0"/>
    <n v="0"/>
    <n v="0"/>
    <n v="0"/>
    <n v="0"/>
    <n v="0"/>
    <n v="0"/>
    <n v="0"/>
    <n v="0"/>
    <n v="0"/>
    <n v="0"/>
    <n v="0"/>
    <n v="0"/>
    <n v="0"/>
    <x v="0"/>
    <n v="100"/>
    <s v="MMR001CMP168"/>
    <x v="0"/>
    <x v="0"/>
    <x v="0"/>
    <n v="0"/>
    <m/>
    <s v="Updated on 11/Nov/2015. Added jerry can data. Data source: mail by Win Aung Htun."/>
  </r>
  <r>
    <n v="8.2333333333333325"/>
    <d v="2015-02-27T00:00:00"/>
    <x v="0"/>
    <m/>
    <s v="Kachin"/>
    <s v="Hpakant"/>
    <s v="5 Ward RC Church(lon Khin)"/>
    <m/>
    <m/>
    <m/>
    <n v="200"/>
    <n v="200"/>
    <n v="200"/>
    <n v="100"/>
    <n v="100"/>
    <n v="100"/>
    <n v="500"/>
    <m/>
    <m/>
    <m/>
    <m/>
    <m/>
    <n v="0"/>
    <n v="0"/>
    <n v="0"/>
    <n v="200"/>
    <n v="200"/>
    <n v="200"/>
    <n v="100"/>
    <n v="100"/>
    <n v="100"/>
    <n v="1250"/>
    <n v="0"/>
    <n v="0"/>
    <n v="0"/>
    <n v="0"/>
    <x v="0"/>
    <n v="0"/>
    <s v="MMR001CMP168"/>
    <x v="0"/>
    <x v="0"/>
    <x v="0"/>
    <n v="1.3333333333333333"/>
    <m/>
    <m/>
  </r>
  <r>
    <n v="8.4333333333333336"/>
    <d v="2015-02-21T00:00:00"/>
    <x v="0"/>
    <s v="KMSS-LSO"/>
    <s v="Shan_North"/>
    <s v="Kutkai"/>
    <s v="Zup Aung Camp"/>
    <m/>
    <m/>
    <n v="36"/>
    <n v="108"/>
    <n v="54"/>
    <m/>
    <n v="54"/>
    <n v="54"/>
    <n v="54"/>
    <n v="108"/>
    <m/>
    <m/>
    <m/>
    <n v="108"/>
    <n v="54"/>
    <n v="0"/>
    <n v="0"/>
    <n v="36"/>
    <n v="108"/>
    <n v="54"/>
    <n v="0"/>
    <n v="54"/>
    <n v="54"/>
    <n v="54"/>
    <n v="270"/>
    <n v="0"/>
    <n v="0"/>
    <n v="0"/>
    <n v="108"/>
    <x v="1"/>
    <n v="54"/>
    <s v="MMR015CMP020"/>
    <x v="0"/>
    <x v="0"/>
    <x v="2"/>
    <n v="0.30337078651685395"/>
    <m/>
    <s v="Updated on 10/Nov/2015. Added jerry can data. Data source: mail by La Nu"/>
  </r>
  <r>
    <n v="8.6"/>
    <d v="2015-02-16T00:00:00"/>
    <x v="0"/>
    <m/>
    <s v="Kachin"/>
    <s v="Momauk"/>
    <s v="Hpun Lum Yang "/>
    <m/>
    <m/>
    <m/>
    <m/>
    <m/>
    <m/>
    <m/>
    <m/>
    <m/>
    <m/>
    <n v="850"/>
    <n v="1474"/>
    <m/>
    <n v="854"/>
    <m/>
    <m/>
    <n v="0"/>
    <n v="0"/>
    <n v="0"/>
    <n v="0"/>
    <n v="0"/>
    <n v="0"/>
    <n v="0"/>
    <n v="0"/>
    <n v="0"/>
    <n v="850"/>
    <n v="1474"/>
    <n v="0"/>
    <n v="854"/>
    <x v="1"/>
    <n v="0"/>
    <s v="MMR001CMP122"/>
    <x v="0"/>
    <x v="0"/>
    <x v="4"/>
    <n v="0"/>
    <m/>
    <m/>
  </r>
  <r>
    <n v="8.6"/>
    <d v="2015-02-16T00:00:00"/>
    <x v="0"/>
    <m/>
    <s v="Kachin"/>
    <s v="Momauk"/>
    <s v="Je Yang Hka "/>
    <m/>
    <m/>
    <m/>
    <m/>
    <m/>
    <m/>
    <m/>
    <m/>
    <m/>
    <m/>
    <n v="2910"/>
    <n v="5160"/>
    <m/>
    <n v="3300"/>
    <m/>
    <n v="0"/>
    <n v="0"/>
    <n v="0"/>
    <n v="0"/>
    <n v="0"/>
    <n v="0"/>
    <n v="0"/>
    <n v="0"/>
    <n v="0"/>
    <n v="0"/>
    <n v="2910"/>
    <n v="5160"/>
    <n v="0"/>
    <n v="3300"/>
    <x v="1"/>
    <n v="0"/>
    <s v="MMR001CMP121"/>
    <x v="0"/>
    <x v="0"/>
    <x v="4"/>
    <n v="0"/>
    <m/>
    <m/>
  </r>
  <r>
    <n v="8.6"/>
    <d v="2015-02-16T00:00:00"/>
    <x v="0"/>
    <m/>
    <s v="Kachin"/>
    <s v="Waingmaw"/>
    <s v="Laiza Market 3 - Laiza Gat"/>
    <m/>
    <m/>
    <m/>
    <m/>
    <m/>
    <m/>
    <m/>
    <m/>
    <m/>
    <m/>
    <n v="900"/>
    <n v="1520"/>
    <m/>
    <n v="1000"/>
    <m/>
    <n v="0"/>
    <n v="0"/>
    <n v="0"/>
    <n v="0"/>
    <n v="0"/>
    <n v="0"/>
    <n v="0"/>
    <n v="0"/>
    <n v="0"/>
    <n v="0"/>
    <n v="900"/>
    <n v="1520"/>
    <n v="0"/>
    <n v="1000"/>
    <x v="1"/>
    <n v="0"/>
    <s v="MMR001CMP117"/>
    <x v="0"/>
    <x v="2"/>
    <x v="4"/>
    <s v=""/>
    <m/>
    <m/>
  </r>
  <r>
    <n v="8.6"/>
    <d v="2015-02-16T00:00:00"/>
    <x v="0"/>
    <m/>
    <s v="Kachin"/>
    <s v="Waingmaw"/>
    <s v="Woi Chyai "/>
    <m/>
    <m/>
    <m/>
    <m/>
    <m/>
    <m/>
    <m/>
    <m/>
    <m/>
    <m/>
    <n v="1620"/>
    <n v="2840"/>
    <m/>
    <n v="17900"/>
    <m/>
    <n v="0"/>
    <n v="0"/>
    <n v="0"/>
    <n v="0"/>
    <n v="0"/>
    <n v="0"/>
    <n v="0"/>
    <n v="0"/>
    <n v="0"/>
    <n v="0"/>
    <n v="1620"/>
    <n v="2840"/>
    <n v="0"/>
    <n v="17900"/>
    <x v="1"/>
    <n v="0"/>
    <s v="MMR001CMP116"/>
    <x v="0"/>
    <x v="0"/>
    <x v="0"/>
    <n v="0"/>
    <m/>
    <m/>
  </r>
  <r>
    <n v="8.6999999999999993"/>
    <d v="2015-02-13T00:00:00"/>
    <x v="0"/>
    <m/>
    <s v="Kachin"/>
    <s v="Myitkyina"/>
    <s v="Pa Dauk Myaing(Pa La Na)"/>
    <m/>
    <m/>
    <m/>
    <m/>
    <m/>
    <n v="18"/>
    <n v="9"/>
    <m/>
    <n v="29"/>
    <n v="145"/>
    <m/>
    <m/>
    <m/>
    <m/>
    <m/>
    <n v="0"/>
    <n v="0"/>
    <n v="0"/>
    <n v="0"/>
    <n v="0"/>
    <n v="18"/>
    <n v="9"/>
    <n v="0"/>
    <n v="29"/>
    <n v="362.5"/>
    <n v="0"/>
    <n v="0"/>
    <n v="0"/>
    <n v="0"/>
    <x v="0"/>
    <n v="0"/>
    <s v="MMR001CMP162"/>
    <x v="0"/>
    <x v="0"/>
    <x v="0"/>
    <n v="0.15789473684210525"/>
    <m/>
    <m/>
  </r>
  <r>
    <n v="8.6999999999999993"/>
    <d v="2015-02-13T00:00:00"/>
    <x v="0"/>
    <m/>
    <s v="Kachin"/>
    <s v="Waingmaw"/>
    <s v="Zai Awng - Mung Ga Zup"/>
    <m/>
    <m/>
    <m/>
    <n v="108"/>
    <n v="54"/>
    <n v="108"/>
    <n v="54"/>
    <n v="54"/>
    <n v="54"/>
    <n v="108"/>
    <m/>
    <m/>
    <m/>
    <m/>
    <m/>
    <n v="0"/>
    <n v="0"/>
    <n v="0"/>
    <n v="108"/>
    <n v="54"/>
    <n v="108"/>
    <n v="54"/>
    <n v="54"/>
    <n v="54"/>
    <n v="270"/>
    <n v="0"/>
    <n v="0"/>
    <n v="0"/>
    <n v="0"/>
    <x v="0"/>
    <n v="0"/>
    <s v="MMR001CMP111"/>
    <x v="0"/>
    <x v="0"/>
    <x v="4"/>
    <n v="7.9411764705882348E-2"/>
    <m/>
    <m/>
  </r>
  <r>
    <n v="8.7333333333333325"/>
    <d v="2015-02-12T00:00:00"/>
    <x v="0"/>
    <s v="KMSS"/>
    <s v="Kachin"/>
    <s v="Myitkyina"/>
    <s v="Pa Dauk Myaing(Pa La Na)"/>
    <m/>
    <m/>
    <m/>
    <m/>
    <m/>
    <m/>
    <m/>
    <m/>
    <m/>
    <m/>
    <m/>
    <m/>
    <m/>
    <n v="18"/>
    <m/>
    <n v="0"/>
    <n v="0"/>
    <n v="0"/>
    <n v="0"/>
    <n v="0"/>
    <n v="0"/>
    <n v="0"/>
    <n v="0"/>
    <n v="0"/>
    <n v="0"/>
    <n v="0"/>
    <n v="0"/>
    <n v="0"/>
    <n v="18"/>
    <x v="1"/>
    <n v="0"/>
    <s v="MMR001CMP162"/>
    <x v="0"/>
    <x v="0"/>
    <x v="0"/>
    <n v="0"/>
    <m/>
    <m/>
  </r>
  <r>
    <n v="9"/>
    <d v="2015-02-04T00:00:00"/>
    <x v="0"/>
    <m/>
    <s v="Kachin"/>
    <s v="Puta-O"/>
    <m/>
    <m/>
    <m/>
    <n v="28"/>
    <n v="56"/>
    <n v="28"/>
    <n v="56"/>
    <n v="28"/>
    <m/>
    <n v="28"/>
    <n v="140"/>
    <m/>
    <m/>
    <m/>
    <m/>
    <m/>
    <n v="0"/>
    <n v="0"/>
    <n v="28"/>
    <n v="56"/>
    <n v="28"/>
    <n v="56"/>
    <n v="28"/>
    <n v="0"/>
    <n v="28"/>
    <n v="350"/>
    <n v="0"/>
    <n v="0"/>
    <n v="0"/>
    <n v="0"/>
    <x v="0"/>
    <n v="0"/>
    <s v=""/>
    <x v="1"/>
    <x v="1"/>
    <x v="1"/>
    <s v=""/>
    <m/>
    <m/>
  </r>
  <r>
    <n v="9"/>
    <d v="2015-02-04T00:00:00"/>
    <x v="0"/>
    <m/>
    <s v="Kachin"/>
    <s v="Puta-O"/>
    <s v="Tote Tan Ward"/>
    <m/>
    <m/>
    <n v="18"/>
    <n v="36"/>
    <n v="18"/>
    <n v="36"/>
    <n v="18"/>
    <m/>
    <n v="18"/>
    <n v="90"/>
    <m/>
    <m/>
    <m/>
    <m/>
    <m/>
    <n v="0"/>
    <n v="0"/>
    <n v="18"/>
    <n v="36"/>
    <n v="18"/>
    <n v="36"/>
    <n v="18"/>
    <n v="0"/>
    <n v="18"/>
    <n v="225"/>
    <n v="0"/>
    <n v="0"/>
    <n v="0"/>
    <n v="0"/>
    <x v="0"/>
    <n v="0"/>
    <s v="MMR001CMP075"/>
    <x v="0"/>
    <x v="0"/>
    <x v="2"/>
    <n v="1.2857142857142858"/>
    <m/>
    <m/>
  </r>
  <r>
    <n v="9"/>
    <d v="2015-02-04T00:00:00"/>
    <x v="0"/>
    <s v="KBC"/>
    <s v="Kachin"/>
    <s v="Puta-O"/>
    <s v="Resettlement place"/>
    <m/>
    <m/>
    <n v="57"/>
    <m/>
    <m/>
    <m/>
    <m/>
    <n v="77"/>
    <m/>
    <n v="146"/>
    <m/>
    <m/>
    <m/>
    <m/>
    <n v="46"/>
    <n v="0"/>
    <n v="0"/>
    <n v="57"/>
    <n v="0"/>
    <n v="0"/>
    <n v="0"/>
    <n v="0"/>
    <n v="77"/>
    <n v="0"/>
    <n v="365"/>
    <n v="0"/>
    <n v="0"/>
    <n v="0"/>
    <n v="0"/>
    <x v="0"/>
    <n v="46"/>
    <s v=""/>
    <x v="1"/>
    <x v="1"/>
    <x v="1"/>
    <s v=""/>
    <m/>
    <s v="Updated on 11/Nov/2015. Added jerry can data. Data source: mail by Win Aung Htun"/>
  </r>
  <r>
    <n v="9.3000000000000007"/>
    <d v="2015-01-26T00:00:00"/>
    <x v="0"/>
    <m/>
    <s v="Kachin"/>
    <s v="Hpakant"/>
    <m/>
    <m/>
    <m/>
    <m/>
    <n v="400"/>
    <n v="250"/>
    <n v="400"/>
    <n v="200"/>
    <n v="200"/>
    <n v="200"/>
    <n v="1200"/>
    <m/>
    <m/>
    <m/>
    <n v="400"/>
    <m/>
    <n v="0"/>
    <n v="0"/>
    <n v="0"/>
    <n v="400"/>
    <n v="250"/>
    <n v="400"/>
    <n v="200"/>
    <n v="200"/>
    <n v="200"/>
    <n v="3000"/>
    <n v="0"/>
    <n v="0"/>
    <n v="0"/>
    <n v="400"/>
    <x v="1"/>
    <n v="0"/>
    <s v=""/>
    <x v="1"/>
    <x v="1"/>
    <x v="1"/>
    <s v=""/>
    <m/>
    <m/>
  </r>
  <r>
    <n v="9.3000000000000007"/>
    <d v="2015-01-26T00:00:00"/>
    <x v="0"/>
    <s v="KMSS"/>
    <s v="Kachin"/>
    <s v="Hpakant"/>
    <s v="Kan Si Village"/>
    <m/>
    <m/>
    <n v="57"/>
    <m/>
    <m/>
    <m/>
    <m/>
    <n v="77"/>
    <m/>
    <n v="146"/>
    <m/>
    <m/>
    <m/>
    <m/>
    <n v="200"/>
    <n v="0"/>
    <n v="0"/>
    <n v="57"/>
    <n v="0"/>
    <n v="0"/>
    <n v="0"/>
    <n v="0"/>
    <n v="77"/>
    <n v="0"/>
    <n v="365"/>
    <n v="0"/>
    <n v="0"/>
    <n v="0"/>
    <n v="0"/>
    <x v="0"/>
    <n v="200"/>
    <s v=""/>
    <x v="1"/>
    <x v="1"/>
    <x v="1"/>
    <s v=""/>
    <m/>
    <s v="Updated on 11/Nov/2015. Added jerry can data. Data source: mail by Win Aung Htun."/>
  </r>
  <r>
    <n v="9.7333333333333325"/>
    <d v="2015-01-13T00:00:00"/>
    <x v="0"/>
    <s v="Shalom"/>
    <m/>
    <m/>
    <m/>
    <m/>
    <m/>
    <m/>
    <m/>
    <n v="2"/>
    <m/>
    <m/>
    <m/>
    <m/>
    <m/>
    <m/>
    <m/>
    <m/>
    <m/>
    <m/>
    <n v="0"/>
    <n v="0"/>
    <n v="0"/>
    <n v="0"/>
    <n v="2"/>
    <n v="0"/>
    <n v="0"/>
    <n v="0"/>
    <n v="0"/>
    <n v="0"/>
    <n v="0"/>
    <n v="0"/>
    <n v="0"/>
    <n v="0"/>
    <x v="0"/>
    <n v="0"/>
    <s v=""/>
    <x v="1"/>
    <x v="1"/>
    <x v="1"/>
    <s v=""/>
    <m/>
    <m/>
  </r>
  <r>
    <n v="9.7333333333333325"/>
    <d v="2015-01-13T00:00:00"/>
    <x v="1"/>
    <s v="MRCS"/>
    <s v="Kachin"/>
    <s v="Chipwi"/>
    <s v="Chipwi KBC camp"/>
    <m/>
    <m/>
    <m/>
    <m/>
    <m/>
    <m/>
    <m/>
    <m/>
    <m/>
    <m/>
    <n v="293"/>
    <n v="190"/>
    <m/>
    <n v="170"/>
    <m/>
    <n v="0"/>
    <n v="0"/>
    <n v="0"/>
    <n v="0"/>
    <n v="0"/>
    <n v="0"/>
    <n v="0"/>
    <n v="0"/>
    <n v="0"/>
    <n v="0"/>
    <n v="293"/>
    <n v="190"/>
    <n v="0"/>
    <n v="170"/>
    <x v="1"/>
    <n v="0"/>
    <s v="MMR001CMP042"/>
    <x v="0"/>
    <x v="0"/>
    <x v="3"/>
    <n v="0"/>
    <m/>
    <m/>
  </r>
  <r>
    <n v="9.7333333333333325"/>
    <d v="2015-01-13T00:00:00"/>
    <x v="1"/>
    <s v="MRCS"/>
    <s v="Kachin"/>
    <s v="Chipwi"/>
    <s v="Lhaovao Baptist Church (LBC)"/>
    <m/>
    <m/>
    <m/>
    <m/>
    <m/>
    <m/>
    <m/>
    <m/>
    <m/>
    <m/>
    <n v="350"/>
    <n v="236"/>
    <m/>
    <n v="203"/>
    <m/>
    <n v="0"/>
    <n v="0"/>
    <n v="0"/>
    <n v="0"/>
    <n v="0"/>
    <n v="0"/>
    <n v="0"/>
    <n v="0"/>
    <n v="0"/>
    <n v="0"/>
    <n v="350"/>
    <n v="236"/>
    <n v="0"/>
    <n v="203"/>
    <x v="1"/>
    <n v="0"/>
    <s v="MMR001CMP195"/>
    <x v="0"/>
    <x v="0"/>
    <x v="3"/>
    <n v="0"/>
    <m/>
    <m/>
  </r>
  <r>
    <n v="9.7333333333333325"/>
    <d v="2015-01-13T00:00:00"/>
    <x v="1"/>
    <s v="MRCS"/>
    <s v="Kachin"/>
    <s v="Momauk"/>
    <s v="Nyaung Na Pin "/>
    <m/>
    <m/>
    <m/>
    <m/>
    <m/>
    <m/>
    <m/>
    <m/>
    <m/>
    <m/>
    <n v="195"/>
    <n v="91"/>
    <m/>
    <n v="92"/>
    <m/>
    <n v="0"/>
    <n v="0"/>
    <n v="0"/>
    <n v="0"/>
    <n v="0"/>
    <n v="0"/>
    <n v="0"/>
    <n v="0"/>
    <n v="0"/>
    <n v="0"/>
    <n v="195"/>
    <n v="91"/>
    <n v="0"/>
    <n v="92"/>
    <x v="1"/>
    <n v="0"/>
    <s v="MMR001CMP072"/>
    <x v="0"/>
    <x v="0"/>
    <x v="2"/>
    <n v="0"/>
    <m/>
    <m/>
  </r>
  <r>
    <n v="9.7333333333333325"/>
    <d v="2015-01-13T00:00:00"/>
    <x v="1"/>
    <s v="MRCS"/>
    <s v="Kachin"/>
    <s v="Myitkyina"/>
    <s v="Pa Dauk Myaing(Pa La Na)"/>
    <m/>
    <m/>
    <m/>
    <m/>
    <m/>
    <m/>
    <m/>
    <m/>
    <m/>
    <m/>
    <n v="323"/>
    <n v="178"/>
    <m/>
    <m/>
    <m/>
    <n v="0"/>
    <n v="0"/>
    <n v="0"/>
    <n v="0"/>
    <n v="0"/>
    <n v="0"/>
    <n v="0"/>
    <n v="0"/>
    <n v="0"/>
    <n v="0"/>
    <n v="323"/>
    <n v="178"/>
    <n v="0"/>
    <n v="0"/>
    <x v="1"/>
    <n v="0"/>
    <s v="MMR001CMP162"/>
    <x v="0"/>
    <x v="0"/>
    <x v="0"/>
    <n v="0"/>
    <m/>
    <m/>
  </r>
  <r>
    <n v="9.7333333333333325"/>
    <d v="2015-01-13T00:00:00"/>
    <x v="1"/>
    <s v="MRCS"/>
    <s v="Kachin"/>
    <s v="Chipwi"/>
    <s v="Pan Wa"/>
    <m/>
    <m/>
    <m/>
    <m/>
    <m/>
    <m/>
    <m/>
    <m/>
    <m/>
    <m/>
    <n v="187"/>
    <n v="137"/>
    <m/>
    <n v="118"/>
    <m/>
    <n v="0"/>
    <n v="0"/>
    <n v="0"/>
    <n v="0"/>
    <n v="0"/>
    <n v="0"/>
    <n v="0"/>
    <n v="0"/>
    <n v="0"/>
    <n v="0"/>
    <n v="187"/>
    <n v="137"/>
    <n v="0"/>
    <n v="118"/>
    <x v="1"/>
    <n v="0"/>
    <s v="MMR001CMP210"/>
    <x v="0"/>
    <x v="0"/>
    <x v="3"/>
    <n v="0"/>
    <m/>
    <m/>
  </r>
  <r>
    <n v="9.7333333333333325"/>
    <d v="2015-01-13T00:00:00"/>
    <x v="1"/>
    <s v="MRCS"/>
    <s v="Kachin"/>
    <s v="Hpakant"/>
    <s v="Rawan Baptist Church, Maw Shan Vil., Seik Mu"/>
    <m/>
    <m/>
    <m/>
    <m/>
    <m/>
    <m/>
    <m/>
    <m/>
    <m/>
    <m/>
    <n v="26"/>
    <n v="14"/>
    <m/>
    <m/>
    <m/>
    <n v="0"/>
    <n v="0"/>
    <n v="0"/>
    <n v="0"/>
    <n v="0"/>
    <n v="0"/>
    <n v="0"/>
    <n v="0"/>
    <n v="0"/>
    <n v="0"/>
    <n v="26"/>
    <n v="14"/>
    <n v="0"/>
    <n v="0"/>
    <x v="1"/>
    <n v="0"/>
    <s v="MMR001CMP182"/>
    <x v="0"/>
    <x v="0"/>
    <x v="0"/>
    <n v="0"/>
    <m/>
    <m/>
  </r>
  <r>
    <n v="9.7333333333333325"/>
    <d v="2015-01-13T00:00:00"/>
    <x v="1"/>
    <s v="MRCS"/>
    <s v="Kachin"/>
    <s v="Hpakant"/>
    <s v="Sai Nai Baptish Church, Maw Shan Vil., Seki Mu"/>
    <m/>
    <m/>
    <m/>
    <m/>
    <m/>
    <m/>
    <m/>
    <m/>
    <m/>
    <m/>
    <n v="34"/>
    <n v="9"/>
    <m/>
    <m/>
    <m/>
    <n v="0"/>
    <n v="0"/>
    <n v="0"/>
    <n v="0"/>
    <n v="0"/>
    <n v="0"/>
    <n v="0"/>
    <n v="0"/>
    <n v="0"/>
    <n v="0"/>
    <n v="34"/>
    <n v="9"/>
    <n v="0"/>
    <n v="0"/>
    <x v="1"/>
    <n v="0"/>
    <s v="MMR001CMP183"/>
    <x v="0"/>
    <x v="0"/>
    <x v="0"/>
    <n v="0"/>
    <m/>
    <m/>
  </r>
  <r>
    <n v="9.7333333333333325"/>
    <d v="2015-01-13T00:00:00"/>
    <x v="1"/>
    <s v="MRCS"/>
    <s v="Kachin"/>
    <s v="Chipwi"/>
    <s v="Saw Zam"/>
    <m/>
    <m/>
    <m/>
    <m/>
    <m/>
    <m/>
    <m/>
    <m/>
    <m/>
    <m/>
    <n v="111"/>
    <n v="56"/>
    <m/>
    <n v="58"/>
    <m/>
    <n v="0"/>
    <n v="0"/>
    <n v="0"/>
    <n v="0"/>
    <n v="0"/>
    <n v="0"/>
    <n v="0"/>
    <n v="0"/>
    <n v="0"/>
    <n v="0"/>
    <n v="111"/>
    <n v="56"/>
    <n v="0"/>
    <n v="58"/>
    <x v="1"/>
    <n v="0"/>
    <s v="MMR001CMP225"/>
    <x v="0"/>
    <x v="0"/>
    <x v="3"/>
    <n v="0"/>
    <m/>
    <m/>
  </r>
  <r>
    <n v="9.7333333333333325"/>
    <d v="2015-01-13T00:00:00"/>
    <x v="1"/>
    <s v="MRCS"/>
    <s v="Kachin"/>
    <s v="Momauk"/>
    <s v="Seng Ja "/>
    <m/>
    <m/>
    <m/>
    <m/>
    <m/>
    <m/>
    <m/>
    <m/>
    <m/>
    <m/>
    <n v="155"/>
    <n v="73"/>
    <m/>
    <n v="96"/>
    <m/>
    <n v="0"/>
    <n v="0"/>
    <n v="0"/>
    <n v="0"/>
    <n v="0"/>
    <n v="0"/>
    <n v="0"/>
    <n v="0"/>
    <n v="0"/>
    <n v="0"/>
    <n v="155"/>
    <n v="73"/>
    <n v="0"/>
    <n v="96"/>
    <x v="1"/>
    <n v="0"/>
    <s v="MMR001CMP073"/>
    <x v="0"/>
    <x v="0"/>
    <x v="2"/>
    <n v="0"/>
    <m/>
    <m/>
  </r>
  <r>
    <n v="9.7333333333333325"/>
    <d v="2015-01-13T00:00:00"/>
    <x v="1"/>
    <s v="MRCS"/>
    <s v="Kachin"/>
    <s v="Sumprabum"/>
    <s v="Sumprabum"/>
    <m/>
    <m/>
    <m/>
    <m/>
    <m/>
    <m/>
    <m/>
    <m/>
    <m/>
    <m/>
    <n v="91"/>
    <n v="32"/>
    <m/>
    <n v="36"/>
    <m/>
    <n v="0"/>
    <n v="0"/>
    <n v="0"/>
    <n v="0"/>
    <n v="0"/>
    <n v="0"/>
    <n v="0"/>
    <n v="0"/>
    <n v="0"/>
    <n v="0"/>
    <n v="91"/>
    <n v="32"/>
    <n v="0"/>
    <n v="36"/>
    <x v="1"/>
    <n v="0"/>
    <s v="MMR001CMP206"/>
    <x v="0"/>
    <x v="0"/>
    <x v="0"/>
    <n v="0"/>
    <m/>
    <m/>
  </r>
  <r>
    <n v="9.7333333333333325"/>
    <d v="2015-01-13T00:00:00"/>
    <x v="0"/>
    <m/>
    <s v="Kachin"/>
    <s v="Myitkyina"/>
    <s v="Tat Kone COC Baptist - Tat Kone Htoi San"/>
    <m/>
    <m/>
    <m/>
    <m/>
    <n v="2"/>
    <m/>
    <m/>
    <m/>
    <m/>
    <m/>
    <m/>
    <m/>
    <m/>
    <m/>
    <m/>
    <n v="0"/>
    <n v="0"/>
    <n v="0"/>
    <n v="0"/>
    <n v="2"/>
    <n v="0"/>
    <n v="0"/>
    <n v="0"/>
    <n v="0"/>
    <n v="0"/>
    <n v="0"/>
    <n v="0"/>
    <n v="0"/>
    <n v="0"/>
    <x v="0"/>
    <n v="0"/>
    <s v="MMR001CMP023"/>
    <x v="0"/>
    <x v="0"/>
    <x v="0"/>
    <n v="0"/>
    <m/>
    <m/>
  </r>
  <r>
    <n v="9.7333333333333325"/>
    <d v="2015-01-13T00:00:00"/>
    <x v="1"/>
    <s v="MRCS"/>
    <s v="Kachin"/>
    <s v="Hpakant"/>
    <s v="Ward 2 Sai Taung Baptist Church, Seik Mu "/>
    <m/>
    <m/>
    <m/>
    <m/>
    <m/>
    <m/>
    <m/>
    <m/>
    <m/>
    <m/>
    <n v="94"/>
    <n v="58"/>
    <m/>
    <m/>
    <m/>
    <n v="0"/>
    <n v="0"/>
    <n v="0"/>
    <n v="0"/>
    <n v="0"/>
    <n v="0"/>
    <n v="0"/>
    <n v="0"/>
    <n v="0"/>
    <n v="0"/>
    <n v="94"/>
    <n v="58"/>
    <n v="0"/>
    <n v="0"/>
    <x v="1"/>
    <n v="0"/>
    <s v="MMR001CMP184"/>
    <x v="0"/>
    <x v="0"/>
    <x v="0"/>
    <n v="0"/>
    <m/>
    <m/>
  </r>
  <r>
    <n v="9.7333333333333325"/>
    <d v="2015-01-13T00:00:00"/>
    <x v="1"/>
    <s v="MRCS"/>
    <s v="Kachin"/>
    <s v="Hpakant"/>
    <s v="Yumar Baptist Church"/>
    <m/>
    <m/>
    <m/>
    <m/>
    <m/>
    <m/>
    <m/>
    <m/>
    <m/>
    <m/>
    <n v="33"/>
    <n v="8"/>
    <m/>
    <m/>
    <m/>
    <n v="0"/>
    <n v="0"/>
    <n v="0"/>
    <n v="0"/>
    <n v="0"/>
    <n v="0"/>
    <n v="0"/>
    <n v="0"/>
    <n v="0"/>
    <n v="0"/>
    <n v="33"/>
    <n v="8"/>
    <n v="0"/>
    <n v="0"/>
    <x v="1"/>
    <n v="0"/>
    <s v="MMR001CMP105"/>
    <x v="0"/>
    <x v="0"/>
    <x v="0"/>
    <n v="0"/>
    <m/>
    <m/>
  </r>
  <r>
    <n v="9.8333333333333339"/>
    <d v="2015-01-10T00:00:00"/>
    <x v="0"/>
    <s v="KBC"/>
    <s v="Kachin"/>
    <s v="Puta-O"/>
    <m/>
    <m/>
    <m/>
    <n v="55"/>
    <n v="110"/>
    <n v="55"/>
    <m/>
    <n v="55"/>
    <m/>
    <n v="55"/>
    <n v="275"/>
    <m/>
    <m/>
    <m/>
    <m/>
    <m/>
    <n v="0"/>
    <n v="0"/>
    <n v="55"/>
    <n v="110"/>
    <n v="55"/>
    <n v="0"/>
    <n v="55"/>
    <n v="0"/>
    <n v="55"/>
    <n v="687.5"/>
    <n v="0"/>
    <n v="0"/>
    <n v="0"/>
    <n v="0"/>
    <x v="0"/>
    <n v="0"/>
    <s v=""/>
    <x v="1"/>
    <x v="1"/>
    <x v="1"/>
    <s v=""/>
    <m/>
    <m/>
  </r>
  <r>
    <n v="9.8333333333333339"/>
    <d v="2015-01-10T00:00:00"/>
    <x v="0"/>
    <s v="UNHCR"/>
    <s v="Kachin"/>
    <s v="Puta-O"/>
    <s v="Naung Khaing"/>
    <m/>
    <m/>
    <n v="57"/>
    <m/>
    <m/>
    <m/>
    <m/>
    <n v="77"/>
    <m/>
    <n v="146"/>
    <m/>
    <m/>
    <m/>
    <m/>
    <n v="55"/>
    <n v="0"/>
    <n v="0"/>
    <n v="57"/>
    <n v="0"/>
    <n v="0"/>
    <n v="0"/>
    <n v="0"/>
    <n v="77"/>
    <n v="0"/>
    <n v="365"/>
    <n v="0"/>
    <n v="0"/>
    <n v="0"/>
    <n v="0"/>
    <x v="0"/>
    <n v="55"/>
    <s v="MMR001CMP220"/>
    <x v="0"/>
    <x v="2"/>
    <x v="2"/>
    <s v=""/>
    <m/>
    <s v="Updated on 11/Nov/2015. Added jerry can data. Data source: mail by Win Aung Htun"/>
  </r>
  <r>
    <n v="10.133333333333333"/>
    <d v="2015-01-01T00:00:00"/>
    <x v="0"/>
    <s v="KBC"/>
    <s v="Kachin"/>
    <s v="Waingmaw"/>
    <s v="Shing Jai"/>
    <m/>
    <m/>
    <m/>
    <m/>
    <m/>
    <m/>
    <n v="50"/>
    <m/>
    <m/>
    <m/>
    <m/>
    <m/>
    <m/>
    <m/>
    <m/>
    <n v="0"/>
    <n v="0"/>
    <n v="0"/>
    <n v="0"/>
    <n v="0"/>
    <n v="0"/>
    <n v="50"/>
    <n v="0"/>
    <n v="0"/>
    <n v="0"/>
    <n v="0"/>
    <n v="0"/>
    <n v="0"/>
    <n v="0"/>
    <x v="0"/>
    <n v="0"/>
    <s v="MMR001CMP041"/>
    <x v="0"/>
    <x v="0"/>
    <x v="3"/>
    <n v="0.29069767441860467"/>
    <m/>
    <m/>
  </r>
  <r>
    <n v="10.199999999999999"/>
    <d v="2014-12-30T00:00:00"/>
    <x v="0"/>
    <s v="KBC"/>
    <s v="Kachin"/>
    <s v="Waingmaw"/>
    <s v="Shing Jai"/>
    <m/>
    <m/>
    <n v="120"/>
    <n v="240"/>
    <n v="135"/>
    <n v="240"/>
    <n v="170"/>
    <n v="120"/>
    <n v="120"/>
    <n v="600"/>
    <m/>
    <m/>
    <m/>
    <m/>
    <m/>
    <n v="0"/>
    <n v="0"/>
    <n v="120"/>
    <n v="240"/>
    <n v="135"/>
    <n v="240"/>
    <n v="170"/>
    <n v="120"/>
    <n v="120"/>
    <n v="1500"/>
    <n v="0"/>
    <n v="0"/>
    <n v="0"/>
    <n v="0"/>
    <x v="0"/>
    <n v="0"/>
    <s v="MMR001CMP041"/>
    <x v="0"/>
    <x v="0"/>
    <x v="3"/>
    <n v="0.98837209302325579"/>
    <m/>
    <m/>
  </r>
  <r>
    <n v="10.566666666666666"/>
    <d v="2014-12-19T00:00:00"/>
    <x v="0"/>
    <s v="KBC"/>
    <s v="Kachin"/>
    <s v="Waingmaw"/>
    <s v="Hkau Shau (BP 12)"/>
    <m/>
    <m/>
    <m/>
    <m/>
    <m/>
    <m/>
    <m/>
    <m/>
    <m/>
    <m/>
    <n v="364"/>
    <n v="543"/>
    <m/>
    <n v="362"/>
    <m/>
    <n v="0"/>
    <n v="0"/>
    <n v="0"/>
    <n v="0"/>
    <n v="0"/>
    <n v="0"/>
    <n v="0"/>
    <n v="0"/>
    <n v="0"/>
    <n v="0"/>
    <n v="364"/>
    <n v="543"/>
    <n v="0"/>
    <n v="362"/>
    <x v="1"/>
    <n v="0"/>
    <s v="MMR001CMP115"/>
    <x v="0"/>
    <x v="0"/>
    <x v="3"/>
    <n v="0"/>
    <m/>
    <m/>
  </r>
  <r>
    <n v="10.566666666666666"/>
    <d v="2014-12-19T00:00:00"/>
    <x v="0"/>
    <m/>
    <s v="Kachin"/>
    <s v="Chipwi"/>
    <s v="Hpare Hkyer - BP6"/>
    <m/>
    <m/>
    <m/>
    <m/>
    <m/>
    <m/>
    <m/>
    <m/>
    <m/>
    <m/>
    <n v="320"/>
    <n v="465"/>
    <m/>
    <n v="310"/>
    <m/>
    <n v="0"/>
    <n v="0"/>
    <n v="0"/>
    <n v="0"/>
    <n v="0"/>
    <n v="0"/>
    <n v="0"/>
    <n v="0"/>
    <n v="0"/>
    <n v="0"/>
    <n v="320"/>
    <n v="465"/>
    <n v="0"/>
    <n v="310"/>
    <x v="1"/>
    <n v="0"/>
    <s v="MMR001CMP043"/>
    <x v="0"/>
    <x v="0"/>
    <x v="3"/>
    <n v="0"/>
    <m/>
    <m/>
  </r>
  <r>
    <n v="10.566666666666666"/>
    <d v="2014-12-19T00:00:00"/>
    <x v="0"/>
    <m/>
    <s v="Kachin"/>
    <s v="Waingmaw"/>
    <s v="Pajau - Jan Mai"/>
    <m/>
    <m/>
    <m/>
    <m/>
    <m/>
    <m/>
    <m/>
    <m/>
    <m/>
    <m/>
    <n v="384"/>
    <n v="573"/>
    <m/>
    <n v="382"/>
    <m/>
    <n v="0"/>
    <n v="0"/>
    <n v="0"/>
    <n v="0"/>
    <n v="0"/>
    <n v="0"/>
    <n v="0"/>
    <n v="0"/>
    <n v="0"/>
    <n v="0"/>
    <n v="384"/>
    <n v="573"/>
    <n v="0"/>
    <n v="382"/>
    <x v="1"/>
    <n v="0"/>
    <s v="MMR001CMP120"/>
    <x v="0"/>
    <x v="0"/>
    <x v="3"/>
    <n v="0"/>
    <m/>
    <m/>
  </r>
  <r>
    <n v="10.566666666666666"/>
    <d v="2014-12-19T00:00:00"/>
    <x v="0"/>
    <s v="KBC"/>
    <s v="Kachin"/>
    <s v="Waingmaw"/>
    <s v="Zai Awng - Mung Ga Zup"/>
    <m/>
    <m/>
    <m/>
    <m/>
    <m/>
    <m/>
    <m/>
    <m/>
    <m/>
    <m/>
    <n v="1292"/>
    <n v="1938"/>
    <m/>
    <n v="1292"/>
    <m/>
    <n v="0"/>
    <n v="0"/>
    <n v="0"/>
    <n v="0"/>
    <n v="0"/>
    <n v="0"/>
    <n v="0"/>
    <n v="0"/>
    <n v="0"/>
    <n v="0"/>
    <n v="1292"/>
    <n v="1938"/>
    <n v="0"/>
    <n v="1292"/>
    <x v="1"/>
    <n v="0"/>
    <s v="MMR001CMP111"/>
    <x v="0"/>
    <x v="0"/>
    <x v="4"/>
    <n v="0"/>
    <m/>
    <m/>
  </r>
  <r>
    <n v="11.033333333333333"/>
    <d v="2014-12-05T00:00:00"/>
    <x v="0"/>
    <s v="KMSS"/>
    <s v="Kachin"/>
    <s v="Waingmaw"/>
    <s v="Border Post 8"/>
    <m/>
    <m/>
    <m/>
    <n v="164"/>
    <m/>
    <m/>
    <m/>
    <m/>
    <m/>
    <m/>
    <n v="302"/>
    <n v="440"/>
    <m/>
    <n v="297"/>
    <m/>
    <n v="0"/>
    <n v="0"/>
    <n v="0"/>
    <n v="164"/>
    <n v="0"/>
    <n v="0"/>
    <n v="0"/>
    <n v="0"/>
    <n v="0"/>
    <n v="0"/>
    <n v="302"/>
    <n v="440"/>
    <n v="0"/>
    <n v="297"/>
    <x v="1"/>
    <n v="0"/>
    <s v="MMR001CMP113"/>
    <x v="0"/>
    <x v="0"/>
    <x v="3"/>
    <n v="0"/>
    <m/>
    <m/>
  </r>
  <r>
    <n v="11.033333333333333"/>
    <d v="2014-12-05T00:00:00"/>
    <x v="0"/>
    <s v="KMSS"/>
    <s v="Kachin"/>
    <s v="Waingmaw"/>
    <s v="Post 6 Camp"/>
    <m/>
    <m/>
    <m/>
    <n v="124"/>
    <m/>
    <m/>
    <m/>
    <m/>
    <m/>
    <m/>
    <n v="262"/>
    <n v="400"/>
    <m/>
    <n v="257"/>
    <m/>
    <n v="0"/>
    <n v="0"/>
    <n v="0"/>
    <n v="124"/>
    <n v="0"/>
    <n v="0"/>
    <n v="0"/>
    <n v="0"/>
    <n v="0"/>
    <n v="0"/>
    <n v="262"/>
    <n v="400"/>
    <n v="0"/>
    <n v="257"/>
    <x v="1"/>
    <n v="0"/>
    <s v="MMR001CMP160"/>
    <x v="0"/>
    <x v="0"/>
    <x v="3"/>
    <n v="0"/>
    <m/>
    <m/>
  </r>
  <r>
    <n v="11.433333333333334"/>
    <d v="2014-11-23T00:00:00"/>
    <x v="0"/>
    <s v="KBC"/>
    <s v="Kachin"/>
    <s v="Myitkyina"/>
    <s v="Jan Mai Kawng Baptist Church"/>
    <m/>
    <m/>
    <m/>
    <n v="72"/>
    <n v="36"/>
    <n v="72"/>
    <n v="36"/>
    <m/>
    <n v="36"/>
    <n v="180"/>
    <m/>
    <m/>
    <m/>
    <m/>
    <m/>
    <n v="0"/>
    <n v="0"/>
    <n v="0"/>
    <n v="72"/>
    <n v="36"/>
    <n v="72"/>
    <n v="36"/>
    <n v="0"/>
    <n v="36"/>
    <n v="450"/>
    <n v="0"/>
    <n v="0"/>
    <n v="0"/>
    <n v="0"/>
    <x v="0"/>
    <n v="0"/>
    <s v="MMR001CMP018"/>
    <x v="0"/>
    <x v="0"/>
    <x v="0"/>
    <n v="0.17733990147783252"/>
    <m/>
    <m/>
  </r>
  <r>
    <n v="11.833333333333334"/>
    <d v="2014-11-11T00:00:00"/>
    <x v="0"/>
    <s v="KBC"/>
    <s v="Kachin"/>
    <s v="Hpakant"/>
    <s v="Hlaing Naung Baptist"/>
    <m/>
    <m/>
    <n v="19"/>
    <n v="38"/>
    <n v="19"/>
    <n v="38"/>
    <n v="19"/>
    <m/>
    <n v="19"/>
    <n v="95"/>
    <m/>
    <m/>
    <m/>
    <m/>
    <m/>
    <n v="0"/>
    <n v="0"/>
    <n v="19"/>
    <n v="38"/>
    <n v="19"/>
    <n v="38"/>
    <n v="19"/>
    <n v="0"/>
    <n v="19"/>
    <n v="237.5"/>
    <n v="0"/>
    <n v="0"/>
    <n v="0"/>
    <n v="0"/>
    <x v="0"/>
    <n v="0"/>
    <s v="MMR001CMP148"/>
    <x v="0"/>
    <x v="0"/>
    <x v="0"/>
    <n v="1.5833333333333333"/>
    <m/>
    <m/>
  </r>
  <r>
    <n v="11.866666666666667"/>
    <d v="2014-11-10T00:00:00"/>
    <x v="1"/>
    <s v="MRCS"/>
    <s v="Kachin"/>
    <s v="Hpakant"/>
    <s v="Nam Ma Phyit, COC"/>
    <m/>
    <m/>
    <m/>
    <m/>
    <m/>
    <m/>
    <m/>
    <m/>
    <m/>
    <m/>
    <n v="50"/>
    <n v="17"/>
    <m/>
    <m/>
    <m/>
    <n v="0"/>
    <n v="0"/>
    <n v="0"/>
    <n v="0"/>
    <n v="0"/>
    <n v="0"/>
    <n v="0"/>
    <n v="0"/>
    <n v="0"/>
    <n v="0"/>
    <n v="50"/>
    <n v="17"/>
    <n v="0"/>
    <n v="0"/>
    <x v="1"/>
    <n v="0"/>
    <s v="MMR001CMP192"/>
    <x v="0"/>
    <x v="0"/>
    <x v="0"/>
    <n v="0"/>
    <m/>
    <m/>
  </r>
  <r>
    <n v="11.866666666666667"/>
    <d v="2014-11-10T00:00:00"/>
    <x v="1"/>
    <s v="MRCS"/>
    <s v="Kachin"/>
    <s v="Hpakant"/>
    <s v="Nant Ma Hpit Catholic Church"/>
    <m/>
    <m/>
    <m/>
    <m/>
    <m/>
    <m/>
    <m/>
    <m/>
    <m/>
    <m/>
    <n v="117"/>
    <n v="65"/>
    <m/>
    <m/>
    <m/>
    <n v="0"/>
    <n v="0"/>
    <n v="0"/>
    <n v="0"/>
    <n v="0"/>
    <n v="0"/>
    <n v="0"/>
    <n v="0"/>
    <n v="0"/>
    <n v="0"/>
    <n v="117"/>
    <n v="65"/>
    <n v="0"/>
    <n v="0"/>
    <x v="1"/>
    <n v="0"/>
    <s v="MMR001CMP103"/>
    <x v="0"/>
    <x v="0"/>
    <x v="0"/>
    <n v="0"/>
    <m/>
    <m/>
  </r>
  <r>
    <n v="11.866666666666667"/>
    <d v="2014-11-10T00:00:00"/>
    <x v="1"/>
    <s v="MRCS"/>
    <s v="Kachin"/>
    <s v="Puta-O"/>
    <s v="Naung Khaing"/>
    <m/>
    <m/>
    <m/>
    <m/>
    <m/>
    <m/>
    <m/>
    <m/>
    <m/>
    <m/>
    <n v="52"/>
    <n v="16"/>
    <m/>
    <m/>
    <m/>
    <n v="0"/>
    <n v="0"/>
    <n v="0"/>
    <n v="0"/>
    <n v="0"/>
    <n v="0"/>
    <n v="0"/>
    <n v="0"/>
    <n v="0"/>
    <n v="0"/>
    <n v="52"/>
    <n v="16"/>
    <n v="0"/>
    <n v="0"/>
    <x v="1"/>
    <n v="0"/>
    <s v="MMR001CMP220"/>
    <x v="0"/>
    <x v="2"/>
    <x v="2"/>
    <s v=""/>
    <m/>
    <m/>
  </r>
  <r>
    <n v="11.866666666666667"/>
    <d v="2014-11-10T00:00:00"/>
    <x v="1"/>
    <s v="MRCS"/>
    <s v="Kachin"/>
    <s v="Puta-O"/>
    <s v="Tote Tan Ward"/>
    <m/>
    <m/>
    <m/>
    <m/>
    <m/>
    <m/>
    <m/>
    <m/>
    <m/>
    <m/>
    <n v="72"/>
    <n v="11"/>
    <m/>
    <m/>
    <m/>
    <n v="0"/>
    <n v="0"/>
    <n v="0"/>
    <n v="0"/>
    <n v="0"/>
    <n v="0"/>
    <n v="0"/>
    <n v="0"/>
    <n v="0"/>
    <n v="0"/>
    <n v="72"/>
    <n v="11"/>
    <n v="0"/>
    <n v="0"/>
    <x v="1"/>
    <n v="0"/>
    <s v="MMR001CMP075"/>
    <x v="0"/>
    <x v="0"/>
    <x v="2"/>
    <n v="0"/>
    <m/>
    <m/>
  </r>
  <r>
    <n v="12.1"/>
    <d v="2014-11-03T00:00:00"/>
    <x v="0"/>
    <s v="Shalom"/>
    <s v="Kachin"/>
    <s v="Waingmaw"/>
    <s v="Hkat Cho "/>
    <m/>
    <m/>
    <n v="15"/>
    <n v="30"/>
    <n v="15"/>
    <n v="30"/>
    <n v="15"/>
    <m/>
    <n v="15"/>
    <n v="75"/>
    <m/>
    <m/>
    <m/>
    <m/>
    <m/>
    <n v="0"/>
    <n v="0"/>
    <n v="0"/>
    <n v="0"/>
    <n v="0"/>
    <n v="0"/>
    <n v="0"/>
    <n v="0"/>
    <n v="0"/>
    <n v="0"/>
    <n v="0"/>
    <n v="0"/>
    <n v="0"/>
    <n v="0"/>
    <x v="0"/>
    <n v="0"/>
    <s v="MMR001CMP028"/>
    <x v="0"/>
    <x v="0"/>
    <x v="0"/>
    <n v="0.13636363636363635"/>
    <m/>
    <m/>
  </r>
  <r>
    <n v="12.2"/>
    <d v="2014-10-31T00:00:00"/>
    <x v="0"/>
    <m/>
    <s v="Kachin"/>
    <s v="Hpakant"/>
    <s v="5 Ward Baptist Church(lon Khin)"/>
    <m/>
    <m/>
    <n v="77"/>
    <n v="154"/>
    <n v="77"/>
    <n v="154"/>
    <n v="77"/>
    <m/>
    <n v="77"/>
    <n v="385"/>
    <m/>
    <m/>
    <m/>
    <m/>
    <m/>
    <n v="0"/>
    <n v="0"/>
    <n v="0"/>
    <n v="0"/>
    <n v="0"/>
    <n v="0"/>
    <n v="0"/>
    <n v="0"/>
    <n v="0"/>
    <n v="0"/>
    <n v="0"/>
    <n v="0"/>
    <n v="0"/>
    <n v="0"/>
    <x v="0"/>
    <n v="0"/>
    <s v="MMR001CMP179"/>
    <x v="0"/>
    <x v="0"/>
    <x v="0"/>
    <n v="1.013157894736842"/>
    <m/>
    <m/>
  </r>
  <r>
    <n v="12.2"/>
    <d v="2014-10-31T00:00:00"/>
    <x v="0"/>
    <m/>
    <s v="Kachin"/>
    <s v="Hpakant"/>
    <s v="5 Ward RC Church(lon Khin)"/>
    <m/>
    <m/>
    <n v="59"/>
    <n v="118"/>
    <n v="59"/>
    <n v="118"/>
    <n v="59"/>
    <m/>
    <n v="59"/>
    <n v="295"/>
    <m/>
    <m/>
    <m/>
    <m/>
    <m/>
    <n v="0"/>
    <n v="0"/>
    <n v="0"/>
    <n v="0"/>
    <n v="0"/>
    <n v="0"/>
    <n v="0"/>
    <n v="0"/>
    <n v="0"/>
    <n v="0"/>
    <n v="0"/>
    <n v="0"/>
    <n v="0"/>
    <n v="0"/>
    <x v="0"/>
    <n v="0"/>
    <s v="MMR001CMP168"/>
    <x v="0"/>
    <x v="0"/>
    <x v="0"/>
    <n v="0.78666666666666663"/>
    <m/>
    <m/>
  </r>
  <r>
    <n v="12.2"/>
    <d v="2014-10-31T00:00:00"/>
    <x v="0"/>
    <m/>
    <s v="Kachin"/>
    <s v="Hpakant"/>
    <s v="AG Church, Hmaw Si Sa"/>
    <m/>
    <m/>
    <n v="67"/>
    <n v="134"/>
    <n v="67"/>
    <n v="134"/>
    <n v="67"/>
    <m/>
    <n v="67"/>
    <n v="335"/>
    <m/>
    <m/>
    <m/>
    <m/>
    <m/>
    <n v="0"/>
    <n v="0"/>
    <n v="0"/>
    <n v="0"/>
    <n v="0"/>
    <n v="0"/>
    <n v="0"/>
    <n v="0"/>
    <n v="0"/>
    <n v="0"/>
    <n v="0"/>
    <n v="0"/>
    <n v="0"/>
    <n v="0"/>
    <x v="0"/>
    <n v="0"/>
    <s v="MMR001CMP176"/>
    <x v="0"/>
    <x v="0"/>
    <x v="0"/>
    <n v="1"/>
    <m/>
    <m/>
  </r>
  <r>
    <n v="12.2"/>
    <d v="2014-10-31T00:00:00"/>
    <x v="0"/>
    <m/>
    <s v="Kachin"/>
    <s v="Hpakant"/>
    <s v="AG Church, Maw Wan"/>
    <m/>
    <m/>
    <n v="14"/>
    <n v="28"/>
    <n v="14"/>
    <n v="28"/>
    <n v="14"/>
    <m/>
    <n v="14"/>
    <n v="70"/>
    <m/>
    <m/>
    <m/>
    <m/>
    <m/>
    <n v="0"/>
    <n v="0"/>
    <n v="0"/>
    <n v="0"/>
    <n v="0"/>
    <n v="0"/>
    <n v="0"/>
    <n v="0"/>
    <n v="0"/>
    <n v="0"/>
    <n v="0"/>
    <n v="0"/>
    <n v="0"/>
    <n v="0"/>
    <x v="0"/>
    <n v="0"/>
    <s v="MMR001CMP190"/>
    <x v="0"/>
    <x v="0"/>
    <x v="0"/>
    <n v="1"/>
    <m/>
    <m/>
  </r>
  <r>
    <n v="12.2"/>
    <d v="2014-10-31T00:00:00"/>
    <x v="0"/>
    <m/>
    <s v="Kachin"/>
    <s v="Hpakant"/>
    <s v="Baptist Church, Hmaw Si Sar(Lon Khin)"/>
    <m/>
    <m/>
    <n v="38"/>
    <n v="76"/>
    <n v="38"/>
    <n v="76"/>
    <n v="38"/>
    <m/>
    <n v="38"/>
    <n v="190"/>
    <m/>
    <m/>
    <m/>
    <m/>
    <m/>
    <n v="0"/>
    <n v="0"/>
    <n v="0"/>
    <n v="0"/>
    <n v="0"/>
    <n v="0"/>
    <n v="0"/>
    <n v="0"/>
    <n v="0"/>
    <n v="0"/>
    <n v="0"/>
    <n v="0"/>
    <n v="0"/>
    <n v="0"/>
    <x v="0"/>
    <n v="0"/>
    <s v="MMR001CMP169"/>
    <x v="0"/>
    <x v="0"/>
    <x v="0"/>
    <n v="1.0857142857142856"/>
    <m/>
    <m/>
  </r>
  <r>
    <n v="12.2"/>
    <d v="2014-10-31T00:00:00"/>
    <x v="0"/>
    <m/>
    <s v="Kachin"/>
    <s v="Hpakant"/>
    <s v="Chin Church, Seik Mu"/>
    <m/>
    <m/>
    <n v="5"/>
    <n v="10"/>
    <n v="5"/>
    <n v="10"/>
    <n v="5"/>
    <m/>
    <n v="5"/>
    <n v="25"/>
    <m/>
    <m/>
    <m/>
    <m/>
    <m/>
    <n v="0"/>
    <n v="0"/>
    <n v="0"/>
    <n v="0"/>
    <n v="0"/>
    <n v="0"/>
    <n v="0"/>
    <n v="0"/>
    <n v="0"/>
    <n v="0"/>
    <n v="0"/>
    <n v="0"/>
    <n v="0"/>
    <n v="0"/>
    <x v="0"/>
    <n v="0"/>
    <s v="MMR001CMP109"/>
    <x v="0"/>
    <x v="0"/>
    <x v="0"/>
    <n v="0.83333333333333337"/>
    <m/>
    <m/>
  </r>
  <r>
    <n v="12.2"/>
    <d v="2014-10-31T00:00:00"/>
    <x v="0"/>
    <m/>
    <s v="Kachin"/>
    <s v="Hpakant"/>
    <s v="Dhama Rakhita, Nyein Chan Tar Yar Ward(Lon Khin)"/>
    <m/>
    <m/>
    <n v="67"/>
    <n v="134"/>
    <n v="67"/>
    <n v="134"/>
    <n v="67"/>
    <m/>
    <n v="67"/>
    <n v="335"/>
    <m/>
    <m/>
    <m/>
    <m/>
    <m/>
    <n v="0"/>
    <n v="0"/>
    <n v="0"/>
    <n v="0"/>
    <n v="0"/>
    <n v="0"/>
    <n v="0"/>
    <n v="0"/>
    <n v="0"/>
    <n v="0"/>
    <n v="0"/>
    <n v="0"/>
    <n v="0"/>
    <n v="0"/>
    <x v="0"/>
    <n v="0"/>
    <s v="MMR001CMP174"/>
    <x v="0"/>
    <x v="0"/>
    <x v="0"/>
    <n v="1.0307692307692307"/>
    <m/>
    <m/>
  </r>
  <r>
    <n v="12.2"/>
    <d v="2014-10-31T00:00:00"/>
    <x v="0"/>
    <m/>
    <s v="Kachin"/>
    <s v="Hpakant"/>
    <s v="Hmaw Wan, Anglican"/>
    <m/>
    <m/>
    <n v="10"/>
    <n v="20"/>
    <n v="10"/>
    <n v="20"/>
    <n v="10"/>
    <m/>
    <n v="10"/>
    <n v="50"/>
    <m/>
    <m/>
    <m/>
    <m/>
    <m/>
    <n v="0"/>
    <n v="0"/>
    <n v="0"/>
    <n v="0"/>
    <n v="0"/>
    <n v="0"/>
    <n v="0"/>
    <n v="0"/>
    <n v="0"/>
    <n v="0"/>
    <n v="0"/>
    <n v="0"/>
    <n v="0"/>
    <n v="0"/>
    <x v="0"/>
    <n v="0"/>
    <s v="MMR001CMP191"/>
    <x v="0"/>
    <x v="0"/>
    <x v="0"/>
    <n v="0.76923076923076927"/>
    <m/>
    <m/>
  </r>
  <r>
    <n v="12.2"/>
    <d v="2014-10-31T00:00:00"/>
    <x v="0"/>
    <m/>
    <s v="Kachin"/>
    <s v="Hpakant"/>
    <s v="Hpakant Baptist Church, Nam Ma Hpit"/>
    <m/>
    <m/>
    <n v="64"/>
    <n v="128"/>
    <n v="64"/>
    <n v="128"/>
    <n v="64"/>
    <m/>
    <n v="64"/>
    <n v="320"/>
    <m/>
    <m/>
    <m/>
    <m/>
    <m/>
    <n v="0"/>
    <n v="0"/>
    <n v="0"/>
    <n v="0"/>
    <n v="0"/>
    <n v="0"/>
    <n v="0"/>
    <n v="0"/>
    <n v="0"/>
    <n v="0"/>
    <n v="0"/>
    <n v="0"/>
    <n v="0"/>
    <n v="0"/>
    <x v="0"/>
    <n v="0"/>
    <s v="MMR001CMP229"/>
    <x v="0"/>
    <x v="0"/>
    <x v="0"/>
    <n v="0.55172413793103448"/>
    <m/>
    <m/>
  </r>
  <r>
    <n v="12.2"/>
    <d v="2014-10-31T00:00:00"/>
    <x v="0"/>
    <m/>
    <s v="Kachin"/>
    <s v="Hpakant"/>
    <s v="Lisu Baptist Church, Maw Shan Vil,. Seik Mu"/>
    <m/>
    <m/>
    <n v="25"/>
    <n v="50"/>
    <n v="25"/>
    <n v="50"/>
    <n v="25"/>
    <m/>
    <n v="25"/>
    <n v="125"/>
    <m/>
    <m/>
    <m/>
    <m/>
    <m/>
    <n v="0"/>
    <n v="0"/>
    <n v="0"/>
    <n v="0"/>
    <n v="0"/>
    <n v="0"/>
    <n v="0"/>
    <n v="0"/>
    <n v="0"/>
    <n v="0"/>
    <n v="0"/>
    <n v="0"/>
    <n v="0"/>
    <n v="0"/>
    <x v="0"/>
    <n v="0"/>
    <s v="MMR001CMP181"/>
    <x v="0"/>
    <x v="0"/>
    <x v="0"/>
    <n v="1"/>
    <m/>
    <m/>
  </r>
  <r>
    <n v="12.2"/>
    <d v="2014-10-31T00:00:00"/>
    <x v="0"/>
    <m/>
    <s v="Kachin"/>
    <s v="Hpakant"/>
    <s v="Lisu Baptist Church, Maw Wan Ward"/>
    <m/>
    <m/>
    <n v="15"/>
    <n v="30"/>
    <n v="15"/>
    <n v="30"/>
    <n v="15"/>
    <m/>
    <n v="15"/>
    <n v="75"/>
    <m/>
    <m/>
    <m/>
    <m/>
    <m/>
    <n v="0"/>
    <n v="0"/>
    <n v="0"/>
    <n v="0"/>
    <n v="0"/>
    <n v="0"/>
    <n v="0"/>
    <n v="0"/>
    <n v="0"/>
    <n v="0"/>
    <n v="0"/>
    <n v="0"/>
    <n v="0"/>
    <n v="0"/>
    <x v="0"/>
    <n v="0"/>
    <s v="MMR001CMP167"/>
    <x v="0"/>
    <x v="0"/>
    <x v="0"/>
    <n v="1"/>
    <m/>
    <m/>
  </r>
  <r>
    <n v="12.2"/>
    <d v="2014-10-31T00:00:00"/>
    <x v="1"/>
    <s v="MRCS"/>
    <s v="Kachin"/>
    <s v="Machanbaw"/>
    <s v="Machanbaw - KBC"/>
    <m/>
    <m/>
    <m/>
    <m/>
    <m/>
    <m/>
    <m/>
    <m/>
    <m/>
    <m/>
    <n v="20"/>
    <n v="8"/>
    <m/>
    <m/>
    <m/>
    <n v="0"/>
    <n v="0"/>
    <n v="0"/>
    <n v="0"/>
    <n v="0"/>
    <n v="0"/>
    <n v="0"/>
    <n v="0"/>
    <n v="0"/>
    <n v="0"/>
    <n v="0"/>
    <n v="0"/>
    <n v="0"/>
    <n v="0"/>
    <x v="1"/>
    <n v="0"/>
    <s v="MMR001CMP221"/>
    <x v="0"/>
    <x v="2"/>
    <x v="2"/>
    <s v=""/>
    <m/>
    <m/>
  </r>
  <r>
    <n v="12.2"/>
    <d v="2014-10-31T00:00:00"/>
    <x v="1"/>
    <s v="MRCS"/>
    <s v="Kachin"/>
    <s v="Hpakant"/>
    <s v="Maw Wan, Mu-yin Baptist Church"/>
    <m/>
    <m/>
    <m/>
    <m/>
    <m/>
    <m/>
    <m/>
    <m/>
    <m/>
    <m/>
    <n v="11"/>
    <n v="15"/>
    <m/>
    <m/>
    <m/>
    <n v="0"/>
    <n v="0"/>
    <n v="0"/>
    <n v="0"/>
    <n v="0"/>
    <n v="0"/>
    <n v="0"/>
    <n v="0"/>
    <n v="0"/>
    <n v="0"/>
    <n v="0"/>
    <n v="0"/>
    <n v="0"/>
    <n v="0"/>
    <x v="1"/>
    <n v="0"/>
    <s v="MMR001CMP091"/>
    <x v="0"/>
    <x v="0"/>
    <x v="0"/>
    <n v="0"/>
    <m/>
    <m/>
  </r>
  <r>
    <n v="12.2"/>
    <d v="2014-10-31T00:00:00"/>
    <x v="0"/>
    <m/>
    <s v="Kachin"/>
    <s v="Hpakant"/>
    <s v="Maw Wan, Mu-yin Baptist Church"/>
    <m/>
    <m/>
    <n v="5"/>
    <n v="10"/>
    <n v="5"/>
    <n v="10"/>
    <n v="5"/>
    <m/>
    <n v="5"/>
    <n v="25"/>
    <m/>
    <m/>
    <m/>
    <m/>
    <m/>
    <n v="0"/>
    <n v="0"/>
    <n v="0"/>
    <n v="0"/>
    <n v="0"/>
    <n v="0"/>
    <n v="0"/>
    <n v="0"/>
    <n v="0"/>
    <n v="0"/>
    <n v="0"/>
    <n v="0"/>
    <n v="0"/>
    <n v="0"/>
    <x v="0"/>
    <n v="0"/>
    <s v="MMR001CMP091"/>
    <x v="0"/>
    <x v="0"/>
    <x v="0"/>
    <n v="1"/>
    <m/>
    <m/>
  </r>
  <r>
    <n v="12.2"/>
    <d v="2014-10-31T00:00:00"/>
    <x v="0"/>
    <m/>
    <s v="Kachin"/>
    <s v="Hpakant"/>
    <s v="Nam Ma Phyit, COC"/>
    <m/>
    <m/>
    <n v="17"/>
    <n v="34"/>
    <n v="17"/>
    <n v="34"/>
    <n v="17"/>
    <m/>
    <n v="17"/>
    <n v="85"/>
    <m/>
    <m/>
    <m/>
    <m/>
    <m/>
    <n v="0"/>
    <n v="0"/>
    <n v="0"/>
    <n v="0"/>
    <n v="0"/>
    <n v="0"/>
    <n v="0"/>
    <n v="0"/>
    <n v="0"/>
    <n v="0"/>
    <n v="0"/>
    <n v="0"/>
    <n v="0"/>
    <n v="0"/>
    <x v="0"/>
    <n v="0"/>
    <s v="MMR001CMP192"/>
    <x v="0"/>
    <x v="0"/>
    <x v="0"/>
    <n v="1"/>
    <m/>
    <m/>
  </r>
  <r>
    <n v="12.2"/>
    <d v="2014-10-31T00:00:00"/>
    <x v="0"/>
    <m/>
    <s v="Kachin"/>
    <s v="Hpakant"/>
    <s v="Nant Ma Hpit Catholic Church"/>
    <m/>
    <m/>
    <n v="36"/>
    <n v="72"/>
    <n v="36"/>
    <n v="72"/>
    <n v="36"/>
    <m/>
    <n v="36"/>
    <n v="180"/>
    <m/>
    <m/>
    <m/>
    <m/>
    <m/>
    <n v="0"/>
    <n v="0"/>
    <n v="0"/>
    <n v="0"/>
    <n v="0"/>
    <n v="0"/>
    <n v="0"/>
    <n v="0"/>
    <n v="0"/>
    <n v="0"/>
    <n v="0"/>
    <n v="0"/>
    <n v="0"/>
    <n v="0"/>
    <x v="0"/>
    <n v="0"/>
    <s v="MMR001CMP103"/>
    <x v="0"/>
    <x v="0"/>
    <x v="0"/>
    <n v="0.66666666666666663"/>
    <m/>
    <s v="used in warehouse"/>
  </r>
  <r>
    <n v="12.2"/>
    <d v="2014-10-31T00:00:00"/>
    <x v="0"/>
    <m/>
    <s v="Kachin"/>
    <s v="Hpakant"/>
    <s v="Rawan Baptist Church, Maw Shan Vil., Seik Mu"/>
    <m/>
    <m/>
    <n v="12"/>
    <n v="24"/>
    <n v="12"/>
    <n v="24"/>
    <n v="12"/>
    <m/>
    <n v="12"/>
    <n v="60"/>
    <m/>
    <m/>
    <m/>
    <m/>
    <m/>
    <n v="0"/>
    <n v="0"/>
    <n v="0"/>
    <n v="0"/>
    <n v="0"/>
    <n v="0"/>
    <n v="0"/>
    <n v="0"/>
    <n v="0"/>
    <n v="0"/>
    <n v="0"/>
    <n v="0"/>
    <n v="0"/>
    <n v="0"/>
    <x v="0"/>
    <n v="0"/>
    <s v="MMR001CMP182"/>
    <x v="0"/>
    <x v="0"/>
    <x v="0"/>
    <n v="1.2"/>
    <m/>
    <m/>
  </r>
  <r>
    <n v="12.2"/>
    <d v="2014-10-31T00:00:00"/>
    <x v="0"/>
    <m/>
    <s v="Kachin"/>
    <s v="Hpakant"/>
    <s v="Sai Nai Baptish Church, Maw Shan Vil., Seki Mu"/>
    <m/>
    <m/>
    <n v="9"/>
    <n v="18"/>
    <n v="9"/>
    <n v="18"/>
    <n v="9"/>
    <m/>
    <n v="9"/>
    <n v="45"/>
    <m/>
    <m/>
    <m/>
    <m/>
    <m/>
    <n v="0"/>
    <n v="0"/>
    <n v="0"/>
    <n v="0"/>
    <n v="0"/>
    <n v="0"/>
    <n v="0"/>
    <n v="0"/>
    <n v="0"/>
    <n v="0"/>
    <n v="0"/>
    <n v="0"/>
    <n v="0"/>
    <n v="0"/>
    <x v="0"/>
    <n v="0"/>
    <s v="MMR001CMP183"/>
    <x v="0"/>
    <x v="0"/>
    <x v="0"/>
    <n v="1.125"/>
    <m/>
    <m/>
  </r>
  <r>
    <n v="12.2"/>
    <d v="2014-10-31T00:00:00"/>
    <x v="0"/>
    <m/>
    <s v="Kachin"/>
    <s v="Hpakant"/>
    <s v="Ward 2 Sai Taung Baptist Church, Seik Mu "/>
    <m/>
    <m/>
    <n v="38"/>
    <n v="76"/>
    <n v="38"/>
    <n v="76"/>
    <n v="38"/>
    <m/>
    <n v="38"/>
    <n v="190"/>
    <m/>
    <m/>
    <m/>
    <m/>
    <m/>
    <n v="0"/>
    <n v="0"/>
    <n v="0"/>
    <n v="0"/>
    <n v="0"/>
    <n v="0"/>
    <n v="0"/>
    <n v="0"/>
    <n v="0"/>
    <n v="0"/>
    <n v="0"/>
    <n v="0"/>
    <n v="0"/>
    <n v="0"/>
    <x v="0"/>
    <n v="0"/>
    <s v="MMR001CMP184"/>
    <x v="0"/>
    <x v="0"/>
    <x v="0"/>
    <n v="0.92682926829268297"/>
    <m/>
    <m/>
  </r>
  <r>
    <n v="12.2"/>
    <d v="2014-10-31T00:00:00"/>
    <x v="0"/>
    <m/>
    <s v="Kachin"/>
    <s v="Hpakant"/>
    <s v="Yumar Baptist Church"/>
    <m/>
    <m/>
    <n v="10"/>
    <n v="20"/>
    <n v="10"/>
    <n v="20"/>
    <n v="10"/>
    <m/>
    <n v="10"/>
    <n v="50"/>
    <m/>
    <m/>
    <m/>
    <m/>
    <m/>
    <n v="0"/>
    <n v="0"/>
    <n v="0"/>
    <n v="0"/>
    <n v="0"/>
    <n v="0"/>
    <n v="0"/>
    <n v="0"/>
    <n v="0"/>
    <n v="0"/>
    <n v="0"/>
    <n v="0"/>
    <n v="0"/>
    <n v="0"/>
    <x v="0"/>
    <n v="0"/>
    <s v="MMR001CMP105"/>
    <x v="0"/>
    <x v="0"/>
    <x v="0"/>
    <n v="0.5"/>
    <m/>
    <m/>
  </r>
  <r>
    <n v="12.233333333333333"/>
    <d v="2014-10-30T00:00:00"/>
    <x v="0"/>
    <m/>
    <s v="Kachin"/>
    <s v="Bhamo"/>
    <s v="Aung Thar Church"/>
    <m/>
    <m/>
    <m/>
    <m/>
    <m/>
    <m/>
    <m/>
    <m/>
    <m/>
    <m/>
    <m/>
    <m/>
    <m/>
    <m/>
    <m/>
    <n v="0"/>
    <n v="0"/>
    <n v="0"/>
    <n v="0"/>
    <n v="0"/>
    <n v="0"/>
    <n v="0"/>
    <n v="0"/>
    <n v="0"/>
    <n v="0"/>
    <n v="0"/>
    <n v="0"/>
    <n v="0"/>
    <n v="0"/>
    <x v="0"/>
    <n v="0"/>
    <s v="MMR001CMP194"/>
    <x v="0"/>
    <x v="2"/>
    <x v="0"/>
    <n v="0"/>
    <m/>
    <m/>
  </r>
  <r>
    <n v="12.4"/>
    <d v="2014-10-25T00:00:00"/>
    <x v="1"/>
    <s v="MRCS"/>
    <s v="Kachin"/>
    <s v="Hpakant"/>
    <s v="5 Ward Baptist Church(lon Khin)"/>
    <m/>
    <m/>
    <m/>
    <m/>
    <m/>
    <m/>
    <m/>
    <m/>
    <m/>
    <m/>
    <n v="229"/>
    <n v="126"/>
    <m/>
    <m/>
    <m/>
    <n v="0"/>
    <n v="0"/>
    <n v="0"/>
    <n v="0"/>
    <n v="0"/>
    <n v="0"/>
    <n v="0"/>
    <n v="0"/>
    <n v="0"/>
    <n v="0"/>
    <n v="0"/>
    <n v="0"/>
    <n v="0"/>
    <n v="0"/>
    <x v="1"/>
    <n v="0"/>
    <s v="MMR001CMP179"/>
    <x v="0"/>
    <x v="0"/>
    <x v="0"/>
    <n v="0"/>
    <m/>
    <m/>
  </r>
  <r>
    <n v="12.4"/>
    <d v="2014-10-25T00:00:00"/>
    <x v="1"/>
    <s v="MRCS"/>
    <s v="Kachin"/>
    <s v="Hpakant"/>
    <s v="5 Ward RC Church(lon Khin)"/>
    <m/>
    <m/>
    <m/>
    <m/>
    <m/>
    <m/>
    <m/>
    <m/>
    <m/>
    <m/>
    <n v="223"/>
    <n v="96"/>
    <m/>
    <m/>
    <m/>
    <n v="0"/>
    <n v="0"/>
    <n v="0"/>
    <n v="0"/>
    <n v="0"/>
    <n v="0"/>
    <n v="0"/>
    <n v="0"/>
    <n v="0"/>
    <n v="0"/>
    <n v="0"/>
    <n v="0"/>
    <n v="0"/>
    <n v="0"/>
    <x v="1"/>
    <n v="0"/>
    <s v="MMR001CMP168"/>
    <x v="0"/>
    <x v="0"/>
    <x v="0"/>
    <n v="0"/>
    <m/>
    <m/>
  </r>
  <r>
    <n v="12.4"/>
    <d v="2014-10-25T00:00:00"/>
    <x v="1"/>
    <s v="MRCS"/>
    <s v="Kachin"/>
    <s v="Hpakant"/>
    <s v="AG Church, Hmaw Si Sa"/>
    <m/>
    <m/>
    <m/>
    <m/>
    <m/>
    <m/>
    <m/>
    <m/>
    <m/>
    <m/>
    <n v="232"/>
    <n v="105"/>
    <m/>
    <m/>
    <m/>
    <n v="0"/>
    <n v="0"/>
    <n v="0"/>
    <n v="0"/>
    <n v="0"/>
    <n v="0"/>
    <n v="0"/>
    <n v="0"/>
    <n v="0"/>
    <n v="0"/>
    <n v="0"/>
    <n v="0"/>
    <n v="0"/>
    <n v="0"/>
    <x v="1"/>
    <n v="0"/>
    <s v="MMR001CMP176"/>
    <x v="0"/>
    <x v="0"/>
    <x v="0"/>
    <n v="0"/>
    <m/>
    <m/>
  </r>
  <r>
    <n v="12.4"/>
    <d v="2014-10-25T00:00:00"/>
    <x v="1"/>
    <s v="MRCS"/>
    <s v="Kachin"/>
    <s v="Hpakant"/>
    <s v="AG Church, Maw Wan"/>
    <m/>
    <m/>
    <m/>
    <m/>
    <m/>
    <m/>
    <m/>
    <m/>
    <m/>
    <m/>
    <n v="55"/>
    <n v="27"/>
    <m/>
    <m/>
    <m/>
    <n v="0"/>
    <n v="0"/>
    <n v="0"/>
    <n v="0"/>
    <n v="0"/>
    <n v="0"/>
    <n v="0"/>
    <n v="0"/>
    <n v="0"/>
    <n v="0"/>
    <n v="0"/>
    <n v="0"/>
    <n v="0"/>
    <n v="0"/>
    <x v="1"/>
    <n v="0"/>
    <s v="MMR001CMP190"/>
    <x v="0"/>
    <x v="0"/>
    <x v="0"/>
    <n v="0"/>
    <m/>
    <m/>
  </r>
  <r>
    <n v="12.4"/>
    <d v="2014-10-25T00:00:00"/>
    <x v="1"/>
    <s v="MRCS"/>
    <s v="Kachin"/>
    <s v="Hpakant"/>
    <s v="Baptist Church, Hmaw Si Sar(Lon Khin)"/>
    <m/>
    <m/>
    <m/>
    <m/>
    <m/>
    <m/>
    <m/>
    <m/>
    <m/>
    <m/>
    <n v="123"/>
    <n v="104"/>
    <m/>
    <m/>
    <m/>
    <n v="0"/>
    <n v="0"/>
    <n v="0"/>
    <n v="0"/>
    <n v="0"/>
    <n v="0"/>
    <n v="0"/>
    <n v="0"/>
    <n v="0"/>
    <n v="0"/>
    <n v="0"/>
    <n v="0"/>
    <n v="0"/>
    <n v="0"/>
    <x v="1"/>
    <n v="0"/>
    <s v="MMR001CMP169"/>
    <x v="0"/>
    <x v="0"/>
    <x v="0"/>
    <n v="0"/>
    <m/>
    <m/>
  </r>
  <r>
    <n v="12.4"/>
    <d v="2014-10-25T00:00:00"/>
    <x v="1"/>
    <s v="MRCS"/>
    <s v="Kachin"/>
    <s v="Hpakant"/>
    <s v="Baptist Church, Naung Hmee VT"/>
    <m/>
    <m/>
    <m/>
    <m/>
    <m/>
    <m/>
    <m/>
    <m/>
    <m/>
    <m/>
    <n v="48"/>
    <n v="30"/>
    <m/>
    <m/>
    <m/>
    <n v="0"/>
    <n v="0"/>
    <n v="0"/>
    <n v="0"/>
    <n v="0"/>
    <n v="0"/>
    <n v="0"/>
    <n v="0"/>
    <n v="0"/>
    <n v="0"/>
    <n v="0"/>
    <n v="0"/>
    <n v="0"/>
    <n v="0"/>
    <x v="1"/>
    <n v="0"/>
    <s v="MMR001CMP188"/>
    <x v="0"/>
    <x v="2"/>
    <x v="0"/>
    <s v=""/>
    <m/>
    <m/>
  </r>
  <r>
    <n v="12.4"/>
    <d v="2014-10-25T00:00:00"/>
    <x v="1"/>
    <s v="MRCS"/>
    <s v="Kachin"/>
    <s v="Hpakant"/>
    <s v="Chin Church, Seik Mu"/>
    <m/>
    <m/>
    <m/>
    <m/>
    <m/>
    <m/>
    <m/>
    <m/>
    <m/>
    <m/>
    <n v="15"/>
    <n v="10"/>
    <m/>
    <m/>
    <m/>
    <n v="0"/>
    <n v="0"/>
    <n v="0"/>
    <n v="0"/>
    <n v="0"/>
    <n v="0"/>
    <n v="0"/>
    <n v="0"/>
    <n v="0"/>
    <n v="0"/>
    <n v="0"/>
    <n v="0"/>
    <n v="0"/>
    <n v="0"/>
    <x v="1"/>
    <n v="0"/>
    <s v="MMR001CMP109"/>
    <x v="0"/>
    <x v="0"/>
    <x v="0"/>
    <n v="0"/>
    <m/>
    <m/>
  </r>
  <r>
    <n v="12.4"/>
    <d v="2014-10-25T00:00:00"/>
    <x v="1"/>
    <s v="MRCS"/>
    <s v="Kachin"/>
    <s v="Hpakant"/>
    <s v="Dhama Rakhita, Nyein Chan Tar Yar Ward(Lon Khin)"/>
    <m/>
    <m/>
    <m/>
    <m/>
    <m/>
    <m/>
    <m/>
    <m/>
    <m/>
    <m/>
    <n v="214"/>
    <n v="112"/>
    <m/>
    <m/>
    <m/>
    <n v="0"/>
    <n v="0"/>
    <n v="0"/>
    <n v="0"/>
    <n v="0"/>
    <n v="0"/>
    <n v="0"/>
    <n v="0"/>
    <n v="0"/>
    <n v="0"/>
    <n v="0"/>
    <n v="0"/>
    <n v="0"/>
    <n v="0"/>
    <x v="1"/>
    <n v="0"/>
    <s v="MMR001CMP174"/>
    <x v="0"/>
    <x v="0"/>
    <x v="0"/>
    <n v="0"/>
    <m/>
    <m/>
  </r>
  <r>
    <n v="12.4"/>
    <d v="2014-10-25T00:00:00"/>
    <x v="1"/>
    <s v="MRCS"/>
    <s v="Kachin"/>
    <s v="Hpakant"/>
    <s v="Hlaing Naung Baptist"/>
    <m/>
    <m/>
    <m/>
    <m/>
    <m/>
    <m/>
    <m/>
    <m/>
    <m/>
    <m/>
    <n v="37"/>
    <n v="24"/>
    <m/>
    <m/>
    <m/>
    <n v="0"/>
    <n v="0"/>
    <n v="0"/>
    <n v="0"/>
    <n v="0"/>
    <n v="0"/>
    <n v="0"/>
    <n v="0"/>
    <n v="0"/>
    <n v="0"/>
    <n v="0"/>
    <n v="0"/>
    <n v="0"/>
    <n v="0"/>
    <x v="1"/>
    <n v="0"/>
    <s v="MMR001CMP148"/>
    <x v="0"/>
    <x v="0"/>
    <x v="0"/>
    <n v="0"/>
    <m/>
    <m/>
  </r>
  <r>
    <n v="12.4"/>
    <d v="2014-10-25T00:00:00"/>
    <x v="1"/>
    <s v="MRCS"/>
    <s v="Kachin"/>
    <s v="Hpakant"/>
    <s v="Hmaw Wan, Anglican"/>
    <m/>
    <m/>
    <m/>
    <m/>
    <m/>
    <m/>
    <m/>
    <m/>
    <m/>
    <m/>
    <n v="33"/>
    <n v="24"/>
    <m/>
    <m/>
    <m/>
    <n v="0"/>
    <n v="0"/>
    <n v="0"/>
    <n v="0"/>
    <n v="0"/>
    <n v="0"/>
    <n v="0"/>
    <n v="0"/>
    <n v="0"/>
    <n v="0"/>
    <n v="0"/>
    <n v="0"/>
    <n v="0"/>
    <n v="0"/>
    <x v="1"/>
    <n v="0"/>
    <s v="MMR001CMP191"/>
    <x v="0"/>
    <x v="0"/>
    <x v="0"/>
    <n v="0"/>
    <m/>
    <m/>
  </r>
  <r>
    <n v="12.4"/>
    <d v="2014-10-25T00:00:00"/>
    <x v="1"/>
    <s v="MRCS"/>
    <s v="Kachin"/>
    <s v="Hpakant"/>
    <s v="Hpakant Baptist Church, Nam Ma Hpit"/>
    <m/>
    <m/>
    <m/>
    <m/>
    <m/>
    <m/>
    <m/>
    <m/>
    <m/>
    <m/>
    <n v="186"/>
    <n v="125"/>
    <m/>
    <m/>
    <m/>
    <n v="0"/>
    <n v="0"/>
    <n v="0"/>
    <n v="0"/>
    <n v="0"/>
    <n v="0"/>
    <n v="0"/>
    <n v="0"/>
    <n v="0"/>
    <n v="0"/>
    <n v="0"/>
    <n v="0"/>
    <n v="0"/>
    <n v="0"/>
    <x v="1"/>
    <n v="0"/>
    <s v="MMR001CMP229"/>
    <x v="0"/>
    <x v="0"/>
    <x v="0"/>
    <n v="0"/>
    <m/>
    <m/>
  </r>
  <r>
    <n v="12.4"/>
    <d v="2014-10-25T00:00:00"/>
    <x v="1"/>
    <s v="MRCS"/>
    <s v="Kachin"/>
    <s v="Hpakant"/>
    <s v="Lisu Baptist Church, Maw Shan Vil,. Seik Mu"/>
    <m/>
    <m/>
    <m/>
    <m/>
    <m/>
    <m/>
    <m/>
    <m/>
    <m/>
    <m/>
    <n v="90"/>
    <n v="39"/>
    <m/>
    <m/>
    <m/>
    <n v="0"/>
    <n v="0"/>
    <n v="0"/>
    <n v="0"/>
    <n v="0"/>
    <n v="0"/>
    <n v="0"/>
    <n v="0"/>
    <n v="0"/>
    <n v="0"/>
    <n v="0"/>
    <n v="0"/>
    <n v="0"/>
    <n v="0"/>
    <x v="1"/>
    <n v="0"/>
    <s v="MMR001CMP181"/>
    <x v="0"/>
    <x v="0"/>
    <x v="0"/>
    <n v="0"/>
    <m/>
    <m/>
  </r>
  <r>
    <n v="12.4"/>
    <d v="2014-10-25T00:00:00"/>
    <x v="1"/>
    <s v="MRCS"/>
    <s v="Kachin"/>
    <s v="Hpakant"/>
    <s v="Lisu Baptist Church, Maw Wan Ward"/>
    <m/>
    <m/>
    <m/>
    <m/>
    <m/>
    <m/>
    <m/>
    <m/>
    <m/>
    <m/>
    <n v="48"/>
    <n v="23"/>
    <m/>
    <m/>
    <m/>
    <n v="0"/>
    <n v="0"/>
    <n v="0"/>
    <n v="0"/>
    <n v="0"/>
    <n v="0"/>
    <n v="0"/>
    <n v="0"/>
    <n v="0"/>
    <n v="0"/>
    <n v="0"/>
    <n v="0"/>
    <n v="0"/>
    <n v="0"/>
    <x v="1"/>
    <n v="0"/>
    <s v="MMR001CMP167"/>
    <x v="0"/>
    <x v="0"/>
    <x v="0"/>
    <n v="0"/>
    <m/>
    <m/>
  </r>
  <r>
    <n v="12.4"/>
    <d v="2014-10-25T00:00:00"/>
    <x v="1"/>
    <s v="MRCS"/>
    <s v="Kachin"/>
    <s v="Momauk"/>
    <s v="Loi Je Baptist Church"/>
    <m/>
    <m/>
    <m/>
    <m/>
    <m/>
    <m/>
    <m/>
    <m/>
    <m/>
    <m/>
    <n v="112"/>
    <n v="59"/>
    <m/>
    <n v="74"/>
    <m/>
    <n v="0"/>
    <n v="0"/>
    <n v="0"/>
    <n v="0"/>
    <n v="0"/>
    <n v="0"/>
    <n v="0"/>
    <n v="0"/>
    <n v="0"/>
    <n v="0"/>
    <n v="0"/>
    <n v="0"/>
    <n v="0"/>
    <n v="0"/>
    <x v="1"/>
    <n v="0"/>
    <s v="MMR001CMP071"/>
    <x v="0"/>
    <x v="0"/>
    <x v="2"/>
    <n v="0"/>
    <m/>
    <m/>
  </r>
  <r>
    <n v="12.4"/>
    <d v="2014-10-25T00:00:00"/>
    <x v="1"/>
    <s v="MRCS"/>
    <s v="Kachin"/>
    <s v="Momauk"/>
    <s v="Loi Je Catholic Church"/>
    <m/>
    <m/>
    <m/>
    <m/>
    <m/>
    <m/>
    <m/>
    <m/>
    <m/>
    <m/>
    <n v="203"/>
    <n v="102"/>
    <m/>
    <n v="138"/>
    <m/>
    <n v="0"/>
    <n v="0"/>
    <n v="0"/>
    <n v="0"/>
    <n v="0"/>
    <n v="0"/>
    <n v="0"/>
    <n v="0"/>
    <n v="0"/>
    <n v="0"/>
    <n v="0"/>
    <n v="0"/>
    <n v="0"/>
    <n v="0"/>
    <x v="1"/>
    <n v="0"/>
    <s v="MMR001CMP069"/>
    <x v="0"/>
    <x v="0"/>
    <x v="2"/>
    <n v="0"/>
    <m/>
    <m/>
  </r>
  <r>
    <n v="12.4"/>
    <d v="2014-10-25T00:00:00"/>
    <x v="1"/>
    <s v="MRCS"/>
    <s v="Kachin"/>
    <s v="Momauk"/>
    <s v="Loi Je Lisu Camp"/>
    <m/>
    <m/>
    <m/>
    <m/>
    <m/>
    <m/>
    <m/>
    <m/>
    <m/>
    <m/>
    <n v="591"/>
    <n v="347"/>
    <m/>
    <n v="311"/>
    <m/>
    <n v="0"/>
    <n v="0"/>
    <n v="0"/>
    <n v="0"/>
    <n v="0"/>
    <n v="0"/>
    <n v="0"/>
    <n v="0"/>
    <n v="0"/>
    <n v="0"/>
    <n v="0"/>
    <n v="0"/>
    <n v="0"/>
    <n v="0"/>
    <x v="1"/>
    <n v="0"/>
    <s v="MMR001CMP070"/>
    <x v="0"/>
    <x v="0"/>
    <x v="2"/>
    <n v="0"/>
    <m/>
    <m/>
  </r>
  <r>
    <n v="12.833333333333334"/>
    <d v="2014-10-12T00:00:00"/>
    <x v="0"/>
    <m/>
    <s v="Kachin"/>
    <s v="Momauk"/>
    <s v="Man Bung Catholic compound"/>
    <m/>
    <m/>
    <m/>
    <m/>
    <n v="25"/>
    <m/>
    <m/>
    <m/>
    <m/>
    <m/>
    <m/>
    <m/>
    <m/>
    <m/>
    <m/>
    <n v="0"/>
    <n v="0"/>
    <n v="0"/>
    <n v="0"/>
    <n v="0"/>
    <n v="0"/>
    <n v="0"/>
    <n v="0"/>
    <n v="0"/>
    <n v="0"/>
    <n v="0"/>
    <n v="0"/>
    <n v="0"/>
    <n v="0"/>
    <x v="0"/>
    <n v="0"/>
    <s v="MMR001CMP062"/>
    <x v="0"/>
    <x v="0"/>
    <x v="0"/>
    <n v="0"/>
    <m/>
    <m/>
  </r>
  <r>
    <n v="12.9"/>
    <d v="2014-10-10T00:00:00"/>
    <x v="0"/>
    <m/>
    <s v="Kachin"/>
    <s v="Momauk"/>
    <s v="Loi Je Baptist Church"/>
    <m/>
    <m/>
    <m/>
    <m/>
    <n v="60"/>
    <m/>
    <m/>
    <m/>
    <m/>
    <m/>
    <m/>
    <m/>
    <m/>
    <m/>
    <m/>
    <n v="0"/>
    <n v="0"/>
    <n v="0"/>
    <n v="0"/>
    <n v="0"/>
    <n v="0"/>
    <n v="0"/>
    <n v="0"/>
    <n v="0"/>
    <n v="0"/>
    <n v="0"/>
    <n v="0"/>
    <n v="0"/>
    <n v="0"/>
    <x v="0"/>
    <n v="0"/>
    <s v="MMR001CMP071"/>
    <x v="0"/>
    <x v="0"/>
    <x v="2"/>
    <n v="0"/>
    <m/>
    <m/>
  </r>
  <r>
    <n v="12.9"/>
    <d v="2014-10-10T00:00:00"/>
    <x v="0"/>
    <m/>
    <s v="Kachin"/>
    <s v="Momauk"/>
    <s v="Loi Je Lisu Camp"/>
    <m/>
    <m/>
    <m/>
    <m/>
    <n v="30"/>
    <m/>
    <m/>
    <m/>
    <m/>
    <m/>
    <m/>
    <m/>
    <m/>
    <m/>
    <m/>
    <n v="0"/>
    <n v="0"/>
    <n v="0"/>
    <n v="0"/>
    <n v="0"/>
    <n v="0"/>
    <n v="0"/>
    <n v="0"/>
    <n v="0"/>
    <n v="0"/>
    <n v="0"/>
    <n v="0"/>
    <n v="0"/>
    <n v="0"/>
    <x v="0"/>
    <n v="0"/>
    <s v="MMR001CMP070"/>
    <x v="0"/>
    <x v="0"/>
    <x v="2"/>
    <n v="0"/>
    <m/>
    <m/>
  </r>
  <r>
    <n v="12.9"/>
    <d v="2014-10-10T00:00:00"/>
    <x v="0"/>
    <m/>
    <s v="Kachin"/>
    <s v="Momauk"/>
    <s v="Nyaung Na Pin "/>
    <m/>
    <m/>
    <m/>
    <m/>
    <n v="60"/>
    <m/>
    <m/>
    <m/>
    <m/>
    <m/>
    <m/>
    <m/>
    <m/>
    <m/>
    <m/>
    <n v="0"/>
    <n v="0"/>
    <n v="0"/>
    <n v="0"/>
    <n v="0"/>
    <n v="0"/>
    <n v="0"/>
    <n v="0"/>
    <n v="0"/>
    <n v="0"/>
    <n v="0"/>
    <n v="0"/>
    <n v="0"/>
    <n v="0"/>
    <x v="0"/>
    <n v="0"/>
    <s v="MMR001CMP072"/>
    <x v="0"/>
    <x v="0"/>
    <x v="2"/>
    <n v="0"/>
    <m/>
    <m/>
  </r>
  <r>
    <n v="13.2"/>
    <d v="2014-10-01T00:00:00"/>
    <x v="0"/>
    <s v="KMSS"/>
    <s v="Kachin"/>
    <s v="Hpakant"/>
    <s v="5 Ward RC Church(lon Khin)"/>
    <m/>
    <m/>
    <m/>
    <n v="156"/>
    <m/>
    <m/>
    <m/>
    <m/>
    <m/>
    <m/>
    <m/>
    <m/>
    <m/>
    <m/>
    <m/>
    <n v="0"/>
    <n v="0"/>
    <n v="0"/>
    <n v="0"/>
    <n v="0"/>
    <n v="0"/>
    <n v="0"/>
    <n v="0"/>
    <n v="0"/>
    <n v="0"/>
    <n v="0"/>
    <n v="0"/>
    <n v="0"/>
    <n v="0"/>
    <x v="0"/>
    <n v="0"/>
    <s v="MMR001CMP168"/>
    <x v="0"/>
    <x v="0"/>
    <x v="0"/>
    <n v="0"/>
    <m/>
    <m/>
  </r>
  <r>
    <n v="13.2"/>
    <d v="2014-10-01T00:00:00"/>
    <x v="0"/>
    <s v="Shalom"/>
    <s v="Kachin"/>
    <s v="Hpakant"/>
    <s v="AG Church, Hmaw Si Sa"/>
    <m/>
    <m/>
    <m/>
    <n v="130"/>
    <m/>
    <m/>
    <m/>
    <m/>
    <m/>
    <m/>
    <m/>
    <m/>
    <m/>
    <m/>
    <m/>
    <n v="0"/>
    <n v="0"/>
    <n v="0"/>
    <n v="0"/>
    <n v="0"/>
    <n v="0"/>
    <n v="0"/>
    <n v="0"/>
    <n v="0"/>
    <n v="0"/>
    <n v="0"/>
    <n v="0"/>
    <n v="0"/>
    <n v="0"/>
    <x v="0"/>
    <n v="0"/>
    <s v="MMR001CMP176"/>
    <x v="0"/>
    <x v="0"/>
    <x v="0"/>
    <n v="0"/>
    <m/>
    <m/>
  </r>
  <r>
    <n v="13.2"/>
    <d v="2014-10-01T00:00:00"/>
    <x v="0"/>
    <s v="Shalom"/>
    <s v="Kachin"/>
    <s v="Hpakant"/>
    <s v="AG Church, Maw Wan"/>
    <m/>
    <m/>
    <m/>
    <n v="30"/>
    <m/>
    <m/>
    <m/>
    <m/>
    <m/>
    <m/>
    <m/>
    <m/>
    <m/>
    <m/>
    <m/>
    <n v="0"/>
    <n v="0"/>
    <n v="0"/>
    <n v="0"/>
    <n v="0"/>
    <n v="0"/>
    <n v="0"/>
    <n v="0"/>
    <n v="0"/>
    <n v="0"/>
    <n v="0"/>
    <n v="0"/>
    <n v="0"/>
    <n v="0"/>
    <x v="0"/>
    <n v="0"/>
    <s v="MMR001CMP190"/>
    <x v="0"/>
    <x v="0"/>
    <x v="0"/>
    <n v="0"/>
    <m/>
    <m/>
  </r>
  <r>
    <n v="13.2"/>
    <d v="2014-10-01T00:00:00"/>
    <x v="0"/>
    <s v="Shalom"/>
    <s v="Kachin"/>
    <s v="Hpakant"/>
    <s v="Baptist Church, Naung Hmee VT"/>
    <m/>
    <m/>
    <m/>
    <n v="30"/>
    <m/>
    <m/>
    <m/>
    <m/>
    <m/>
    <m/>
    <m/>
    <m/>
    <m/>
    <m/>
    <m/>
    <n v="0"/>
    <n v="0"/>
    <n v="0"/>
    <n v="0"/>
    <n v="0"/>
    <n v="0"/>
    <n v="0"/>
    <n v="0"/>
    <n v="0"/>
    <n v="0"/>
    <n v="0"/>
    <n v="0"/>
    <n v="0"/>
    <n v="0"/>
    <x v="0"/>
    <n v="0"/>
    <s v="MMR001CMP188"/>
    <x v="0"/>
    <x v="2"/>
    <x v="0"/>
    <s v=""/>
    <m/>
    <m/>
  </r>
  <r>
    <n v="13.2"/>
    <d v="2014-10-01T00:00:00"/>
    <x v="0"/>
    <s v="Shalom"/>
    <s v="Kachin"/>
    <s v="Hpakant"/>
    <s v="Chin Church, Seik Mu"/>
    <m/>
    <m/>
    <m/>
    <n v="8"/>
    <m/>
    <m/>
    <m/>
    <m/>
    <m/>
    <m/>
    <m/>
    <m/>
    <m/>
    <m/>
    <m/>
    <n v="0"/>
    <n v="0"/>
    <n v="0"/>
    <n v="0"/>
    <n v="0"/>
    <n v="0"/>
    <n v="0"/>
    <n v="0"/>
    <n v="0"/>
    <n v="0"/>
    <n v="0"/>
    <n v="0"/>
    <n v="0"/>
    <n v="0"/>
    <x v="0"/>
    <n v="0"/>
    <s v="MMR001CMP109"/>
    <x v="0"/>
    <x v="0"/>
    <x v="0"/>
    <n v="0"/>
    <m/>
    <m/>
  </r>
  <r>
    <n v="13.2"/>
    <d v="2014-10-01T00:00:00"/>
    <x v="0"/>
    <s v="Shalom"/>
    <s v="Kachin"/>
    <s v="Chipwi"/>
    <s v="Chipwi KBC camp"/>
    <m/>
    <m/>
    <m/>
    <n v="214"/>
    <m/>
    <m/>
    <m/>
    <m/>
    <m/>
    <m/>
    <m/>
    <m/>
    <m/>
    <n v="214"/>
    <m/>
    <n v="0"/>
    <n v="0"/>
    <n v="0"/>
    <n v="0"/>
    <n v="0"/>
    <n v="0"/>
    <n v="0"/>
    <n v="0"/>
    <n v="0"/>
    <n v="0"/>
    <n v="0"/>
    <n v="0"/>
    <n v="0"/>
    <n v="0"/>
    <x v="1"/>
    <n v="0"/>
    <s v="MMR001CMP042"/>
    <x v="0"/>
    <x v="0"/>
    <x v="3"/>
    <n v="0"/>
    <m/>
    <m/>
  </r>
  <r>
    <n v="13.2"/>
    <d v="2014-10-01T00:00:00"/>
    <x v="0"/>
    <s v="Shalom"/>
    <s v="Kachin"/>
    <s v="Hpakant"/>
    <s v="Dhama Rakhita, Nyein Chan Tar Yar Ward(Lon Khin)"/>
    <m/>
    <m/>
    <m/>
    <n v="130"/>
    <m/>
    <m/>
    <m/>
    <m/>
    <m/>
    <m/>
    <m/>
    <m/>
    <m/>
    <m/>
    <m/>
    <n v="0"/>
    <n v="0"/>
    <n v="0"/>
    <n v="0"/>
    <n v="0"/>
    <n v="0"/>
    <n v="0"/>
    <n v="0"/>
    <n v="0"/>
    <n v="0"/>
    <n v="0"/>
    <n v="0"/>
    <n v="0"/>
    <n v="0"/>
    <x v="0"/>
    <n v="0"/>
    <s v="MMR001CMP174"/>
    <x v="0"/>
    <x v="0"/>
    <x v="0"/>
    <n v="0"/>
    <m/>
    <m/>
  </r>
  <r>
    <n v="13.2"/>
    <d v="2014-10-01T00:00:00"/>
    <x v="0"/>
    <s v="KMSS"/>
    <s v="Kachin"/>
    <s v="Momauk"/>
    <s v="Dum Bung "/>
    <m/>
    <m/>
    <m/>
    <n v="238"/>
    <m/>
    <m/>
    <m/>
    <m/>
    <m/>
    <m/>
    <m/>
    <m/>
    <m/>
    <n v="238"/>
    <m/>
    <n v="0"/>
    <n v="0"/>
    <n v="0"/>
    <n v="0"/>
    <n v="0"/>
    <n v="0"/>
    <n v="0"/>
    <n v="0"/>
    <n v="0"/>
    <n v="0"/>
    <n v="0"/>
    <n v="0"/>
    <n v="0"/>
    <n v="0"/>
    <x v="1"/>
    <n v="0"/>
    <s v="MMR001CMP123"/>
    <x v="0"/>
    <x v="0"/>
    <x v="4"/>
    <n v="0"/>
    <m/>
    <m/>
  </r>
  <r>
    <n v="13.2"/>
    <d v="2014-10-01T00:00:00"/>
    <x v="0"/>
    <s v="Shalom"/>
    <s v="Kachin"/>
    <s v="Waingmaw"/>
    <s v="Hkat Cho "/>
    <m/>
    <m/>
    <m/>
    <n v="268"/>
    <m/>
    <m/>
    <m/>
    <m/>
    <m/>
    <m/>
    <m/>
    <m/>
    <m/>
    <m/>
    <m/>
    <n v="0"/>
    <n v="0"/>
    <n v="0"/>
    <n v="0"/>
    <n v="0"/>
    <n v="0"/>
    <n v="0"/>
    <n v="0"/>
    <n v="0"/>
    <n v="0"/>
    <n v="0"/>
    <n v="0"/>
    <n v="0"/>
    <n v="0"/>
    <x v="0"/>
    <n v="0"/>
    <s v="MMR001CMP028"/>
    <x v="0"/>
    <x v="0"/>
    <x v="0"/>
    <n v="0"/>
    <m/>
    <m/>
  </r>
  <r>
    <n v="13.2"/>
    <d v="2014-10-01T00:00:00"/>
    <x v="0"/>
    <s v="Shalom"/>
    <s v="Kachin"/>
    <s v="Hpakant"/>
    <s v="Hmaw Wan, Anglican"/>
    <m/>
    <m/>
    <m/>
    <n v="20"/>
    <m/>
    <m/>
    <m/>
    <m/>
    <m/>
    <m/>
    <m/>
    <m/>
    <m/>
    <m/>
    <m/>
    <n v="0"/>
    <n v="0"/>
    <n v="0"/>
    <n v="0"/>
    <n v="0"/>
    <n v="0"/>
    <n v="0"/>
    <n v="0"/>
    <n v="0"/>
    <n v="0"/>
    <n v="0"/>
    <n v="0"/>
    <n v="0"/>
    <n v="0"/>
    <x v="0"/>
    <n v="0"/>
    <s v="MMR001CMP191"/>
    <x v="0"/>
    <x v="0"/>
    <x v="0"/>
    <n v="0"/>
    <m/>
    <m/>
  </r>
  <r>
    <n v="13.2"/>
    <d v="2014-10-01T00:00:00"/>
    <x v="0"/>
    <s v="KMSS"/>
    <s v="Kachin"/>
    <s v="Myitkyina"/>
    <s v="Jan Mai Kawng Catholic Church"/>
    <m/>
    <m/>
    <m/>
    <n v="218"/>
    <m/>
    <m/>
    <m/>
    <m/>
    <m/>
    <m/>
    <m/>
    <m/>
    <m/>
    <m/>
    <m/>
    <n v="0"/>
    <n v="0"/>
    <n v="0"/>
    <n v="0"/>
    <n v="0"/>
    <n v="0"/>
    <n v="0"/>
    <n v="0"/>
    <n v="0"/>
    <n v="0"/>
    <n v="0"/>
    <n v="0"/>
    <n v="0"/>
    <n v="0"/>
    <x v="0"/>
    <n v="0"/>
    <s v="MMR001CMP019"/>
    <x v="0"/>
    <x v="0"/>
    <x v="0"/>
    <n v="0"/>
    <m/>
    <m/>
  </r>
  <r>
    <n v="13.2"/>
    <d v="2014-10-01T00:00:00"/>
    <x v="0"/>
    <s v="Shalom"/>
    <s v="Kachin"/>
    <s v="Chipwi"/>
    <s v="Lhaovao Baptist Church (LBC)"/>
    <m/>
    <m/>
    <m/>
    <n v="278"/>
    <m/>
    <m/>
    <m/>
    <m/>
    <m/>
    <m/>
    <m/>
    <m/>
    <m/>
    <n v="278"/>
    <m/>
    <n v="0"/>
    <n v="0"/>
    <n v="0"/>
    <n v="0"/>
    <n v="0"/>
    <n v="0"/>
    <n v="0"/>
    <n v="0"/>
    <n v="0"/>
    <n v="0"/>
    <n v="0"/>
    <n v="0"/>
    <n v="0"/>
    <n v="0"/>
    <x v="1"/>
    <n v="0"/>
    <s v="MMR001CMP195"/>
    <x v="0"/>
    <x v="0"/>
    <x v="3"/>
    <n v="0"/>
    <m/>
    <m/>
  </r>
  <r>
    <n v="13.2"/>
    <d v="2014-10-01T00:00:00"/>
    <x v="0"/>
    <s v="Shalom"/>
    <s v="Kachin"/>
    <s v="Hpakant"/>
    <s v="Lisu Baptist Church, Maw Shan Vil,. Seik Mu"/>
    <m/>
    <m/>
    <m/>
    <n v="40"/>
    <m/>
    <m/>
    <m/>
    <m/>
    <m/>
    <m/>
    <m/>
    <m/>
    <m/>
    <m/>
    <m/>
    <n v="0"/>
    <n v="0"/>
    <n v="0"/>
    <n v="0"/>
    <n v="0"/>
    <n v="0"/>
    <n v="0"/>
    <n v="0"/>
    <n v="0"/>
    <n v="0"/>
    <n v="0"/>
    <n v="0"/>
    <n v="0"/>
    <n v="0"/>
    <x v="0"/>
    <n v="0"/>
    <s v="MMR001CMP181"/>
    <x v="0"/>
    <x v="0"/>
    <x v="0"/>
    <n v="0"/>
    <m/>
    <m/>
  </r>
  <r>
    <n v="13.2"/>
    <d v="2014-10-01T00:00:00"/>
    <x v="0"/>
    <s v="Shalom"/>
    <s v="Kachin"/>
    <s v="Hpakant"/>
    <s v="Lisu Baptist Church, Maw Wan Ward"/>
    <m/>
    <m/>
    <m/>
    <n v="16"/>
    <m/>
    <m/>
    <m/>
    <m/>
    <m/>
    <m/>
    <m/>
    <m/>
    <m/>
    <m/>
    <m/>
    <n v="0"/>
    <n v="0"/>
    <n v="0"/>
    <n v="0"/>
    <n v="0"/>
    <n v="0"/>
    <n v="0"/>
    <n v="0"/>
    <n v="0"/>
    <n v="0"/>
    <n v="0"/>
    <n v="0"/>
    <n v="0"/>
    <n v="0"/>
    <x v="0"/>
    <n v="0"/>
    <s v="MMR001CMP167"/>
    <x v="0"/>
    <x v="0"/>
    <x v="0"/>
    <n v="0"/>
    <m/>
    <m/>
  </r>
  <r>
    <n v="13.2"/>
    <d v="2014-10-01T00:00:00"/>
    <x v="0"/>
    <s v="KMSS"/>
    <s v="Kachin"/>
    <s v="Waingmaw"/>
    <s v="Maga Yang "/>
    <m/>
    <m/>
    <m/>
    <n v="1248"/>
    <m/>
    <m/>
    <m/>
    <m/>
    <m/>
    <m/>
    <m/>
    <m/>
    <m/>
    <n v="1248"/>
    <m/>
    <n v="0"/>
    <n v="0"/>
    <n v="0"/>
    <n v="0"/>
    <n v="0"/>
    <n v="0"/>
    <n v="0"/>
    <n v="0"/>
    <n v="0"/>
    <n v="0"/>
    <n v="0"/>
    <n v="0"/>
    <n v="0"/>
    <n v="0"/>
    <x v="1"/>
    <n v="0"/>
    <s v="MMR001CMP119"/>
    <x v="0"/>
    <x v="0"/>
    <x v="4"/>
    <n v="0"/>
    <m/>
    <m/>
  </r>
  <r>
    <n v="13.2"/>
    <d v="2014-10-01T00:00:00"/>
    <x v="0"/>
    <s v="Shalom"/>
    <s v="Kachin"/>
    <s v="Waingmaw"/>
    <s v="Maina AG Church"/>
    <m/>
    <m/>
    <m/>
    <n v="286"/>
    <m/>
    <m/>
    <m/>
    <m/>
    <m/>
    <m/>
    <m/>
    <m/>
    <m/>
    <m/>
    <m/>
    <n v="0"/>
    <n v="0"/>
    <n v="0"/>
    <n v="0"/>
    <n v="0"/>
    <n v="0"/>
    <n v="0"/>
    <n v="0"/>
    <n v="0"/>
    <n v="0"/>
    <n v="0"/>
    <n v="0"/>
    <n v="0"/>
    <n v="0"/>
    <x v="0"/>
    <n v="0"/>
    <s v="MMR001CMP031"/>
    <x v="0"/>
    <x v="0"/>
    <x v="0"/>
    <n v="0"/>
    <m/>
    <m/>
  </r>
  <r>
    <n v="13.2"/>
    <d v="2014-10-01T00:00:00"/>
    <x v="0"/>
    <s v="KMSS"/>
    <s v="Kachin"/>
    <s v="Waingmaw"/>
    <s v="Maina Catholic Church (St. Joseph)"/>
    <m/>
    <m/>
    <m/>
    <n v="462"/>
    <m/>
    <m/>
    <m/>
    <m/>
    <m/>
    <m/>
    <m/>
    <m/>
    <m/>
    <m/>
    <m/>
    <n v="0"/>
    <n v="0"/>
    <n v="0"/>
    <n v="0"/>
    <n v="0"/>
    <n v="0"/>
    <n v="0"/>
    <n v="0"/>
    <n v="0"/>
    <n v="0"/>
    <n v="0"/>
    <n v="0"/>
    <n v="0"/>
    <n v="0"/>
    <x v="0"/>
    <n v="0"/>
    <s v="MMR001CMP029"/>
    <x v="0"/>
    <x v="0"/>
    <x v="0"/>
    <n v="0"/>
    <m/>
    <m/>
  </r>
  <r>
    <n v="13.2"/>
    <d v="2014-10-01T00:00:00"/>
    <x v="0"/>
    <s v="Shalom"/>
    <s v="Kachin"/>
    <s v="Myitkyina"/>
    <s v="Maw Hpawng Hka Nan Baptist Church"/>
    <m/>
    <m/>
    <m/>
    <n v="52"/>
    <m/>
    <m/>
    <m/>
    <m/>
    <m/>
    <m/>
    <m/>
    <m/>
    <m/>
    <m/>
    <m/>
    <n v="0"/>
    <n v="0"/>
    <n v="0"/>
    <n v="0"/>
    <n v="0"/>
    <n v="0"/>
    <n v="0"/>
    <n v="0"/>
    <n v="0"/>
    <n v="0"/>
    <n v="0"/>
    <n v="0"/>
    <n v="0"/>
    <n v="0"/>
    <x v="0"/>
    <n v="0"/>
    <s v="MMR001CMP020"/>
    <x v="0"/>
    <x v="0"/>
    <x v="0"/>
    <n v="0"/>
    <m/>
    <m/>
  </r>
  <r>
    <n v="13.2"/>
    <d v="2014-10-01T00:00:00"/>
    <x v="0"/>
    <s v="Shalom"/>
    <s v="Kachin"/>
    <s v="Myitkyina"/>
    <s v="Maw Hpawng Lhaovo Baptist Church"/>
    <m/>
    <m/>
    <m/>
    <n v="42"/>
    <m/>
    <m/>
    <m/>
    <m/>
    <m/>
    <m/>
    <m/>
    <m/>
    <m/>
    <m/>
    <m/>
    <n v="0"/>
    <n v="0"/>
    <n v="0"/>
    <n v="0"/>
    <n v="0"/>
    <n v="0"/>
    <n v="0"/>
    <n v="0"/>
    <n v="0"/>
    <n v="0"/>
    <n v="0"/>
    <n v="0"/>
    <n v="0"/>
    <n v="0"/>
    <x v="0"/>
    <n v="0"/>
    <s v="MMR001CMP021"/>
    <x v="0"/>
    <x v="0"/>
    <x v="0"/>
    <n v="0"/>
    <m/>
    <m/>
  </r>
  <r>
    <n v="13.2"/>
    <d v="2014-10-01T00:00:00"/>
    <x v="0"/>
    <s v="Shalom"/>
    <s v="Kachin"/>
    <s v="Hpakant"/>
    <s v="Maw Wan, Mu-yin Baptist Church"/>
    <m/>
    <m/>
    <m/>
    <n v="10"/>
    <m/>
    <m/>
    <m/>
    <m/>
    <m/>
    <m/>
    <m/>
    <m/>
    <m/>
    <m/>
    <m/>
    <n v="0"/>
    <n v="0"/>
    <n v="0"/>
    <n v="0"/>
    <n v="0"/>
    <n v="0"/>
    <n v="0"/>
    <n v="0"/>
    <n v="0"/>
    <n v="0"/>
    <n v="0"/>
    <n v="0"/>
    <n v="0"/>
    <n v="0"/>
    <x v="0"/>
    <n v="0"/>
    <s v="MMR001CMP091"/>
    <x v="0"/>
    <x v="0"/>
    <x v="0"/>
    <n v="0"/>
    <m/>
    <m/>
  </r>
  <r>
    <n v="13.2"/>
    <d v="2014-10-01T00:00:00"/>
    <x v="0"/>
    <s v="Shalom"/>
    <s v="Kachin"/>
    <s v="Myitkyina"/>
    <s v="Myay Myint Baptist Church"/>
    <m/>
    <m/>
    <m/>
    <n v="24"/>
    <m/>
    <m/>
    <m/>
    <m/>
    <m/>
    <m/>
    <m/>
    <m/>
    <m/>
    <m/>
    <m/>
    <n v="0"/>
    <n v="0"/>
    <n v="0"/>
    <n v="0"/>
    <n v="0"/>
    <n v="0"/>
    <n v="0"/>
    <n v="0"/>
    <n v="0"/>
    <n v="0"/>
    <n v="0"/>
    <n v="0"/>
    <n v="0"/>
    <n v="0"/>
    <x v="0"/>
    <n v="0"/>
    <s v="MMR001CMP017"/>
    <x v="0"/>
    <x v="2"/>
    <x v="0"/>
    <s v=""/>
    <m/>
    <m/>
  </r>
  <r>
    <n v="13.2"/>
    <d v="2014-10-01T00:00:00"/>
    <x v="0"/>
    <s v="Shalom"/>
    <s v="Kachin"/>
    <s v="Hpakant"/>
    <s v="Nam Ma Phyit, COC"/>
    <m/>
    <m/>
    <m/>
    <n v="36"/>
    <m/>
    <m/>
    <m/>
    <m/>
    <m/>
    <m/>
    <m/>
    <m/>
    <m/>
    <m/>
    <m/>
    <n v="0"/>
    <n v="0"/>
    <n v="0"/>
    <n v="0"/>
    <n v="0"/>
    <n v="0"/>
    <n v="0"/>
    <n v="0"/>
    <n v="0"/>
    <n v="0"/>
    <n v="0"/>
    <n v="0"/>
    <n v="0"/>
    <n v="0"/>
    <x v="0"/>
    <n v="0"/>
    <s v="MMR001CMP192"/>
    <x v="0"/>
    <x v="0"/>
    <x v="0"/>
    <n v="0"/>
    <m/>
    <m/>
  </r>
  <r>
    <n v="13.2"/>
    <d v="2014-10-01T00:00:00"/>
    <x v="0"/>
    <s v="KMSS"/>
    <s v="Kachin"/>
    <s v="Myitkyina"/>
    <s v="Nan Kway St. John Catholic Church"/>
    <m/>
    <m/>
    <m/>
    <n v="144"/>
    <m/>
    <m/>
    <m/>
    <m/>
    <m/>
    <m/>
    <m/>
    <m/>
    <m/>
    <m/>
    <m/>
    <n v="0"/>
    <n v="0"/>
    <n v="0"/>
    <n v="0"/>
    <n v="0"/>
    <n v="0"/>
    <n v="0"/>
    <n v="0"/>
    <n v="0"/>
    <n v="0"/>
    <n v="0"/>
    <n v="0"/>
    <n v="0"/>
    <n v="0"/>
    <x v="0"/>
    <n v="0"/>
    <s v="MMR001CMP024"/>
    <x v="0"/>
    <x v="0"/>
    <x v="0"/>
    <n v="0"/>
    <m/>
    <m/>
  </r>
  <r>
    <n v="13.2"/>
    <d v="2014-10-01T00:00:00"/>
    <x v="0"/>
    <s v="KMSS"/>
    <s v="Kachin"/>
    <s v="Hpakant"/>
    <s v="Nant Ma Hpit Catholic Church"/>
    <m/>
    <m/>
    <m/>
    <n v="80"/>
    <m/>
    <m/>
    <m/>
    <m/>
    <m/>
    <m/>
    <m/>
    <m/>
    <m/>
    <m/>
    <m/>
    <n v="0"/>
    <n v="0"/>
    <n v="0"/>
    <n v="0"/>
    <n v="0"/>
    <n v="0"/>
    <n v="0"/>
    <n v="0"/>
    <n v="0"/>
    <n v="0"/>
    <n v="0"/>
    <n v="0"/>
    <n v="0"/>
    <n v="0"/>
    <x v="0"/>
    <n v="0"/>
    <s v="MMR001CMP103"/>
    <x v="0"/>
    <x v="0"/>
    <x v="0"/>
    <n v="0"/>
    <m/>
    <m/>
  </r>
  <r>
    <n v="13.2"/>
    <d v="2014-10-01T00:00:00"/>
    <x v="0"/>
    <s v="Shalom"/>
    <s v="Kachin"/>
    <s v="Waingmaw"/>
    <s v="Nawng Hee Village"/>
    <m/>
    <m/>
    <m/>
    <n v="36"/>
    <m/>
    <m/>
    <m/>
    <m/>
    <m/>
    <m/>
    <m/>
    <m/>
    <m/>
    <m/>
    <m/>
    <n v="0"/>
    <n v="0"/>
    <n v="0"/>
    <n v="0"/>
    <n v="0"/>
    <n v="0"/>
    <n v="0"/>
    <n v="0"/>
    <n v="0"/>
    <n v="0"/>
    <n v="0"/>
    <n v="0"/>
    <n v="0"/>
    <n v="0"/>
    <x v="0"/>
    <n v="0"/>
    <s v="MMR001CMP033"/>
    <x v="0"/>
    <x v="0"/>
    <x v="0"/>
    <n v="0"/>
    <m/>
    <m/>
  </r>
  <r>
    <n v="13.2"/>
    <d v="2014-10-01T00:00:00"/>
    <x v="0"/>
    <s v="KMSS"/>
    <s v="Kachin"/>
    <s v="Myitkyina"/>
    <s v="Pa Dauk Myaing(Pa La Na)"/>
    <m/>
    <m/>
    <m/>
    <n v="62"/>
    <m/>
    <m/>
    <m/>
    <m/>
    <m/>
    <m/>
    <m/>
    <m/>
    <m/>
    <m/>
    <m/>
    <n v="0"/>
    <n v="0"/>
    <n v="0"/>
    <n v="0"/>
    <n v="0"/>
    <n v="0"/>
    <n v="0"/>
    <n v="0"/>
    <n v="0"/>
    <n v="0"/>
    <n v="0"/>
    <n v="0"/>
    <n v="0"/>
    <n v="0"/>
    <x v="0"/>
    <n v="0"/>
    <s v="MMR001CMP162"/>
    <x v="0"/>
    <x v="0"/>
    <x v="0"/>
    <n v="0"/>
    <m/>
    <m/>
  </r>
  <r>
    <n v="13.2"/>
    <d v="2014-10-01T00:00:00"/>
    <x v="0"/>
    <s v="KMSS"/>
    <s v="Kachin"/>
    <s v="Chipwi"/>
    <s v="Pan Wa"/>
    <m/>
    <m/>
    <m/>
    <n v="130"/>
    <m/>
    <m/>
    <m/>
    <m/>
    <m/>
    <m/>
    <m/>
    <m/>
    <m/>
    <n v="130"/>
    <m/>
    <n v="0"/>
    <n v="0"/>
    <n v="0"/>
    <n v="0"/>
    <n v="0"/>
    <n v="0"/>
    <n v="0"/>
    <n v="0"/>
    <n v="0"/>
    <n v="0"/>
    <n v="0"/>
    <n v="0"/>
    <n v="0"/>
    <n v="0"/>
    <x v="1"/>
    <n v="0"/>
    <s v="MMR001CMP210"/>
    <x v="0"/>
    <x v="0"/>
    <x v="3"/>
    <n v="0"/>
    <m/>
    <m/>
  </r>
  <r>
    <n v="13.2"/>
    <d v="2014-10-01T00:00:00"/>
    <x v="0"/>
    <s v="Shalom"/>
    <s v="Kachin"/>
    <s v="Waingmaw"/>
    <s v="Qtr. 2 Lhaovo Baptist Church"/>
    <m/>
    <m/>
    <m/>
    <n v="240"/>
    <m/>
    <m/>
    <m/>
    <m/>
    <m/>
    <m/>
    <m/>
    <m/>
    <m/>
    <m/>
    <m/>
    <n v="0"/>
    <n v="0"/>
    <n v="0"/>
    <n v="0"/>
    <n v="0"/>
    <n v="0"/>
    <n v="0"/>
    <n v="0"/>
    <n v="0"/>
    <n v="0"/>
    <n v="0"/>
    <n v="0"/>
    <n v="0"/>
    <n v="0"/>
    <x v="0"/>
    <n v="0"/>
    <s v="MMR001CMP032"/>
    <x v="0"/>
    <x v="0"/>
    <x v="0"/>
    <n v="0"/>
    <m/>
    <m/>
  </r>
  <r>
    <n v="13.2"/>
    <d v="2014-10-01T00:00:00"/>
    <x v="0"/>
    <s v="Shalom"/>
    <s v="Kachin"/>
    <s v="Waingmaw"/>
    <s v="Qtr. 3 Mu-yin  Baptist Church"/>
    <m/>
    <m/>
    <m/>
    <n v="46"/>
    <m/>
    <m/>
    <m/>
    <m/>
    <m/>
    <m/>
    <m/>
    <m/>
    <m/>
    <m/>
    <m/>
    <n v="0"/>
    <n v="0"/>
    <n v="0"/>
    <n v="0"/>
    <n v="0"/>
    <n v="0"/>
    <n v="0"/>
    <n v="0"/>
    <n v="0"/>
    <n v="0"/>
    <n v="0"/>
    <n v="0"/>
    <n v="0"/>
    <n v="0"/>
    <x v="0"/>
    <n v="0"/>
    <s v="MMR001CMP030"/>
    <x v="0"/>
    <x v="0"/>
    <x v="0"/>
    <n v="0"/>
    <m/>
    <m/>
  </r>
  <r>
    <n v="13.2"/>
    <d v="2014-10-01T00:00:00"/>
    <x v="0"/>
    <s v="Shalom"/>
    <s v="Kachin"/>
    <s v="Waingmaw"/>
    <s v="Qtr. 4 Monestry (Thargaya Thayett Taw)"/>
    <m/>
    <m/>
    <m/>
    <n v="204"/>
    <m/>
    <m/>
    <m/>
    <m/>
    <m/>
    <m/>
    <m/>
    <m/>
    <m/>
    <m/>
    <m/>
    <n v="0"/>
    <n v="0"/>
    <n v="0"/>
    <n v="0"/>
    <n v="0"/>
    <n v="0"/>
    <n v="0"/>
    <n v="0"/>
    <n v="0"/>
    <n v="0"/>
    <n v="0"/>
    <n v="0"/>
    <n v="0"/>
    <n v="0"/>
    <x v="0"/>
    <n v="0"/>
    <s v="MMR001CMP026"/>
    <x v="0"/>
    <x v="0"/>
    <x v="0"/>
    <n v="0"/>
    <m/>
    <m/>
  </r>
  <r>
    <n v="13.2"/>
    <d v="2014-10-01T00:00:00"/>
    <x v="0"/>
    <s v="Shalom"/>
    <s v="Kachin"/>
    <s v="Hpakant"/>
    <s v="Rawan Baptist Church, Maw Shan Vil., Seik Mu"/>
    <m/>
    <m/>
    <m/>
    <n v="24"/>
    <m/>
    <m/>
    <m/>
    <m/>
    <m/>
    <m/>
    <m/>
    <m/>
    <m/>
    <m/>
    <m/>
    <n v="0"/>
    <n v="0"/>
    <n v="0"/>
    <n v="0"/>
    <n v="0"/>
    <n v="0"/>
    <n v="0"/>
    <n v="0"/>
    <n v="0"/>
    <n v="0"/>
    <n v="0"/>
    <n v="0"/>
    <n v="0"/>
    <n v="0"/>
    <x v="0"/>
    <n v="0"/>
    <s v="MMR001CMP182"/>
    <x v="0"/>
    <x v="0"/>
    <x v="0"/>
    <n v="0"/>
    <m/>
    <m/>
  </r>
  <r>
    <n v="13.2"/>
    <d v="2014-10-01T00:00:00"/>
    <x v="0"/>
    <s v="KMSS"/>
    <s v="Kachin"/>
    <s v="Chipwi"/>
    <s v="Saw Zam"/>
    <m/>
    <m/>
    <m/>
    <n v="56"/>
    <m/>
    <m/>
    <m/>
    <m/>
    <m/>
    <m/>
    <m/>
    <m/>
    <m/>
    <n v="56"/>
    <m/>
    <n v="0"/>
    <n v="0"/>
    <n v="0"/>
    <n v="0"/>
    <n v="0"/>
    <n v="0"/>
    <n v="0"/>
    <n v="0"/>
    <n v="0"/>
    <n v="0"/>
    <n v="0"/>
    <n v="0"/>
    <n v="0"/>
    <n v="0"/>
    <x v="1"/>
    <n v="0"/>
    <s v="MMR001CMP225"/>
    <x v="0"/>
    <x v="0"/>
    <x v="3"/>
    <n v="0"/>
    <m/>
    <m/>
  </r>
  <r>
    <n v="13.2"/>
    <d v="2014-10-01T00:00:00"/>
    <x v="0"/>
    <s v="Shalom"/>
    <s v="Kachin"/>
    <s v="Myitkyina"/>
    <s v="Shatapru Thida Aye Baptist Church"/>
    <m/>
    <m/>
    <m/>
    <n v="30"/>
    <m/>
    <m/>
    <m/>
    <m/>
    <m/>
    <m/>
    <m/>
    <m/>
    <m/>
    <m/>
    <m/>
    <n v="0"/>
    <n v="0"/>
    <n v="0"/>
    <n v="0"/>
    <n v="0"/>
    <n v="0"/>
    <n v="0"/>
    <n v="0"/>
    <n v="0"/>
    <n v="0"/>
    <n v="0"/>
    <n v="0"/>
    <n v="0"/>
    <n v="0"/>
    <x v="0"/>
    <n v="0"/>
    <s v="MMR001CMP007"/>
    <x v="0"/>
    <x v="0"/>
    <x v="0"/>
    <n v="0"/>
    <m/>
    <m/>
  </r>
  <r>
    <n v="13.2"/>
    <d v="2014-10-01T00:00:00"/>
    <x v="0"/>
    <s v="KMSS"/>
    <s v="Kachin"/>
    <s v="Mohnyin"/>
    <s v="St. Patrick Catholic Church "/>
    <m/>
    <m/>
    <m/>
    <n v="24"/>
    <m/>
    <m/>
    <m/>
    <m/>
    <m/>
    <m/>
    <m/>
    <m/>
    <m/>
    <m/>
    <m/>
    <n v="0"/>
    <n v="0"/>
    <n v="0"/>
    <n v="0"/>
    <n v="0"/>
    <n v="0"/>
    <n v="0"/>
    <n v="0"/>
    <n v="0"/>
    <n v="0"/>
    <n v="0"/>
    <n v="0"/>
    <n v="0"/>
    <n v="0"/>
    <x v="0"/>
    <n v="0"/>
    <s v="MMR001CMP080"/>
    <x v="0"/>
    <x v="0"/>
    <x v="0"/>
    <n v="0"/>
    <m/>
    <m/>
  </r>
  <r>
    <n v="13.2"/>
    <d v="2014-10-01T00:00:00"/>
    <x v="0"/>
    <s v="Shalom"/>
    <s v="Kachin"/>
    <s v="Myitkyina"/>
    <s v="Tat Kone Emanuel Church"/>
    <m/>
    <m/>
    <m/>
    <n v="26"/>
    <m/>
    <m/>
    <m/>
    <m/>
    <m/>
    <m/>
    <m/>
    <m/>
    <m/>
    <m/>
    <m/>
    <n v="0"/>
    <n v="0"/>
    <n v="0"/>
    <n v="0"/>
    <n v="0"/>
    <n v="0"/>
    <n v="0"/>
    <n v="0"/>
    <n v="0"/>
    <n v="0"/>
    <n v="0"/>
    <n v="0"/>
    <n v="0"/>
    <n v="0"/>
    <x v="0"/>
    <n v="0"/>
    <s v="MMR001CMP004"/>
    <x v="0"/>
    <x v="0"/>
    <x v="0"/>
    <n v="0"/>
    <m/>
    <m/>
  </r>
  <r>
    <n v="13.2"/>
    <d v="2014-10-01T00:00:00"/>
    <x v="0"/>
    <s v="Shalom"/>
    <s v="Kachin"/>
    <s v="Waingmaw"/>
    <s v="Thargaya Lisu Baptist Church"/>
    <m/>
    <m/>
    <m/>
    <n v="144"/>
    <m/>
    <m/>
    <m/>
    <m/>
    <m/>
    <m/>
    <m/>
    <m/>
    <m/>
    <m/>
    <m/>
    <n v="0"/>
    <n v="0"/>
    <n v="0"/>
    <n v="0"/>
    <n v="0"/>
    <n v="0"/>
    <n v="0"/>
    <n v="0"/>
    <n v="0"/>
    <n v="0"/>
    <n v="0"/>
    <n v="0"/>
    <n v="0"/>
    <n v="0"/>
    <x v="0"/>
    <n v="0"/>
    <s v="MMR001CMP037"/>
    <x v="0"/>
    <x v="0"/>
    <x v="0"/>
    <n v="0"/>
    <m/>
    <m/>
  </r>
  <r>
    <n v="13.2"/>
    <d v="2014-10-01T00:00:00"/>
    <x v="0"/>
    <s v="Shalom"/>
    <s v="Kachin"/>
    <s v="Waingmaw"/>
    <s v="Waingmaw AG Church"/>
    <m/>
    <m/>
    <m/>
    <n v="150"/>
    <m/>
    <m/>
    <m/>
    <m/>
    <m/>
    <m/>
    <m/>
    <m/>
    <m/>
    <m/>
    <m/>
    <n v="0"/>
    <n v="0"/>
    <n v="0"/>
    <n v="0"/>
    <n v="0"/>
    <n v="0"/>
    <n v="0"/>
    <n v="0"/>
    <n v="0"/>
    <n v="0"/>
    <n v="0"/>
    <n v="0"/>
    <n v="0"/>
    <n v="0"/>
    <x v="0"/>
    <n v="0"/>
    <s v="MMR001CMP038"/>
    <x v="0"/>
    <x v="0"/>
    <x v="0"/>
    <n v="0"/>
    <m/>
    <m/>
  </r>
  <r>
    <n v="13.2"/>
    <d v="2014-10-01T00:00:00"/>
    <x v="0"/>
    <s v="Shalom"/>
    <s v="Kachin"/>
    <s v="Myitkyina"/>
    <s v="Wun Tho Buddhist Monastery"/>
    <m/>
    <m/>
    <m/>
    <n v="12"/>
    <m/>
    <m/>
    <m/>
    <m/>
    <m/>
    <m/>
    <m/>
    <m/>
    <m/>
    <m/>
    <m/>
    <n v="0"/>
    <n v="0"/>
    <n v="0"/>
    <n v="0"/>
    <n v="0"/>
    <n v="0"/>
    <n v="0"/>
    <n v="0"/>
    <n v="0"/>
    <n v="0"/>
    <n v="0"/>
    <n v="0"/>
    <n v="0"/>
    <n v="0"/>
    <x v="0"/>
    <n v="0"/>
    <s v="MMR001CMP022"/>
    <x v="0"/>
    <x v="0"/>
    <x v="0"/>
    <n v="0"/>
    <m/>
    <m/>
  </r>
  <r>
    <n v="13.533333333333333"/>
    <d v="2014-09-21T00:00:00"/>
    <x v="0"/>
    <m/>
    <s v="Kachin"/>
    <s v="Momauk"/>
    <s v="Nhkawng Pa "/>
    <m/>
    <m/>
    <m/>
    <n v="604"/>
    <m/>
    <m/>
    <m/>
    <m/>
    <m/>
    <m/>
    <m/>
    <m/>
    <m/>
    <n v="784"/>
    <m/>
    <n v="0"/>
    <n v="0"/>
    <n v="0"/>
    <n v="0"/>
    <n v="0"/>
    <n v="0"/>
    <n v="0"/>
    <n v="0"/>
    <n v="0"/>
    <n v="0"/>
    <n v="0"/>
    <n v="0"/>
    <n v="0"/>
    <n v="0"/>
    <x v="1"/>
    <n v="0"/>
    <s v="MMR001CMP131"/>
    <x v="0"/>
    <x v="0"/>
    <x v="3"/>
    <n v="0"/>
    <m/>
    <m/>
  </r>
  <r>
    <n v="13.566666666666666"/>
    <d v="2014-09-20T00:00:00"/>
    <x v="0"/>
    <m/>
    <s v="Kachin"/>
    <s v="Momauk"/>
    <s v="Pa Kahtawng "/>
    <m/>
    <m/>
    <m/>
    <n v="1238"/>
    <m/>
    <m/>
    <m/>
    <m/>
    <m/>
    <m/>
    <m/>
    <m/>
    <m/>
    <n v="1761"/>
    <m/>
    <n v="0"/>
    <n v="0"/>
    <n v="0"/>
    <n v="0"/>
    <n v="0"/>
    <n v="0"/>
    <n v="0"/>
    <n v="0"/>
    <n v="0"/>
    <n v="0"/>
    <n v="0"/>
    <n v="0"/>
    <n v="0"/>
    <n v="0"/>
    <x v="1"/>
    <n v="0"/>
    <s v="MMR001CMP126"/>
    <x v="0"/>
    <x v="0"/>
    <x v="4"/>
    <n v="0"/>
    <m/>
    <m/>
  </r>
  <r>
    <n v="14.2"/>
    <d v="2014-09-01T00:00:00"/>
    <x v="2"/>
    <m/>
    <s v="Kachin"/>
    <s v="Waingmaw"/>
    <s v="Hkau Shau (BP 12)"/>
    <m/>
    <m/>
    <m/>
    <m/>
    <m/>
    <m/>
    <m/>
    <m/>
    <m/>
    <m/>
    <m/>
    <n v="407"/>
    <m/>
    <m/>
    <m/>
    <n v="0"/>
    <n v="0"/>
    <n v="0"/>
    <n v="0"/>
    <n v="0"/>
    <n v="0"/>
    <n v="0"/>
    <n v="0"/>
    <n v="0"/>
    <n v="0"/>
    <n v="0"/>
    <n v="0"/>
    <n v="0"/>
    <n v="0"/>
    <x v="1"/>
    <n v="0"/>
    <s v="MMR001CMP115"/>
    <x v="0"/>
    <x v="0"/>
    <x v="3"/>
    <n v="0"/>
    <m/>
    <m/>
  </r>
  <r>
    <n v="14.2"/>
    <d v="2014-09-01T00:00:00"/>
    <x v="2"/>
    <m/>
    <s v="Kachin"/>
    <s v="Chipwi"/>
    <s v="Hpare Hkyer - BP6"/>
    <m/>
    <m/>
    <m/>
    <m/>
    <m/>
    <m/>
    <m/>
    <m/>
    <m/>
    <m/>
    <m/>
    <n v="347"/>
    <m/>
    <m/>
    <m/>
    <n v="0"/>
    <n v="0"/>
    <n v="0"/>
    <n v="0"/>
    <n v="0"/>
    <n v="0"/>
    <n v="0"/>
    <n v="0"/>
    <n v="0"/>
    <n v="0"/>
    <n v="0"/>
    <n v="0"/>
    <n v="0"/>
    <n v="0"/>
    <x v="1"/>
    <n v="0"/>
    <s v="MMR001CMP043"/>
    <x v="0"/>
    <x v="0"/>
    <x v="3"/>
    <n v="0"/>
    <m/>
    <m/>
  </r>
  <r>
    <n v="14.2"/>
    <d v="2014-09-01T00:00:00"/>
    <x v="2"/>
    <m/>
    <s v="Kachin"/>
    <s v="Waingmaw"/>
    <s v="Maga Yang "/>
    <m/>
    <m/>
    <m/>
    <m/>
    <m/>
    <m/>
    <m/>
    <m/>
    <m/>
    <m/>
    <m/>
    <n v="917"/>
    <m/>
    <m/>
    <m/>
    <n v="0"/>
    <n v="0"/>
    <n v="0"/>
    <n v="0"/>
    <n v="0"/>
    <n v="0"/>
    <n v="0"/>
    <n v="0"/>
    <n v="0"/>
    <n v="0"/>
    <n v="0"/>
    <n v="0"/>
    <n v="0"/>
    <n v="0"/>
    <x v="1"/>
    <n v="0"/>
    <s v="MMR001CMP119"/>
    <x v="0"/>
    <x v="0"/>
    <x v="4"/>
    <n v="0"/>
    <m/>
    <m/>
  </r>
  <r>
    <n v="14.2"/>
    <d v="2014-09-01T00:00:00"/>
    <x v="2"/>
    <m/>
    <s v="Kachin"/>
    <s v="Waingmaw"/>
    <s v="Pajau - Jan Mai"/>
    <m/>
    <m/>
    <m/>
    <m/>
    <m/>
    <m/>
    <m/>
    <m/>
    <m/>
    <m/>
    <m/>
    <n v="291"/>
    <m/>
    <m/>
    <m/>
    <n v="0"/>
    <n v="0"/>
    <n v="0"/>
    <n v="0"/>
    <n v="0"/>
    <n v="0"/>
    <n v="0"/>
    <n v="0"/>
    <n v="0"/>
    <n v="0"/>
    <n v="0"/>
    <n v="0"/>
    <n v="0"/>
    <n v="0"/>
    <x v="1"/>
    <n v="0"/>
    <s v="MMR001CMP120"/>
    <x v="0"/>
    <x v="0"/>
    <x v="3"/>
    <n v="0"/>
    <m/>
    <m/>
  </r>
  <r>
    <n v="14.2"/>
    <d v="2014-09-01T00:00:00"/>
    <x v="2"/>
    <m/>
    <s v="Kachin"/>
    <s v="Waingmaw"/>
    <s v="Shing Jai"/>
    <m/>
    <m/>
    <m/>
    <m/>
    <m/>
    <m/>
    <m/>
    <m/>
    <m/>
    <m/>
    <m/>
    <n v="288"/>
    <m/>
    <m/>
    <m/>
    <n v="0"/>
    <n v="0"/>
    <n v="0"/>
    <n v="0"/>
    <n v="0"/>
    <n v="0"/>
    <n v="0"/>
    <n v="0"/>
    <n v="0"/>
    <n v="0"/>
    <n v="0"/>
    <n v="0"/>
    <n v="0"/>
    <n v="0"/>
    <x v="1"/>
    <n v="0"/>
    <s v="MMR001CMP041"/>
    <x v="0"/>
    <x v="0"/>
    <x v="3"/>
    <n v="0"/>
    <m/>
    <m/>
  </r>
  <r>
    <n v="14.2"/>
    <d v="2014-09-01T00:00:00"/>
    <x v="2"/>
    <m/>
    <s v="Kachin"/>
    <s v="Waingmaw"/>
    <s v="Zai Awng - Mung Ga Zup"/>
    <m/>
    <m/>
    <m/>
    <m/>
    <m/>
    <m/>
    <m/>
    <m/>
    <m/>
    <m/>
    <m/>
    <n v="905"/>
    <m/>
    <m/>
    <m/>
    <n v="0"/>
    <n v="0"/>
    <n v="0"/>
    <n v="0"/>
    <n v="0"/>
    <n v="0"/>
    <n v="0"/>
    <n v="0"/>
    <n v="0"/>
    <n v="0"/>
    <n v="0"/>
    <n v="0"/>
    <n v="0"/>
    <n v="0"/>
    <x v="1"/>
    <n v="0"/>
    <s v="MMR001CMP111"/>
    <x v="0"/>
    <x v="0"/>
    <x v="4"/>
    <n v="0"/>
    <m/>
    <m/>
  </r>
  <r>
    <n v="14.666666666666666"/>
    <d v="2014-08-18T00:00:00"/>
    <x v="0"/>
    <m/>
    <s v="Kachin"/>
    <s v="Mansi"/>
    <s v="Bum Tsit Pa Camp II"/>
    <m/>
    <m/>
    <m/>
    <m/>
    <n v="70"/>
    <m/>
    <m/>
    <m/>
    <m/>
    <m/>
    <m/>
    <m/>
    <m/>
    <m/>
    <m/>
    <n v="0"/>
    <n v="0"/>
    <n v="0"/>
    <n v="0"/>
    <n v="0"/>
    <n v="0"/>
    <n v="0"/>
    <n v="0"/>
    <n v="0"/>
    <n v="0"/>
    <n v="0"/>
    <n v="0"/>
    <n v="0"/>
    <n v="0"/>
    <x v="0"/>
    <n v="0"/>
    <s v="MMR001CMP226"/>
    <x v="0"/>
    <x v="0"/>
    <x v="4"/>
    <n v="0"/>
    <m/>
    <m/>
  </r>
  <r>
    <n v="14.933333333333334"/>
    <d v="2014-08-10T00:00:00"/>
    <x v="0"/>
    <m/>
    <s v="Kachin"/>
    <s v="Momauk"/>
    <s v="Pa Kahtawng "/>
    <m/>
    <m/>
    <m/>
    <n v="100"/>
    <n v="52"/>
    <n v="156"/>
    <n v="40"/>
    <m/>
    <n v="52"/>
    <n v="210"/>
    <m/>
    <m/>
    <m/>
    <m/>
    <m/>
    <n v="0"/>
    <n v="0"/>
    <n v="0"/>
    <n v="0"/>
    <n v="0"/>
    <n v="0"/>
    <n v="0"/>
    <n v="0"/>
    <n v="0"/>
    <n v="0"/>
    <n v="0"/>
    <n v="0"/>
    <n v="0"/>
    <n v="0"/>
    <x v="0"/>
    <n v="0"/>
    <s v="MMR001CMP126"/>
    <x v="0"/>
    <x v="0"/>
    <x v="4"/>
    <n v="4.7619047619047616E-2"/>
    <m/>
    <m/>
  </r>
  <r>
    <n v="15.033333333333333"/>
    <d v="2014-08-07T00:00:00"/>
    <x v="0"/>
    <s v="Shalom"/>
    <s v="Kachin"/>
    <s v="Chipwi"/>
    <s v="Lhaovao Baptist Church (LBC)"/>
    <m/>
    <m/>
    <n v="50"/>
    <n v="25"/>
    <n v="50"/>
    <n v="25"/>
    <m/>
    <n v="25"/>
    <n v="125"/>
    <m/>
    <m/>
    <m/>
    <m/>
    <m/>
    <m/>
    <n v="0"/>
    <n v="0"/>
    <n v="0"/>
    <n v="0"/>
    <n v="0"/>
    <n v="0"/>
    <n v="0"/>
    <n v="0"/>
    <n v="0"/>
    <n v="0"/>
    <n v="0"/>
    <n v="0"/>
    <n v="0"/>
    <n v="0"/>
    <x v="0"/>
    <n v="0"/>
    <s v="MMR001CMP195"/>
    <x v="0"/>
    <x v="0"/>
    <x v="3"/>
    <n v="0"/>
    <m/>
    <m/>
  </r>
  <r>
    <n v="15.033333333333333"/>
    <d v="2014-08-07T00:00:00"/>
    <x v="0"/>
    <s v="Shalom"/>
    <s v="Kachin"/>
    <s v="Waingmaw"/>
    <s v="Qtr. 2 Lhaovo Baptist Church"/>
    <m/>
    <m/>
    <n v="24"/>
    <n v="12"/>
    <n v="24"/>
    <n v="12"/>
    <m/>
    <n v="12"/>
    <n v="60"/>
    <m/>
    <m/>
    <m/>
    <m/>
    <m/>
    <m/>
    <n v="0"/>
    <n v="0"/>
    <n v="0"/>
    <n v="0"/>
    <n v="0"/>
    <n v="0"/>
    <n v="0"/>
    <n v="0"/>
    <n v="0"/>
    <n v="0"/>
    <n v="0"/>
    <n v="0"/>
    <n v="0"/>
    <n v="0"/>
    <x v="0"/>
    <n v="0"/>
    <s v="MMR001CMP032"/>
    <x v="0"/>
    <x v="0"/>
    <x v="0"/>
    <n v="0"/>
    <m/>
    <m/>
  </r>
  <r>
    <n v="15.133333333333333"/>
    <d v="2014-08-04T00:00:00"/>
    <x v="0"/>
    <m/>
    <s v="Kachin"/>
    <s v="Bhamo"/>
    <m/>
    <m/>
    <m/>
    <m/>
    <m/>
    <n v="5"/>
    <m/>
    <m/>
    <m/>
    <m/>
    <m/>
    <m/>
    <m/>
    <m/>
    <m/>
    <m/>
    <n v="0"/>
    <n v="0"/>
    <n v="0"/>
    <n v="0"/>
    <n v="0"/>
    <n v="0"/>
    <n v="0"/>
    <n v="0"/>
    <n v="0"/>
    <n v="0"/>
    <n v="0"/>
    <n v="0"/>
    <n v="0"/>
    <n v="0"/>
    <x v="0"/>
    <n v="0"/>
    <s v=""/>
    <x v="1"/>
    <x v="1"/>
    <x v="1"/>
    <s v=""/>
    <m/>
    <m/>
  </r>
  <r>
    <n v="15.133333333333333"/>
    <d v="2014-08-04T00:00:00"/>
    <x v="0"/>
    <m/>
    <s v="Kachin"/>
    <s v="Momauk"/>
    <s v="Loi Je Catholic Church"/>
    <m/>
    <m/>
    <m/>
    <m/>
    <n v="116"/>
    <m/>
    <m/>
    <m/>
    <m/>
    <m/>
    <m/>
    <m/>
    <m/>
    <m/>
    <m/>
    <n v="0"/>
    <n v="0"/>
    <n v="0"/>
    <n v="0"/>
    <n v="0"/>
    <n v="0"/>
    <n v="0"/>
    <n v="0"/>
    <n v="0"/>
    <n v="0"/>
    <n v="0"/>
    <n v="0"/>
    <n v="0"/>
    <n v="0"/>
    <x v="0"/>
    <n v="0"/>
    <s v="MMR001CMP069"/>
    <x v="0"/>
    <x v="0"/>
    <x v="2"/>
    <n v="0"/>
    <m/>
    <m/>
  </r>
  <r>
    <n v="15.133333333333333"/>
    <d v="2014-08-04T00:00:00"/>
    <x v="0"/>
    <m/>
    <s v="Kachin"/>
    <s v="Momauk"/>
    <s v="Loi Je Lisu Camp"/>
    <m/>
    <m/>
    <m/>
    <n v="84"/>
    <n v="36"/>
    <n v="84"/>
    <n v="36"/>
    <m/>
    <n v="36"/>
    <n v="180"/>
    <m/>
    <m/>
    <m/>
    <m/>
    <m/>
    <n v="0"/>
    <n v="0"/>
    <n v="0"/>
    <n v="0"/>
    <n v="0"/>
    <n v="0"/>
    <n v="0"/>
    <n v="0"/>
    <n v="0"/>
    <n v="0"/>
    <n v="0"/>
    <n v="0"/>
    <n v="0"/>
    <n v="0"/>
    <x v="0"/>
    <n v="0"/>
    <s v="MMR001CMP070"/>
    <x v="0"/>
    <x v="0"/>
    <x v="2"/>
    <n v="0.19148936170212766"/>
    <m/>
    <m/>
  </r>
  <r>
    <n v="15.133333333333333"/>
    <d v="2014-08-04T00:00:00"/>
    <x v="0"/>
    <m/>
    <s v="Kachin"/>
    <s v="Mansi"/>
    <s v="Maing Khaung Catholic Church"/>
    <m/>
    <m/>
    <m/>
    <m/>
    <m/>
    <m/>
    <m/>
    <m/>
    <n v="2"/>
    <m/>
    <m/>
    <m/>
    <m/>
    <m/>
    <m/>
    <n v="0"/>
    <n v="0"/>
    <n v="0"/>
    <n v="0"/>
    <n v="0"/>
    <n v="0"/>
    <n v="0"/>
    <n v="0"/>
    <n v="0"/>
    <n v="0"/>
    <n v="0"/>
    <n v="0"/>
    <n v="0"/>
    <n v="0"/>
    <x v="0"/>
    <n v="0"/>
    <s v="MMR001CMP223"/>
    <x v="0"/>
    <x v="0"/>
    <x v="0"/>
    <n v="0"/>
    <m/>
    <m/>
  </r>
  <r>
    <n v="15.333333333333334"/>
    <d v="2014-07-29T00:00:00"/>
    <x v="0"/>
    <m/>
    <s v="Kachin"/>
    <s v="Momauk"/>
    <s v="Je Yang Hka "/>
    <m/>
    <m/>
    <m/>
    <n v="254"/>
    <n v="204"/>
    <n v="254"/>
    <n v="134"/>
    <m/>
    <n v="134"/>
    <n v="608"/>
    <m/>
    <m/>
    <m/>
    <m/>
    <m/>
    <n v="0"/>
    <n v="0"/>
    <n v="0"/>
    <n v="0"/>
    <n v="0"/>
    <n v="0"/>
    <n v="0"/>
    <n v="0"/>
    <n v="0"/>
    <n v="0"/>
    <n v="0"/>
    <n v="0"/>
    <n v="0"/>
    <n v="0"/>
    <x v="0"/>
    <n v="0"/>
    <s v="MMR001CMP121"/>
    <x v="0"/>
    <x v="0"/>
    <x v="4"/>
    <n v="7.9196217494089838E-2"/>
    <m/>
    <m/>
  </r>
  <r>
    <n v="15.333333333333334"/>
    <d v="2014-07-29T00:00:00"/>
    <x v="0"/>
    <m/>
    <s v="Kachin"/>
    <s v="Waingmaw"/>
    <s v="Woi Chyai "/>
    <m/>
    <m/>
    <m/>
    <n v="46"/>
    <n v="46"/>
    <n v="46"/>
    <n v="16"/>
    <m/>
    <n v="16"/>
    <n v="142"/>
    <m/>
    <m/>
    <m/>
    <m/>
    <m/>
    <n v="0"/>
    <n v="0"/>
    <n v="0"/>
    <n v="0"/>
    <n v="0"/>
    <n v="0"/>
    <n v="0"/>
    <n v="0"/>
    <n v="0"/>
    <n v="0"/>
    <n v="0"/>
    <n v="0"/>
    <n v="0"/>
    <n v="0"/>
    <x v="0"/>
    <n v="0"/>
    <s v="MMR001CMP116"/>
    <x v="0"/>
    <x v="0"/>
    <x v="0"/>
    <n v="1.1895910780669145E-2"/>
    <m/>
    <m/>
  </r>
  <r>
    <n v="15.466666666666667"/>
    <d v="2014-07-25T00:00:00"/>
    <x v="0"/>
    <m/>
    <s v="Kachin"/>
    <s v="Bhamo"/>
    <s v="Lisu Boarding-House"/>
    <m/>
    <m/>
    <m/>
    <m/>
    <n v="7"/>
    <n v="3"/>
    <m/>
    <m/>
    <n v="4"/>
    <n v="9"/>
    <m/>
    <m/>
    <m/>
    <m/>
    <m/>
    <n v="0"/>
    <n v="0"/>
    <n v="0"/>
    <n v="0"/>
    <n v="0"/>
    <n v="0"/>
    <n v="0"/>
    <n v="0"/>
    <n v="0"/>
    <n v="0"/>
    <n v="0"/>
    <n v="0"/>
    <n v="0"/>
    <n v="0"/>
    <x v="0"/>
    <n v="0"/>
    <s v="MMR001CMP049"/>
    <x v="0"/>
    <x v="0"/>
    <x v="0"/>
    <n v="0"/>
    <m/>
    <m/>
  </r>
  <r>
    <n v="15.6"/>
    <d v="2014-07-21T00:00:00"/>
    <x v="0"/>
    <m/>
    <s v="Kachin"/>
    <s v="Bhamo"/>
    <s v="Lisu Boarding-House"/>
    <m/>
    <m/>
    <m/>
    <n v="10"/>
    <n v="36"/>
    <n v="10"/>
    <n v="5"/>
    <m/>
    <n v="33"/>
    <n v="117"/>
    <m/>
    <m/>
    <m/>
    <m/>
    <m/>
    <n v="0"/>
    <n v="0"/>
    <n v="0"/>
    <n v="0"/>
    <n v="0"/>
    <n v="0"/>
    <n v="0"/>
    <n v="0"/>
    <n v="0"/>
    <n v="0"/>
    <n v="0"/>
    <n v="0"/>
    <n v="0"/>
    <n v="0"/>
    <x v="0"/>
    <n v="0"/>
    <s v="MMR001CMP049"/>
    <x v="0"/>
    <x v="0"/>
    <x v="0"/>
    <n v="4.3103448275862072E-2"/>
    <m/>
    <m/>
  </r>
  <r>
    <n v="15.6"/>
    <d v="2014-07-21T00:00:00"/>
    <x v="0"/>
    <m/>
    <s v="Kachin"/>
    <s v="Momauk"/>
    <s v="Momauk Baptist Church"/>
    <m/>
    <m/>
    <m/>
    <m/>
    <n v="75"/>
    <m/>
    <m/>
    <m/>
    <m/>
    <m/>
    <m/>
    <m/>
    <m/>
    <m/>
    <m/>
    <n v="0"/>
    <n v="0"/>
    <n v="0"/>
    <n v="0"/>
    <n v="0"/>
    <n v="0"/>
    <n v="0"/>
    <n v="0"/>
    <n v="0"/>
    <n v="0"/>
    <n v="0"/>
    <n v="0"/>
    <n v="0"/>
    <n v="0"/>
    <x v="0"/>
    <n v="0"/>
    <s v="MMR001CMP056"/>
    <x v="0"/>
    <x v="0"/>
    <x v="0"/>
    <n v="0"/>
    <m/>
    <m/>
  </r>
  <r>
    <n v="16"/>
    <d v="2014-07-09T00:00:00"/>
    <x v="0"/>
    <m/>
    <s v="Kachin"/>
    <s v="Mansi"/>
    <s v="Maing Khaung"/>
    <m/>
    <m/>
    <m/>
    <m/>
    <m/>
    <n v="10"/>
    <m/>
    <m/>
    <m/>
    <m/>
    <m/>
    <m/>
    <m/>
    <m/>
    <m/>
    <n v="0"/>
    <n v="0"/>
    <n v="0"/>
    <n v="0"/>
    <n v="0"/>
    <n v="0"/>
    <n v="0"/>
    <n v="0"/>
    <n v="0"/>
    <n v="0"/>
    <n v="0"/>
    <n v="0"/>
    <n v="0"/>
    <n v="0"/>
    <x v="0"/>
    <n v="0"/>
    <s v="MMR001CMP218"/>
    <x v="0"/>
    <x v="0"/>
    <x v="0"/>
    <n v="0"/>
    <m/>
    <m/>
  </r>
  <r>
    <n v="16"/>
    <d v="2014-07-09T00:00:00"/>
    <x v="0"/>
    <m/>
    <s v="Kachin"/>
    <s v="Mansi"/>
    <s v="Maing Khaung Catholic Church"/>
    <m/>
    <m/>
    <m/>
    <n v="35"/>
    <n v="13"/>
    <n v="70"/>
    <n v="13"/>
    <m/>
    <n v="13"/>
    <n v="25"/>
    <m/>
    <m/>
    <m/>
    <m/>
    <m/>
    <n v="0"/>
    <n v="0"/>
    <n v="0"/>
    <n v="0"/>
    <n v="0"/>
    <n v="0"/>
    <n v="0"/>
    <n v="0"/>
    <n v="0"/>
    <n v="0"/>
    <n v="0"/>
    <n v="0"/>
    <n v="0"/>
    <n v="0"/>
    <x v="0"/>
    <n v="0"/>
    <s v="MMR001CMP223"/>
    <x v="0"/>
    <x v="0"/>
    <x v="0"/>
    <n v="0.10743801652892562"/>
    <m/>
    <m/>
  </r>
  <r>
    <n v="16.133333333333333"/>
    <d v="2014-07-05T00:00:00"/>
    <x v="3"/>
    <s v="MRCS"/>
    <s v="Kachin"/>
    <s v="Waingmaw"/>
    <s v="Waingmaw AG Church"/>
    <m/>
    <m/>
    <m/>
    <m/>
    <m/>
    <m/>
    <m/>
    <m/>
    <m/>
    <m/>
    <m/>
    <m/>
    <m/>
    <n v="124"/>
    <m/>
    <n v="0"/>
    <n v="0"/>
    <n v="0"/>
    <n v="0"/>
    <n v="0"/>
    <n v="0"/>
    <n v="0"/>
    <n v="0"/>
    <n v="0"/>
    <n v="0"/>
    <n v="0"/>
    <n v="0"/>
    <n v="0"/>
    <n v="0"/>
    <x v="1"/>
    <n v="0"/>
    <s v="MMR001CMP038"/>
    <x v="0"/>
    <x v="0"/>
    <x v="0"/>
    <n v="0"/>
    <m/>
    <m/>
  </r>
  <r>
    <n v="16.2"/>
    <d v="2014-07-03T00:00:00"/>
    <x v="0"/>
    <m/>
    <s v="Kachin"/>
    <s v="Mansi"/>
    <s v="Maing Khaung"/>
    <m/>
    <m/>
    <m/>
    <m/>
    <m/>
    <n v="9"/>
    <m/>
    <m/>
    <n v="19"/>
    <n v="1"/>
    <m/>
    <m/>
    <m/>
    <m/>
    <m/>
    <n v="0"/>
    <n v="0"/>
    <n v="0"/>
    <n v="0"/>
    <n v="0"/>
    <n v="0"/>
    <n v="0"/>
    <n v="0"/>
    <n v="0"/>
    <n v="0"/>
    <n v="0"/>
    <n v="0"/>
    <n v="0"/>
    <n v="0"/>
    <x v="0"/>
    <n v="0"/>
    <s v="MMR001CMP218"/>
    <x v="0"/>
    <x v="0"/>
    <x v="0"/>
    <n v="0"/>
    <m/>
    <m/>
  </r>
  <r>
    <n v="16.2"/>
    <d v="2014-07-03T00:00:00"/>
    <x v="0"/>
    <m/>
    <s v="Kachin"/>
    <s v="Mansi"/>
    <s v="Maing Khaung Catholic Church"/>
    <m/>
    <m/>
    <m/>
    <n v="50"/>
    <n v="15"/>
    <m/>
    <n v="15"/>
    <m/>
    <n v="15"/>
    <n v="60"/>
    <m/>
    <m/>
    <m/>
    <m/>
    <m/>
    <n v="0"/>
    <n v="0"/>
    <n v="0"/>
    <n v="0"/>
    <n v="0"/>
    <n v="0"/>
    <n v="0"/>
    <n v="0"/>
    <n v="0"/>
    <n v="0"/>
    <n v="0"/>
    <n v="0"/>
    <n v="0"/>
    <n v="0"/>
    <x v="0"/>
    <n v="0"/>
    <s v="MMR001CMP223"/>
    <x v="0"/>
    <x v="0"/>
    <x v="0"/>
    <n v="0.12396694214876033"/>
    <m/>
    <m/>
  </r>
  <r>
    <n v="16.266666666666666"/>
    <d v="2014-07-01T00:00:00"/>
    <x v="0"/>
    <m/>
    <s v="Kachin"/>
    <s v="Mansi"/>
    <s v="Maing Khaung"/>
    <m/>
    <m/>
    <m/>
    <m/>
    <n v="19"/>
    <m/>
    <n v="19"/>
    <m/>
    <m/>
    <n v="100"/>
    <m/>
    <m/>
    <m/>
    <m/>
    <m/>
    <n v="0"/>
    <n v="0"/>
    <n v="0"/>
    <n v="0"/>
    <n v="0"/>
    <n v="0"/>
    <n v="0"/>
    <n v="0"/>
    <n v="0"/>
    <n v="0"/>
    <n v="0"/>
    <n v="0"/>
    <n v="0"/>
    <n v="0"/>
    <x v="0"/>
    <n v="0"/>
    <s v="MMR001CMP218"/>
    <x v="0"/>
    <x v="0"/>
    <x v="0"/>
    <n v="5.1075268817204304E-2"/>
    <m/>
    <m/>
  </r>
  <r>
    <n v="16.466666666666665"/>
    <d v="2014-06-25T00:00:00"/>
    <x v="3"/>
    <s v="MRCS"/>
    <s v="Kachin"/>
    <s v="Momauk"/>
    <s v="Momauk Baptist Church"/>
    <m/>
    <m/>
    <m/>
    <m/>
    <m/>
    <m/>
    <m/>
    <m/>
    <m/>
    <m/>
    <m/>
    <m/>
    <m/>
    <n v="832"/>
    <m/>
    <n v="0"/>
    <n v="0"/>
    <n v="0"/>
    <n v="0"/>
    <n v="0"/>
    <n v="0"/>
    <n v="0"/>
    <n v="0"/>
    <n v="0"/>
    <n v="0"/>
    <n v="0"/>
    <n v="0"/>
    <n v="0"/>
    <n v="0"/>
    <x v="1"/>
    <n v="0"/>
    <s v="MMR001CMP056"/>
    <x v="0"/>
    <x v="0"/>
    <x v="0"/>
    <n v="0"/>
    <m/>
    <m/>
  </r>
  <r>
    <n v="16.5"/>
    <d v="2014-06-24T00:00:00"/>
    <x v="3"/>
    <s v="MRCS"/>
    <s v="Kachin"/>
    <s v="Myitkyina"/>
    <s v="Maw Hpawng Hka Nan Baptist Church"/>
    <m/>
    <m/>
    <m/>
    <m/>
    <m/>
    <m/>
    <m/>
    <m/>
    <m/>
    <m/>
    <m/>
    <m/>
    <m/>
    <n v="44"/>
    <m/>
    <n v="0"/>
    <n v="0"/>
    <n v="0"/>
    <n v="0"/>
    <n v="0"/>
    <n v="0"/>
    <n v="0"/>
    <n v="0"/>
    <n v="0"/>
    <n v="0"/>
    <n v="0"/>
    <n v="0"/>
    <n v="0"/>
    <n v="0"/>
    <x v="1"/>
    <n v="0"/>
    <s v="MMR001CMP020"/>
    <x v="0"/>
    <x v="0"/>
    <x v="0"/>
    <n v="0"/>
    <m/>
    <m/>
  </r>
  <r>
    <n v="16.5"/>
    <d v="2014-06-24T00:00:00"/>
    <x v="3"/>
    <s v="MRCS"/>
    <s v="Kachin"/>
    <s v="Myitkyina"/>
    <s v="Maw Hpawng Lhaovo Baptist Church"/>
    <m/>
    <m/>
    <m/>
    <m/>
    <m/>
    <m/>
    <m/>
    <m/>
    <m/>
    <m/>
    <m/>
    <m/>
    <m/>
    <n v="28"/>
    <m/>
    <n v="0"/>
    <n v="0"/>
    <n v="0"/>
    <n v="0"/>
    <n v="0"/>
    <n v="0"/>
    <n v="0"/>
    <n v="0"/>
    <n v="0"/>
    <n v="0"/>
    <n v="0"/>
    <n v="0"/>
    <n v="0"/>
    <n v="0"/>
    <x v="1"/>
    <n v="0"/>
    <s v="MMR001CMP021"/>
    <x v="0"/>
    <x v="0"/>
    <x v="0"/>
    <n v="0"/>
    <m/>
    <m/>
  </r>
  <r>
    <n v="16.533333333333335"/>
    <d v="2014-06-23T00:00:00"/>
    <x v="3"/>
    <s v="MRCS"/>
    <s v="Kachin"/>
    <s v="Myitkyina"/>
    <s v="Tat Kone San Pya Baptist Church"/>
    <m/>
    <m/>
    <m/>
    <m/>
    <m/>
    <m/>
    <m/>
    <m/>
    <m/>
    <m/>
    <m/>
    <m/>
    <m/>
    <n v="88"/>
    <m/>
    <n v="0"/>
    <n v="0"/>
    <n v="0"/>
    <n v="0"/>
    <n v="0"/>
    <n v="0"/>
    <n v="0"/>
    <n v="0"/>
    <n v="0"/>
    <n v="0"/>
    <n v="0"/>
    <n v="0"/>
    <n v="0"/>
    <n v="0"/>
    <x v="1"/>
    <n v="0"/>
    <s v="MMR001CMP005"/>
    <x v="0"/>
    <x v="0"/>
    <x v="0"/>
    <n v="0"/>
    <m/>
    <m/>
  </r>
  <r>
    <n v="16.566666666666666"/>
    <d v="2014-06-22T00:00:00"/>
    <x v="3"/>
    <s v="MRCS"/>
    <s v="Kachin"/>
    <s v="Momauk"/>
    <s v="Momauk Catholic Church (St. Patrick)"/>
    <m/>
    <m/>
    <m/>
    <m/>
    <m/>
    <m/>
    <m/>
    <m/>
    <m/>
    <m/>
    <m/>
    <m/>
    <m/>
    <n v="462"/>
    <m/>
    <n v="0"/>
    <n v="0"/>
    <n v="0"/>
    <n v="0"/>
    <n v="0"/>
    <n v="0"/>
    <n v="0"/>
    <n v="0"/>
    <n v="0"/>
    <n v="0"/>
    <n v="0"/>
    <n v="0"/>
    <n v="0"/>
    <n v="0"/>
    <x v="1"/>
    <n v="0"/>
    <s v="MMR001CMP057"/>
    <x v="0"/>
    <x v="2"/>
    <x v="0"/>
    <s v=""/>
    <m/>
    <m/>
  </r>
  <r>
    <n v="16.600000000000001"/>
    <d v="2014-06-21T00:00:00"/>
    <x v="3"/>
    <s v="MRCS"/>
    <s v="Kachin"/>
    <s v="Myitkyina"/>
    <s v="Du Kahtawng Qtr. 14"/>
    <m/>
    <m/>
    <m/>
    <m/>
    <m/>
    <m/>
    <m/>
    <m/>
    <m/>
    <m/>
    <m/>
    <m/>
    <m/>
    <n v="12"/>
    <m/>
    <n v="0"/>
    <n v="0"/>
    <n v="0"/>
    <n v="0"/>
    <n v="0"/>
    <n v="0"/>
    <n v="0"/>
    <n v="0"/>
    <n v="0"/>
    <n v="0"/>
    <n v="0"/>
    <n v="0"/>
    <n v="0"/>
    <n v="0"/>
    <x v="1"/>
    <n v="0"/>
    <s v="MMR001CMP012"/>
    <x v="0"/>
    <x v="0"/>
    <x v="0"/>
    <n v="0"/>
    <m/>
    <m/>
  </r>
  <r>
    <n v="16.600000000000001"/>
    <d v="2014-06-21T00:00:00"/>
    <x v="3"/>
    <s v="MRCS"/>
    <s v="Kachin"/>
    <s v="Myitkyina"/>
    <s v="Du Kahtawng Qtr. 4"/>
    <m/>
    <m/>
    <m/>
    <m/>
    <m/>
    <m/>
    <m/>
    <m/>
    <m/>
    <m/>
    <m/>
    <m/>
    <m/>
    <n v="12"/>
    <m/>
    <n v="0"/>
    <n v="0"/>
    <n v="0"/>
    <n v="0"/>
    <n v="0"/>
    <n v="0"/>
    <n v="0"/>
    <n v="0"/>
    <n v="0"/>
    <n v="0"/>
    <n v="0"/>
    <n v="0"/>
    <n v="0"/>
    <n v="0"/>
    <x v="1"/>
    <n v="0"/>
    <s v="MMR001CMP010"/>
    <x v="0"/>
    <x v="0"/>
    <x v="0"/>
    <n v="0"/>
    <m/>
    <m/>
  </r>
  <r>
    <n v="16.600000000000001"/>
    <d v="2014-06-21T00:00:00"/>
    <x v="3"/>
    <s v="MRCS"/>
    <s v="Kachin"/>
    <s v="Myitkyina"/>
    <s v="Du Kahtawng Qtr. 5"/>
    <m/>
    <m/>
    <m/>
    <m/>
    <m/>
    <m/>
    <m/>
    <m/>
    <m/>
    <m/>
    <m/>
    <m/>
    <m/>
    <n v="16"/>
    <m/>
    <n v="0"/>
    <n v="0"/>
    <n v="0"/>
    <n v="0"/>
    <n v="0"/>
    <n v="0"/>
    <n v="0"/>
    <n v="0"/>
    <n v="0"/>
    <n v="0"/>
    <n v="0"/>
    <n v="0"/>
    <n v="0"/>
    <n v="0"/>
    <x v="1"/>
    <n v="0"/>
    <s v="MMR001CMP011"/>
    <x v="0"/>
    <x v="0"/>
    <x v="0"/>
    <n v="0"/>
    <m/>
    <m/>
  </r>
  <r>
    <n v="16.633333333333333"/>
    <d v="2014-06-20T00:00:00"/>
    <x v="3"/>
    <s v="MRCS"/>
    <s v="Kachin"/>
    <s v="Myitkyina"/>
    <s v="Tat Kone Emanuel Church"/>
    <m/>
    <m/>
    <m/>
    <m/>
    <m/>
    <m/>
    <m/>
    <m/>
    <m/>
    <m/>
    <m/>
    <m/>
    <m/>
    <n v="16"/>
    <m/>
    <n v="0"/>
    <n v="0"/>
    <n v="0"/>
    <n v="0"/>
    <n v="0"/>
    <n v="0"/>
    <n v="0"/>
    <n v="0"/>
    <n v="0"/>
    <n v="0"/>
    <n v="0"/>
    <n v="0"/>
    <n v="0"/>
    <n v="0"/>
    <x v="1"/>
    <n v="0"/>
    <s v="MMR001CMP004"/>
    <x v="0"/>
    <x v="0"/>
    <x v="0"/>
    <n v="0"/>
    <m/>
    <m/>
  </r>
  <r>
    <n v="16.733333333333334"/>
    <d v="2014-06-17T00:00:00"/>
    <x v="0"/>
    <m/>
    <s v="Kachin"/>
    <s v="Mansi"/>
    <s v="Maing Khaung"/>
    <m/>
    <m/>
    <m/>
    <n v="10"/>
    <n v="3"/>
    <n v="10"/>
    <n v="3"/>
    <m/>
    <n v="3"/>
    <n v="10"/>
    <m/>
    <m/>
    <m/>
    <m/>
    <m/>
    <n v="0"/>
    <n v="0"/>
    <n v="0"/>
    <n v="0"/>
    <n v="0"/>
    <n v="0"/>
    <n v="0"/>
    <n v="0"/>
    <n v="0"/>
    <n v="0"/>
    <n v="0"/>
    <n v="0"/>
    <n v="0"/>
    <n v="0"/>
    <x v="0"/>
    <n v="0"/>
    <s v="MMR001CMP218"/>
    <x v="0"/>
    <x v="0"/>
    <x v="0"/>
    <n v="8.0645161290322578E-3"/>
    <m/>
    <m/>
  </r>
  <r>
    <n v="16.8"/>
    <d v="2014-06-15T00:00:00"/>
    <x v="3"/>
    <s v="MRCS"/>
    <s v="Kachin"/>
    <s v="Shwegu"/>
    <s v="Shwe Gu Baptist Church"/>
    <m/>
    <m/>
    <m/>
    <m/>
    <m/>
    <m/>
    <m/>
    <m/>
    <m/>
    <m/>
    <m/>
    <m/>
    <m/>
    <n v="158"/>
    <m/>
    <n v="0"/>
    <n v="0"/>
    <n v="0"/>
    <n v="0"/>
    <n v="0"/>
    <n v="0"/>
    <n v="0"/>
    <n v="0"/>
    <n v="0"/>
    <n v="0"/>
    <n v="0"/>
    <n v="0"/>
    <n v="0"/>
    <n v="0"/>
    <x v="1"/>
    <n v="0"/>
    <s v="MMR001CMP067"/>
    <x v="0"/>
    <x v="0"/>
    <x v="0"/>
    <n v="0"/>
    <m/>
    <m/>
  </r>
  <r>
    <n v="16.8"/>
    <d v="2014-06-15T00:00:00"/>
    <x v="3"/>
    <s v="MRCS"/>
    <s v="Kachin"/>
    <s v="Shwegu"/>
    <s v="Shwe Gu Catholic Church"/>
    <m/>
    <m/>
    <m/>
    <m/>
    <m/>
    <m/>
    <m/>
    <m/>
    <m/>
    <m/>
    <m/>
    <m/>
    <m/>
    <n v="112"/>
    <m/>
    <n v="0"/>
    <n v="0"/>
    <n v="0"/>
    <n v="0"/>
    <n v="0"/>
    <n v="0"/>
    <n v="0"/>
    <n v="0"/>
    <n v="0"/>
    <n v="0"/>
    <n v="0"/>
    <n v="0"/>
    <n v="0"/>
    <n v="0"/>
    <x v="1"/>
    <n v="0"/>
    <s v="MMR001CMP068"/>
    <x v="0"/>
    <x v="0"/>
    <x v="0"/>
    <n v="0"/>
    <m/>
    <m/>
  </r>
  <r>
    <n v="16.833333333333332"/>
    <d v="2014-06-14T00:00:00"/>
    <x v="3"/>
    <s v="MRCS"/>
    <s v="Kachin"/>
    <s v="Myitkyina"/>
    <s v="Jan Mai Kawng Baptist Church"/>
    <m/>
    <m/>
    <m/>
    <m/>
    <m/>
    <m/>
    <m/>
    <m/>
    <m/>
    <m/>
    <m/>
    <m/>
    <m/>
    <n v="406"/>
    <m/>
    <n v="0"/>
    <n v="0"/>
    <n v="0"/>
    <n v="0"/>
    <n v="0"/>
    <n v="0"/>
    <n v="0"/>
    <n v="0"/>
    <n v="0"/>
    <n v="0"/>
    <n v="0"/>
    <n v="0"/>
    <n v="0"/>
    <n v="0"/>
    <x v="1"/>
    <n v="0"/>
    <s v="MMR001CMP018"/>
    <x v="0"/>
    <x v="0"/>
    <x v="0"/>
    <n v="0"/>
    <m/>
    <m/>
  </r>
  <r>
    <n v="16.833333333333332"/>
    <d v="2014-06-14T00:00:00"/>
    <x v="3"/>
    <s v="MRCS"/>
    <s v="Kachin"/>
    <s v="Myitkyina"/>
    <s v="Jan Mai Kawng Catholic Church"/>
    <m/>
    <m/>
    <m/>
    <m/>
    <m/>
    <m/>
    <m/>
    <m/>
    <m/>
    <m/>
    <m/>
    <m/>
    <m/>
    <n v="216"/>
    <m/>
    <n v="0"/>
    <n v="0"/>
    <n v="0"/>
    <n v="0"/>
    <n v="0"/>
    <n v="0"/>
    <n v="0"/>
    <n v="0"/>
    <n v="0"/>
    <n v="0"/>
    <n v="0"/>
    <n v="0"/>
    <n v="0"/>
    <n v="0"/>
    <x v="1"/>
    <n v="0"/>
    <s v="MMR001CMP019"/>
    <x v="0"/>
    <x v="0"/>
    <x v="0"/>
    <n v="0"/>
    <m/>
    <m/>
  </r>
  <r>
    <n v="16.866666666666667"/>
    <d v="2014-06-13T00:00:00"/>
    <x v="0"/>
    <m/>
    <s v="Kachin"/>
    <s v="Mansi"/>
    <s v="Maing Khaung"/>
    <m/>
    <m/>
    <m/>
    <n v="54"/>
    <n v="18"/>
    <n v="45"/>
    <n v="18"/>
    <m/>
    <n v="18"/>
    <n v="50"/>
    <m/>
    <m/>
    <m/>
    <m/>
    <m/>
    <n v="0"/>
    <n v="0"/>
    <n v="0"/>
    <n v="0"/>
    <n v="0"/>
    <n v="0"/>
    <n v="0"/>
    <n v="0"/>
    <n v="0"/>
    <n v="0"/>
    <n v="0"/>
    <n v="0"/>
    <n v="0"/>
    <n v="0"/>
    <x v="0"/>
    <n v="0"/>
    <s v="MMR001CMP218"/>
    <x v="0"/>
    <x v="0"/>
    <x v="0"/>
    <n v="4.8387096774193547E-2"/>
    <m/>
    <m/>
  </r>
  <r>
    <n v="17.066666666666666"/>
    <d v="2014-06-07T00:00:00"/>
    <x v="3"/>
    <s v="MRCS"/>
    <s v="Kachin"/>
    <s v="Mohnyin"/>
    <s v="Nawng Ing (Indawgyi) Baptist Church  "/>
    <m/>
    <m/>
    <m/>
    <m/>
    <m/>
    <m/>
    <m/>
    <m/>
    <m/>
    <m/>
    <m/>
    <m/>
    <m/>
    <n v="40"/>
    <m/>
    <n v="0"/>
    <n v="0"/>
    <n v="0"/>
    <n v="0"/>
    <n v="0"/>
    <n v="0"/>
    <n v="0"/>
    <n v="0"/>
    <n v="0"/>
    <n v="0"/>
    <n v="0"/>
    <n v="0"/>
    <n v="0"/>
    <n v="0"/>
    <x v="1"/>
    <n v="0"/>
    <s v="MMR001CMP152"/>
    <x v="0"/>
    <x v="0"/>
    <x v="0"/>
    <n v="0"/>
    <m/>
    <m/>
  </r>
  <r>
    <n v="17.100000000000001"/>
    <d v="2014-06-06T00:00:00"/>
    <x v="3"/>
    <s v="MRCS"/>
    <s v="Kachin"/>
    <s v="Mohnyin"/>
    <s v="St. Patrick Catholic Church "/>
    <m/>
    <m/>
    <m/>
    <m/>
    <m/>
    <m/>
    <m/>
    <m/>
    <m/>
    <m/>
    <m/>
    <m/>
    <m/>
    <n v="24"/>
    <m/>
    <n v="0"/>
    <n v="0"/>
    <n v="0"/>
    <n v="0"/>
    <n v="0"/>
    <n v="0"/>
    <n v="0"/>
    <n v="0"/>
    <n v="0"/>
    <n v="0"/>
    <n v="0"/>
    <n v="0"/>
    <n v="0"/>
    <n v="0"/>
    <x v="1"/>
    <n v="0"/>
    <s v="MMR001CMP080"/>
    <x v="0"/>
    <x v="0"/>
    <x v="0"/>
    <n v="0"/>
    <m/>
    <m/>
  </r>
  <r>
    <n v="17.333333333333332"/>
    <d v="2014-05-30T00:00:00"/>
    <x v="3"/>
    <s v="MRCS"/>
    <s v="Kachin"/>
    <s v="Myitkyina"/>
    <s v="Wun Tho Buddhist Monastery"/>
    <m/>
    <m/>
    <m/>
    <m/>
    <m/>
    <m/>
    <m/>
    <m/>
    <m/>
    <m/>
    <m/>
    <m/>
    <m/>
    <n v="12"/>
    <m/>
    <n v="0"/>
    <n v="0"/>
    <n v="0"/>
    <n v="0"/>
    <n v="0"/>
    <n v="0"/>
    <n v="0"/>
    <n v="0"/>
    <n v="0"/>
    <n v="0"/>
    <n v="0"/>
    <n v="0"/>
    <n v="0"/>
    <n v="0"/>
    <x v="1"/>
    <n v="0"/>
    <s v="MMR001CMP022"/>
    <x v="0"/>
    <x v="0"/>
    <x v="0"/>
    <n v="0"/>
    <m/>
    <m/>
  </r>
  <r>
    <n v="17.399999999999999"/>
    <d v="2014-05-28T00:00:00"/>
    <x v="3"/>
    <s v="MRCS"/>
    <s v="Kachin"/>
    <s v="Myitkyina"/>
    <s v="Tat Kone Baptist Church"/>
    <m/>
    <m/>
    <m/>
    <m/>
    <m/>
    <m/>
    <m/>
    <m/>
    <m/>
    <m/>
    <m/>
    <m/>
    <m/>
    <n v="120"/>
    <m/>
    <n v="0"/>
    <n v="0"/>
    <n v="0"/>
    <n v="0"/>
    <n v="0"/>
    <n v="0"/>
    <n v="0"/>
    <n v="0"/>
    <n v="0"/>
    <n v="0"/>
    <n v="0"/>
    <n v="0"/>
    <n v="0"/>
    <n v="0"/>
    <x v="1"/>
    <n v="0"/>
    <s v="MMR001CMP001"/>
    <x v="0"/>
    <x v="0"/>
    <x v="0"/>
    <n v="0"/>
    <m/>
    <m/>
  </r>
  <r>
    <n v="17.399999999999999"/>
    <d v="2014-05-28T00:00:00"/>
    <x v="3"/>
    <s v="MRCS"/>
    <s v="Kachin"/>
    <s v="Myitkyina"/>
    <s v="Tat Kone COC Baptist - Tat Kone Htoi San"/>
    <m/>
    <m/>
    <m/>
    <m/>
    <m/>
    <m/>
    <m/>
    <m/>
    <m/>
    <m/>
    <m/>
    <m/>
    <m/>
    <n v="138"/>
    <m/>
    <n v="0"/>
    <n v="0"/>
    <n v="0"/>
    <n v="0"/>
    <n v="0"/>
    <n v="0"/>
    <n v="0"/>
    <n v="0"/>
    <n v="0"/>
    <n v="0"/>
    <n v="0"/>
    <n v="0"/>
    <n v="0"/>
    <n v="0"/>
    <x v="1"/>
    <n v="0"/>
    <s v="MMR001CMP023"/>
    <x v="0"/>
    <x v="0"/>
    <x v="0"/>
    <n v="0"/>
    <m/>
    <m/>
  </r>
  <r>
    <n v="17.399999999999999"/>
    <d v="2014-05-28T00:00:00"/>
    <x v="3"/>
    <s v="MRCS"/>
    <s v="Kachin"/>
    <s v="Myitkyina"/>
    <s v="Tat Kone Galile Baptist Church"/>
    <m/>
    <m/>
    <m/>
    <m/>
    <m/>
    <m/>
    <m/>
    <m/>
    <m/>
    <m/>
    <m/>
    <m/>
    <m/>
    <n v="58"/>
    <m/>
    <n v="0"/>
    <n v="0"/>
    <n v="0"/>
    <n v="0"/>
    <n v="0"/>
    <n v="0"/>
    <n v="0"/>
    <n v="0"/>
    <n v="0"/>
    <n v="0"/>
    <n v="0"/>
    <n v="0"/>
    <n v="0"/>
    <n v="0"/>
    <x v="1"/>
    <n v="0"/>
    <s v="MMR001CMP003"/>
    <x v="0"/>
    <x v="0"/>
    <x v="0"/>
    <n v="0"/>
    <m/>
    <m/>
  </r>
  <r>
    <n v="17.433333333333334"/>
    <d v="2014-05-27T00:00:00"/>
    <x v="0"/>
    <s v="Shalom"/>
    <s v="Kachin"/>
    <s v="Chipwi"/>
    <s v="Chipwi KBC camp"/>
    <m/>
    <m/>
    <n v="36"/>
    <n v="18"/>
    <n v="36"/>
    <n v="18"/>
    <m/>
    <n v="18"/>
    <n v="90"/>
    <m/>
    <m/>
    <m/>
    <m/>
    <m/>
    <m/>
    <n v="0"/>
    <n v="0"/>
    <n v="0"/>
    <n v="0"/>
    <n v="0"/>
    <n v="0"/>
    <n v="0"/>
    <n v="0"/>
    <n v="0"/>
    <n v="0"/>
    <n v="0"/>
    <n v="0"/>
    <n v="0"/>
    <n v="0"/>
    <x v="0"/>
    <n v="0"/>
    <s v="MMR001CMP042"/>
    <x v="0"/>
    <x v="0"/>
    <x v="3"/>
    <n v="0"/>
    <m/>
    <m/>
  </r>
  <r>
    <n v="17.433333333333334"/>
    <d v="2014-05-27T00:00:00"/>
    <x v="0"/>
    <s v="Shalom"/>
    <s v="Kachin"/>
    <s v="Waingmaw"/>
    <s v="Hkat Cho "/>
    <m/>
    <m/>
    <n v="2"/>
    <n v="1"/>
    <n v="2"/>
    <n v="1"/>
    <m/>
    <n v="1"/>
    <n v="5"/>
    <m/>
    <m/>
    <m/>
    <m/>
    <m/>
    <m/>
    <n v="0"/>
    <n v="0"/>
    <n v="0"/>
    <n v="0"/>
    <n v="0"/>
    <n v="0"/>
    <n v="0"/>
    <n v="0"/>
    <n v="0"/>
    <n v="0"/>
    <n v="0"/>
    <n v="0"/>
    <n v="0"/>
    <n v="0"/>
    <x v="0"/>
    <n v="0"/>
    <s v="MMR001CMP028"/>
    <x v="0"/>
    <x v="0"/>
    <x v="0"/>
    <n v="0"/>
    <m/>
    <m/>
  </r>
  <r>
    <n v="17.433333333333334"/>
    <d v="2014-05-27T00:00:00"/>
    <x v="0"/>
    <s v="Shalom"/>
    <s v="Kachin"/>
    <s v="Waingmaw"/>
    <s v="Maina AG Church"/>
    <m/>
    <m/>
    <n v="50"/>
    <n v="25"/>
    <n v="50"/>
    <n v="25"/>
    <m/>
    <n v="25"/>
    <n v="125"/>
    <m/>
    <m/>
    <m/>
    <m/>
    <m/>
    <m/>
    <n v="0"/>
    <n v="0"/>
    <n v="0"/>
    <n v="0"/>
    <n v="0"/>
    <n v="0"/>
    <n v="0"/>
    <n v="0"/>
    <n v="0"/>
    <n v="0"/>
    <n v="0"/>
    <n v="0"/>
    <n v="0"/>
    <n v="0"/>
    <x v="0"/>
    <n v="0"/>
    <s v="MMR001CMP031"/>
    <x v="0"/>
    <x v="0"/>
    <x v="0"/>
    <n v="0"/>
    <m/>
    <m/>
  </r>
  <r>
    <n v="17.433333333333334"/>
    <d v="2014-05-27T00:00:00"/>
    <x v="0"/>
    <s v="Shalom"/>
    <s v="Kachin"/>
    <s v="Myitkyina"/>
    <s v="Maw Hpawng Hka Nan Baptist Church"/>
    <m/>
    <m/>
    <n v="12"/>
    <n v="6"/>
    <n v="12"/>
    <n v="6"/>
    <m/>
    <n v="6"/>
    <n v="30"/>
    <m/>
    <m/>
    <m/>
    <m/>
    <m/>
    <m/>
    <n v="0"/>
    <n v="0"/>
    <n v="0"/>
    <n v="0"/>
    <n v="0"/>
    <n v="0"/>
    <n v="0"/>
    <n v="0"/>
    <n v="0"/>
    <n v="0"/>
    <n v="0"/>
    <n v="0"/>
    <n v="0"/>
    <n v="0"/>
    <x v="0"/>
    <n v="0"/>
    <s v="MMR001CMP020"/>
    <x v="0"/>
    <x v="0"/>
    <x v="0"/>
    <n v="0"/>
    <m/>
    <m/>
  </r>
  <r>
    <n v="17.433333333333334"/>
    <d v="2014-05-27T00:00:00"/>
    <x v="0"/>
    <s v="Shalom"/>
    <s v="Kachin"/>
    <s v="Waingmaw"/>
    <s v="Qtr. 4 Monestry (Thargaya Thayett Taw)"/>
    <m/>
    <m/>
    <n v="3"/>
    <n v="3"/>
    <n v="6"/>
    <n v="3"/>
    <m/>
    <n v="3"/>
    <n v="15"/>
    <m/>
    <m/>
    <m/>
    <m/>
    <m/>
    <m/>
    <n v="0"/>
    <n v="0"/>
    <n v="0"/>
    <n v="0"/>
    <n v="0"/>
    <n v="0"/>
    <n v="0"/>
    <n v="0"/>
    <n v="0"/>
    <n v="0"/>
    <n v="0"/>
    <n v="0"/>
    <n v="0"/>
    <n v="0"/>
    <x v="0"/>
    <n v="0"/>
    <s v="MMR001CMP026"/>
    <x v="0"/>
    <x v="0"/>
    <x v="0"/>
    <n v="0"/>
    <m/>
    <m/>
  </r>
  <r>
    <n v="17.433333333333334"/>
    <d v="2014-05-27T00:00:00"/>
    <x v="0"/>
    <s v="Shalom"/>
    <s v="Kachin"/>
    <s v="Waingmaw"/>
    <s v="Thargaya Lisu Baptist Church"/>
    <m/>
    <m/>
    <n v="18"/>
    <n v="9"/>
    <n v="18"/>
    <n v="9"/>
    <m/>
    <n v="9"/>
    <n v="45"/>
    <m/>
    <m/>
    <m/>
    <m/>
    <m/>
    <m/>
    <n v="0"/>
    <n v="0"/>
    <n v="0"/>
    <n v="0"/>
    <n v="0"/>
    <n v="0"/>
    <n v="0"/>
    <n v="0"/>
    <n v="0"/>
    <n v="0"/>
    <n v="0"/>
    <n v="0"/>
    <n v="0"/>
    <n v="0"/>
    <x v="0"/>
    <n v="0"/>
    <s v="MMR001CMP037"/>
    <x v="0"/>
    <x v="0"/>
    <x v="0"/>
    <n v="0"/>
    <m/>
    <m/>
  </r>
  <r>
    <n v="17.466666666666665"/>
    <d v="2014-05-26T00:00:00"/>
    <x v="3"/>
    <s v="MRCS"/>
    <s v="Kachin"/>
    <s v="Waingmaw"/>
    <s v="Nawng Hee Village"/>
    <m/>
    <m/>
    <m/>
    <m/>
    <m/>
    <m/>
    <m/>
    <m/>
    <m/>
    <m/>
    <m/>
    <m/>
    <m/>
    <n v="36"/>
    <m/>
    <n v="0"/>
    <n v="0"/>
    <n v="0"/>
    <n v="0"/>
    <n v="0"/>
    <n v="0"/>
    <n v="0"/>
    <n v="0"/>
    <n v="0"/>
    <n v="0"/>
    <n v="0"/>
    <n v="0"/>
    <n v="0"/>
    <n v="0"/>
    <x v="1"/>
    <n v="0"/>
    <s v="MMR001CMP033"/>
    <x v="0"/>
    <x v="0"/>
    <x v="0"/>
    <n v="0"/>
    <m/>
    <m/>
  </r>
  <r>
    <n v="17.5"/>
    <d v="2014-05-25T00:00:00"/>
    <x v="3"/>
    <s v="MRCS"/>
    <s v="Kachin"/>
    <s v="Waingmaw"/>
    <s v="Hkat Cho "/>
    <m/>
    <m/>
    <m/>
    <m/>
    <m/>
    <m/>
    <m/>
    <m/>
    <m/>
    <m/>
    <m/>
    <m/>
    <m/>
    <n v="224"/>
    <m/>
    <n v="0"/>
    <n v="0"/>
    <n v="0"/>
    <n v="0"/>
    <n v="0"/>
    <n v="0"/>
    <n v="0"/>
    <n v="0"/>
    <n v="0"/>
    <n v="0"/>
    <n v="0"/>
    <n v="0"/>
    <n v="0"/>
    <n v="0"/>
    <x v="1"/>
    <n v="0"/>
    <s v="MMR001CMP028"/>
    <x v="0"/>
    <x v="0"/>
    <x v="0"/>
    <n v="0"/>
    <m/>
    <m/>
  </r>
  <r>
    <n v="17.5"/>
    <d v="2014-05-25T00:00:00"/>
    <x v="3"/>
    <s v="MRCS"/>
    <s v="Kachin"/>
    <s v="Waingmaw"/>
    <s v="Qtr. 4 Monestry (Thargaya Thayett Taw)"/>
    <m/>
    <m/>
    <m/>
    <m/>
    <m/>
    <m/>
    <m/>
    <m/>
    <m/>
    <m/>
    <m/>
    <m/>
    <m/>
    <n v="182"/>
    <m/>
    <n v="0"/>
    <n v="0"/>
    <n v="0"/>
    <n v="0"/>
    <n v="0"/>
    <n v="0"/>
    <n v="0"/>
    <n v="0"/>
    <n v="0"/>
    <n v="0"/>
    <n v="0"/>
    <n v="0"/>
    <n v="0"/>
    <n v="0"/>
    <x v="1"/>
    <n v="0"/>
    <s v="MMR001CMP026"/>
    <x v="0"/>
    <x v="0"/>
    <x v="0"/>
    <n v="0"/>
    <m/>
    <m/>
  </r>
  <r>
    <n v="17.600000000000001"/>
    <d v="2014-05-22T00:00:00"/>
    <x v="3"/>
    <s v="MRCS"/>
    <s v="Kachin"/>
    <s v="Waingmaw"/>
    <s v="Mading Baptist Church"/>
    <m/>
    <m/>
    <m/>
    <m/>
    <m/>
    <m/>
    <m/>
    <m/>
    <m/>
    <m/>
    <m/>
    <m/>
    <m/>
    <n v="46"/>
    <m/>
    <n v="0"/>
    <n v="0"/>
    <n v="0"/>
    <n v="0"/>
    <n v="0"/>
    <n v="0"/>
    <n v="0"/>
    <n v="0"/>
    <n v="0"/>
    <n v="0"/>
    <n v="0"/>
    <n v="0"/>
    <n v="0"/>
    <n v="0"/>
    <x v="1"/>
    <n v="0"/>
    <s v="MMR001CMP027"/>
    <x v="0"/>
    <x v="0"/>
    <x v="0"/>
    <n v="0"/>
    <m/>
    <m/>
  </r>
  <r>
    <n v="17.600000000000001"/>
    <d v="2014-05-22T00:00:00"/>
    <x v="3"/>
    <s v="MRCS"/>
    <s v="Kachin"/>
    <s v="Waingmaw"/>
    <s v="Qtr. 2 Lhaovo Baptist Church"/>
    <m/>
    <m/>
    <m/>
    <m/>
    <m/>
    <m/>
    <m/>
    <m/>
    <m/>
    <m/>
    <m/>
    <m/>
    <m/>
    <n v="88"/>
    <m/>
    <n v="0"/>
    <n v="0"/>
    <n v="0"/>
    <n v="0"/>
    <n v="0"/>
    <n v="0"/>
    <n v="0"/>
    <n v="0"/>
    <n v="0"/>
    <n v="0"/>
    <n v="0"/>
    <n v="0"/>
    <n v="0"/>
    <n v="0"/>
    <x v="1"/>
    <n v="0"/>
    <s v="MMR001CMP032"/>
    <x v="0"/>
    <x v="0"/>
    <x v="0"/>
    <n v="0"/>
    <m/>
    <m/>
  </r>
  <r>
    <n v="17.600000000000001"/>
    <d v="2014-05-22T00:00:00"/>
    <x v="3"/>
    <s v="MRCS"/>
    <s v="Kachin"/>
    <s v="Waingmaw"/>
    <s v="Qtr. 2 Myoma Baptist Church"/>
    <m/>
    <m/>
    <m/>
    <m/>
    <m/>
    <m/>
    <m/>
    <m/>
    <m/>
    <m/>
    <m/>
    <m/>
    <m/>
    <n v="140"/>
    <m/>
    <n v="0"/>
    <n v="0"/>
    <n v="0"/>
    <n v="0"/>
    <n v="0"/>
    <n v="0"/>
    <n v="0"/>
    <n v="0"/>
    <n v="0"/>
    <n v="0"/>
    <n v="0"/>
    <n v="0"/>
    <n v="0"/>
    <n v="0"/>
    <x v="1"/>
    <n v="0"/>
    <s v="MMR001CMP025"/>
    <x v="0"/>
    <x v="0"/>
    <x v="0"/>
    <n v="0"/>
    <m/>
    <m/>
  </r>
  <r>
    <n v="17.633333333333333"/>
    <d v="2014-05-21T00:00:00"/>
    <x v="3"/>
    <s v="MRCS"/>
    <s v="Kachin"/>
    <s v="Myitkyina"/>
    <s v="Myay Myint Baptist Church"/>
    <m/>
    <m/>
    <m/>
    <m/>
    <m/>
    <m/>
    <m/>
    <m/>
    <m/>
    <m/>
    <m/>
    <m/>
    <m/>
    <n v="24"/>
    <m/>
    <n v="0"/>
    <n v="0"/>
    <n v="0"/>
    <n v="0"/>
    <n v="0"/>
    <n v="0"/>
    <n v="0"/>
    <n v="0"/>
    <n v="0"/>
    <n v="0"/>
    <n v="0"/>
    <n v="0"/>
    <n v="0"/>
    <n v="0"/>
    <x v="1"/>
    <n v="0"/>
    <s v="MMR001CMP017"/>
    <x v="0"/>
    <x v="2"/>
    <x v="0"/>
    <s v=""/>
    <m/>
    <m/>
  </r>
  <r>
    <n v="17.633333333333333"/>
    <d v="2014-05-21T00:00:00"/>
    <x v="3"/>
    <s v="MRCS"/>
    <s v="Kachin"/>
    <s v="Myitkyina"/>
    <s v="Shatapru Thida Aye Baptist Church"/>
    <m/>
    <m/>
    <m/>
    <m/>
    <m/>
    <m/>
    <m/>
    <m/>
    <m/>
    <m/>
    <m/>
    <m/>
    <m/>
    <n v="30"/>
    <m/>
    <n v="0"/>
    <n v="0"/>
    <n v="0"/>
    <n v="0"/>
    <n v="0"/>
    <n v="0"/>
    <n v="0"/>
    <n v="0"/>
    <n v="0"/>
    <n v="0"/>
    <n v="0"/>
    <n v="0"/>
    <n v="0"/>
    <n v="0"/>
    <x v="1"/>
    <n v="0"/>
    <s v="MMR001CMP007"/>
    <x v="0"/>
    <x v="0"/>
    <x v="0"/>
    <n v="0"/>
    <m/>
    <m/>
  </r>
  <r>
    <n v="17.633333333333333"/>
    <d v="2014-05-21T00:00:00"/>
    <x v="3"/>
    <s v="MRCS"/>
    <s v="Kachin"/>
    <s v="Waingmaw"/>
    <s v="Thargaya Lisu Baptist Church"/>
    <m/>
    <m/>
    <m/>
    <m/>
    <m/>
    <m/>
    <m/>
    <m/>
    <m/>
    <m/>
    <m/>
    <m/>
    <m/>
    <n v="136"/>
    <m/>
    <n v="0"/>
    <n v="0"/>
    <n v="0"/>
    <n v="0"/>
    <n v="0"/>
    <n v="0"/>
    <n v="0"/>
    <n v="0"/>
    <n v="0"/>
    <n v="0"/>
    <n v="0"/>
    <n v="0"/>
    <n v="0"/>
    <n v="0"/>
    <x v="1"/>
    <n v="0"/>
    <s v="MMR001CMP037"/>
    <x v="0"/>
    <x v="0"/>
    <x v="0"/>
    <n v="0"/>
    <m/>
    <m/>
  </r>
  <r>
    <n v="17.666666666666668"/>
    <d v="2014-05-20T00:00:00"/>
    <x v="3"/>
    <s v="MRCS"/>
    <s v="Kachin"/>
    <s v="Myitkyina"/>
    <s v="Kyun Pin Thar Baptist Church"/>
    <m/>
    <m/>
    <m/>
    <m/>
    <m/>
    <m/>
    <m/>
    <m/>
    <m/>
    <m/>
    <m/>
    <m/>
    <m/>
    <n v="88"/>
    <m/>
    <n v="0"/>
    <n v="0"/>
    <n v="0"/>
    <n v="0"/>
    <n v="0"/>
    <n v="0"/>
    <n v="0"/>
    <n v="0"/>
    <n v="0"/>
    <n v="0"/>
    <n v="0"/>
    <n v="0"/>
    <n v="0"/>
    <n v="0"/>
    <x v="1"/>
    <n v="0"/>
    <s v="MMR001CMP013"/>
    <x v="0"/>
    <x v="0"/>
    <x v="0"/>
    <n v="0"/>
    <m/>
    <m/>
  </r>
  <r>
    <n v="17.666666666666668"/>
    <d v="2014-05-20T00:00:00"/>
    <x v="3"/>
    <s v="MRCS"/>
    <s v="Kachin"/>
    <s v="Myitkyina"/>
    <s v="Le Kone Bethlehem Church"/>
    <m/>
    <m/>
    <m/>
    <m/>
    <m/>
    <m/>
    <m/>
    <m/>
    <m/>
    <m/>
    <m/>
    <m/>
    <m/>
    <n v="188"/>
    <m/>
    <n v="0"/>
    <n v="0"/>
    <n v="0"/>
    <n v="0"/>
    <n v="0"/>
    <n v="0"/>
    <n v="0"/>
    <n v="0"/>
    <n v="0"/>
    <n v="0"/>
    <n v="0"/>
    <n v="0"/>
    <n v="0"/>
    <n v="0"/>
    <x v="1"/>
    <n v="0"/>
    <s v="MMR001CMP015"/>
    <x v="0"/>
    <x v="0"/>
    <x v="0"/>
    <n v="0"/>
    <m/>
    <m/>
  </r>
  <r>
    <n v="17.666666666666668"/>
    <d v="2014-05-20T00:00:00"/>
    <x v="3"/>
    <s v="MRCS"/>
    <s v="Kachin"/>
    <s v="Myitkyina"/>
    <s v="Le Kone Ziun Baptist Church "/>
    <m/>
    <m/>
    <m/>
    <m/>
    <m/>
    <m/>
    <m/>
    <m/>
    <m/>
    <m/>
    <m/>
    <m/>
    <m/>
    <n v="278"/>
    <m/>
    <n v="0"/>
    <n v="0"/>
    <n v="0"/>
    <n v="0"/>
    <n v="0"/>
    <n v="0"/>
    <n v="0"/>
    <n v="0"/>
    <n v="0"/>
    <n v="0"/>
    <n v="0"/>
    <n v="0"/>
    <n v="0"/>
    <n v="0"/>
    <x v="1"/>
    <n v="0"/>
    <s v="MMR001CMP014"/>
    <x v="0"/>
    <x v="0"/>
    <x v="0"/>
    <n v="0"/>
    <m/>
    <m/>
  </r>
  <r>
    <n v="17.666666666666668"/>
    <d v="2014-05-20T00:00:00"/>
    <x v="3"/>
    <s v="MRCS"/>
    <s v="Kachin"/>
    <s v="Waingmaw"/>
    <s v="Maina KBC (Bawng Ring)"/>
    <m/>
    <m/>
    <m/>
    <m/>
    <m/>
    <m/>
    <m/>
    <m/>
    <m/>
    <m/>
    <m/>
    <m/>
    <m/>
    <n v="824"/>
    <m/>
    <n v="0"/>
    <n v="0"/>
    <n v="0"/>
    <n v="0"/>
    <n v="0"/>
    <n v="0"/>
    <n v="0"/>
    <n v="0"/>
    <n v="0"/>
    <n v="0"/>
    <n v="0"/>
    <n v="0"/>
    <n v="0"/>
    <n v="0"/>
    <x v="1"/>
    <n v="0"/>
    <s v="MMR001CMP040"/>
    <x v="0"/>
    <x v="0"/>
    <x v="0"/>
    <n v="0"/>
    <m/>
    <m/>
  </r>
  <r>
    <n v="17.666666666666668"/>
    <d v="2014-05-20T00:00:00"/>
    <x v="3"/>
    <s v="MRCS"/>
    <s v="Kachin"/>
    <s v="Myitkyina"/>
    <s v="Maliyang Baptist Church"/>
    <m/>
    <m/>
    <m/>
    <m/>
    <m/>
    <m/>
    <m/>
    <m/>
    <m/>
    <m/>
    <m/>
    <m/>
    <m/>
    <n v="142"/>
    <m/>
    <n v="0"/>
    <n v="0"/>
    <n v="0"/>
    <n v="0"/>
    <n v="0"/>
    <n v="0"/>
    <n v="0"/>
    <n v="0"/>
    <n v="0"/>
    <n v="0"/>
    <n v="0"/>
    <n v="0"/>
    <n v="0"/>
    <n v="0"/>
    <x v="1"/>
    <n v="0"/>
    <s v="MMR001CMP016"/>
    <x v="0"/>
    <x v="0"/>
    <x v="0"/>
    <n v="0"/>
    <m/>
    <m/>
  </r>
  <r>
    <n v="17.7"/>
    <d v="2014-05-19T00:00:00"/>
    <x v="3"/>
    <s v="MRCS"/>
    <s v="Kachin"/>
    <s v="Waingmaw"/>
    <s v="Maina AG Church"/>
    <m/>
    <m/>
    <m/>
    <m/>
    <m/>
    <m/>
    <m/>
    <m/>
    <m/>
    <m/>
    <m/>
    <m/>
    <m/>
    <n v="224"/>
    <m/>
    <n v="0"/>
    <n v="0"/>
    <n v="0"/>
    <n v="0"/>
    <n v="0"/>
    <n v="0"/>
    <n v="0"/>
    <n v="0"/>
    <n v="0"/>
    <n v="0"/>
    <n v="0"/>
    <n v="0"/>
    <n v="0"/>
    <n v="0"/>
    <x v="1"/>
    <n v="0"/>
    <s v="MMR001CMP031"/>
    <x v="0"/>
    <x v="0"/>
    <x v="0"/>
    <n v="0"/>
    <m/>
    <m/>
  </r>
  <r>
    <n v="17.7"/>
    <d v="2014-05-19T00:00:00"/>
    <x v="3"/>
    <s v="MRCS"/>
    <s v="Kachin"/>
    <s v="Waingmaw"/>
    <s v="Maina Lawang Baptist Church"/>
    <m/>
    <m/>
    <m/>
    <m/>
    <m/>
    <m/>
    <m/>
    <m/>
    <m/>
    <m/>
    <m/>
    <m/>
    <m/>
    <n v="230"/>
    <m/>
    <n v="0"/>
    <n v="0"/>
    <n v="0"/>
    <n v="0"/>
    <n v="0"/>
    <n v="0"/>
    <n v="0"/>
    <n v="0"/>
    <n v="0"/>
    <n v="0"/>
    <n v="0"/>
    <n v="0"/>
    <n v="0"/>
    <n v="0"/>
    <x v="1"/>
    <n v="0"/>
    <s v="MMR001CMP039"/>
    <x v="0"/>
    <x v="0"/>
    <x v="0"/>
    <n v="0"/>
    <m/>
    <m/>
  </r>
  <r>
    <n v="17.7"/>
    <d v="2014-05-19T00:00:00"/>
    <x v="3"/>
    <s v="MRCS"/>
    <s v="Kachin"/>
    <s v="Waingmaw"/>
    <s v="Qtr. 3 Mu-yin  Baptist Church"/>
    <m/>
    <m/>
    <m/>
    <m/>
    <m/>
    <m/>
    <m/>
    <m/>
    <m/>
    <m/>
    <m/>
    <m/>
    <m/>
    <n v="60"/>
    <m/>
    <n v="0"/>
    <n v="0"/>
    <n v="0"/>
    <n v="0"/>
    <n v="0"/>
    <n v="0"/>
    <n v="0"/>
    <n v="0"/>
    <n v="0"/>
    <n v="0"/>
    <n v="0"/>
    <n v="0"/>
    <n v="0"/>
    <n v="0"/>
    <x v="1"/>
    <n v="0"/>
    <s v="MMR001CMP030"/>
    <x v="0"/>
    <x v="0"/>
    <x v="0"/>
    <n v="0"/>
    <m/>
    <m/>
  </r>
  <r>
    <n v="17.8"/>
    <d v="2014-05-16T00:00:00"/>
    <x v="3"/>
    <s v="MRCS"/>
    <s v="Kachin"/>
    <s v="Waingmaw"/>
    <s v="Maina Catholic Church (St. Joseph)"/>
    <m/>
    <m/>
    <m/>
    <m/>
    <m/>
    <m/>
    <m/>
    <m/>
    <m/>
    <m/>
    <m/>
    <m/>
    <m/>
    <n v="470"/>
    <m/>
    <n v="0"/>
    <n v="0"/>
    <n v="0"/>
    <n v="0"/>
    <n v="0"/>
    <n v="0"/>
    <n v="0"/>
    <n v="0"/>
    <n v="0"/>
    <n v="0"/>
    <n v="0"/>
    <n v="0"/>
    <n v="0"/>
    <n v="0"/>
    <x v="1"/>
    <n v="0"/>
    <s v="MMR001CMP029"/>
    <x v="0"/>
    <x v="0"/>
    <x v="0"/>
    <n v="0"/>
    <m/>
    <m/>
  </r>
  <r>
    <n v="17.8"/>
    <d v="2014-05-16T00:00:00"/>
    <x v="0"/>
    <s v="UNHCR"/>
    <s v="Kachin"/>
    <s v="Bhamo"/>
    <s v="Mu-yin Baptist Church"/>
    <m/>
    <m/>
    <m/>
    <n v="10"/>
    <n v="4"/>
    <n v="10"/>
    <n v="4"/>
    <n v="4"/>
    <n v="4"/>
    <n v="18"/>
    <m/>
    <m/>
    <m/>
    <m/>
    <m/>
    <n v="0"/>
    <n v="0"/>
    <n v="0"/>
    <n v="0"/>
    <n v="0"/>
    <n v="0"/>
    <n v="0"/>
    <n v="0"/>
    <n v="0"/>
    <n v="0"/>
    <n v="0"/>
    <n v="0"/>
    <n v="0"/>
    <n v="0"/>
    <x v="0"/>
    <n v="0"/>
    <s v="MMR001CMP051"/>
    <x v="0"/>
    <x v="0"/>
    <x v="0"/>
    <n v="0.17391304347826086"/>
    <s v="No"/>
    <m/>
  </r>
  <r>
    <n v="17.8"/>
    <d v="2014-05-16T00:00:00"/>
    <x v="3"/>
    <s v="MRCS"/>
    <s v="Kachin"/>
    <s v="Myitkyina"/>
    <s v="Nan Kway St. John Catholic Church"/>
    <m/>
    <m/>
    <m/>
    <m/>
    <m/>
    <m/>
    <m/>
    <m/>
    <m/>
    <m/>
    <m/>
    <m/>
    <m/>
    <n v="142"/>
    <m/>
    <n v="0"/>
    <n v="0"/>
    <n v="0"/>
    <n v="0"/>
    <n v="0"/>
    <n v="0"/>
    <n v="0"/>
    <n v="0"/>
    <n v="0"/>
    <n v="0"/>
    <n v="0"/>
    <n v="0"/>
    <n v="0"/>
    <n v="0"/>
    <x v="1"/>
    <n v="0"/>
    <s v="MMR001CMP024"/>
    <x v="0"/>
    <x v="0"/>
    <x v="0"/>
    <n v="0"/>
    <m/>
    <m/>
  </r>
  <r>
    <n v="17.8"/>
    <d v="2014-05-16T00:00:00"/>
    <x v="0"/>
    <s v="UNHCR"/>
    <s v="Kachin"/>
    <s v="Bhamo"/>
    <s v="Ta Gun Taing Monastery (Shwe Kyi Na)"/>
    <m/>
    <m/>
    <m/>
    <n v="24"/>
    <n v="13"/>
    <n v="24"/>
    <n v="13"/>
    <n v="13"/>
    <n v="13"/>
    <n v="33"/>
    <m/>
    <m/>
    <m/>
    <m/>
    <m/>
    <n v="0"/>
    <n v="0"/>
    <n v="0"/>
    <n v="0"/>
    <n v="0"/>
    <n v="0"/>
    <n v="0"/>
    <n v="0"/>
    <n v="0"/>
    <n v="0"/>
    <n v="0"/>
    <n v="0"/>
    <n v="0"/>
    <n v="0"/>
    <x v="0"/>
    <n v="0"/>
    <s v="MMR001CMP055"/>
    <x v="0"/>
    <x v="0"/>
    <x v="0"/>
    <n v="0.52"/>
    <s v="No"/>
    <m/>
  </r>
  <r>
    <n v="17.833333333333332"/>
    <d v="2014-05-15T00:00:00"/>
    <x v="0"/>
    <s v="UNHCR"/>
    <s v="Kachin"/>
    <s v="Mansi"/>
    <s v="Maing Khaung"/>
    <m/>
    <m/>
    <n v="10"/>
    <n v="10"/>
    <n v="5"/>
    <n v="15"/>
    <n v="5"/>
    <n v="5"/>
    <n v="5"/>
    <n v="20"/>
    <m/>
    <m/>
    <m/>
    <m/>
    <m/>
    <n v="0"/>
    <n v="0"/>
    <n v="0"/>
    <n v="0"/>
    <n v="0"/>
    <n v="0"/>
    <n v="0"/>
    <n v="0"/>
    <n v="0"/>
    <n v="0"/>
    <n v="0"/>
    <n v="0"/>
    <n v="0"/>
    <n v="0"/>
    <x v="0"/>
    <n v="0"/>
    <s v="MMR001CMP218"/>
    <x v="0"/>
    <x v="0"/>
    <x v="0"/>
    <n v="1.3440860215053764E-2"/>
    <s v="No"/>
    <m/>
  </r>
  <r>
    <n v="17.833333333333332"/>
    <d v="2014-05-15T00:00:00"/>
    <x v="0"/>
    <s v="UNHCR"/>
    <s v="Kachin"/>
    <s v="Bhamo"/>
    <s v="AD-2000 Tharthana Compound"/>
    <m/>
    <m/>
    <m/>
    <n v="10"/>
    <n v="4"/>
    <n v="12"/>
    <n v="4"/>
    <n v="4"/>
    <n v="4"/>
    <n v="12"/>
    <m/>
    <m/>
    <m/>
    <m/>
    <m/>
    <n v="0"/>
    <n v="0"/>
    <n v="0"/>
    <n v="0"/>
    <n v="0"/>
    <n v="0"/>
    <n v="0"/>
    <n v="0"/>
    <n v="0"/>
    <n v="0"/>
    <n v="0"/>
    <n v="0"/>
    <n v="0"/>
    <n v="0"/>
    <x v="0"/>
    <n v="0"/>
    <s v="MMR001CMP050"/>
    <x v="0"/>
    <x v="0"/>
    <x v="0"/>
    <n v="1.3289036544850499E-2"/>
    <s v="No"/>
    <m/>
  </r>
  <r>
    <n v="17.866666666666667"/>
    <d v="2014-05-14T00:00:00"/>
    <x v="0"/>
    <s v="UNHCR"/>
    <s v="Kachin"/>
    <s v="Bhamo"/>
    <s v="AD-2000 Tharthana Compound"/>
    <m/>
    <m/>
    <n v="11"/>
    <n v="12"/>
    <n v="4"/>
    <n v="12"/>
    <n v="4"/>
    <n v="4"/>
    <n v="4"/>
    <n v="15"/>
    <m/>
    <m/>
    <m/>
    <m/>
    <m/>
    <n v="0"/>
    <n v="0"/>
    <n v="0"/>
    <n v="0"/>
    <n v="0"/>
    <n v="0"/>
    <n v="0"/>
    <n v="0"/>
    <n v="0"/>
    <n v="0"/>
    <n v="0"/>
    <n v="0"/>
    <n v="0"/>
    <n v="0"/>
    <x v="0"/>
    <n v="0"/>
    <s v="MMR001CMP050"/>
    <x v="0"/>
    <x v="0"/>
    <x v="0"/>
    <n v="1.3289036544850499E-2"/>
    <s v="No"/>
    <m/>
  </r>
  <r>
    <n v="17.866666666666667"/>
    <d v="2014-05-14T00:00:00"/>
    <x v="0"/>
    <s v="UNHCR"/>
    <s v="Kachin"/>
    <s v="Momauk"/>
    <s v="Momauk Baptist Church"/>
    <m/>
    <m/>
    <n v="5"/>
    <n v="6"/>
    <n v="32"/>
    <n v="6"/>
    <n v="2"/>
    <n v="2"/>
    <n v="2"/>
    <n v="10"/>
    <m/>
    <m/>
    <m/>
    <m/>
    <m/>
    <n v="0"/>
    <n v="0"/>
    <n v="0"/>
    <n v="0"/>
    <n v="0"/>
    <n v="0"/>
    <n v="0"/>
    <n v="0"/>
    <n v="0"/>
    <n v="0"/>
    <n v="0"/>
    <n v="0"/>
    <n v="0"/>
    <n v="0"/>
    <x v="0"/>
    <n v="0"/>
    <s v="MMR001CMP056"/>
    <x v="0"/>
    <x v="0"/>
    <x v="0"/>
    <n v="9.6618357487922701E-3"/>
    <s v="No"/>
    <m/>
  </r>
  <r>
    <n v="17.866666666666667"/>
    <d v="2014-05-14T00:00:00"/>
    <x v="0"/>
    <s v="UNHCR"/>
    <s v="Kachin"/>
    <s v="Bhamo"/>
    <s v="Ta Gun Taing Monastery (Shwe Kyi Na)"/>
    <m/>
    <m/>
    <n v="17"/>
    <n v="108"/>
    <n v="36"/>
    <n v="108"/>
    <n v="36"/>
    <n v="36"/>
    <n v="36"/>
    <n v="142"/>
    <m/>
    <m/>
    <m/>
    <m/>
    <m/>
    <n v="0"/>
    <n v="0"/>
    <n v="0"/>
    <n v="0"/>
    <n v="0"/>
    <n v="0"/>
    <n v="0"/>
    <n v="0"/>
    <n v="0"/>
    <n v="0"/>
    <n v="0"/>
    <n v="0"/>
    <n v="0"/>
    <n v="0"/>
    <x v="0"/>
    <n v="0"/>
    <s v="MMR001CMP055"/>
    <x v="0"/>
    <x v="0"/>
    <x v="0"/>
    <n v="1.44"/>
    <s v="No"/>
    <m/>
  </r>
  <r>
    <n v="17.899999999999999"/>
    <d v="2014-05-13T00:00:00"/>
    <x v="3"/>
    <s v="MRCS"/>
    <s v="Kachin"/>
    <s v="Myitkyina"/>
    <s v="Njang Dung Baptist Church "/>
    <m/>
    <m/>
    <m/>
    <m/>
    <m/>
    <m/>
    <m/>
    <m/>
    <m/>
    <m/>
    <m/>
    <m/>
    <m/>
    <n v="112"/>
    <m/>
    <n v="0"/>
    <n v="0"/>
    <n v="0"/>
    <n v="0"/>
    <n v="0"/>
    <n v="0"/>
    <n v="0"/>
    <n v="0"/>
    <n v="0"/>
    <n v="0"/>
    <n v="0"/>
    <n v="0"/>
    <n v="0"/>
    <n v="0"/>
    <x v="1"/>
    <n v="0"/>
    <s v="MMR001CMP002"/>
    <x v="0"/>
    <x v="0"/>
    <x v="0"/>
    <n v="0"/>
    <m/>
    <m/>
  </r>
  <r>
    <n v="17.933333333333334"/>
    <d v="2014-05-12T00:00:00"/>
    <x v="3"/>
    <s v="MRCS"/>
    <s v="Kachin"/>
    <s v="Myitkyina"/>
    <s v="Shwe Zet Baptist Church"/>
    <m/>
    <m/>
    <m/>
    <m/>
    <m/>
    <m/>
    <m/>
    <m/>
    <m/>
    <m/>
    <m/>
    <m/>
    <m/>
    <n v="168"/>
    <m/>
    <n v="0"/>
    <n v="0"/>
    <n v="0"/>
    <n v="0"/>
    <n v="0"/>
    <n v="0"/>
    <n v="0"/>
    <n v="0"/>
    <n v="0"/>
    <n v="0"/>
    <n v="0"/>
    <n v="0"/>
    <n v="0"/>
    <n v="0"/>
    <x v="1"/>
    <n v="0"/>
    <s v="MMR001CMP009"/>
    <x v="0"/>
    <x v="0"/>
    <x v="0"/>
    <n v="0"/>
    <m/>
    <m/>
  </r>
  <r>
    <n v="17.933333333333334"/>
    <d v="2014-05-12T00:00:00"/>
    <x v="0"/>
    <m/>
    <s v="Shan_North"/>
    <s v="Muse"/>
    <s v="Muse Catholic Church"/>
    <m/>
    <m/>
    <m/>
    <n v="68"/>
    <n v="9"/>
    <n v="118"/>
    <n v="9"/>
    <n v="0"/>
    <n v="9"/>
    <n v="45"/>
    <m/>
    <m/>
    <m/>
    <m/>
    <m/>
    <n v="0"/>
    <n v="0"/>
    <n v="0"/>
    <n v="0"/>
    <n v="0"/>
    <n v="0"/>
    <n v="0"/>
    <n v="0"/>
    <n v="0"/>
    <n v="0"/>
    <n v="0"/>
    <n v="0"/>
    <n v="0"/>
    <n v="0"/>
    <x v="0"/>
    <n v="0"/>
    <s v="MMR015CMP216"/>
    <x v="2"/>
    <x v="0"/>
    <x v="0"/>
    <n v="0.3"/>
    <m/>
    <s v="Items distributed to other affected people"/>
  </r>
  <r>
    <n v="17.933333333333334"/>
    <d v="2014-05-12T00:00:00"/>
    <x v="0"/>
    <m/>
    <s v="Shan_North"/>
    <s v="Muse"/>
    <s v="Muse Catholic Church"/>
    <m/>
    <m/>
    <m/>
    <n v="82"/>
    <n v="41"/>
    <n v="82"/>
    <n v="41"/>
    <m/>
    <n v="41"/>
    <n v="205"/>
    <m/>
    <m/>
    <m/>
    <m/>
    <m/>
    <n v="0"/>
    <n v="0"/>
    <n v="0"/>
    <n v="0"/>
    <n v="0"/>
    <n v="0"/>
    <n v="0"/>
    <n v="0"/>
    <n v="0"/>
    <n v="0"/>
    <n v="0"/>
    <n v="0"/>
    <n v="0"/>
    <n v="0"/>
    <x v="0"/>
    <n v="0"/>
    <s v="MMR015CMP216"/>
    <x v="2"/>
    <x v="0"/>
    <x v="0"/>
    <n v="1.3666666666666667"/>
    <m/>
    <m/>
  </r>
  <r>
    <n v="17.933333333333334"/>
    <d v="2014-05-12T00:00:00"/>
    <x v="3"/>
    <s v="MRCS"/>
    <s v="Kachin"/>
    <s v="Myitkyina"/>
    <s v="Man Hkring Baptist Church"/>
    <m/>
    <m/>
    <m/>
    <m/>
    <m/>
    <m/>
    <m/>
    <m/>
    <m/>
    <m/>
    <m/>
    <m/>
    <m/>
    <n v="184"/>
    <m/>
    <n v="0"/>
    <n v="0"/>
    <n v="0"/>
    <n v="0"/>
    <n v="0"/>
    <n v="0"/>
    <n v="0"/>
    <n v="0"/>
    <n v="0"/>
    <n v="0"/>
    <n v="0"/>
    <n v="0"/>
    <n v="0"/>
    <n v="0"/>
    <x v="1"/>
    <n v="0"/>
    <s v="MMR001CMP008"/>
    <x v="0"/>
    <x v="0"/>
    <x v="0"/>
    <n v="0"/>
    <m/>
    <m/>
  </r>
  <r>
    <n v="17.966666666666665"/>
    <d v="2014-05-11T00:00:00"/>
    <x v="0"/>
    <m/>
    <s v="Shan_North"/>
    <s v="Muse"/>
    <s v="Muse Baptist Church"/>
    <m/>
    <m/>
    <m/>
    <n v="138"/>
    <n v="19"/>
    <n v="238"/>
    <n v="19"/>
    <n v="0"/>
    <n v="19"/>
    <n v="95"/>
    <m/>
    <m/>
    <m/>
    <m/>
    <m/>
    <n v="0"/>
    <n v="0"/>
    <n v="0"/>
    <n v="0"/>
    <n v="0"/>
    <n v="0"/>
    <n v="0"/>
    <n v="0"/>
    <n v="0"/>
    <n v="0"/>
    <n v="0"/>
    <n v="0"/>
    <n v="0"/>
    <n v="0"/>
    <x v="0"/>
    <n v="0"/>
    <s v="MMR015CMP213"/>
    <x v="2"/>
    <x v="0"/>
    <x v="0"/>
    <n v="0.34545454545454546"/>
    <m/>
    <s v="Items distributed to other affected people"/>
  </r>
  <r>
    <n v="17.966666666666665"/>
    <d v="2014-05-11T00:00:00"/>
    <x v="0"/>
    <m/>
    <s v="Shan_North"/>
    <s v="Muse"/>
    <s v="Muse Baptist Church"/>
    <m/>
    <m/>
    <m/>
    <n v="162"/>
    <n v="81"/>
    <n v="162"/>
    <n v="81"/>
    <m/>
    <n v="81"/>
    <n v="405"/>
    <m/>
    <m/>
    <m/>
    <m/>
    <m/>
    <n v="0"/>
    <n v="0"/>
    <n v="0"/>
    <n v="0"/>
    <n v="0"/>
    <n v="0"/>
    <n v="0"/>
    <n v="0"/>
    <n v="0"/>
    <n v="0"/>
    <n v="0"/>
    <n v="0"/>
    <n v="0"/>
    <n v="0"/>
    <x v="0"/>
    <n v="0"/>
    <s v="MMR015CMP213"/>
    <x v="2"/>
    <x v="0"/>
    <x v="0"/>
    <n v="1.4727272727272727"/>
    <m/>
    <m/>
  </r>
  <r>
    <n v="18.033333333333335"/>
    <d v="2014-05-09T00:00:00"/>
    <x v="3"/>
    <s v="MRCS"/>
    <s v="Kachin"/>
    <s v="Myitkyina"/>
    <s v="Pa Dauk Myaing(Pa La Na)"/>
    <m/>
    <m/>
    <m/>
    <m/>
    <m/>
    <m/>
    <m/>
    <m/>
    <m/>
    <m/>
    <m/>
    <m/>
    <m/>
    <n v="58"/>
    <m/>
    <n v="0"/>
    <n v="0"/>
    <n v="0"/>
    <n v="0"/>
    <n v="0"/>
    <n v="0"/>
    <n v="0"/>
    <n v="0"/>
    <n v="0"/>
    <n v="0"/>
    <n v="0"/>
    <n v="0"/>
    <n v="0"/>
    <n v="0"/>
    <x v="1"/>
    <n v="0"/>
    <s v="MMR001CMP162"/>
    <x v="0"/>
    <x v="0"/>
    <x v="0"/>
    <n v="0"/>
    <m/>
    <m/>
  </r>
  <r>
    <n v="18.033333333333335"/>
    <d v="2014-05-09T00:00:00"/>
    <x v="3"/>
    <s v="MRCS"/>
    <s v="Kachin"/>
    <s v="Myitkyina"/>
    <s v="Shatapru Sut Ngai Tawng"/>
    <m/>
    <m/>
    <m/>
    <m/>
    <m/>
    <m/>
    <m/>
    <m/>
    <m/>
    <m/>
    <m/>
    <m/>
    <m/>
    <n v="208"/>
    <m/>
    <n v="0"/>
    <n v="0"/>
    <n v="0"/>
    <n v="0"/>
    <n v="0"/>
    <n v="0"/>
    <n v="0"/>
    <n v="0"/>
    <n v="0"/>
    <n v="0"/>
    <n v="0"/>
    <n v="0"/>
    <n v="0"/>
    <n v="0"/>
    <x v="1"/>
    <n v="0"/>
    <s v="MMR001CMP006"/>
    <x v="0"/>
    <x v="0"/>
    <x v="0"/>
    <n v="0"/>
    <m/>
    <m/>
  </r>
  <r>
    <n v="18.633333333333333"/>
    <d v="2014-04-21T00:00:00"/>
    <x v="0"/>
    <m/>
    <s v="Shan_North"/>
    <s v="Namhkan"/>
    <s v="Nam Hkam (KBC Jaw Wang) II"/>
    <m/>
    <m/>
    <m/>
    <n v="0"/>
    <n v="1"/>
    <n v="167"/>
    <n v="1"/>
    <n v="0"/>
    <n v="1"/>
    <n v="0"/>
    <m/>
    <m/>
    <m/>
    <m/>
    <m/>
    <n v="0"/>
    <n v="0"/>
    <n v="0"/>
    <n v="0"/>
    <n v="0"/>
    <n v="0"/>
    <n v="0"/>
    <n v="0"/>
    <n v="0"/>
    <n v="0"/>
    <n v="0"/>
    <n v="0"/>
    <n v="0"/>
    <n v="0"/>
    <x v="0"/>
    <n v="0"/>
    <s v="MMR015CMP214"/>
    <x v="2"/>
    <x v="0"/>
    <x v="0"/>
    <n v="2.4390243902439025E-2"/>
    <m/>
    <s v="Items distributed to other affected people"/>
  </r>
  <r>
    <n v="18.633333333333333"/>
    <d v="2014-04-21T00:00:00"/>
    <x v="0"/>
    <m/>
    <s v="Shan_North"/>
    <s v="Namhkan"/>
    <s v="Nam Hkam (KBC Jaw Wang) II"/>
    <m/>
    <m/>
    <m/>
    <n v="90"/>
    <n v="49"/>
    <n v="98"/>
    <n v="49"/>
    <m/>
    <n v="49"/>
    <n v="225"/>
    <m/>
    <m/>
    <m/>
    <m/>
    <m/>
    <n v="0"/>
    <n v="0"/>
    <n v="0"/>
    <n v="0"/>
    <n v="0"/>
    <n v="0"/>
    <n v="0"/>
    <n v="0"/>
    <n v="0"/>
    <n v="0"/>
    <n v="0"/>
    <n v="0"/>
    <n v="0"/>
    <n v="0"/>
    <x v="0"/>
    <n v="0"/>
    <s v="MMR015CMP214"/>
    <x v="2"/>
    <x v="0"/>
    <x v="0"/>
    <n v="1.1951219512195121"/>
    <m/>
    <m/>
  </r>
  <r>
    <n v="18.633333333333333"/>
    <d v="2014-04-21T00:00:00"/>
    <x v="0"/>
    <s v="UNHCR"/>
    <s v="Kachin"/>
    <s v="Bhamo"/>
    <s v="AD-2000 Tharthana Compound"/>
    <m/>
    <m/>
    <n v="5"/>
    <n v="6"/>
    <n v="2"/>
    <n v="6"/>
    <n v="2"/>
    <n v="2"/>
    <n v="2"/>
    <n v="6"/>
    <m/>
    <m/>
    <m/>
    <m/>
    <m/>
    <n v="0"/>
    <n v="0"/>
    <n v="0"/>
    <n v="0"/>
    <n v="0"/>
    <n v="0"/>
    <n v="0"/>
    <n v="0"/>
    <n v="0"/>
    <n v="0"/>
    <n v="0"/>
    <n v="0"/>
    <n v="0"/>
    <n v="0"/>
    <x v="0"/>
    <n v="0"/>
    <s v="MMR001CMP050"/>
    <x v="0"/>
    <x v="0"/>
    <x v="0"/>
    <n v="6.6445182724252493E-3"/>
    <s v="No"/>
    <m/>
  </r>
  <r>
    <n v="18.633333333333333"/>
    <d v="2014-04-21T00:00:00"/>
    <x v="0"/>
    <m/>
    <s v="Kachin"/>
    <s v="Mansi"/>
    <s v="Bum Tsit Pa Camp II"/>
    <m/>
    <m/>
    <m/>
    <n v="800"/>
    <n v="400"/>
    <m/>
    <n v="100"/>
    <m/>
    <n v="400"/>
    <n v="2000"/>
    <m/>
    <m/>
    <m/>
    <m/>
    <m/>
    <n v="0"/>
    <n v="0"/>
    <n v="0"/>
    <n v="0"/>
    <n v="0"/>
    <n v="0"/>
    <n v="0"/>
    <n v="0"/>
    <n v="0"/>
    <n v="0"/>
    <n v="0"/>
    <n v="0"/>
    <n v="0"/>
    <n v="0"/>
    <x v="0"/>
    <n v="0"/>
    <s v="MMR001CMP226"/>
    <x v="0"/>
    <x v="0"/>
    <x v="4"/>
    <n v="0.45662100456621002"/>
    <m/>
    <m/>
  </r>
  <r>
    <n v="18.633333333333333"/>
    <d v="2014-04-21T00:00:00"/>
    <x v="0"/>
    <s v="UNHCR"/>
    <s v="Kachin"/>
    <s v="Mansi"/>
    <s v="Mansi Baptist Church"/>
    <m/>
    <m/>
    <n v="20"/>
    <n v="30"/>
    <n v="13"/>
    <n v="40"/>
    <n v="13"/>
    <n v="13"/>
    <n v="13"/>
    <n v="25"/>
    <m/>
    <m/>
    <m/>
    <m/>
    <m/>
    <n v="0"/>
    <n v="0"/>
    <n v="0"/>
    <n v="0"/>
    <n v="0"/>
    <n v="0"/>
    <n v="0"/>
    <n v="0"/>
    <n v="0"/>
    <n v="0"/>
    <n v="0"/>
    <n v="0"/>
    <n v="0"/>
    <n v="0"/>
    <x v="0"/>
    <n v="0"/>
    <s v="MMR001CMP066"/>
    <x v="0"/>
    <x v="0"/>
    <x v="0"/>
    <n v="5.8823529411764705E-2"/>
    <s v="No"/>
    <m/>
  </r>
  <r>
    <n v="18.633333333333333"/>
    <d v="2014-04-21T00:00:00"/>
    <x v="0"/>
    <s v="UNHCR"/>
    <s v="Kachin"/>
    <s v="Momauk"/>
    <s v="Momauk Baptist Church"/>
    <m/>
    <m/>
    <n v="15"/>
    <n v="16"/>
    <n v="50"/>
    <n v="16"/>
    <n v="7"/>
    <n v="7"/>
    <n v="7"/>
    <n v="13"/>
    <m/>
    <m/>
    <m/>
    <m/>
    <m/>
    <n v="0"/>
    <n v="0"/>
    <n v="0"/>
    <n v="0"/>
    <n v="0"/>
    <n v="0"/>
    <n v="0"/>
    <n v="0"/>
    <n v="0"/>
    <n v="0"/>
    <n v="0"/>
    <n v="0"/>
    <n v="0"/>
    <n v="0"/>
    <x v="0"/>
    <n v="0"/>
    <s v="MMR001CMP056"/>
    <x v="0"/>
    <x v="0"/>
    <x v="0"/>
    <n v="3.3816425120772944E-2"/>
    <s v="No"/>
    <m/>
  </r>
  <r>
    <n v="18.666666666666668"/>
    <d v="2014-04-20T00:00:00"/>
    <x v="0"/>
    <m/>
    <s v="Kachin"/>
    <s v="Mansi"/>
    <s v="Man Wing Baptist Church"/>
    <m/>
    <m/>
    <m/>
    <n v="220"/>
    <n v="110"/>
    <n v="1000"/>
    <n v="110"/>
    <m/>
    <n v="110"/>
    <n v="550"/>
    <m/>
    <m/>
    <m/>
    <m/>
    <m/>
    <n v="0"/>
    <n v="0"/>
    <n v="0"/>
    <n v="0"/>
    <n v="0"/>
    <n v="0"/>
    <n v="0"/>
    <n v="0"/>
    <n v="0"/>
    <n v="0"/>
    <n v="0"/>
    <n v="0"/>
    <n v="0"/>
    <n v="0"/>
    <x v="0"/>
    <n v="0"/>
    <s v="MMR001CMP133"/>
    <x v="0"/>
    <x v="0"/>
    <x v="0"/>
    <n v="0.96491228070175439"/>
    <m/>
    <m/>
  </r>
  <r>
    <n v="18.7"/>
    <d v="2014-04-19T00:00:00"/>
    <x v="0"/>
    <m/>
    <s v="Kachin"/>
    <s v="Mansi"/>
    <s v="Man Wing Catholic Church"/>
    <m/>
    <m/>
    <m/>
    <n v="400"/>
    <n v="190"/>
    <n v="870"/>
    <n v="190"/>
    <m/>
    <n v="190"/>
    <n v="1000"/>
    <m/>
    <m/>
    <m/>
    <m/>
    <m/>
    <n v="0"/>
    <n v="0"/>
    <n v="0"/>
    <n v="0"/>
    <n v="0"/>
    <n v="0"/>
    <n v="0"/>
    <n v="0"/>
    <n v="0"/>
    <n v="0"/>
    <n v="0"/>
    <n v="0"/>
    <n v="0"/>
    <n v="0"/>
    <x v="0"/>
    <n v="0"/>
    <s v="MMR001CMP132"/>
    <x v="0"/>
    <x v="0"/>
    <x v="0"/>
    <n v="0.39094650205761317"/>
    <m/>
    <m/>
  </r>
  <r>
    <n v="18.766666666666666"/>
    <d v="2014-04-17T00:00:00"/>
    <x v="0"/>
    <s v="UNHCR"/>
    <s v="Kachin"/>
    <s v="Momauk"/>
    <s v="Momauk Baptist Church"/>
    <m/>
    <m/>
    <m/>
    <n v="8"/>
    <n v="4"/>
    <n v="12"/>
    <n v="4"/>
    <n v="4"/>
    <n v="4"/>
    <n v="41"/>
    <m/>
    <m/>
    <m/>
    <m/>
    <m/>
    <n v="0"/>
    <n v="0"/>
    <n v="0"/>
    <n v="0"/>
    <n v="0"/>
    <n v="0"/>
    <n v="0"/>
    <n v="0"/>
    <n v="0"/>
    <n v="0"/>
    <n v="0"/>
    <n v="0"/>
    <n v="0"/>
    <n v="0"/>
    <x v="0"/>
    <n v="0"/>
    <s v="MMR001CMP056"/>
    <x v="0"/>
    <x v="0"/>
    <x v="0"/>
    <n v="1.932367149758454E-2"/>
    <s v="No"/>
    <m/>
  </r>
  <r>
    <n v="18.866666666666667"/>
    <d v="2014-04-14T00:00:00"/>
    <x v="0"/>
    <s v="UNHCR"/>
    <s v="Kachin"/>
    <s v="Momauk"/>
    <s v="Momauk Baptist Church"/>
    <m/>
    <m/>
    <m/>
    <n v="10"/>
    <n v="5"/>
    <n v="15"/>
    <n v="5"/>
    <n v="5"/>
    <n v="5"/>
    <m/>
    <m/>
    <m/>
    <m/>
    <m/>
    <m/>
    <n v="0"/>
    <n v="0"/>
    <n v="0"/>
    <n v="0"/>
    <n v="0"/>
    <n v="0"/>
    <n v="0"/>
    <n v="0"/>
    <n v="0"/>
    <n v="0"/>
    <n v="0"/>
    <n v="0"/>
    <n v="0"/>
    <n v="0"/>
    <x v="0"/>
    <n v="0"/>
    <s v="MMR001CMP056"/>
    <x v="0"/>
    <x v="0"/>
    <x v="0"/>
    <n v="2.4154589371980676E-2"/>
    <s v="No"/>
    <m/>
  </r>
  <r>
    <n v="19.033333333333335"/>
    <d v="2014-04-09T00:00:00"/>
    <x v="3"/>
    <s v="MRCS"/>
    <s v="Kachin"/>
    <s v="Bhamo"/>
    <s v="Yoe Kyi Monastery"/>
    <m/>
    <m/>
    <m/>
    <m/>
    <m/>
    <m/>
    <m/>
    <m/>
    <m/>
    <m/>
    <m/>
    <m/>
    <m/>
    <n v="42"/>
    <m/>
    <n v="0"/>
    <n v="0"/>
    <n v="0"/>
    <n v="0"/>
    <n v="0"/>
    <n v="0"/>
    <n v="0"/>
    <n v="0"/>
    <n v="0"/>
    <n v="0"/>
    <n v="0"/>
    <n v="0"/>
    <n v="0"/>
    <n v="0"/>
    <x v="1"/>
    <n v="0"/>
    <s v="MMR001CMP053"/>
    <x v="0"/>
    <x v="0"/>
    <x v="0"/>
    <n v="0"/>
    <m/>
    <m/>
  </r>
  <r>
    <n v="19.033333333333335"/>
    <d v="2014-04-09T00:00:00"/>
    <x v="3"/>
    <s v="MRCS"/>
    <s v="Kachin"/>
    <s v="Bhamo"/>
    <s v="Ta Gun Taing Monastery (Shwe Kyi Na)"/>
    <m/>
    <m/>
    <m/>
    <m/>
    <m/>
    <m/>
    <m/>
    <m/>
    <m/>
    <m/>
    <m/>
    <m/>
    <m/>
    <n v="122"/>
    <m/>
    <n v="0"/>
    <n v="0"/>
    <n v="0"/>
    <n v="0"/>
    <n v="0"/>
    <n v="0"/>
    <n v="0"/>
    <n v="0"/>
    <n v="0"/>
    <n v="0"/>
    <n v="0"/>
    <n v="0"/>
    <n v="0"/>
    <n v="0"/>
    <x v="1"/>
    <n v="0"/>
    <s v="MMR001CMP055"/>
    <x v="0"/>
    <x v="0"/>
    <x v="0"/>
    <n v="0"/>
    <m/>
    <m/>
  </r>
  <r>
    <n v="19.066666666666666"/>
    <d v="2014-04-08T00:00:00"/>
    <x v="3"/>
    <s v="MRCS"/>
    <s v="Kachin"/>
    <s v="Bhamo"/>
    <s v="Htoi San Church"/>
    <m/>
    <m/>
    <m/>
    <m/>
    <m/>
    <m/>
    <m/>
    <m/>
    <m/>
    <m/>
    <m/>
    <m/>
    <m/>
    <n v="90"/>
    <m/>
    <n v="0"/>
    <n v="0"/>
    <n v="0"/>
    <n v="0"/>
    <n v="0"/>
    <n v="0"/>
    <n v="0"/>
    <n v="0"/>
    <n v="0"/>
    <n v="0"/>
    <n v="0"/>
    <n v="0"/>
    <n v="0"/>
    <n v="0"/>
    <x v="1"/>
    <n v="0"/>
    <s v="MMR001CMP052"/>
    <x v="0"/>
    <x v="0"/>
    <x v="0"/>
    <n v="0"/>
    <m/>
    <m/>
  </r>
  <r>
    <n v="19.066666666666666"/>
    <d v="2014-04-08T00:00:00"/>
    <x v="3"/>
    <s v="MRCS"/>
    <s v="Kachin"/>
    <s v="Momauk"/>
    <s v="Mandalay Monestry"/>
    <m/>
    <m/>
    <m/>
    <m/>
    <m/>
    <m/>
    <m/>
    <m/>
    <m/>
    <m/>
    <m/>
    <m/>
    <m/>
    <n v="10"/>
    <m/>
    <n v="0"/>
    <n v="0"/>
    <n v="0"/>
    <n v="0"/>
    <n v="0"/>
    <n v="0"/>
    <n v="0"/>
    <n v="0"/>
    <n v="0"/>
    <n v="0"/>
    <n v="0"/>
    <n v="0"/>
    <n v="0"/>
    <n v="0"/>
    <x v="1"/>
    <n v="0"/>
    <s v="MMR001CMP058"/>
    <x v="0"/>
    <x v="2"/>
    <x v="0"/>
    <s v=""/>
    <m/>
    <m/>
  </r>
  <r>
    <n v="19.066666666666666"/>
    <d v="2014-04-08T00:00:00"/>
    <x v="3"/>
    <s v="MRCS"/>
    <s v="Kachin"/>
    <s v="Momauk"/>
    <s v="Ni Thaw Ka Monestry"/>
    <m/>
    <m/>
    <m/>
    <m/>
    <m/>
    <m/>
    <m/>
    <m/>
    <m/>
    <m/>
    <m/>
    <m/>
    <m/>
    <n v="46"/>
    <m/>
    <n v="0"/>
    <n v="0"/>
    <n v="0"/>
    <n v="0"/>
    <n v="0"/>
    <n v="0"/>
    <n v="0"/>
    <n v="0"/>
    <n v="0"/>
    <n v="0"/>
    <n v="0"/>
    <n v="0"/>
    <n v="0"/>
    <n v="0"/>
    <x v="1"/>
    <n v="0"/>
    <s v="MMR001CMP059"/>
    <x v="0"/>
    <x v="0"/>
    <x v="0"/>
    <n v="0"/>
    <m/>
    <m/>
  </r>
  <r>
    <n v="19.066666666666666"/>
    <d v="2014-04-08T00:00:00"/>
    <x v="3"/>
    <s v="MRCS"/>
    <s v="Kachin"/>
    <s v="Bhamo"/>
    <s v="Phan Khar Kone"/>
    <m/>
    <m/>
    <m/>
    <m/>
    <m/>
    <m/>
    <m/>
    <m/>
    <m/>
    <m/>
    <m/>
    <m/>
    <m/>
    <n v="372"/>
    <m/>
    <n v="0"/>
    <n v="0"/>
    <n v="0"/>
    <n v="0"/>
    <n v="0"/>
    <n v="0"/>
    <n v="0"/>
    <n v="0"/>
    <n v="0"/>
    <n v="0"/>
    <n v="0"/>
    <n v="0"/>
    <n v="0"/>
    <n v="0"/>
    <x v="1"/>
    <n v="0"/>
    <s v="MMR001CMP193"/>
    <x v="0"/>
    <x v="0"/>
    <x v="0"/>
    <n v="0"/>
    <m/>
    <m/>
  </r>
  <r>
    <n v="19.100000000000001"/>
    <d v="2014-04-07T00:00:00"/>
    <x v="3"/>
    <s v="MRCS"/>
    <s v="Kachin"/>
    <s v="Mansi"/>
    <s v="Maing Khaung"/>
    <m/>
    <m/>
    <m/>
    <m/>
    <m/>
    <m/>
    <m/>
    <m/>
    <m/>
    <m/>
    <m/>
    <m/>
    <m/>
    <n v="478"/>
    <m/>
    <n v="0"/>
    <n v="0"/>
    <n v="0"/>
    <n v="0"/>
    <n v="0"/>
    <n v="0"/>
    <n v="0"/>
    <n v="0"/>
    <n v="0"/>
    <n v="0"/>
    <n v="0"/>
    <n v="0"/>
    <n v="0"/>
    <n v="0"/>
    <x v="1"/>
    <n v="0"/>
    <s v="MMR001CMP218"/>
    <x v="0"/>
    <x v="0"/>
    <x v="0"/>
    <n v="0"/>
    <m/>
    <m/>
  </r>
  <r>
    <n v="19.100000000000001"/>
    <d v="2014-04-07T00:00:00"/>
    <x v="3"/>
    <s v="MRCS"/>
    <s v="Kachin"/>
    <s v="Mansi"/>
    <s v="Maing Khaung Catholic Church"/>
    <m/>
    <m/>
    <m/>
    <m/>
    <m/>
    <m/>
    <m/>
    <m/>
    <m/>
    <m/>
    <m/>
    <m/>
    <m/>
    <n v="158"/>
    <m/>
    <n v="0"/>
    <n v="0"/>
    <n v="0"/>
    <n v="0"/>
    <n v="0"/>
    <n v="0"/>
    <n v="0"/>
    <n v="0"/>
    <n v="0"/>
    <n v="0"/>
    <n v="0"/>
    <n v="0"/>
    <n v="0"/>
    <n v="0"/>
    <x v="1"/>
    <n v="0"/>
    <s v="MMR001CMP223"/>
    <x v="0"/>
    <x v="0"/>
    <x v="0"/>
    <n v="0"/>
    <m/>
    <m/>
  </r>
  <r>
    <n v="19.100000000000001"/>
    <d v="2014-04-07T00:00:00"/>
    <x v="3"/>
    <s v="MRCS"/>
    <s v="Kachin"/>
    <s v="Mansi"/>
    <s v="Host Families"/>
    <m/>
    <m/>
    <m/>
    <m/>
    <m/>
    <m/>
    <m/>
    <m/>
    <m/>
    <m/>
    <m/>
    <m/>
    <m/>
    <n v="558"/>
    <m/>
    <n v="0"/>
    <n v="0"/>
    <n v="0"/>
    <n v="0"/>
    <n v="0"/>
    <n v="0"/>
    <n v="0"/>
    <n v="0"/>
    <n v="0"/>
    <n v="0"/>
    <n v="0"/>
    <n v="0"/>
    <n v="0"/>
    <n v="0"/>
    <x v="1"/>
    <n v="0"/>
    <s v="MMR001CMP163"/>
    <x v="0"/>
    <x v="0"/>
    <x v="0"/>
    <n v="0"/>
    <m/>
    <m/>
  </r>
  <r>
    <n v="19.100000000000001"/>
    <d v="2014-04-07T00:00:00"/>
    <x v="3"/>
    <s v="MRCS"/>
    <s v="Kachin"/>
    <s v="Mansi"/>
    <s v="Mansi Baptist Church"/>
    <m/>
    <m/>
    <m/>
    <m/>
    <m/>
    <m/>
    <m/>
    <m/>
    <m/>
    <m/>
    <m/>
    <m/>
    <m/>
    <n v="262"/>
    <m/>
    <n v="0"/>
    <n v="0"/>
    <n v="0"/>
    <n v="0"/>
    <n v="0"/>
    <n v="0"/>
    <n v="0"/>
    <n v="0"/>
    <n v="0"/>
    <n v="0"/>
    <n v="0"/>
    <n v="0"/>
    <n v="0"/>
    <n v="0"/>
    <x v="1"/>
    <n v="0"/>
    <s v="MMR001CMP066"/>
    <x v="0"/>
    <x v="0"/>
    <x v="0"/>
    <n v="0"/>
    <m/>
    <m/>
  </r>
  <r>
    <n v="19.133333333333333"/>
    <d v="2014-04-06T00:00:00"/>
    <x v="3"/>
    <s v="MRCS"/>
    <s v="Kachin"/>
    <s v="Hpakant"/>
    <s v="Baptist Church, Naung Hmee VT"/>
    <m/>
    <m/>
    <m/>
    <m/>
    <m/>
    <m/>
    <m/>
    <m/>
    <m/>
    <m/>
    <m/>
    <m/>
    <m/>
    <n v="30"/>
    <m/>
    <n v="0"/>
    <n v="0"/>
    <n v="0"/>
    <n v="0"/>
    <n v="0"/>
    <n v="0"/>
    <n v="0"/>
    <n v="0"/>
    <n v="0"/>
    <n v="0"/>
    <n v="0"/>
    <n v="0"/>
    <n v="0"/>
    <n v="0"/>
    <x v="1"/>
    <n v="0"/>
    <s v="MMR001CMP188"/>
    <x v="0"/>
    <x v="2"/>
    <x v="0"/>
    <s v=""/>
    <m/>
    <m/>
  </r>
  <r>
    <n v="19.166666666666668"/>
    <d v="2014-04-05T00:00:00"/>
    <x v="3"/>
    <s v="MRCS"/>
    <s v="Kachin"/>
    <s v="Hpakant"/>
    <s v="Hlaing Naung Baptist"/>
    <m/>
    <m/>
    <m/>
    <m/>
    <m/>
    <m/>
    <m/>
    <m/>
    <m/>
    <m/>
    <m/>
    <m/>
    <m/>
    <n v="44"/>
    <m/>
    <n v="0"/>
    <n v="0"/>
    <n v="0"/>
    <n v="0"/>
    <n v="0"/>
    <n v="0"/>
    <n v="0"/>
    <n v="0"/>
    <n v="0"/>
    <n v="0"/>
    <n v="0"/>
    <n v="0"/>
    <n v="0"/>
    <n v="0"/>
    <x v="1"/>
    <n v="0"/>
    <s v="MMR001CMP148"/>
    <x v="0"/>
    <x v="0"/>
    <x v="0"/>
    <n v="0"/>
    <m/>
    <m/>
  </r>
  <r>
    <n v="19.266666666666666"/>
    <d v="2014-04-02T00:00:00"/>
    <x v="0"/>
    <s v="UNHCR"/>
    <s v="Kachin"/>
    <s v="Bhamo"/>
    <s v="Mu-yin Baptist Church"/>
    <m/>
    <m/>
    <m/>
    <m/>
    <n v="1"/>
    <n v="3"/>
    <n v="2"/>
    <m/>
    <n v="3"/>
    <m/>
    <m/>
    <m/>
    <m/>
    <m/>
    <m/>
    <n v="0"/>
    <n v="0"/>
    <n v="0"/>
    <n v="0"/>
    <n v="0"/>
    <n v="0"/>
    <n v="0"/>
    <n v="0"/>
    <n v="0"/>
    <n v="0"/>
    <n v="0"/>
    <n v="0"/>
    <n v="0"/>
    <n v="0"/>
    <x v="0"/>
    <n v="0"/>
    <s v="MMR001CMP051"/>
    <x v="0"/>
    <x v="0"/>
    <x v="0"/>
    <n v="8.6956521739130432E-2"/>
    <s v="No"/>
    <m/>
  </r>
  <r>
    <n v="20.466666666666665"/>
    <d v="2014-02-25T00:00:00"/>
    <x v="3"/>
    <s v="MRCS"/>
    <s v="Kachin"/>
    <s v="Mogaung"/>
    <s v="Kyun Taw Baptist Church "/>
    <m/>
    <m/>
    <m/>
    <m/>
    <m/>
    <m/>
    <m/>
    <m/>
    <m/>
    <m/>
    <m/>
    <m/>
    <m/>
    <n v="26"/>
    <m/>
    <n v="0"/>
    <n v="0"/>
    <n v="0"/>
    <n v="0"/>
    <n v="0"/>
    <n v="0"/>
    <n v="0"/>
    <n v="0"/>
    <n v="0"/>
    <n v="0"/>
    <n v="0"/>
    <n v="0"/>
    <n v="0"/>
    <n v="0"/>
    <x v="1"/>
    <n v="0"/>
    <s v="MMR001CMP078"/>
    <x v="0"/>
    <x v="0"/>
    <x v="0"/>
    <n v="0"/>
    <m/>
    <m/>
  </r>
  <r>
    <n v="20.466666666666665"/>
    <d v="2014-02-25T00:00:00"/>
    <x v="3"/>
    <s v="MRCS"/>
    <s v="Kachin"/>
    <s v="Mogaung"/>
    <s v="Mang Hawng Baptist Church"/>
    <m/>
    <m/>
    <m/>
    <m/>
    <m/>
    <m/>
    <m/>
    <m/>
    <m/>
    <m/>
    <m/>
    <m/>
    <m/>
    <n v="26"/>
    <m/>
    <n v="0"/>
    <n v="0"/>
    <n v="0"/>
    <n v="0"/>
    <n v="0"/>
    <n v="0"/>
    <n v="0"/>
    <n v="0"/>
    <n v="0"/>
    <n v="0"/>
    <n v="0"/>
    <n v="0"/>
    <n v="0"/>
    <n v="0"/>
    <x v="1"/>
    <n v="0"/>
    <s v="MMR001CMP077"/>
    <x v="0"/>
    <x v="0"/>
    <x v="0"/>
    <n v="0"/>
    <m/>
    <m/>
  </r>
  <r>
    <n v="20.466666666666665"/>
    <d v="2014-02-25T00:00:00"/>
    <x v="3"/>
    <s v="MRCS"/>
    <s v="Kachin"/>
    <s v="Mogaung"/>
    <s v="Nat Gyi Kone Baptist Church "/>
    <m/>
    <m/>
    <m/>
    <m/>
    <m/>
    <m/>
    <m/>
    <m/>
    <m/>
    <m/>
    <m/>
    <m/>
    <m/>
    <n v="28"/>
    <m/>
    <n v="0"/>
    <n v="0"/>
    <n v="0"/>
    <n v="0"/>
    <n v="0"/>
    <n v="0"/>
    <n v="0"/>
    <n v="0"/>
    <n v="0"/>
    <n v="0"/>
    <n v="0"/>
    <n v="0"/>
    <n v="0"/>
    <n v="0"/>
    <x v="1"/>
    <n v="0"/>
    <s v="MMR001CMP079"/>
    <x v="0"/>
    <x v="0"/>
    <x v="0"/>
    <n v="0"/>
    <m/>
    <m/>
  </r>
  <r>
    <n v="20.533333333333335"/>
    <d v="2014-02-23T00:00:00"/>
    <x v="3"/>
    <s v="MRCS"/>
    <s v="Kachin"/>
    <s v="Chipwi"/>
    <s v="Chipwi KBC camp"/>
    <m/>
    <m/>
    <m/>
    <m/>
    <m/>
    <m/>
    <m/>
    <m/>
    <m/>
    <m/>
    <m/>
    <m/>
    <m/>
    <n v="222"/>
    <m/>
    <n v="0"/>
    <n v="0"/>
    <n v="0"/>
    <n v="0"/>
    <n v="0"/>
    <n v="0"/>
    <n v="0"/>
    <n v="0"/>
    <n v="0"/>
    <n v="0"/>
    <n v="0"/>
    <n v="0"/>
    <n v="0"/>
    <n v="0"/>
    <x v="1"/>
    <n v="0"/>
    <s v="MMR001CMP042"/>
    <x v="0"/>
    <x v="0"/>
    <x v="3"/>
    <n v="0"/>
    <m/>
    <m/>
  </r>
  <r>
    <n v="20.533333333333335"/>
    <d v="2014-02-23T00:00:00"/>
    <x v="3"/>
    <s v="MRCS"/>
    <s v="Kachin"/>
    <s v="Chipwi"/>
    <s v="Lhaovao Baptist Church (LBC)"/>
    <m/>
    <m/>
    <m/>
    <m/>
    <m/>
    <m/>
    <m/>
    <m/>
    <m/>
    <m/>
    <m/>
    <m/>
    <m/>
    <n v="278"/>
    <m/>
    <n v="0"/>
    <n v="0"/>
    <n v="0"/>
    <n v="0"/>
    <n v="0"/>
    <n v="0"/>
    <n v="0"/>
    <n v="0"/>
    <n v="0"/>
    <n v="0"/>
    <n v="0"/>
    <n v="0"/>
    <n v="0"/>
    <n v="0"/>
    <x v="1"/>
    <n v="0"/>
    <s v="MMR001CMP195"/>
    <x v="0"/>
    <x v="0"/>
    <x v="3"/>
    <n v="0"/>
    <m/>
    <m/>
  </r>
  <r>
    <n v="20.533333333333335"/>
    <d v="2014-02-23T00:00:00"/>
    <x v="3"/>
    <s v="MRCS"/>
    <s v="Kachin"/>
    <s v="Momauk"/>
    <s v="Seng Ja "/>
    <m/>
    <m/>
    <m/>
    <m/>
    <m/>
    <m/>
    <m/>
    <m/>
    <m/>
    <m/>
    <m/>
    <m/>
    <m/>
    <n v="376"/>
    <m/>
    <n v="0"/>
    <n v="0"/>
    <n v="0"/>
    <n v="0"/>
    <n v="0"/>
    <n v="0"/>
    <n v="0"/>
    <n v="0"/>
    <n v="0"/>
    <n v="0"/>
    <n v="0"/>
    <n v="0"/>
    <n v="0"/>
    <n v="0"/>
    <x v="1"/>
    <n v="0"/>
    <s v="MMR001CMP073"/>
    <x v="0"/>
    <x v="0"/>
    <x v="2"/>
    <n v="0"/>
    <m/>
    <m/>
  </r>
  <r>
    <n v="20.566666666666666"/>
    <d v="2014-02-22T00:00:00"/>
    <x v="3"/>
    <s v="MRCS"/>
    <s v="Kachin"/>
    <s v="Chipwi"/>
    <s v="Pan Wa"/>
    <m/>
    <m/>
    <m/>
    <m/>
    <m/>
    <m/>
    <m/>
    <m/>
    <m/>
    <m/>
    <m/>
    <m/>
    <m/>
    <n v="126"/>
    <m/>
    <n v="0"/>
    <n v="0"/>
    <n v="0"/>
    <n v="0"/>
    <n v="0"/>
    <n v="0"/>
    <n v="0"/>
    <n v="0"/>
    <n v="0"/>
    <n v="0"/>
    <n v="0"/>
    <n v="0"/>
    <n v="0"/>
    <n v="0"/>
    <x v="1"/>
    <n v="0"/>
    <s v="MMR001CMP210"/>
    <x v="0"/>
    <x v="0"/>
    <x v="3"/>
    <n v="0"/>
    <m/>
    <m/>
  </r>
  <r>
    <n v="20.566666666666666"/>
    <d v="2014-02-22T00:00:00"/>
    <x v="3"/>
    <s v="MRCS"/>
    <s v="Kachin"/>
    <s v="Chipwi"/>
    <s v="Saw Zam"/>
    <m/>
    <m/>
    <m/>
    <m/>
    <m/>
    <m/>
    <m/>
    <m/>
    <m/>
    <m/>
    <m/>
    <m/>
    <m/>
    <n v="58"/>
    <m/>
    <n v="0"/>
    <n v="0"/>
    <n v="0"/>
    <n v="0"/>
    <n v="0"/>
    <n v="0"/>
    <n v="0"/>
    <n v="0"/>
    <n v="0"/>
    <n v="0"/>
    <n v="0"/>
    <n v="0"/>
    <n v="0"/>
    <n v="0"/>
    <x v="1"/>
    <n v="0"/>
    <s v="MMR001CMP225"/>
    <x v="0"/>
    <x v="0"/>
    <x v="3"/>
    <n v="0"/>
    <m/>
    <m/>
  </r>
  <r>
    <n v="20.566666666666666"/>
    <d v="2014-02-22T00:00:00"/>
    <x v="3"/>
    <s v="MRCS"/>
    <s v="Kachin"/>
    <s v="Sumprabum"/>
    <s v="Sumprabum"/>
    <m/>
    <m/>
    <m/>
    <m/>
    <m/>
    <m/>
    <m/>
    <m/>
    <m/>
    <m/>
    <m/>
    <m/>
    <m/>
    <n v="16"/>
    <m/>
    <n v="0"/>
    <n v="0"/>
    <n v="0"/>
    <n v="0"/>
    <n v="0"/>
    <n v="0"/>
    <n v="0"/>
    <n v="0"/>
    <n v="0"/>
    <n v="0"/>
    <n v="0"/>
    <n v="0"/>
    <n v="0"/>
    <n v="0"/>
    <x v="1"/>
    <n v="0"/>
    <s v="MMR001CMP206"/>
    <x v="0"/>
    <x v="0"/>
    <x v="0"/>
    <n v="0"/>
    <m/>
    <m/>
  </r>
  <r>
    <n v="21.366666666666667"/>
    <d v="2014-01-29T00:00:00"/>
    <x v="0"/>
    <s v="UNHCR"/>
    <s v="Kachin"/>
    <s v="Mansi"/>
    <s v="Maing Khaung"/>
    <m/>
    <m/>
    <m/>
    <n v="100"/>
    <n v="58"/>
    <n v="100"/>
    <n v="58"/>
    <m/>
    <n v="58"/>
    <n v="290"/>
    <m/>
    <m/>
    <m/>
    <m/>
    <m/>
    <n v="0"/>
    <n v="0"/>
    <n v="0"/>
    <n v="0"/>
    <n v="0"/>
    <n v="0"/>
    <n v="0"/>
    <n v="0"/>
    <n v="0"/>
    <n v="0"/>
    <n v="0"/>
    <n v="0"/>
    <n v="0"/>
    <n v="0"/>
    <x v="0"/>
    <n v="0"/>
    <s v="MMR001CMP218"/>
    <x v="0"/>
    <x v="0"/>
    <x v="0"/>
    <n v="0.15591397849462366"/>
    <s v="No"/>
    <m/>
  </r>
  <r>
    <n v="21.4"/>
    <d v="2014-01-28T00:00:00"/>
    <x v="0"/>
    <m/>
    <s v="Kachin"/>
    <s v="Mansi"/>
    <s v="Maing Khaung Catholic Church"/>
    <m/>
    <m/>
    <m/>
    <n v="18"/>
    <n v="10"/>
    <n v="18"/>
    <n v="40"/>
    <m/>
    <n v="10"/>
    <n v="50"/>
    <m/>
    <m/>
    <m/>
    <m/>
    <m/>
    <n v="0"/>
    <n v="0"/>
    <n v="0"/>
    <n v="0"/>
    <n v="0"/>
    <n v="0"/>
    <n v="0"/>
    <n v="0"/>
    <n v="0"/>
    <n v="0"/>
    <n v="0"/>
    <n v="0"/>
    <n v="0"/>
    <n v="0"/>
    <x v="0"/>
    <n v="0"/>
    <s v="MMR001CMP223"/>
    <x v="0"/>
    <x v="0"/>
    <x v="0"/>
    <n v="0.33057851239669422"/>
    <m/>
    <m/>
  </r>
  <r>
    <n v="21.433333333333334"/>
    <d v="2014-01-27T00:00:00"/>
    <x v="2"/>
    <s v="KBC"/>
    <s v="Kachin"/>
    <s v="Waingmaw"/>
    <s v="Hkau Shau (BP 12)"/>
    <m/>
    <m/>
    <m/>
    <m/>
    <m/>
    <n v="181"/>
    <n v="181"/>
    <n v="181"/>
    <m/>
    <n v="181"/>
    <m/>
    <m/>
    <m/>
    <m/>
    <m/>
    <n v="0"/>
    <n v="0"/>
    <n v="0"/>
    <n v="0"/>
    <n v="0"/>
    <n v="0"/>
    <n v="0"/>
    <n v="0"/>
    <n v="0"/>
    <n v="0"/>
    <n v="0"/>
    <n v="0"/>
    <n v="0"/>
    <n v="0"/>
    <x v="0"/>
    <n v="0"/>
    <s v="MMR001CMP115"/>
    <x v="0"/>
    <x v="0"/>
    <x v="3"/>
    <n v="1.3308823529411764"/>
    <s v="No"/>
    <m/>
  </r>
  <r>
    <n v="21.433333333333334"/>
    <d v="2014-01-27T00:00:00"/>
    <x v="2"/>
    <s v="KBC"/>
    <s v="Kachin"/>
    <s v="Chipwi"/>
    <s v="Hpare Hkyer - BP6"/>
    <m/>
    <m/>
    <m/>
    <m/>
    <m/>
    <n v="155"/>
    <n v="155"/>
    <n v="155"/>
    <m/>
    <n v="155"/>
    <m/>
    <m/>
    <m/>
    <m/>
    <m/>
    <n v="0"/>
    <n v="0"/>
    <n v="0"/>
    <n v="0"/>
    <n v="0"/>
    <n v="0"/>
    <n v="0"/>
    <n v="0"/>
    <n v="0"/>
    <n v="0"/>
    <n v="0"/>
    <n v="0"/>
    <n v="0"/>
    <n v="0"/>
    <x v="0"/>
    <n v="0"/>
    <s v="MMR001CMP043"/>
    <x v="0"/>
    <x v="0"/>
    <x v="3"/>
    <n v="1.0064935064935066"/>
    <s v="No"/>
    <m/>
  </r>
  <r>
    <n v="21.5"/>
    <d v="2014-01-25T00:00:00"/>
    <x v="0"/>
    <s v="UNHCR"/>
    <s v="Kachin"/>
    <s v="Momauk"/>
    <s v="Dum Bung "/>
    <m/>
    <m/>
    <m/>
    <n v="62"/>
    <n v="31"/>
    <n v="62"/>
    <n v="31"/>
    <m/>
    <n v="31"/>
    <n v="155"/>
    <m/>
    <m/>
    <m/>
    <m/>
    <m/>
    <n v="0"/>
    <n v="0"/>
    <n v="0"/>
    <n v="0"/>
    <n v="0"/>
    <n v="0"/>
    <n v="0"/>
    <n v="0"/>
    <n v="0"/>
    <n v="0"/>
    <n v="0"/>
    <n v="0"/>
    <n v="0"/>
    <n v="0"/>
    <x v="0"/>
    <n v="0"/>
    <s v="MMR001CMP123"/>
    <x v="0"/>
    <x v="0"/>
    <x v="4"/>
    <n v="0.26956521739130435"/>
    <s v="No"/>
    <m/>
  </r>
  <r>
    <n v="21.5"/>
    <d v="2014-01-25T00:00:00"/>
    <x v="2"/>
    <s v="KBC"/>
    <s v="Kachin"/>
    <s v="Waingmaw"/>
    <s v="Pajau - Jan Mai"/>
    <m/>
    <m/>
    <m/>
    <m/>
    <m/>
    <n v="191"/>
    <n v="191"/>
    <n v="191"/>
    <m/>
    <n v="191"/>
    <m/>
    <m/>
    <m/>
    <m/>
    <m/>
    <n v="0"/>
    <n v="0"/>
    <n v="0"/>
    <n v="0"/>
    <n v="0"/>
    <n v="0"/>
    <n v="0"/>
    <n v="0"/>
    <n v="0"/>
    <n v="0"/>
    <n v="0"/>
    <n v="0"/>
    <n v="0"/>
    <n v="0"/>
    <x v="0"/>
    <n v="0"/>
    <s v="MMR001CMP120"/>
    <x v="0"/>
    <x v="0"/>
    <x v="3"/>
    <n v="1"/>
    <s v="No"/>
    <m/>
  </r>
  <r>
    <n v="21.5"/>
    <d v="2014-01-25T00:00:00"/>
    <x v="2"/>
    <s v="KBC"/>
    <s v="Kachin"/>
    <s v="Waingmaw"/>
    <s v="Shing Jai"/>
    <m/>
    <m/>
    <m/>
    <m/>
    <m/>
    <n v="198"/>
    <n v="198"/>
    <n v="198"/>
    <m/>
    <n v="198"/>
    <m/>
    <m/>
    <m/>
    <m/>
    <m/>
    <n v="0"/>
    <n v="0"/>
    <n v="0"/>
    <n v="0"/>
    <n v="0"/>
    <n v="0"/>
    <n v="0"/>
    <n v="0"/>
    <n v="0"/>
    <n v="0"/>
    <n v="0"/>
    <n v="0"/>
    <n v="0"/>
    <n v="0"/>
    <x v="0"/>
    <n v="0"/>
    <s v="MMR001CMP041"/>
    <x v="0"/>
    <x v="0"/>
    <x v="3"/>
    <n v="1.1511627906976745"/>
    <s v="No"/>
    <m/>
  </r>
  <r>
    <n v="21.5"/>
    <d v="2014-01-25T00:00:00"/>
    <x v="2"/>
    <s v="KBC"/>
    <s v="Kachin"/>
    <s v="Waingmaw"/>
    <s v="Zai Awng - Mung Ga Zup"/>
    <m/>
    <m/>
    <m/>
    <m/>
    <m/>
    <n v="646"/>
    <n v="646"/>
    <n v="646"/>
    <m/>
    <n v="646"/>
    <m/>
    <m/>
    <m/>
    <m/>
    <m/>
    <n v="0"/>
    <n v="0"/>
    <n v="0"/>
    <n v="0"/>
    <n v="0"/>
    <n v="0"/>
    <n v="0"/>
    <n v="0"/>
    <n v="0"/>
    <n v="0"/>
    <n v="0"/>
    <n v="0"/>
    <n v="0"/>
    <n v="0"/>
    <x v="0"/>
    <n v="0"/>
    <s v="MMR001CMP111"/>
    <x v="0"/>
    <x v="0"/>
    <x v="4"/>
    <n v="0.95"/>
    <s v="No"/>
    <m/>
  </r>
  <r>
    <n v="21.533333333333335"/>
    <d v="2014-01-24T00:00:00"/>
    <x v="4"/>
    <m/>
    <s v="Kachin"/>
    <s v="Mansi"/>
    <s v="Bum Tsit Pa "/>
    <m/>
    <m/>
    <m/>
    <m/>
    <m/>
    <m/>
    <m/>
    <m/>
    <m/>
    <m/>
    <m/>
    <n v="838"/>
    <m/>
    <m/>
    <m/>
    <n v="0"/>
    <n v="0"/>
    <n v="0"/>
    <n v="0"/>
    <n v="0"/>
    <n v="0"/>
    <n v="0"/>
    <n v="0"/>
    <n v="0"/>
    <n v="0"/>
    <n v="0"/>
    <n v="0"/>
    <n v="0"/>
    <n v="0"/>
    <x v="1"/>
    <n v="0"/>
    <s v="MMR001CMP129"/>
    <x v="0"/>
    <x v="0"/>
    <x v="4"/>
    <n v="0"/>
    <s v="No"/>
    <m/>
  </r>
  <r>
    <n v="21.533333333333335"/>
    <d v="2014-01-24T00:00:00"/>
    <x v="0"/>
    <s v="UNHCR"/>
    <s v="Kachin"/>
    <s v="Momauk"/>
    <s v="Pa Kahtawng "/>
    <m/>
    <m/>
    <m/>
    <n v="60"/>
    <n v="30"/>
    <n v="60"/>
    <n v="30"/>
    <m/>
    <n v="30"/>
    <n v="150"/>
    <m/>
    <m/>
    <m/>
    <m/>
    <m/>
    <n v="0"/>
    <n v="0"/>
    <n v="0"/>
    <n v="0"/>
    <n v="0"/>
    <n v="0"/>
    <n v="0"/>
    <n v="0"/>
    <n v="0"/>
    <n v="0"/>
    <n v="0"/>
    <n v="0"/>
    <n v="0"/>
    <n v="0"/>
    <x v="0"/>
    <n v="0"/>
    <s v="MMR001CMP126"/>
    <x v="0"/>
    <x v="0"/>
    <x v="4"/>
    <n v="3.5714285714285712E-2"/>
    <s v="No"/>
    <m/>
  </r>
  <r>
    <n v="21.666666666666668"/>
    <d v="2014-01-20T00:00:00"/>
    <x v="1"/>
    <s v="MRCS"/>
    <s v="Kachin"/>
    <s v="Machanbaw"/>
    <s v="Machanbaw - KBC"/>
    <m/>
    <m/>
    <m/>
    <n v="8"/>
    <n v="16"/>
    <n v="16"/>
    <n v="8"/>
    <m/>
    <m/>
    <m/>
    <n v="19"/>
    <n v="9"/>
    <m/>
    <m/>
    <m/>
    <n v="0"/>
    <n v="0"/>
    <n v="0"/>
    <n v="0"/>
    <n v="0"/>
    <n v="0"/>
    <n v="0"/>
    <n v="0"/>
    <n v="0"/>
    <n v="0"/>
    <n v="0"/>
    <n v="0"/>
    <n v="0"/>
    <n v="0"/>
    <x v="1"/>
    <n v="0"/>
    <s v="MMR001CMP221"/>
    <x v="0"/>
    <x v="2"/>
    <x v="2"/>
    <s v=""/>
    <m/>
    <m/>
  </r>
  <r>
    <n v="21.666666666666668"/>
    <d v="2014-01-20T00:00:00"/>
    <x v="4"/>
    <s v="KMSS"/>
    <s v="Kachin"/>
    <s v="Waingmaw"/>
    <s v="Maga Yang "/>
    <m/>
    <m/>
    <m/>
    <m/>
    <m/>
    <m/>
    <m/>
    <m/>
    <m/>
    <m/>
    <n v="1497"/>
    <n v="925"/>
    <m/>
    <m/>
    <m/>
    <n v="0"/>
    <n v="0"/>
    <n v="0"/>
    <n v="0"/>
    <n v="0"/>
    <n v="0"/>
    <n v="0"/>
    <n v="0"/>
    <n v="0"/>
    <n v="0"/>
    <n v="0"/>
    <n v="0"/>
    <n v="0"/>
    <n v="0"/>
    <x v="1"/>
    <n v="0"/>
    <s v="MMR001CMP119"/>
    <x v="0"/>
    <x v="0"/>
    <x v="4"/>
    <n v="0"/>
    <s v="No"/>
    <m/>
  </r>
  <r>
    <n v="21.666666666666668"/>
    <d v="2014-01-20T00:00:00"/>
    <x v="1"/>
    <s v="MRCS"/>
    <s v="Kachin"/>
    <s v="Puta-O"/>
    <s v="Naung Khaing"/>
    <m/>
    <m/>
    <m/>
    <n v="17"/>
    <n v="34"/>
    <n v="34"/>
    <n v="17"/>
    <m/>
    <m/>
    <m/>
    <n v="31"/>
    <n v="28"/>
    <m/>
    <m/>
    <m/>
    <n v="0"/>
    <n v="0"/>
    <n v="0"/>
    <n v="0"/>
    <n v="0"/>
    <n v="0"/>
    <n v="0"/>
    <n v="0"/>
    <n v="0"/>
    <n v="0"/>
    <n v="0"/>
    <n v="0"/>
    <n v="0"/>
    <n v="0"/>
    <x v="1"/>
    <n v="0"/>
    <s v="MMR001CMP220"/>
    <x v="0"/>
    <x v="2"/>
    <x v="2"/>
    <s v=""/>
    <m/>
    <m/>
  </r>
  <r>
    <n v="21.666666666666668"/>
    <d v="2014-01-20T00:00:00"/>
    <x v="4"/>
    <s v="KMSS"/>
    <s v="Kachin"/>
    <s v="Waingmaw"/>
    <s v="Post 6 Camp"/>
    <m/>
    <m/>
    <m/>
    <m/>
    <m/>
    <m/>
    <m/>
    <n v="127"/>
    <m/>
    <m/>
    <m/>
    <m/>
    <m/>
    <m/>
    <m/>
    <n v="0"/>
    <n v="0"/>
    <n v="0"/>
    <n v="0"/>
    <n v="0"/>
    <n v="0"/>
    <n v="0"/>
    <n v="0"/>
    <n v="0"/>
    <n v="0"/>
    <n v="0"/>
    <n v="0"/>
    <n v="0"/>
    <n v="0"/>
    <x v="0"/>
    <n v="0"/>
    <s v="MMR001CMP160"/>
    <x v="0"/>
    <x v="0"/>
    <x v="3"/>
    <n v="0"/>
    <s v="No"/>
    <m/>
  </r>
  <r>
    <n v="21.666666666666668"/>
    <d v="2014-01-20T00:00:00"/>
    <x v="4"/>
    <s v="KMSS"/>
    <s v="Kachin"/>
    <s v="Waingmaw"/>
    <s v="Post 6 Camp"/>
    <m/>
    <m/>
    <m/>
    <m/>
    <m/>
    <m/>
    <m/>
    <m/>
    <m/>
    <m/>
    <n v="443"/>
    <n v="218"/>
    <m/>
    <m/>
    <m/>
    <n v="0"/>
    <n v="0"/>
    <n v="0"/>
    <n v="0"/>
    <n v="0"/>
    <n v="0"/>
    <n v="0"/>
    <n v="0"/>
    <n v="0"/>
    <n v="0"/>
    <n v="0"/>
    <n v="0"/>
    <n v="0"/>
    <n v="0"/>
    <x v="1"/>
    <n v="0"/>
    <s v="MMR001CMP160"/>
    <x v="0"/>
    <x v="0"/>
    <x v="3"/>
    <n v="0"/>
    <s v="No"/>
    <m/>
  </r>
  <r>
    <n v="21.666666666666668"/>
    <d v="2014-01-20T00:00:00"/>
    <x v="1"/>
    <s v="MRCS"/>
    <s v="Kachin"/>
    <s v="Puta-O"/>
    <s v="Tote Tan Ward"/>
    <m/>
    <m/>
    <m/>
    <n v="18"/>
    <n v="36"/>
    <n v="36"/>
    <n v="18"/>
    <m/>
    <m/>
    <m/>
    <n v="53"/>
    <n v="42"/>
    <m/>
    <m/>
    <m/>
    <n v="0"/>
    <n v="0"/>
    <n v="0"/>
    <n v="0"/>
    <n v="0"/>
    <n v="0"/>
    <n v="0"/>
    <n v="0"/>
    <n v="0"/>
    <n v="0"/>
    <n v="0"/>
    <n v="0"/>
    <n v="0"/>
    <n v="0"/>
    <x v="1"/>
    <n v="0"/>
    <s v="MMR001CMP075"/>
    <x v="0"/>
    <x v="0"/>
    <x v="2"/>
    <n v="1.2857142857142858"/>
    <m/>
    <m/>
  </r>
  <r>
    <n v="21.8"/>
    <d v="2014-01-16T00:00:00"/>
    <x v="0"/>
    <s v="UNHCR"/>
    <s v="Kachin"/>
    <s v="Mansi"/>
    <s v="Bum Tsit Pa "/>
    <m/>
    <m/>
    <m/>
    <n v="45"/>
    <n v="30"/>
    <n v="45"/>
    <n v="30"/>
    <m/>
    <n v="30"/>
    <n v="150"/>
    <m/>
    <m/>
    <m/>
    <m/>
    <m/>
    <n v="0"/>
    <n v="0"/>
    <n v="0"/>
    <n v="0"/>
    <n v="0"/>
    <n v="0"/>
    <n v="0"/>
    <n v="0"/>
    <n v="0"/>
    <n v="0"/>
    <n v="0"/>
    <n v="0"/>
    <n v="0"/>
    <n v="0"/>
    <x v="0"/>
    <n v="0"/>
    <s v="MMR001CMP129"/>
    <x v="0"/>
    <x v="0"/>
    <x v="4"/>
    <n v="0.17241379310344829"/>
    <s v="No"/>
    <m/>
  </r>
  <r>
    <n v="21.8"/>
    <d v="2014-01-16T00:00:00"/>
    <x v="4"/>
    <s v="KMSS"/>
    <s v="Kachin"/>
    <s v="Waingmaw"/>
    <s v="Maga Yang "/>
    <m/>
    <m/>
    <m/>
    <m/>
    <m/>
    <m/>
    <m/>
    <n v="600"/>
    <m/>
    <m/>
    <m/>
    <m/>
    <m/>
    <m/>
    <m/>
    <n v="0"/>
    <n v="0"/>
    <n v="0"/>
    <n v="0"/>
    <n v="0"/>
    <n v="0"/>
    <n v="0"/>
    <n v="0"/>
    <n v="0"/>
    <n v="0"/>
    <n v="0"/>
    <n v="0"/>
    <n v="0"/>
    <n v="0"/>
    <x v="0"/>
    <n v="0"/>
    <s v="MMR001CMP119"/>
    <x v="0"/>
    <x v="0"/>
    <x v="4"/>
    <n v="0"/>
    <s v="No"/>
    <m/>
  </r>
  <r>
    <n v="21.866666666666667"/>
    <d v="2014-01-14T00:00:00"/>
    <x v="4"/>
    <s v="KMSS"/>
    <s v="Kachin"/>
    <s v="Waingmaw"/>
    <s v="Border Post 8"/>
    <m/>
    <m/>
    <m/>
    <m/>
    <m/>
    <m/>
    <m/>
    <n v="180"/>
    <m/>
    <m/>
    <m/>
    <m/>
    <m/>
    <m/>
    <m/>
    <n v="0"/>
    <n v="0"/>
    <n v="0"/>
    <n v="0"/>
    <n v="0"/>
    <n v="0"/>
    <n v="0"/>
    <n v="0"/>
    <n v="0"/>
    <n v="0"/>
    <n v="0"/>
    <n v="0"/>
    <n v="0"/>
    <n v="0"/>
    <x v="0"/>
    <n v="0"/>
    <s v="MMR001CMP113"/>
    <x v="0"/>
    <x v="0"/>
    <x v="3"/>
    <n v="0"/>
    <s v="No"/>
    <m/>
  </r>
  <r>
    <n v="21.866666666666667"/>
    <d v="2014-01-14T00:00:00"/>
    <x v="4"/>
    <s v="KMSS"/>
    <s v="Kachin"/>
    <s v="Waingmaw"/>
    <s v="Border Post 8"/>
    <m/>
    <m/>
    <m/>
    <m/>
    <m/>
    <m/>
    <m/>
    <m/>
    <m/>
    <m/>
    <n v="501"/>
    <n v="335"/>
    <m/>
    <m/>
    <m/>
    <n v="0"/>
    <n v="0"/>
    <n v="0"/>
    <n v="0"/>
    <n v="0"/>
    <n v="0"/>
    <n v="0"/>
    <n v="0"/>
    <n v="0"/>
    <n v="0"/>
    <n v="0"/>
    <n v="0"/>
    <n v="0"/>
    <n v="0"/>
    <x v="1"/>
    <n v="0"/>
    <s v="MMR001CMP113"/>
    <x v="0"/>
    <x v="0"/>
    <x v="3"/>
    <n v="0"/>
    <s v="No"/>
    <m/>
  </r>
  <r>
    <n v="21.866666666666667"/>
    <d v="2014-01-14T00:00:00"/>
    <x v="0"/>
    <s v="UNHCR"/>
    <s v="Kachin"/>
    <s v="Mansi"/>
    <s v="Lana Zup Ja "/>
    <m/>
    <m/>
    <m/>
    <n v="140"/>
    <n v="70"/>
    <n v="140"/>
    <n v="70"/>
    <m/>
    <n v="70"/>
    <n v="350"/>
    <m/>
    <m/>
    <m/>
    <m/>
    <m/>
    <n v="0"/>
    <n v="0"/>
    <n v="0"/>
    <n v="0"/>
    <n v="0"/>
    <n v="0"/>
    <n v="0"/>
    <n v="0"/>
    <n v="0"/>
    <n v="0"/>
    <n v="0"/>
    <n v="0"/>
    <n v="0"/>
    <n v="0"/>
    <x v="0"/>
    <n v="0"/>
    <s v="MMR001CMP128"/>
    <x v="0"/>
    <x v="0"/>
    <x v="4"/>
    <n v="0.12939001848428835"/>
    <s v="No"/>
    <m/>
  </r>
  <r>
    <n v="21.933333333333334"/>
    <d v="2014-01-12T00:00:00"/>
    <x v="4"/>
    <s v="KMSS"/>
    <s v="Kachin"/>
    <s v="Momauk"/>
    <s v="Dum Bung "/>
    <m/>
    <m/>
    <m/>
    <m/>
    <m/>
    <m/>
    <m/>
    <n v="125"/>
    <m/>
    <m/>
    <m/>
    <m/>
    <m/>
    <m/>
    <m/>
    <n v="0"/>
    <n v="0"/>
    <n v="0"/>
    <n v="0"/>
    <n v="0"/>
    <n v="0"/>
    <n v="0"/>
    <n v="0"/>
    <n v="0"/>
    <n v="0"/>
    <n v="0"/>
    <n v="0"/>
    <n v="0"/>
    <n v="0"/>
    <x v="0"/>
    <n v="0"/>
    <s v="MMR001CMP123"/>
    <x v="0"/>
    <x v="0"/>
    <x v="4"/>
    <n v="0"/>
    <s v="No"/>
    <m/>
  </r>
  <r>
    <n v="21.933333333333334"/>
    <d v="2014-01-12T00:00:00"/>
    <x v="4"/>
    <s v="KMSS"/>
    <s v="Kachin"/>
    <s v="Momauk"/>
    <s v="Dum Bung "/>
    <m/>
    <m/>
    <m/>
    <m/>
    <m/>
    <m/>
    <m/>
    <m/>
    <m/>
    <m/>
    <n v="393"/>
    <n v="232"/>
    <m/>
    <m/>
    <m/>
    <n v="0"/>
    <n v="0"/>
    <n v="0"/>
    <n v="0"/>
    <n v="0"/>
    <n v="0"/>
    <n v="0"/>
    <n v="0"/>
    <n v="0"/>
    <n v="0"/>
    <n v="0"/>
    <n v="0"/>
    <n v="0"/>
    <n v="0"/>
    <x v="1"/>
    <n v="0"/>
    <s v="MMR001CMP123"/>
    <x v="0"/>
    <x v="0"/>
    <x v="4"/>
    <n v="0"/>
    <s v="No"/>
    <m/>
  </r>
  <r>
    <n v="21.966666666666665"/>
    <d v="2014-01-11T00:00:00"/>
    <x v="0"/>
    <m/>
    <s v="Kachin"/>
    <s v="Bhamo"/>
    <s v="Phan Khar Kone"/>
    <m/>
    <m/>
    <m/>
    <m/>
    <n v="10"/>
    <m/>
    <m/>
    <m/>
    <m/>
    <m/>
    <m/>
    <m/>
    <m/>
    <m/>
    <m/>
    <n v="0"/>
    <n v="0"/>
    <n v="0"/>
    <n v="0"/>
    <n v="0"/>
    <n v="0"/>
    <n v="0"/>
    <n v="0"/>
    <n v="0"/>
    <n v="0"/>
    <n v="0"/>
    <n v="0"/>
    <n v="0"/>
    <n v="0"/>
    <x v="0"/>
    <n v="0"/>
    <s v="MMR001CMP193"/>
    <x v="0"/>
    <x v="0"/>
    <x v="0"/>
    <n v="0"/>
    <m/>
    <m/>
  </r>
  <r>
    <n v="22.033333333333335"/>
    <d v="2014-01-09T00:00:00"/>
    <x v="5"/>
    <s v="KBC"/>
    <s v="Kachin"/>
    <s v="Mansi"/>
    <s v="IDPs scattered in South Mansi"/>
    <m/>
    <m/>
    <m/>
    <m/>
    <m/>
    <m/>
    <m/>
    <m/>
    <m/>
    <m/>
    <n v="142"/>
    <n v="284"/>
    <n v="852"/>
    <n v="426"/>
    <m/>
    <n v="0"/>
    <n v="0"/>
    <n v="0"/>
    <n v="0"/>
    <n v="0"/>
    <n v="0"/>
    <n v="0"/>
    <n v="0"/>
    <n v="0"/>
    <n v="0"/>
    <n v="0"/>
    <n v="0"/>
    <n v="0"/>
    <n v="0"/>
    <x v="1"/>
    <n v="0"/>
    <s v="MMR001CMP217"/>
    <x v="0"/>
    <x v="2"/>
    <x v="1"/>
    <s v=""/>
    <m/>
    <m/>
  </r>
  <r>
    <n v="22.1"/>
    <d v="2014-01-07T00:00:00"/>
    <x v="0"/>
    <s v="UNHCR"/>
    <s v="Kachin"/>
    <s v="Bhamo"/>
    <s v="Robert Church"/>
    <m/>
    <m/>
    <m/>
    <n v="44"/>
    <n v="30"/>
    <n v="44"/>
    <n v="20"/>
    <n v="20"/>
    <m/>
    <m/>
    <m/>
    <m/>
    <m/>
    <m/>
    <m/>
    <n v="0"/>
    <n v="0"/>
    <n v="0"/>
    <n v="0"/>
    <n v="0"/>
    <n v="0"/>
    <n v="0"/>
    <n v="0"/>
    <n v="0"/>
    <n v="0"/>
    <n v="0"/>
    <n v="0"/>
    <n v="0"/>
    <n v="0"/>
    <x v="0"/>
    <n v="0"/>
    <s v="MMR001CMP047"/>
    <x v="0"/>
    <x v="0"/>
    <x v="0"/>
    <n v="3.0674846625766871E-2"/>
    <s v="No"/>
    <m/>
  </r>
  <r>
    <n v="22.3"/>
    <d v="2014-01-01T00:00:00"/>
    <x v="6"/>
    <s v="MRCS"/>
    <s v="Kachin"/>
    <s v="Mogaung"/>
    <s v="Mang Hawng Baptist Church"/>
    <m/>
    <m/>
    <m/>
    <m/>
    <m/>
    <m/>
    <n v="14"/>
    <m/>
    <m/>
    <m/>
    <m/>
    <m/>
    <m/>
    <m/>
    <m/>
    <n v="0"/>
    <n v="0"/>
    <n v="0"/>
    <n v="0"/>
    <n v="0"/>
    <n v="0"/>
    <n v="0"/>
    <n v="0"/>
    <n v="0"/>
    <n v="0"/>
    <n v="0"/>
    <n v="0"/>
    <n v="0"/>
    <n v="0"/>
    <x v="0"/>
    <n v="0"/>
    <s v="MMR001CMP077"/>
    <x v="0"/>
    <x v="0"/>
    <x v="0"/>
    <n v="0.77777777777777779"/>
    <s v="No"/>
    <m/>
  </r>
  <r>
    <n v="22.3"/>
    <d v="2014-01-01T00:00:00"/>
    <x v="6"/>
    <s v="MRCS"/>
    <s v="Kachin"/>
    <s v="Mohnyin"/>
    <s v="Nant Mun"/>
    <m/>
    <m/>
    <m/>
    <m/>
    <m/>
    <m/>
    <n v="12"/>
    <m/>
    <m/>
    <m/>
    <m/>
    <m/>
    <m/>
    <m/>
    <m/>
    <n v="0"/>
    <n v="0"/>
    <n v="0"/>
    <n v="0"/>
    <n v="0"/>
    <n v="0"/>
    <n v="0"/>
    <n v="0"/>
    <n v="0"/>
    <n v="0"/>
    <n v="0"/>
    <n v="0"/>
    <n v="0"/>
    <n v="0"/>
    <x v="0"/>
    <n v="0"/>
    <s v="MMR001CMP081"/>
    <x v="0"/>
    <x v="2"/>
    <x v="0"/>
    <s v=""/>
    <s v="No"/>
    <m/>
  </r>
  <r>
    <n v="22.3"/>
    <d v="2014-01-01T00:00:00"/>
    <x v="6"/>
    <s v="MRCS"/>
    <s v="Kachin"/>
    <s v="Mogaung"/>
    <s v="Nat Gyi Kone Baptist Church "/>
    <m/>
    <m/>
    <m/>
    <m/>
    <m/>
    <m/>
    <n v="13"/>
    <m/>
    <m/>
    <m/>
    <m/>
    <m/>
    <m/>
    <m/>
    <m/>
    <n v="0"/>
    <n v="0"/>
    <n v="0"/>
    <n v="0"/>
    <n v="0"/>
    <n v="0"/>
    <n v="0"/>
    <n v="0"/>
    <n v="0"/>
    <n v="0"/>
    <n v="0"/>
    <n v="0"/>
    <n v="0"/>
    <n v="0"/>
    <x v="0"/>
    <n v="0"/>
    <s v="MMR001CMP079"/>
    <x v="0"/>
    <x v="0"/>
    <x v="0"/>
    <n v="0.9285714285714286"/>
    <s v="No"/>
    <m/>
  </r>
  <r>
    <n v="22.3"/>
    <d v="2014-01-01T00:00:00"/>
    <x v="6"/>
    <s v="MRCS"/>
    <s v="Kachin"/>
    <s v="Chipwi"/>
    <s v="Pan Wa"/>
    <m/>
    <m/>
    <m/>
    <m/>
    <m/>
    <m/>
    <n v="92"/>
    <m/>
    <m/>
    <m/>
    <m/>
    <m/>
    <m/>
    <m/>
    <m/>
    <n v="0"/>
    <n v="0"/>
    <n v="0"/>
    <n v="0"/>
    <n v="0"/>
    <n v="0"/>
    <n v="0"/>
    <n v="0"/>
    <n v="0"/>
    <n v="0"/>
    <n v="0"/>
    <n v="0"/>
    <n v="0"/>
    <n v="0"/>
    <x v="0"/>
    <n v="0"/>
    <s v="MMR001CMP210"/>
    <x v="0"/>
    <x v="0"/>
    <x v="3"/>
    <n v="1.4153846153846155"/>
    <s v="No"/>
    <m/>
  </r>
  <r>
    <n v="22.6"/>
    <d v="2013-12-23T00:00:00"/>
    <x v="0"/>
    <s v="UNHCR"/>
    <s v="Kachin"/>
    <s v="Bhamo"/>
    <s v="AD-2000 Tharthana Compound"/>
    <m/>
    <m/>
    <n v="10"/>
    <n v="10"/>
    <n v="7"/>
    <n v="10"/>
    <n v="7"/>
    <n v="7"/>
    <m/>
    <m/>
    <m/>
    <m/>
    <m/>
    <m/>
    <m/>
    <n v="0"/>
    <n v="0"/>
    <n v="0"/>
    <n v="0"/>
    <n v="0"/>
    <n v="0"/>
    <n v="0"/>
    <n v="0"/>
    <n v="0"/>
    <n v="0"/>
    <n v="0"/>
    <n v="0"/>
    <n v="0"/>
    <n v="0"/>
    <x v="0"/>
    <n v="0"/>
    <s v="MMR001CMP050"/>
    <x v="0"/>
    <x v="0"/>
    <x v="0"/>
    <n v="2.3255813953488372E-2"/>
    <s v="No"/>
    <m/>
  </r>
  <r>
    <n v="22.6"/>
    <d v="2013-12-23T00:00:00"/>
    <x v="5"/>
    <s v="KBC"/>
    <s v="Kachin"/>
    <s v="Waingmaw"/>
    <s v="IDP Boarding School, A Len Bum"/>
    <m/>
    <m/>
    <m/>
    <m/>
    <m/>
    <m/>
    <m/>
    <m/>
    <m/>
    <m/>
    <n v="2"/>
    <n v="111"/>
    <n v="226"/>
    <n v="113"/>
    <m/>
    <n v="0"/>
    <n v="0"/>
    <n v="0"/>
    <n v="0"/>
    <n v="0"/>
    <n v="0"/>
    <n v="0"/>
    <n v="0"/>
    <n v="0"/>
    <n v="0"/>
    <n v="0"/>
    <n v="0"/>
    <n v="0"/>
    <n v="0"/>
    <x v="1"/>
    <n v="0"/>
    <s v="MMR001CMP208"/>
    <x v="0"/>
    <x v="0"/>
    <x v="4"/>
    <s v=""/>
    <m/>
    <m/>
  </r>
  <r>
    <n v="22.6"/>
    <d v="2013-12-23T00:00:00"/>
    <x v="5"/>
    <s v="KBC"/>
    <s v="Kachin"/>
    <s v="Waingmaw"/>
    <s v="Qtr. 2 Lhaovo Baptist Church"/>
    <m/>
    <m/>
    <m/>
    <m/>
    <m/>
    <m/>
    <m/>
    <m/>
    <m/>
    <m/>
    <n v="59"/>
    <n v="196"/>
    <n v="510"/>
    <n v="255"/>
    <m/>
    <n v="0"/>
    <n v="0"/>
    <n v="0"/>
    <n v="0"/>
    <n v="0"/>
    <n v="0"/>
    <n v="0"/>
    <n v="0"/>
    <n v="0"/>
    <n v="0"/>
    <n v="0"/>
    <n v="0"/>
    <n v="0"/>
    <n v="0"/>
    <x v="1"/>
    <n v="0"/>
    <s v="MMR001CMP032"/>
    <x v="0"/>
    <x v="0"/>
    <x v="0"/>
    <n v="0"/>
    <m/>
    <m/>
  </r>
  <r>
    <n v="22.666666666666668"/>
    <d v="2013-12-21T00:00:00"/>
    <x v="5"/>
    <s v="KBC"/>
    <s v="Kachin"/>
    <s v="Waingmaw"/>
    <s v="Thargaya Lisu Baptist Church"/>
    <m/>
    <m/>
    <m/>
    <m/>
    <m/>
    <m/>
    <m/>
    <m/>
    <m/>
    <m/>
    <n v="75"/>
    <n v="139"/>
    <n v="428"/>
    <n v="214"/>
    <m/>
    <n v="0"/>
    <n v="0"/>
    <n v="0"/>
    <n v="0"/>
    <n v="0"/>
    <n v="0"/>
    <n v="0"/>
    <n v="0"/>
    <n v="0"/>
    <n v="0"/>
    <n v="0"/>
    <n v="0"/>
    <n v="0"/>
    <n v="0"/>
    <x v="1"/>
    <n v="0"/>
    <s v="MMR001CMP037"/>
    <x v="0"/>
    <x v="0"/>
    <x v="0"/>
    <n v="0"/>
    <m/>
    <m/>
  </r>
  <r>
    <n v="22.7"/>
    <d v="2013-12-20T00:00:00"/>
    <x v="5"/>
    <s v="KBC"/>
    <s v="Kachin"/>
    <s v="Waingmaw"/>
    <s v="Maina AG Church"/>
    <m/>
    <m/>
    <m/>
    <m/>
    <m/>
    <m/>
    <m/>
    <m/>
    <m/>
    <m/>
    <n v="141"/>
    <n v="265"/>
    <n v="812"/>
    <n v="406"/>
    <m/>
    <n v="0"/>
    <n v="0"/>
    <n v="0"/>
    <n v="0"/>
    <n v="0"/>
    <n v="0"/>
    <n v="0"/>
    <n v="0"/>
    <n v="0"/>
    <n v="0"/>
    <n v="0"/>
    <n v="0"/>
    <n v="0"/>
    <n v="0"/>
    <x v="1"/>
    <n v="0"/>
    <s v="MMR001CMP031"/>
    <x v="0"/>
    <x v="0"/>
    <x v="0"/>
    <n v="0"/>
    <m/>
    <m/>
  </r>
  <r>
    <n v="22.7"/>
    <d v="2013-12-20T00:00:00"/>
    <x v="5"/>
    <s v="KBC"/>
    <s v="Kachin"/>
    <s v="Waingmaw"/>
    <s v="Maina Lawang Baptist Church"/>
    <m/>
    <m/>
    <m/>
    <m/>
    <m/>
    <m/>
    <m/>
    <m/>
    <m/>
    <m/>
    <n v="47"/>
    <n v="85"/>
    <n v="264"/>
    <n v="132"/>
    <m/>
    <n v="0"/>
    <n v="0"/>
    <n v="0"/>
    <n v="0"/>
    <n v="0"/>
    <n v="0"/>
    <n v="0"/>
    <n v="0"/>
    <n v="0"/>
    <n v="0"/>
    <n v="0"/>
    <n v="0"/>
    <n v="0"/>
    <n v="0"/>
    <x v="1"/>
    <n v="0"/>
    <s v="MMR001CMP039"/>
    <x v="0"/>
    <x v="0"/>
    <x v="0"/>
    <n v="0"/>
    <m/>
    <m/>
  </r>
  <r>
    <n v="22.7"/>
    <d v="2013-12-20T00:00:00"/>
    <x v="5"/>
    <s v="KBC"/>
    <s v="Kachin"/>
    <s v="Waingmaw"/>
    <s v="Qtr. 4 Monestry (Thargaya Thayett Taw)"/>
    <m/>
    <m/>
    <m/>
    <m/>
    <m/>
    <m/>
    <m/>
    <m/>
    <m/>
    <m/>
    <n v="102"/>
    <n v="188"/>
    <n v="580"/>
    <n v="290"/>
    <m/>
    <n v="0"/>
    <n v="0"/>
    <n v="0"/>
    <n v="0"/>
    <n v="0"/>
    <n v="0"/>
    <n v="0"/>
    <n v="0"/>
    <n v="0"/>
    <n v="0"/>
    <n v="0"/>
    <n v="0"/>
    <n v="0"/>
    <n v="0"/>
    <x v="1"/>
    <n v="0"/>
    <s v="MMR001CMP026"/>
    <x v="0"/>
    <x v="0"/>
    <x v="0"/>
    <n v="0"/>
    <m/>
    <m/>
  </r>
  <r>
    <n v="22.733333333333334"/>
    <d v="2013-12-19T00:00:00"/>
    <x v="5"/>
    <s v="KBC"/>
    <s v="Kachin"/>
    <s v="Waingmaw"/>
    <s v="Maina KBC (Bawng Ring)"/>
    <m/>
    <m/>
    <m/>
    <m/>
    <m/>
    <m/>
    <m/>
    <m/>
    <m/>
    <m/>
    <n v="414"/>
    <n v="764"/>
    <n v="2356"/>
    <n v="1178"/>
    <m/>
    <n v="0"/>
    <n v="0"/>
    <n v="0"/>
    <n v="0"/>
    <n v="0"/>
    <n v="0"/>
    <n v="0"/>
    <n v="0"/>
    <n v="0"/>
    <n v="0"/>
    <n v="0"/>
    <n v="0"/>
    <n v="0"/>
    <n v="0"/>
    <x v="1"/>
    <n v="0"/>
    <s v="MMR001CMP040"/>
    <x v="0"/>
    <x v="0"/>
    <x v="0"/>
    <n v="0"/>
    <m/>
    <m/>
  </r>
  <r>
    <n v="22.766666666666666"/>
    <d v="2013-12-18T00:00:00"/>
    <x v="5"/>
    <s v="KBC"/>
    <s v="Kachin"/>
    <s v="Waingmaw"/>
    <s v="Hkat Cho "/>
    <m/>
    <m/>
    <m/>
    <m/>
    <m/>
    <m/>
    <m/>
    <m/>
    <m/>
    <m/>
    <n v="134"/>
    <n v="238"/>
    <n v="744"/>
    <n v="372"/>
    <m/>
    <n v="0"/>
    <n v="0"/>
    <n v="0"/>
    <n v="0"/>
    <n v="0"/>
    <n v="0"/>
    <n v="0"/>
    <n v="0"/>
    <n v="0"/>
    <n v="0"/>
    <n v="0"/>
    <n v="0"/>
    <n v="0"/>
    <n v="0"/>
    <x v="1"/>
    <n v="0"/>
    <s v="MMR001CMP028"/>
    <x v="0"/>
    <x v="0"/>
    <x v="0"/>
    <n v="0"/>
    <m/>
    <m/>
  </r>
  <r>
    <n v="22.766666666666666"/>
    <d v="2013-12-18T00:00:00"/>
    <x v="0"/>
    <s v="UNHCR"/>
    <s v="Kachin"/>
    <s v="Bhamo"/>
    <s v="Host Families"/>
    <m/>
    <m/>
    <m/>
    <m/>
    <n v="4"/>
    <m/>
    <m/>
    <m/>
    <m/>
    <m/>
    <m/>
    <m/>
    <m/>
    <m/>
    <m/>
    <n v="0"/>
    <n v="0"/>
    <n v="0"/>
    <n v="0"/>
    <n v="0"/>
    <n v="0"/>
    <n v="0"/>
    <n v="0"/>
    <n v="0"/>
    <n v="0"/>
    <n v="0"/>
    <n v="0"/>
    <n v="0"/>
    <n v="0"/>
    <x v="0"/>
    <n v="0"/>
    <s v="MMR001CMP163"/>
    <x v="0"/>
    <x v="0"/>
    <x v="0"/>
    <n v="0"/>
    <s v="No"/>
    <m/>
  </r>
  <r>
    <n v="22.766666666666666"/>
    <d v="2013-12-18T00:00:00"/>
    <x v="5"/>
    <s v="KBC"/>
    <s v="Kachin"/>
    <s v="Waingmaw"/>
    <s v="Mading Baptist Church"/>
    <m/>
    <m/>
    <m/>
    <m/>
    <m/>
    <m/>
    <m/>
    <m/>
    <m/>
    <m/>
    <n v="23"/>
    <n v="45"/>
    <n v="136"/>
    <n v="68"/>
    <m/>
    <n v="0"/>
    <n v="0"/>
    <n v="0"/>
    <n v="0"/>
    <n v="0"/>
    <n v="0"/>
    <n v="0"/>
    <n v="0"/>
    <n v="0"/>
    <n v="0"/>
    <n v="0"/>
    <n v="0"/>
    <n v="0"/>
    <n v="0"/>
    <x v="1"/>
    <n v="0"/>
    <s v="MMR001CMP027"/>
    <x v="0"/>
    <x v="0"/>
    <x v="0"/>
    <n v="0"/>
    <m/>
    <m/>
  </r>
  <r>
    <n v="22.766666666666666"/>
    <d v="2013-12-18T00:00:00"/>
    <x v="5"/>
    <s v="KBC"/>
    <s v="Kachin"/>
    <s v="Waingmaw"/>
    <s v="Qtr. 3 Mu-yin  Baptist Church"/>
    <m/>
    <m/>
    <m/>
    <m/>
    <m/>
    <m/>
    <m/>
    <m/>
    <m/>
    <m/>
    <n v="30"/>
    <n v="57"/>
    <n v="174"/>
    <n v="87"/>
    <m/>
    <n v="0"/>
    <n v="0"/>
    <n v="0"/>
    <n v="0"/>
    <n v="0"/>
    <n v="0"/>
    <n v="0"/>
    <n v="0"/>
    <n v="0"/>
    <n v="0"/>
    <n v="0"/>
    <n v="0"/>
    <n v="0"/>
    <n v="0"/>
    <x v="1"/>
    <n v="0"/>
    <s v="MMR001CMP030"/>
    <x v="0"/>
    <x v="0"/>
    <x v="0"/>
    <n v="0"/>
    <m/>
    <m/>
  </r>
  <r>
    <n v="22.8"/>
    <d v="2013-12-17T00:00:00"/>
    <x v="5"/>
    <s v="KBC"/>
    <s v="Kachin"/>
    <s v="Waingmaw"/>
    <s v="Qtr. 2 Myoma Baptist Church"/>
    <m/>
    <m/>
    <m/>
    <m/>
    <m/>
    <m/>
    <m/>
    <m/>
    <m/>
    <m/>
    <n v="73"/>
    <n v="146"/>
    <n v="438"/>
    <n v="219"/>
    <m/>
    <n v="0"/>
    <n v="0"/>
    <n v="0"/>
    <n v="0"/>
    <n v="0"/>
    <n v="0"/>
    <n v="0"/>
    <n v="0"/>
    <n v="0"/>
    <n v="0"/>
    <n v="0"/>
    <n v="0"/>
    <n v="0"/>
    <n v="0"/>
    <x v="1"/>
    <n v="0"/>
    <s v="MMR001CMP025"/>
    <x v="0"/>
    <x v="0"/>
    <x v="0"/>
    <n v="0"/>
    <m/>
    <m/>
  </r>
  <r>
    <n v="22.8"/>
    <d v="2013-12-17T00:00:00"/>
    <x v="5"/>
    <s v="KBC"/>
    <s v="Kachin"/>
    <s v="Waingmaw"/>
    <s v="Shing Jai"/>
    <m/>
    <m/>
    <m/>
    <m/>
    <m/>
    <m/>
    <m/>
    <m/>
    <m/>
    <m/>
    <n v="188"/>
    <n v="343"/>
    <n v="1062"/>
    <n v="531"/>
    <m/>
    <n v="0"/>
    <n v="0"/>
    <n v="0"/>
    <n v="0"/>
    <n v="0"/>
    <n v="0"/>
    <n v="0"/>
    <n v="0"/>
    <n v="0"/>
    <n v="0"/>
    <n v="0"/>
    <n v="0"/>
    <n v="0"/>
    <n v="0"/>
    <x v="1"/>
    <n v="0"/>
    <s v="MMR001CMP041"/>
    <x v="0"/>
    <x v="0"/>
    <x v="3"/>
    <n v="0"/>
    <m/>
    <m/>
  </r>
  <r>
    <n v="22.833333333333332"/>
    <d v="2013-12-16T00:00:00"/>
    <x v="5"/>
    <s v="KBC"/>
    <s v="Kachin"/>
    <s v="Waingmaw"/>
    <s v="Waingmaw AG Church"/>
    <m/>
    <m/>
    <m/>
    <m/>
    <m/>
    <m/>
    <m/>
    <m/>
    <m/>
    <m/>
    <n v="77"/>
    <n v="153"/>
    <n v="460"/>
    <n v="230"/>
    <m/>
    <n v="0"/>
    <n v="0"/>
    <n v="0"/>
    <n v="0"/>
    <n v="0"/>
    <n v="0"/>
    <n v="0"/>
    <n v="0"/>
    <n v="0"/>
    <n v="0"/>
    <n v="0"/>
    <n v="0"/>
    <n v="0"/>
    <n v="0"/>
    <x v="1"/>
    <n v="0"/>
    <s v="MMR001CMP038"/>
    <x v="0"/>
    <x v="0"/>
    <x v="0"/>
    <n v="0"/>
    <m/>
    <m/>
  </r>
  <r>
    <n v="22.933333333333334"/>
    <d v="2013-12-13T00:00:00"/>
    <x v="5"/>
    <s v="Solidarities"/>
    <s v="Kachin"/>
    <s v="Mansi"/>
    <s v="Mansi Baptist Church"/>
    <m/>
    <m/>
    <m/>
    <m/>
    <m/>
    <m/>
    <m/>
    <m/>
    <m/>
    <m/>
    <n v="13"/>
    <n v="53"/>
    <n v="132"/>
    <n v="66"/>
    <m/>
    <n v="0"/>
    <n v="0"/>
    <n v="0"/>
    <n v="0"/>
    <n v="0"/>
    <n v="0"/>
    <n v="0"/>
    <n v="0"/>
    <n v="0"/>
    <n v="0"/>
    <n v="0"/>
    <n v="0"/>
    <n v="0"/>
    <n v="0"/>
    <x v="1"/>
    <n v="0"/>
    <s v="MMR001CMP066"/>
    <x v="0"/>
    <x v="0"/>
    <x v="0"/>
    <n v="0"/>
    <m/>
    <m/>
  </r>
  <r>
    <n v="23"/>
    <d v="2013-12-11T00:00:00"/>
    <x v="7"/>
    <s v="WPN"/>
    <s v="Kachin"/>
    <s v="Mansi"/>
    <s v="Bum Tsit Pa "/>
    <m/>
    <m/>
    <m/>
    <m/>
    <m/>
    <n v="278"/>
    <m/>
    <m/>
    <m/>
    <m/>
    <m/>
    <m/>
    <m/>
    <m/>
    <m/>
    <n v="0"/>
    <n v="0"/>
    <n v="0"/>
    <n v="0"/>
    <n v="0"/>
    <n v="0"/>
    <n v="0"/>
    <n v="0"/>
    <n v="0"/>
    <n v="0"/>
    <n v="0"/>
    <n v="0"/>
    <n v="0"/>
    <n v="0"/>
    <x v="0"/>
    <n v="0"/>
    <s v="MMR001CMP129"/>
    <x v="0"/>
    <x v="0"/>
    <x v="4"/>
    <n v="0"/>
    <s v="No"/>
    <m/>
  </r>
  <r>
    <n v="23"/>
    <d v="2013-12-11T00:00:00"/>
    <x v="7"/>
    <s v="WPN"/>
    <s v="Kachin"/>
    <s v="Mansi"/>
    <s v="Bum Tsit Pa "/>
    <m/>
    <m/>
    <m/>
    <m/>
    <m/>
    <n v="174"/>
    <m/>
    <m/>
    <m/>
    <m/>
    <m/>
    <m/>
    <m/>
    <m/>
    <m/>
    <n v="0"/>
    <n v="0"/>
    <n v="0"/>
    <n v="0"/>
    <n v="0"/>
    <n v="0"/>
    <n v="0"/>
    <n v="0"/>
    <n v="0"/>
    <n v="0"/>
    <n v="0"/>
    <n v="0"/>
    <n v="0"/>
    <n v="0"/>
    <x v="0"/>
    <n v="0"/>
    <s v="MMR001CMP129"/>
    <x v="0"/>
    <x v="0"/>
    <x v="4"/>
    <n v="0"/>
    <s v="No"/>
    <m/>
  </r>
  <r>
    <n v="23"/>
    <d v="2013-12-11T00:00:00"/>
    <x v="7"/>
    <s v="WPN"/>
    <s v="Kachin"/>
    <s v="Mansi"/>
    <s v="Lana Zup Ja "/>
    <m/>
    <m/>
    <m/>
    <m/>
    <m/>
    <n v="543"/>
    <m/>
    <m/>
    <m/>
    <m/>
    <m/>
    <m/>
    <m/>
    <m/>
    <m/>
    <n v="0"/>
    <n v="0"/>
    <n v="0"/>
    <n v="0"/>
    <n v="0"/>
    <n v="0"/>
    <n v="0"/>
    <n v="0"/>
    <n v="0"/>
    <n v="0"/>
    <n v="0"/>
    <n v="0"/>
    <n v="0"/>
    <n v="0"/>
    <x v="0"/>
    <n v="0"/>
    <s v="MMR001CMP128"/>
    <x v="0"/>
    <x v="0"/>
    <x v="4"/>
    <n v="0"/>
    <s v="No"/>
    <m/>
  </r>
  <r>
    <n v="23"/>
    <d v="2013-12-11T00:00:00"/>
    <x v="7"/>
    <s v="WPN"/>
    <s v="Kachin"/>
    <s v="Mansi"/>
    <s v="Lung Kawk  ( Hka Hkye Zup)"/>
    <m/>
    <m/>
    <m/>
    <m/>
    <m/>
    <n v="38"/>
    <m/>
    <m/>
    <m/>
    <m/>
    <m/>
    <m/>
    <m/>
    <m/>
    <m/>
    <n v="0"/>
    <n v="0"/>
    <n v="0"/>
    <n v="0"/>
    <n v="0"/>
    <n v="0"/>
    <n v="0"/>
    <n v="0"/>
    <n v="0"/>
    <n v="0"/>
    <n v="0"/>
    <n v="0"/>
    <n v="0"/>
    <n v="0"/>
    <x v="0"/>
    <n v="0"/>
    <s v="MMR001CMP135"/>
    <x v="0"/>
    <x v="2"/>
    <x v="4"/>
    <s v=""/>
    <s v="No"/>
    <m/>
  </r>
  <r>
    <n v="23"/>
    <d v="2013-12-11T00:00:00"/>
    <x v="7"/>
    <s v="WPN"/>
    <s v="Kachin"/>
    <s v="Momauk"/>
    <s v="Nhkawng Pa "/>
    <m/>
    <m/>
    <m/>
    <m/>
    <m/>
    <n v="350"/>
    <m/>
    <m/>
    <m/>
    <m/>
    <m/>
    <m/>
    <m/>
    <m/>
    <m/>
    <n v="0"/>
    <n v="0"/>
    <n v="0"/>
    <n v="0"/>
    <n v="0"/>
    <n v="0"/>
    <n v="0"/>
    <n v="0"/>
    <n v="0"/>
    <n v="0"/>
    <n v="0"/>
    <n v="0"/>
    <n v="0"/>
    <n v="0"/>
    <x v="0"/>
    <n v="0"/>
    <s v="MMR001CMP131"/>
    <x v="0"/>
    <x v="0"/>
    <x v="3"/>
    <n v="0"/>
    <s v="No"/>
    <m/>
  </r>
  <r>
    <n v="23"/>
    <d v="2013-12-11T00:00:00"/>
    <x v="7"/>
    <s v="WPN"/>
    <s v="Kachin"/>
    <s v="Momauk"/>
    <s v="Pa Kahtawng "/>
    <m/>
    <m/>
    <m/>
    <m/>
    <m/>
    <n v="417"/>
    <m/>
    <m/>
    <m/>
    <m/>
    <m/>
    <m/>
    <m/>
    <m/>
    <m/>
    <n v="0"/>
    <n v="0"/>
    <n v="0"/>
    <n v="0"/>
    <n v="0"/>
    <n v="0"/>
    <n v="0"/>
    <n v="0"/>
    <n v="0"/>
    <n v="0"/>
    <n v="0"/>
    <n v="0"/>
    <n v="0"/>
    <n v="0"/>
    <x v="0"/>
    <n v="0"/>
    <s v="MMR001CMP126"/>
    <x v="0"/>
    <x v="0"/>
    <x v="4"/>
    <n v="0"/>
    <s v="No"/>
    <m/>
  </r>
  <r>
    <n v="23.033333333333335"/>
    <d v="2013-12-10T00:00:00"/>
    <x v="4"/>
    <m/>
    <s v="Kachin"/>
    <s v="Mansi"/>
    <s v="Man Wing Catholic Church"/>
    <m/>
    <m/>
    <m/>
    <m/>
    <m/>
    <m/>
    <m/>
    <m/>
    <m/>
    <m/>
    <m/>
    <n v="256"/>
    <m/>
    <m/>
    <m/>
    <n v="0"/>
    <n v="0"/>
    <n v="0"/>
    <n v="0"/>
    <n v="0"/>
    <n v="0"/>
    <n v="0"/>
    <n v="0"/>
    <n v="0"/>
    <n v="0"/>
    <n v="0"/>
    <n v="0"/>
    <n v="0"/>
    <n v="0"/>
    <x v="1"/>
    <n v="0"/>
    <s v="MMR001CMP132"/>
    <x v="0"/>
    <x v="0"/>
    <x v="0"/>
    <n v="0"/>
    <s v="No"/>
    <m/>
  </r>
  <r>
    <n v="23.2"/>
    <d v="2013-12-05T00:00:00"/>
    <x v="5"/>
    <s v="KBC"/>
    <s v="Kachin"/>
    <s v="Momauk"/>
    <s v="Dum Bung "/>
    <m/>
    <m/>
    <m/>
    <m/>
    <m/>
    <m/>
    <m/>
    <m/>
    <m/>
    <m/>
    <n v="120"/>
    <n v="240"/>
    <n v="720"/>
    <n v="360"/>
    <m/>
    <n v="0"/>
    <n v="0"/>
    <n v="0"/>
    <n v="0"/>
    <n v="0"/>
    <n v="0"/>
    <n v="0"/>
    <n v="0"/>
    <n v="0"/>
    <n v="0"/>
    <n v="0"/>
    <n v="0"/>
    <n v="0"/>
    <n v="0"/>
    <x v="1"/>
    <n v="0"/>
    <s v="MMR001CMP123"/>
    <x v="0"/>
    <x v="0"/>
    <x v="4"/>
    <n v="0"/>
    <m/>
    <m/>
  </r>
  <r>
    <n v="23.233333333333334"/>
    <d v="2013-12-04T00:00:00"/>
    <x v="0"/>
    <s v="UNHCR"/>
    <s v="Kachin"/>
    <s v="Bhamo"/>
    <s v="Aung Thar Church"/>
    <m/>
    <m/>
    <m/>
    <m/>
    <m/>
    <n v="10"/>
    <n v="5"/>
    <n v="5"/>
    <m/>
    <m/>
    <m/>
    <m/>
    <m/>
    <m/>
    <m/>
    <n v="0"/>
    <n v="0"/>
    <n v="0"/>
    <n v="0"/>
    <n v="0"/>
    <n v="0"/>
    <n v="0"/>
    <n v="0"/>
    <n v="0"/>
    <n v="0"/>
    <n v="0"/>
    <n v="0"/>
    <n v="0"/>
    <n v="0"/>
    <x v="0"/>
    <n v="0"/>
    <s v="MMR001CMP194"/>
    <x v="0"/>
    <x v="2"/>
    <x v="0"/>
    <n v="0.41666666666666669"/>
    <s v="No"/>
    <m/>
  </r>
  <r>
    <n v="23.233333333333334"/>
    <d v="2013-12-04T00:00:00"/>
    <x v="0"/>
    <s v="UNHCR"/>
    <s v="Kachin"/>
    <s v="Bhamo"/>
    <s v="Robert Church"/>
    <m/>
    <m/>
    <m/>
    <m/>
    <m/>
    <n v="120"/>
    <m/>
    <m/>
    <m/>
    <m/>
    <m/>
    <m/>
    <m/>
    <m/>
    <m/>
    <n v="0"/>
    <n v="0"/>
    <n v="0"/>
    <n v="0"/>
    <n v="0"/>
    <n v="0"/>
    <n v="0"/>
    <n v="0"/>
    <n v="0"/>
    <n v="0"/>
    <n v="0"/>
    <n v="0"/>
    <n v="0"/>
    <n v="0"/>
    <x v="0"/>
    <n v="0"/>
    <s v="MMR001CMP047"/>
    <x v="0"/>
    <x v="0"/>
    <x v="0"/>
    <n v="0"/>
    <s v="No"/>
    <m/>
  </r>
  <r>
    <n v="23.233333333333334"/>
    <d v="2013-12-04T00:00:00"/>
    <x v="0"/>
    <s v="UNHCR"/>
    <s v="Kachin"/>
    <s v="Bhamo"/>
    <s v="Robert Church"/>
    <m/>
    <m/>
    <m/>
    <m/>
    <n v="5"/>
    <m/>
    <m/>
    <m/>
    <m/>
    <m/>
    <m/>
    <m/>
    <m/>
    <m/>
    <m/>
    <n v="0"/>
    <n v="0"/>
    <n v="0"/>
    <n v="0"/>
    <n v="0"/>
    <n v="0"/>
    <n v="0"/>
    <n v="0"/>
    <n v="0"/>
    <n v="0"/>
    <n v="0"/>
    <n v="0"/>
    <n v="0"/>
    <n v="0"/>
    <x v="0"/>
    <n v="0"/>
    <s v="MMR001CMP047"/>
    <x v="0"/>
    <x v="0"/>
    <x v="0"/>
    <n v="0"/>
    <s v="No"/>
    <m/>
  </r>
  <r>
    <n v="23.266666666666666"/>
    <d v="2013-12-03T00:00:00"/>
    <x v="5"/>
    <s v="KBC"/>
    <s v="Kachin"/>
    <s v="Waingmaw"/>
    <s v="Border Post 8"/>
    <m/>
    <m/>
    <m/>
    <m/>
    <m/>
    <m/>
    <m/>
    <m/>
    <m/>
    <m/>
    <n v="181"/>
    <n v="362"/>
    <n v="1086"/>
    <n v="543"/>
    <m/>
    <n v="0"/>
    <n v="0"/>
    <n v="0"/>
    <n v="0"/>
    <n v="0"/>
    <n v="0"/>
    <n v="0"/>
    <n v="0"/>
    <n v="0"/>
    <n v="0"/>
    <n v="0"/>
    <n v="0"/>
    <n v="0"/>
    <n v="0"/>
    <x v="1"/>
    <n v="0"/>
    <s v="MMR001CMP113"/>
    <x v="0"/>
    <x v="0"/>
    <x v="3"/>
    <n v="0"/>
    <m/>
    <m/>
  </r>
  <r>
    <n v="23.266666666666666"/>
    <d v="2013-12-03T00:00:00"/>
    <x v="0"/>
    <s v="UNHCR"/>
    <s v="Kachin"/>
    <s v="Momauk"/>
    <s v="Momauk Baptist Church"/>
    <m/>
    <m/>
    <m/>
    <n v="25"/>
    <n v="13"/>
    <n v="25"/>
    <n v="13"/>
    <n v="13"/>
    <m/>
    <m/>
    <m/>
    <m/>
    <m/>
    <m/>
    <m/>
    <n v="0"/>
    <n v="0"/>
    <n v="0"/>
    <n v="0"/>
    <n v="0"/>
    <n v="0"/>
    <n v="0"/>
    <n v="0"/>
    <n v="0"/>
    <n v="0"/>
    <n v="0"/>
    <n v="0"/>
    <n v="0"/>
    <n v="0"/>
    <x v="0"/>
    <n v="0"/>
    <s v="MMR001CMP056"/>
    <x v="0"/>
    <x v="0"/>
    <x v="0"/>
    <n v="6.280193236714976E-2"/>
    <s v="No"/>
    <m/>
  </r>
  <r>
    <n v="23.3"/>
    <d v="2013-12-02T00:00:00"/>
    <x v="5"/>
    <s v="KBC"/>
    <s v="Kachin"/>
    <s v="Waingmaw"/>
    <s v="Post 6 Camp"/>
    <m/>
    <m/>
    <m/>
    <m/>
    <m/>
    <m/>
    <m/>
    <m/>
    <m/>
    <m/>
    <n v="124"/>
    <n v="248"/>
    <n v="744"/>
    <n v="372"/>
    <m/>
    <n v="0"/>
    <n v="0"/>
    <n v="0"/>
    <n v="0"/>
    <n v="0"/>
    <n v="0"/>
    <n v="0"/>
    <n v="0"/>
    <n v="0"/>
    <n v="0"/>
    <n v="0"/>
    <n v="0"/>
    <n v="0"/>
    <n v="0"/>
    <x v="1"/>
    <n v="0"/>
    <s v="MMR001CMP160"/>
    <x v="0"/>
    <x v="0"/>
    <x v="3"/>
    <n v="0"/>
    <m/>
    <m/>
  </r>
  <r>
    <n v="23.333333333333332"/>
    <d v="2013-12-01T00:00:00"/>
    <x v="0"/>
    <s v="UNHCR"/>
    <s v="Kachin"/>
    <s v="Bhamo"/>
    <s v="Robert Church"/>
    <m/>
    <m/>
    <m/>
    <m/>
    <m/>
    <n v="30"/>
    <m/>
    <m/>
    <m/>
    <m/>
    <m/>
    <m/>
    <m/>
    <m/>
    <m/>
    <n v="0"/>
    <n v="0"/>
    <n v="0"/>
    <n v="0"/>
    <n v="0"/>
    <n v="0"/>
    <n v="0"/>
    <n v="0"/>
    <n v="0"/>
    <n v="0"/>
    <n v="0"/>
    <n v="0"/>
    <n v="0"/>
    <n v="0"/>
    <x v="0"/>
    <n v="0"/>
    <s v="MMR001CMP047"/>
    <x v="0"/>
    <x v="0"/>
    <x v="0"/>
    <n v="0"/>
    <s v="No"/>
    <m/>
  </r>
  <r>
    <n v="23.366666666666667"/>
    <d v="2013-11-30T00:00:00"/>
    <x v="8"/>
    <s v="MDCG"/>
    <s v="Kachin"/>
    <s v="Shwegu"/>
    <s v="Shwe Gu Baptist Church"/>
    <m/>
    <m/>
    <m/>
    <m/>
    <m/>
    <n v="197"/>
    <m/>
    <m/>
    <m/>
    <m/>
    <n v="226"/>
    <n v="68"/>
    <n v="0"/>
    <m/>
    <m/>
    <n v="0"/>
    <n v="0"/>
    <n v="0"/>
    <n v="0"/>
    <n v="0"/>
    <n v="0"/>
    <n v="0"/>
    <n v="0"/>
    <n v="0"/>
    <n v="0"/>
    <n v="0"/>
    <n v="0"/>
    <n v="0"/>
    <n v="0"/>
    <x v="1"/>
    <n v="0"/>
    <s v="MMR001CMP067"/>
    <x v="0"/>
    <x v="0"/>
    <x v="0"/>
    <n v="0"/>
    <s v="No"/>
    <m/>
  </r>
  <r>
    <n v="23.366666666666667"/>
    <d v="2013-11-30T00:00:00"/>
    <x v="5"/>
    <m/>
    <s v="Kachin"/>
    <s v="Shwegu"/>
    <s v="Shwe Gu Baptist Church"/>
    <m/>
    <m/>
    <m/>
    <m/>
    <m/>
    <m/>
    <m/>
    <m/>
    <m/>
    <n v="204"/>
    <m/>
    <m/>
    <m/>
    <m/>
    <m/>
    <n v="0"/>
    <n v="0"/>
    <n v="0"/>
    <n v="0"/>
    <n v="0"/>
    <n v="0"/>
    <n v="0"/>
    <n v="0"/>
    <n v="0"/>
    <n v="0"/>
    <n v="0"/>
    <n v="0"/>
    <n v="0"/>
    <n v="0"/>
    <x v="0"/>
    <n v="0"/>
    <s v="MMR001CMP067"/>
    <x v="0"/>
    <x v="0"/>
    <x v="0"/>
    <n v="0"/>
    <s v="No"/>
    <m/>
  </r>
  <r>
    <n v="23.366666666666667"/>
    <d v="2013-11-30T00:00:00"/>
    <x v="8"/>
    <s v="MDCG"/>
    <s v="Kachin"/>
    <s v="Shwegu"/>
    <s v="Shwe Gu Catholic Church"/>
    <m/>
    <m/>
    <m/>
    <m/>
    <m/>
    <n v="142"/>
    <m/>
    <m/>
    <m/>
    <m/>
    <n v="182"/>
    <n v="60"/>
    <n v="0"/>
    <m/>
    <m/>
    <n v="0"/>
    <n v="0"/>
    <n v="0"/>
    <n v="0"/>
    <n v="0"/>
    <n v="0"/>
    <n v="0"/>
    <n v="0"/>
    <n v="0"/>
    <n v="0"/>
    <n v="0"/>
    <n v="0"/>
    <n v="0"/>
    <n v="0"/>
    <x v="1"/>
    <n v="0"/>
    <s v="MMR001CMP068"/>
    <x v="0"/>
    <x v="0"/>
    <x v="0"/>
    <n v="0"/>
    <s v="No"/>
    <m/>
  </r>
  <r>
    <n v="23.366666666666667"/>
    <d v="2013-11-30T00:00:00"/>
    <x v="5"/>
    <m/>
    <s v="Kachin"/>
    <s v="Shwegu"/>
    <s v="Shwe Gu Catholic Church"/>
    <m/>
    <m/>
    <m/>
    <m/>
    <m/>
    <m/>
    <m/>
    <m/>
    <m/>
    <n v="126"/>
    <m/>
    <m/>
    <m/>
    <m/>
    <m/>
    <n v="0"/>
    <n v="0"/>
    <n v="0"/>
    <n v="0"/>
    <n v="0"/>
    <n v="0"/>
    <n v="0"/>
    <n v="0"/>
    <n v="0"/>
    <n v="0"/>
    <n v="0"/>
    <n v="0"/>
    <n v="0"/>
    <n v="0"/>
    <x v="0"/>
    <n v="0"/>
    <s v="MMR001CMP068"/>
    <x v="0"/>
    <x v="0"/>
    <x v="0"/>
    <n v="0"/>
    <s v="No"/>
    <m/>
  </r>
  <r>
    <n v="23.366666666666667"/>
    <d v="2013-11-30T00:00:00"/>
    <x v="8"/>
    <s v="MDCG"/>
    <s v="Kachin"/>
    <s v="Bhamo"/>
    <s v="AD-2000 Tharthana Compound"/>
    <m/>
    <m/>
    <m/>
    <m/>
    <m/>
    <n v="104"/>
    <m/>
    <m/>
    <m/>
    <m/>
    <n v="146"/>
    <n v="39"/>
    <n v="0"/>
    <m/>
    <m/>
    <n v="0"/>
    <n v="0"/>
    <n v="0"/>
    <n v="0"/>
    <n v="0"/>
    <n v="0"/>
    <n v="0"/>
    <n v="0"/>
    <n v="0"/>
    <n v="0"/>
    <n v="0"/>
    <n v="0"/>
    <n v="0"/>
    <n v="0"/>
    <x v="1"/>
    <n v="0"/>
    <s v="MMR001CMP050"/>
    <x v="0"/>
    <x v="0"/>
    <x v="0"/>
    <n v="0"/>
    <s v="No"/>
    <m/>
  </r>
  <r>
    <n v="23.366666666666667"/>
    <d v="2013-11-30T00:00:00"/>
    <x v="5"/>
    <m/>
    <s v="Kachin"/>
    <s v="Bhamo"/>
    <s v="AD-2000 Tharthana Compound"/>
    <m/>
    <m/>
    <m/>
    <m/>
    <m/>
    <m/>
    <m/>
    <m/>
    <m/>
    <n v="660"/>
    <m/>
    <m/>
    <m/>
    <m/>
    <m/>
    <n v="0"/>
    <n v="0"/>
    <n v="0"/>
    <n v="0"/>
    <n v="0"/>
    <n v="0"/>
    <n v="0"/>
    <n v="0"/>
    <n v="0"/>
    <n v="0"/>
    <n v="0"/>
    <n v="0"/>
    <n v="0"/>
    <n v="0"/>
    <x v="0"/>
    <n v="0"/>
    <s v="MMR001CMP050"/>
    <x v="0"/>
    <x v="0"/>
    <x v="0"/>
    <n v="0"/>
    <s v="No"/>
    <m/>
  </r>
  <r>
    <n v="23.366666666666667"/>
    <d v="2013-11-30T00:00:00"/>
    <x v="0"/>
    <s v="UNHCR"/>
    <s v="Kachin"/>
    <s v="Bhamo"/>
    <s v="AD-2000 Tharthana Compound"/>
    <m/>
    <m/>
    <m/>
    <n v="6"/>
    <n v="6"/>
    <n v="6"/>
    <n v="6"/>
    <n v="6"/>
    <m/>
    <m/>
    <m/>
    <m/>
    <m/>
    <m/>
    <m/>
    <n v="0"/>
    <n v="0"/>
    <n v="0"/>
    <n v="0"/>
    <n v="0"/>
    <n v="0"/>
    <n v="0"/>
    <n v="0"/>
    <n v="0"/>
    <n v="0"/>
    <n v="0"/>
    <n v="0"/>
    <n v="0"/>
    <n v="0"/>
    <x v="0"/>
    <n v="0"/>
    <s v="MMR001CMP050"/>
    <x v="0"/>
    <x v="0"/>
    <x v="0"/>
    <n v="1.9933554817275746E-2"/>
    <s v="No"/>
    <m/>
  </r>
  <r>
    <n v="23.366666666666667"/>
    <d v="2013-11-30T00:00:00"/>
    <x v="5"/>
    <m/>
    <s v="Kachin"/>
    <s v="Bhamo"/>
    <s v="Aung Thar Church"/>
    <m/>
    <m/>
    <m/>
    <m/>
    <m/>
    <m/>
    <m/>
    <m/>
    <m/>
    <m/>
    <m/>
    <m/>
    <m/>
    <m/>
    <m/>
    <n v="0"/>
    <n v="0"/>
    <n v="0"/>
    <n v="0"/>
    <n v="0"/>
    <n v="0"/>
    <n v="0"/>
    <n v="0"/>
    <n v="0"/>
    <n v="0"/>
    <n v="0"/>
    <n v="0"/>
    <n v="0"/>
    <n v="0"/>
    <x v="0"/>
    <n v="0"/>
    <s v="MMR001CMP194"/>
    <x v="0"/>
    <x v="2"/>
    <x v="0"/>
    <n v="0"/>
    <s v="No"/>
    <m/>
  </r>
  <r>
    <n v="23.366666666666667"/>
    <d v="2013-11-30T00:00:00"/>
    <x v="5"/>
    <s v="KBC"/>
    <s v="Kachin"/>
    <s v="Waingmaw"/>
    <s v="Border Post 8"/>
    <m/>
    <m/>
    <m/>
    <m/>
    <m/>
    <m/>
    <m/>
    <m/>
    <m/>
    <m/>
    <m/>
    <m/>
    <m/>
    <m/>
    <m/>
    <n v="0"/>
    <n v="0"/>
    <n v="0"/>
    <n v="0"/>
    <n v="0"/>
    <n v="0"/>
    <n v="0"/>
    <n v="0"/>
    <n v="0"/>
    <n v="0"/>
    <n v="0"/>
    <n v="0"/>
    <n v="0"/>
    <n v="0"/>
    <x v="0"/>
    <n v="0"/>
    <s v="MMR001CMP113"/>
    <x v="0"/>
    <x v="0"/>
    <x v="3"/>
    <n v="0"/>
    <s v="No"/>
    <m/>
  </r>
  <r>
    <n v="23.366666666666667"/>
    <d v="2013-11-30T00:00:00"/>
    <x v="8"/>
    <s v="MDCG"/>
    <s v="Kachin"/>
    <s v="Mansi"/>
    <s v="Bum Tsit Pa "/>
    <m/>
    <m/>
    <m/>
    <m/>
    <m/>
    <n v="819"/>
    <m/>
    <m/>
    <m/>
    <m/>
    <n v="966"/>
    <n v="484"/>
    <n v="0"/>
    <m/>
    <m/>
    <n v="0"/>
    <n v="0"/>
    <n v="0"/>
    <n v="0"/>
    <n v="0"/>
    <n v="0"/>
    <n v="0"/>
    <n v="0"/>
    <n v="0"/>
    <n v="0"/>
    <n v="0"/>
    <n v="0"/>
    <n v="0"/>
    <n v="0"/>
    <x v="1"/>
    <n v="0"/>
    <s v="MMR001CMP129"/>
    <x v="0"/>
    <x v="0"/>
    <x v="4"/>
    <n v="0"/>
    <s v="No"/>
    <m/>
  </r>
  <r>
    <n v="23.366666666666667"/>
    <d v="2013-11-30T00:00:00"/>
    <x v="5"/>
    <s v="KBC"/>
    <s v="Kachin"/>
    <s v="Mansi"/>
    <s v="Bum Tsit Pa "/>
    <m/>
    <m/>
    <m/>
    <m/>
    <m/>
    <m/>
    <m/>
    <m/>
    <m/>
    <n v="321"/>
    <m/>
    <m/>
    <m/>
    <m/>
    <m/>
    <n v="0"/>
    <n v="0"/>
    <n v="0"/>
    <n v="0"/>
    <n v="0"/>
    <n v="0"/>
    <n v="0"/>
    <n v="0"/>
    <n v="0"/>
    <n v="0"/>
    <n v="0"/>
    <n v="0"/>
    <n v="0"/>
    <n v="0"/>
    <x v="0"/>
    <n v="0"/>
    <s v="MMR001CMP129"/>
    <x v="0"/>
    <x v="0"/>
    <x v="4"/>
    <n v="0"/>
    <s v="No"/>
    <m/>
  </r>
  <r>
    <n v="23.366666666666667"/>
    <d v="2013-11-30T00:00:00"/>
    <x v="0"/>
    <s v="UNHCR"/>
    <s v="Kachin"/>
    <s v="Mansi"/>
    <s v="Bum Tsit Pa "/>
    <m/>
    <m/>
    <m/>
    <m/>
    <m/>
    <m/>
    <m/>
    <m/>
    <m/>
    <m/>
    <m/>
    <m/>
    <m/>
    <m/>
    <m/>
    <n v="0"/>
    <n v="0"/>
    <n v="0"/>
    <n v="0"/>
    <n v="0"/>
    <n v="0"/>
    <n v="0"/>
    <n v="0"/>
    <n v="0"/>
    <n v="0"/>
    <n v="0"/>
    <n v="0"/>
    <n v="0"/>
    <n v="0"/>
    <x v="0"/>
    <n v="0"/>
    <s v="MMR001CMP129"/>
    <x v="0"/>
    <x v="0"/>
    <x v="4"/>
    <n v="0"/>
    <s v="No"/>
    <m/>
  </r>
  <r>
    <n v="23.366666666666667"/>
    <d v="2013-11-30T00:00:00"/>
    <x v="5"/>
    <s v="KBC"/>
    <s v="Kachin"/>
    <s v="Momauk"/>
    <s v="Dum Bung "/>
    <m/>
    <m/>
    <m/>
    <m/>
    <m/>
    <m/>
    <m/>
    <m/>
    <m/>
    <m/>
    <m/>
    <m/>
    <m/>
    <m/>
    <m/>
    <n v="0"/>
    <n v="0"/>
    <n v="0"/>
    <n v="0"/>
    <n v="0"/>
    <n v="0"/>
    <n v="0"/>
    <n v="0"/>
    <n v="0"/>
    <n v="0"/>
    <n v="0"/>
    <n v="0"/>
    <n v="0"/>
    <n v="0"/>
    <x v="0"/>
    <n v="0"/>
    <s v="MMR001CMP123"/>
    <x v="0"/>
    <x v="0"/>
    <x v="4"/>
    <n v="0"/>
    <s v="No"/>
    <m/>
  </r>
  <r>
    <n v="23.366666666666667"/>
    <d v="2013-11-30T00:00:00"/>
    <x v="0"/>
    <s v="UNHCR"/>
    <s v="Kachin"/>
    <s v="Momauk"/>
    <s v="Dum Bung "/>
    <m/>
    <m/>
    <m/>
    <m/>
    <m/>
    <m/>
    <m/>
    <m/>
    <m/>
    <m/>
    <m/>
    <m/>
    <m/>
    <m/>
    <m/>
    <n v="0"/>
    <n v="0"/>
    <n v="0"/>
    <n v="0"/>
    <n v="0"/>
    <n v="0"/>
    <n v="0"/>
    <n v="0"/>
    <n v="0"/>
    <n v="0"/>
    <n v="0"/>
    <n v="0"/>
    <n v="0"/>
    <n v="0"/>
    <x v="0"/>
    <n v="0"/>
    <s v="MMR001CMP123"/>
    <x v="0"/>
    <x v="0"/>
    <x v="4"/>
    <n v="0"/>
    <s v="No"/>
    <m/>
  </r>
  <r>
    <n v="23.366666666666667"/>
    <d v="2013-11-30T00:00:00"/>
    <x v="5"/>
    <s v="KBC"/>
    <s v="Kachin"/>
    <s v="Waingmaw"/>
    <s v="Hkat Cho "/>
    <m/>
    <m/>
    <m/>
    <m/>
    <m/>
    <m/>
    <m/>
    <m/>
    <m/>
    <m/>
    <m/>
    <m/>
    <m/>
    <m/>
    <m/>
    <n v="0"/>
    <n v="0"/>
    <n v="0"/>
    <n v="0"/>
    <n v="0"/>
    <n v="0"/>
    <n v="0"/>
    <n v="0"/>
    <n v="0"/>
    <n v="0"/>
    <n v="0"/>
    <n v="0"/>
    <n v="0"/>
    <n v="0"/>
    <x v="0"/>
    <n v="0"/>
    <s v="MMR001CMP028"/>
    <x v="0"/>
    <x v="0"/>
    <x v="0"/>
    <n v="0"/>
    <s v="No"/>
    <m/>
  </r>
  <r>
    <n v="23.366666666666667"/>
    <d v="2013-11-30T00:00:00"/>
    <x v="5"/>
    <s v="KBC"/>
    <s v="Kachin"/>
    <s v="Waingmaw"/>
    <s v="Hkau Shau (BP 12)"/>
    <m/>
    <m/>
    <m/>
    <m/>
    <m/>
    <m/>
    <m/>
    <m/>
    <m/>
    <m/>
    <m/>
    <m/>
    <m/>
    <m/>
    <m/>
    <n v="0"/>
    <n v="0"/>
    <n v="0"/>
    <n v="0"/>
    <n v="0"/>
    <n v="0"/>
    <n v="0"/>
    <n v="0"/>
    <n v="0"/>
    <n v="0"/>
    <n v="0"/>
    <n v="0"/>
    <n v="0"/>
    <n v="0"/>
    <x v="0"/>
    <n v="0"/>
    <s v="MMR001CMP115"/>
    <x v="0"/>
    <x v="0"/>
    <x v="3"/>
    <n v="0"/>
    <s v="No"/>
    <m/>
  </r>
  <r>
    <n v="23.366666666666667"/>
    <d v="2013-11-30T00:00:00"/>
    <x v="5"/>
    <s v="KBC"/>
    <s v="Kachin"/>
    <s v="Momauk"/>
    <s v="Hpun Lum Yang "/>
    <m/>
    <m/>
    <m/>
    <m/>
    <m/>
    <m/>
    <m/>
    <m/>
    <m/>
    <n v="978"/>
    <m/>
    <m/>
    <m/>
    <m/>
    <m/>
    <n v="0"/>
    <n v="0"/>
    <n v="0"/>
    <n v="0"/>
    <n v="0"/>
    <n v="0"/>
    <n v="0"/>
    <n v="0"/>
    <n v="0"/>
    <n v="0"/>
    <n v="0"/>
    <n v="0"/>
    <n v="0"/>
    <n v="0"/>
    <x v="0"/>
    <n v="0"/>
    <s v="MMR001CMP122"/>
    <x v="0"/>
    <x v="0"/>
    <x v="4"/>
    <n v="0"/>
    <s v="No"/>
    <m/>
  </r>
  <r>
    <n v="23.366666666666667"/>
    <d v="2013-11-30T00:00:00"/>
    <x v="8"/>
    <s v="MDCG"/>
    <s v="Kachin"/>
    <s v="Bhamo"/>
    <s v="Htoi San Church"/>
    <m/>
    <m/>
    <m/>
    <m/>
    <m/>
    <n v="105"/>
    <m/>
    <m/>
    <m/>
    <m/>
    <n v="154"/>
    <n v="26"/>
    <n v="0"/>
    <m/>
    <m/>
    <n v="0"/>
    <n v="0"/>
    <n v="0"/>
    <n v="0"/>
    <n v="0"/>
    <n v="0"/>
    <n v="0"/>
    <n v="0"/>
    <n v="0"/>
    <n v="0"/>
    <n v="0"/>
    <n v="0"/>
    <n v="0"/>
    <n v="0"/>
    <x v="1"/>
    <n v="0"/>
    <s v="MMR001CMP052"/>
    <x v="0"/>
    <x v="0"/>
    <x v="0"/>
    <n v="0"/>
    <s v="No"/>
    <m/>
  </r>
  <r>
    <n v="23.366666666666667"/>
    <d v="2013-11-30T00:00:00"/>
    <x v="5"/>
    <m/>
    <s v="Kachin"/>
    <s v="Bhamo"/>
    <s v="Htoi San Church"/>
    <m/>
    <m/>
    <m/>
    <m/>
    <m/>
    <m/>
    <m/>
    <m/>
    <m/>
    <n v="138"/>
    <m/>
    <m/>
    <m/>
    <m/>
    <m/>
    <n v="0"/>
    <n v="0"/>
    <n v="0"/>
    <n v="0"/>
    <n v="0"/>
    <n v="0"/>
    <n v="0"/>
    <n v="0"/>
    <n v="0"/>
    <n v="0"/>
    <n v="0"/>
    <n v="0"/>
    <n v="0"/>
    <n v="0"/>
    <x v="0"/>
    <n v="0"/>
    <s v="MMR001CMP052"/>
    <x v="0"/>
    <x v="0"/>
    <x v="0"/>
    <n v="0"/>
    <s v="No"/>
    <m/>
  </r>
  <r>
    <n v="23.366666666666667"/>
    <d v="2013-11-30T00:00:00"/>
    <x v="5"/>
    <s v="KBC"/>
    <s v="Kachin"/>
    <s v="Momauk"/>
    <s v="Je Yang Hka "/>
    <m/>
    <m/>
    <m/>
    <m/>
    <m/>
    <m/>
    <m/>
    <m/>
    <m/>
    <n v="5268"/>
    <m/>
    <m/>
    <m/>
    <m/>
    <m/>
    <n v="0"/>
    <n v="0"/>
    <n v="0"/>
    <n v="0"/>
    <n v="0"/>
    <n v="0"/>
    <n v="0"/>
    <n v="0"/>
    <n v="0"/>
    <n v="0"/>
    <n v="0"/>
    <n v="0"/>
    <n v="0"/>
    <n v="0"/>
    <x v="0"/>
    <n v="0"/>
    <s v="MMR001CMP121"/>
    <x v="0"/>
    <x v="0"/>
    <x v="4"/>
    <n v="0"/>
    <s v="No"/>
    <m/>
  </r>
  <r>
    <n v="23.366666666666667"/>
    <d v="2013-11-30T00:00:00"/>
    <x v="8"/>
    <s v="MDCG"/>
    <s v="Kachin"/>
    <s v="Mansi"/>
    <s v="Lagatyan "/>
    <m/>
    <m/>
    <m/>
    <m/>
    <m/>
    <n v="447"/>
    <m/>
    <m/>
    <m/>
    <m/>
    <n v="398"/>
    <n v="390"/>
    <n v="0"/>
    <m/>
    <m/>
    <n v="0"/>
    <n v="0"/>
    <n v="0"/>
    <n v="0"/>
    <n v="0"/>
    <n v="0"/>
    <n v="0"/>
    <n v="0"/>
    <n v="0"/>
    <n v="0"/>
    <n v="0"/>
    <n v="0"/>
    <n v="0"/>
    <n v="0"/>
    <x v="1"/>
    <n v="0"/>
    <s v="MMR001CMP202"/>
    <x v="0"/>
    <x v="2"/>
    <x v="0"/>
    <s v=""/>
    <s v="No"/>
    <m/>
  </r>
  <r>
    <n v="23.366666666666667"/>
    <d v="2013-11-30T00:00:00"/>
    <x v="5"/>
    <m/>
    <s v="Kachin"/>
    <s v="Mansi"/>
    <s v="Lagatyan "/>
    <m/>
    <m/>
    <m/>
    <m/>
    <m/>
    <m/>
    <m/>
    <m/>
    <m/>
    <m/>
    <m/>
    <m/>
    <m/>
    <m/>
    <m/>
    <n v="0"/>
    <n v="0"/>
    <n v="0"/>
    <n v="0"/>
    <n v="0"/>
    <n v="0"/>
    <n v="0"/>
    <n v="0"/>
    <n v="0"/>
    <n v="0"/>
    <n v="0"/>
    <n v="0"/>
    <n v="0"/>
    <n v="0"/>
    <x v="0"/>
    <n v="0"/>
    <s v="MMR001CMP202"/>
    <x v="0"/>
    <x v="2"/>
    <x v="0"/>
    <s v=""/>
    <s v="No"/>
    <m/>
  </r>
  <r>
    <n v="23.366666666666667"/>
    <d v="2013-11-30T00:00:00"/>
    <x v="5"/>
    <s v="KBC"/>
    <s v="Kachin"/>
    <s v="Waingmaw"/>
    <s v="Laiza Market 3 - Laiza Gat"/>
    <m/>
    <m/>
    <m/>
    <m/>
    <m/>
    <m/>
    <m/>
    <m/>
    <m/>
    <n v="729"/>
    <m/>
    <m/>
    <m/>
    <m/>
    <m/>
    <n v="0"/>
    <n v="0"/>
    <n v="0"/>
    <n v="0"/>
    <n v="0"/>
    <n v="0"/>
    <n v="0"/>
    <n v="0"/>
    <n v="0"/>
    <n v="0"/>
    <n v="0"/>
    <n v="0"/>
    <n v="0"/>
    <n v="0"/>
    <x v="0"/>
    <n v="0"/>
    <s v="MMR001CMP117"/>
    <x v="0"/>
    <x v="2"/>
    <x v="4"/>
    <s v=""/>
    <s v="No"/>
    <m/>
  </r>
  <r>
    <n v="23.366666666666667"/>
    <d v="2013-11-30T00:00:00"/>
    <x v="5"/>
    <s v="LDO"/>
    <s v="Kachin"/>
    <s v="Mansi"/>
    <s v="Lana Zup Ja "/>
    <m/>
    <m/>
    <m/>
    <m/>
    <m/>
    <m/>
    <m/>
    <m/>
    <m/>
    <m/>
    <m/>
    <m/>
    <m/>
    <m/>
    <m/>
    <n v="0"/>
    <n v="0"/>
    <n v="0"/>
    <n v="0"/>
    <n v="0"/>
    <n v="0"/>
    <n v="0"/>
    <n v="0"/>
    <n v="0"/>
    <n v="0"/>
    <n v="0"/>
    <n v="0"/>
    <n v="0"/>
    <n v="0"/>
    <x v="0"/>
    <n v="0"/>
    <s v="MMR001CMP128"/>
    <x v="0"/>
    <x v="0"/>
    <x v="4"/>
    <n v="0"/>
    <s v="No"/>
    <m/>
  </r>
  <r>
    <n v="23.366666666666667"/>
    <d v="2013-11-30T00:00:00"/>
    <x v="0"/>
    <s v="UNHCR"/>
    <s v="Kachin"/>
    <s v="Mansi"/>
    <s v="Lana Zup Ja "/>
    <m/>
    <m/>
    <m/>
    <m/>
    <m/>
    <m/>
    <m/>
    <m/>
    <m/>
    <m/>
    <m/>
    <m/>
    <m/>
    <m/>
    <m/>
    <n v="0"/>
    <n v="0"/>
    <n v="0"/>
    <n v="0"/>
    <n v="0"/>
    <n v="0"/>
    <n v="0"/>
    <n v="0"/>
    <n v="0"/>
    <n v="0"/>
    <n v="0"/>
    <n v="0"/>
    <n v="0"/>
    <n v="0"/>
    <x v="0"/>
    <n v="0"/>
    <s v="MMR001CMP128"/>
    <x v="0"/>
    <x v="0"/>
    <x v="4"/>
    <n v="0"/>
    <s v="No"/>
    <m/>
  </r>
  <r>
    <n v="23.366666666666667"/>
    <d v="2013-11-30T00:00:00"/>
    <x v="5"/>
    <s v="KBC"/>
    <s v="Kachin"/>
    <s v="Chipwi"/>
    <s v="Lhaovao Baptist Church (LBC)"/>
    <m/>
    <m/>
    <m/>
    <m/>
    <m/>
    <m/>
    <m/>
    <m/>
    <m/>
    <m/>
    <m/>
    <m/>
    <m/>
    <m/>
    <m/>
    <n v="0"/>
    <n v="0"/>
    <n v="0"/>
    <n v="0"/>
    <n v="0"/>
    <n v="0"/>
    <n v="0"/>
    <n v="0"/>
    <n v="0"/>
    <n v="0"/>
    <n v="0"/>
    <n v="0"/>
    <n v="0"/>
    <n v="0"/>
    <x v="0"/>
    <n v="0"/>
    <s v="MMR001CMP195"/>
    <x v="0"/>
    <x v="0"/>
    <x v="3"/>
    <n v="0"/>
    <s v="No"/>
    <m/>
  </r>
  <r>
    <n v="23.366666666666667"/>
    <d v="2013-11-30T00:00:00"/>
    <x v="8"/>
    <s v="MDCG"/>
    <s v="Kachin"/>
    <s v="Bhamo"/>
    <s v="Lisu Boarding-House"/>
    <m/>
    <m/>
    <m/>
    <m/>
    <m/>
    <n v="206"/>
    <m/>
    <m/>
    <m/>
    <m/>
    <n v="242"/>
    <n v="156"/>
    <n v="0"/>
    <m/>
    <m/>
    <n v="0"/>
    <n v="0"/>
    <n v="0"/>
    <n v="0"/>
    <n v="0"/>
    <n v="0"/>
    <n v="0"/>
    <n v="0"/>
    <n v="0"/>
    <n v="0"/>
    <n v="0"/>
    <n v="0"/>
    <n v="0"/>
    <n v="0"/>
    <x v="1"/>
    <n v="0"/>
    <s v="MMR001CMP049"/>
    <x v="0"/>
    <x v="0"/>
    <x v="0"/>
    <n v="0"/>
    <s v="No"/>
    <m/>
  </r>
  <r>
    <n v="23.366666666666667"/>
    <d v="2013-11-30T00:00:00"/>
    <x v="5"/>
    <m/>
    <s v="Kachin"/>
    <s v="Bhamo"/>
    <s v="Lisu Boarding-House"/>
    <m/>
    <m/>
    <m/>
    <m/>
    <m/>
    <m/>
    <m/>
    <m/>
    <m/>
    <n v="120"/>
    <m/>
    <m/>
    <m/>
    <m/>
    <m/>
    <n v="0"/>
    <n v="0"/>
    <n v="0"/>
    <n v="0"/>
    <n v="0"/>
    <n v="0"/>
    <n v="0"/>
    <n v="0"/>
    <n v="0"/>
    <n v="0"/>
    <n v="0"/>
    <n v="0"/>
    <n v="0"/>
    <n v="0"/>
    <x v="0"/>
    <n v="0"/>
    <s v="MMR001CMP049"/>
    <x v="0"/>
    <x v="0"/>
    <x v="0"/>
    <n v="0"/>
    <s v="No"/>
    <m/>
  </r>
  <r>
    <n v="23.366666666666667"/>
    <d v="2013-11-30T00:00:00"/>
    <x v="5"/>
    <m/>
    <s v="Kachin"/>
    <s v="Momauk"/>
    <s v="Loi Je Baptist Church"/>
    <m/>
    <m/>
    <m/>
    <m/>
    <m/>
    <m/>
    <m/>
    <m/>
    <m/>
    <n v="105"/>
    <m/>
    <m/>
    <m/>
    <m/>
    <m/>
    <n v="0"/>
    <n v="0"/>
    <n v="0"/>
    <n v="0"/>
    <n v="0"/>
    <n v="0"/>
    <n v="0"/>
    <n v="0"/>
    <n v="0"/>
    <n v="0"/>
    <n v="0"/>
    <n v="0"/>
    <n v="0"/>
    <n v="0"/>
    <x v="0"/>
    <n v="0"/>
    <s v="MMR001CMP071"/>
    <x v="0"/>
    <x v="0"/>
    <x v="2"/>
    <n v="0"/>
    <s v="No"/>
    <m/>
  </r>
  <r>
    <n v="23.366666666666667"/>
    <d v="2013-11-30T00:00:00"/>
    <x v="5"/>
    <m/>
    <s v="Kachin"/>
    <s v="Momauk"/>
    <s v="Loi Je Catholic Church"/>
    <m/>
    <m/>
    <m/>
    <m/>
    <m/>
    <m/>
    <m/>
    <m/>
    <m/>
    <n v="246"/>
    <m/>
    <m/>
    <m/>
    <m/>
    <m/>
    <n v="0"/>
    <n v="0"/>
    <n v="0"/>
    <n v="0"/>
    <n v="0"/>
    <n v="0"/>
    <n v="0"/>
    <n v="0"/>
    <n v="0"/>
    <n v="0"/>
    <n v="0"/>
    <n v="0"/>
    <n v="0"/>
    <n v="0"/>
    <x v="0"/>
    <n v="0"/>
    <s v="MMR001CMP069"/>
    <x v="0"/>
    <x v="0"/>
    <x v="2"/>
    <n v="0"/>
    <s v="No"/>
    <m/>
  </r>
  <r>
    <n v="23.366666666666667"/>
    <d v="2013-11-30T00:00:00"/>
    <x v="5"/>
    <m/>
    <s v="Kachin"/>
    <s v="Momauk"/>
    <s v="Loi Je Lisu Camp"/>
    <m/>
    <m/>
    <m/>
    <m/>
    <m/>
    <m/>
    <m/>
    <m/>
    <m/>
    <n v="369"/>
    <m/>
    <m/>
    <m/>
    <m/>
    <m/>
    <n v="0"/>
    <n v="0"/>
    <n v="0"/>
    <n v="0"/>
    <n v="0"/>
    <n v="0"/>
    <n v="0"/>
    <n v="0"/>
    <n v="0"/>
    <n v="0"/>
    <n v="0"/>
    <n v="0"/>
    <n v="0"/>
    <n v="0"/>
    <x v="0"/>
    <n v="0"/>
    <s v="MMR001CMP070"/>
    <x v="0"/>
    <x v="0"/>
    <x v="2"/>
    <n v="0"/>
    <s v="No"/>
    <m/>
  </r>
  <r>
    <n v="23.366666666666667"/>
    <d v="2013-11-30T00:00:00"/>
    <x v="5"/>
    <s v="LDO"/>
    <s v="Kachin"/>
    <s v="Mansi"/>
    <s v="Lung Kawk  ( Hka Hkye Zup)"/>
    <m/>
    <m/>
    <m/>
    <m/>
    <m/>
    <m/>
    <m/>
    <m/>
    <m/>
    <m/>
    <m/>
    <m/>
    <m/>
    <m/>
    <m/>
    <n v="0"/>
    <n v="0"/>
    <n v="0"/>
    <n v="0"/>
    <n v="0"/>
    <n v="0"/>
    <n v="0"/>
    <n v="0"/>
    <n v="0"/>
    <n v="0"/>
    <n v="0"/>
    <n v="0"/>
    <n v="0"/>
    <n v="0"/>
    <x v="0"/>
    <n v="0"/>
    <s v="MMR001CMP135"/>
    <x v="0"/>
    <x v="2"/>
    <x v="4"/>
    <s v=""/>
    <s v="No"/>
    <m/>
  </r>
  <r>
    <n v="23.366666666666667"/>
    <d v="2013-11-30T00:00:00"/>
    <x v="5"/>
    <s v="KBC"/>
    <s v="Kachin"/>
    <s v="Waingmaw"/>
    <s v="Mading Baptist Church"/>
    <m/>
    <m/>
    <m/>
    <m/>
    <m/>
    <m/>
    <m/>
    <m/>
    <m/>
    <m/>
    <m/>
    <m/>
    <m/>
    <m/>
    <m/>
    <n v="0"/>
    <n v="0"/>
    <n v="0"/>
    <n v="0"/>
    <n v="0"/>
    <n v="0"/>
    <n v="0"/>
    <n v="0"/>
    <n v="0"/>
    <n v="0"/>
    <n v="0"/>
    <n v="0"/>
    <n v="0"/>
    <n v="0"/>
    <x v="0"/>
    <n v="0"/>
    <s v="MMR001CMP027"/>
    <x v="0"/>
    <x v="0"/>
    <x v="0"/>
    <n v="0"/>
    <s v="No"/>
    <m/>
  </r>
  <r>
    <n v="23.366666666666667"/>
    <d v="2013-11-30T00:00:00"/>
    <x v="5"/>
    <s v="KBC"/>
    <s v="Kachin"/>
    <s v="Waingmaw"/>
    <s v="Maga Yang "/>
    <m/>
    <m/>
    <m/>
    <m/>
    <m/>
    <m/>
    <m/>
    <m/>
    <m/>
    <m/>
    <m/>
    <m/>
    <m/>
    <m/>
    <m/>
    <n v="0"/>
    <n v="0"/>
    <n v="0"/>
    <n v="0"/>
    <n v="0"/>
    <n v="0"/>
    <n v="0"/>
    <n v="0"/>
    <n v="0"/>
    <n v="0"/>
    <n v="0"/>
    <n v="0"/>
    <n v="0"/>
    <n v="0"/>
    <x v="0"/>
    <n v="0"/>
    <s v="MMR001CMP119"/>
    <x v="0"/>
    <x v="0"/>
    <x v="4"/>
    <n v="0"/>
    <s v="No"/>
    <m/>
  </r>
  <r>
    <n v="23.366666666666667"/>
    <d v="2013-11-30T00:00:00"/>
    <x v="5"/>
    <s v="KBC"/>
    <s v="Kachin"/>
    <s v="Waingmaw"/>
    <s v="Maina AG Church"/>
    <m/>
    <m/>
    <m/>
    <m/>
    <m/>
    <m/>
    <m/>
    <m/>
    <m/>
    <m/>
    <m/>
    <m/>
    <m/>
    <m/>
    <m/>
    <n v="0"/>
    <n v="0"/>
    <n v="0"/>
    <n v="0"/>
    <n v="0"/>
    <n v="0"/>
    <n v="0"/>
    <n v="0"/>
    <n v="0"/>
    <n v="0"/>
    <n v="0"/>
    <n v="0"/>
    <n v="0"/>
    <n v="0"/>
    <x v="0"/>
    <n v="0"/>
    <s v="MMR001CMP031"/>
    <x v="0"/>
    <x v="0"/>
    <x v="0"/>
    <n v="0"/>
    <s v="No"/>
    <m/>
  </r>
  <r>
    <n v="23.366666666666667"/>
    <d v="2013-11-30T00:00:00"/>
    <x v="5"/>
    <s v="KBC"/>
    <s v="Kachin"/>
    <s v="Waingmaw"/>
    <s v="Maina KBC (Bawng Ring)"/>
    <m/>
    <m/>
    <m/>
    <m/>
    <m/>
    <m/>
    <m/>
    <m/>
    <m/>
    <m/>
    <m/>
    <m/>
    <m/>
    <m/>
    <m/>
    <n v="0"/>
    <n v="0"/>
    <n v="0"/>
    <n v="0"/>
    <n v="0"/>
    <n v="0"/>
    <n v="0"/>
    <n v="0"/>
    <n v="0"/>
    <n v="0"/>
    <n v="0"/>
    <n v="0"/>
    <n v="0"/>
    <n v="0"/>
    <x v="0"/>
    <n v="0"/>
    <s v="MMR001CMP040"/>
    <x v="0"/>
    <x v="0"/>
    <x v="0"/>
    <n v="0"/>
    <s v="No"/>
    <m/>
  </r>
  <r>
    <n v="23.366666666666667"/>
    <d v="2013-11-30T00:00:00"/>
    <x v="5"/>
    <s v="KBC"/>
    <s v="Kachin"/>
    <s v="Waingmaw"/>
    <s v="Maina Lawang Baptist Church"/>
    <m/>
    <m/>
    <m/>
    <m/>
    <m/>
    <m/>
    <m/>
    <m/>
    <m/>
    <m/>
    <m/>
    <m/>
    <m/>
    <m/>
    <m/>
    <n v="0"/>
    <n v="0"/>
    <n v="0"/>
    <n v="0"/>
    <n v="0"/>
    <n v="0"/>
    <n v="0"/>
    <n v="0"/>
    <n v="0"/>
    <n v="0"/>
    <n v="0"/>
    <n v="0"/>
    <n v="0"/>
    <n v="0"/>
    <x v="0"/>
    <n v="0"/>
    <s v="MMR001CMP039"/>
    <x v="0"/>
    <x v="0"/>
    <x v="0"/>
    <n v="0"/>
    <s v="No"/>
    <m/>
  </r>
  <r>
    <n v="23.366666666666667"/>
    <d v="2013-11-30T00:00:00"/>
    <x v="5"/>
    <m/>
    <s v="Kachin"/>
    <s v="Momauk"/>
    <s v="Man Bung Catholic compound"/>
    <m/>
    <m/>
    <m/>
    <m/>
    <m/>
    <m/>
    <m/>
    <m/>
    <m/>
    <n v="141"/>
    <m/>
    <m/>
    <m/>
    <m/>
    <m/>
    <n v="0"/>
    <n v="0"/>
    <n v="0"/>
    <n v="0"/>
    <n v="0"/>
    <n v="0"/>
    <n v="0"/>
    <n v="0"/>
    <n v="0"/>
    <n v="0"/>
    <n v="0"/>
    <n v="0"/>
    <n v="0"/>
    <n v="0"/>
    <x v="0"/>
    <n v="0"/>
    <s v="MMR001CMP062"/>
    <x v="0"/>
    <x v="0"/>
    <x v="0"/>
    <n v="0"/>
    <s v="No"/>
    <m/>
  </r>
  <r>
    <n v="23.366666666666667"/>
    <d v="2013-11-30T00:00:00"/>
    <x v="8"/>
    <s v="MDCG"/>
    <s v="Kachin"/>
    <s v="Mansi"/>
    <s v="Man Wing Baptist Church"/>
    <m/>
    <m/>
    <m/>
    <m/>
    <m/>
    <n v="347"/>
    <m/>
    <m/>
    <m/>
    <m/>
    <n v="386"/>
    <n v="234"/>
    <n v="0"/>
    <m/>
    <m/>
    <n v="0"/>
    <n v="0"/>
    <n v="0"/>
    <n v="0"/>
    <n v="0"/>
    <n v="0"/>
    <n v="0"/>
    <n v="0"/>
    <n v="0"/>
    <n v="0"/>
    <n v="0"/>
    <n v="0"/>
    <n v="0"/>
    <n v="0"/>
    <x v="1"/>
    <n v="0"/>
    <s v="MMR001CMP133"/>
    <x v="0"/>
    <x v="0"/>
    <x v="0"/>
    <n v="0"/>
    <s v="No"/>
    <m/>
  </r>
  <r>
    <n v="23.366666666666667"/>
    <d v="2013-11-30T00:00:00"/>
    <x v="5"/>
    <m/>
    <s v="Kachin"/>
    <s v="Mansi"/>
    <s v="Man Wing Baptist Church"/>
    <m/>
    <m/>
    <m/>
    <m/>
    <m/>
    <m/>
    <m/>
    <m/>
    <m/>
    <n v="444"/>
    <m/>
    <m/>
    <m/>
    <m/>
    <m/>
    <n v="0"/>
    <n v="0"/>
    <n v="0"/>
    <n v="0"/>
    <n v="0"/>
    <n v="0"/>
    <n v="0"/>
    <n v="0"/>
    <n v="0"/>
    <n v="0"/>
    <n v="0"/>
    <n v="0"/>
    <n v="0"/>
    <n v="0"/>
    <x v="0"/>
    <n v="0"/>
    <s v="MMR001CMP133"/>
    <x v="0"/>
    <x v="0"/>
    <x v="0"/>
    <n v="0"/>
    <s v="No"/>
    <m/>
  </r>
  <r>
    <n v="23.366666666666667"/>
    <d v="2013-11-30T00:00:00"/>
    <x v="8"/>
    <s v="MDCG"/>
    <s v="Kachin"/>
    <s v="Mansi"/>
    <s v="Man Wing Catholic Church"/>
    <m/>
    <m/>
    <m/>
    <m/>
    <m/>
    <n v="770"/>
    <m/>
    <m/>
    <m/>
    <m/>
    <n v="889"/>
    <n v="492"/>
    <n v="0"/>
    <m/>
    <m/>
    <n v="0"/>
    <n v="0"/>
    <n v="0"/>
    <n v="0"/>
    <n v="0"/>
    <n v="0"/>
    <n v="0"/>
    <n v="0"/>
    <n v="0"/>
    <n v="0"/>
    <n v="0"/>
    <n v="0"/>
    <n v="0"/>
    <n v="0"/>
    <x v="1"/>
    <n v="0"/>
    <s v="MMR001CMP132"/>
    <x v="0"/>
    <x v="0"/>
    <x v="0"/>
    <n v="0"/>
    <s v="No"/>
    <m/>
  </r>
  <r>
    <n v="23.366666666666667"/>
    <d v="2013-11-30T00:00:00"/>
    <x v="5"/>
    <m/>
    <s v="Kachin"/>
    <s v="Mansi"/>
    <s v="Man Wing Catholic Church"/>
    <m/>
    <m/>
    <m/>
    <m/>
    <m/>
    <m/>
    <m/>
    <m/>
    <m/>
    <n v="1080"/>
    <m/>
    <m/>
    <m/>
    <m/>
    <m/>
    <n v="0"/>
    <n v="0"/>
    <n v="0"/>
    <n v="0"/>
    <n v="0"/>
    <n v="0"/>
    <n v="0"/>
    <n v="0"/>
    <n v="0"/>
    <n v="0"/>
    <n v="0"/>
    <n v="0"/>
    <n v="0"/>
    <n v="0"/>
    <x v="0"/>
    <n v="0"/>
    <s v="MMR001CMP132"/>
    <x v="0"/>
    <x v="0"/>
    <x v="0"/>
    <n v="0"/>
    <s v="No"/>
    <m/>
  </r>
  <r>
    <n v="23.366666666666667"/>
    <d v="2013-11-30T00:00:00"/>
    <x v="5"/>
    <m/>
    <s v="Kachin"/>
    <s v="Mansi"/>
    <s v="Mansi Baptist Church"/>
    <m/>
    <m/>
    <m/>
    <m/>
    <m/>
    <m/>
    <m/>
    <m/>
    <m/>
    <n v="225"/>
    <m/>
    <m/>
    <m/>
    <m/>
    <m/>
    <n v="0"/>
    <n v="0"/>
    <n v="0"/>
    <n v="0"/>
    <n v="0"/>
    <n v="0"/>
    <n v="0"/>
    <n v="0"/>
    <n v="0"/>
    <n v="0"/>
    <n v="0"/>
    <n v="0"/>
    <n v="0"/>
    <n v="0"/>
    <x v="0"/>
    <n v="0"/>
    <s v="MMR001CMP066"/>
    <x v="0"/>
    <x v="0"/>
    <x v="0"/>
    <n v="0"/>
    <s v="No"/>
    <m/>
  </r>
  <r>
    <n v="23.366666666666667"/>
    <d v="2013-11-30T00:00:00"/>
    <x v="8"/>
    <s v="MDCG"/>
    <s v="Shan_North"/>
    <s v="Kutkai"/>
    <s v="Mine Yu Lay village"/>
    <m/>
    <m/>
    <m/>
    <m/>
    <m/>
    <n v="258"/>
    <m/>
    <m/>
    <m/>
    <m/>
    <n v="349"/>
    <n v="175"/>
    <n v="0"/>
    <m/>
    <m/>
    <n v="0"/>
    <n v="0"/>
    <n v="0"/>
    <n v="0"/>
    <n v="0"/>
    <n v="0"/>
    <n v="0"/>
    <n v="0"/>
    <n v="0"/>
    <n v="0"/>
    <n v="0"/>
    <n v="0"/>
    <n v="0"/>
    <n v="0"/>
    <x v="1"/>
    <n v="0"/>
    <s v="MMR015CMP018"/>
    <x v="0"/>
    <x v="0"/>
    <x v="2"/>
    <n v="0"/>
    <s v="No"/>
    <m/>
  </r>
  <r>
    <n v="23.366666666666667"/>
    <d v="2013-11-30T00:00:00"/>
    <x v="5"/>
    <m/>
    <s v="Kachin"/>
    <s v="Momauk"/>
    <s v="Momauk Baptist Church"/>
    <m/>
    <m/>
    <m/>
    <m/>
    <m/>
    <m/>
    <m/>
    <m/>
    <m/>
    <n v="906"/>
    <m/>
    <m/>
    <m/>
    <m/>
    <m/>
    <n v="0"/>
    <n v="0"/>
    <n v="0"/>
    <n v="0"/>
    <n v="0"/>
    <n v="0"/>
    <n v="0"/>
    <n v="0"/>
    <n v="0"/>
    <n v="0"/>
    <n v="0"/>
    <n v="0"/>
    <n v="0"/>
    <n v="0"/>
    <x v="0"/>
    <n v="0"/>
    <s v="MMR001CMP056"/>
    <x v="0"/>
    <x v="0"/>
    <x v="0"/>
    <n v="0"/>
    <s v="No"/>
    <m/>
  </r>
  <r>
    <n v="23.366666666666667"/>
    <d v="2013-11-30T00:00:00"/>
    <x v="5"/>
    <m/>
    <s v="Kachin"/>
    <s v="Momauk"/>
    <s v="Momauk Catholic Church (St. Patrick)"/>
    <m/>
    <m/>
    <m/>
    <m/>
    <m/>
    <m/>
    <m/>
    <m/>
    <m/>
    <n v="543"/>
    <m/>
    <m/>
    <m/>
    <m/>
    <m/>
    <n v="0"/>
    <n v="0"/>
    <n v="0"/>
    <n v="0"/>
    <n v="0"/>
    <n v="0"/>
    <n v="0"/>
    <n v="0"/>
    <n v="0"/>
    <n v="0"/>
    <n v="0"/>
    <n v="0"/>
    <n v="0"/>
    <n v="0"/>
    <x v="0"/>
    <n v="0"/>
    <s v="MMR001CMP057"/>
    <x v="0"/>
    <x v="2"/>
    <x v="0"/>
    <s v=""/>
    <s v="No"/>
    <m/>
  </r>
  <r>
    <n v="23.366666666666667"/>
    <d v="2013-11-30T00:00:00"/>
    <x v="5"/>
    <s v="KBC"/>
    <s v="Kachin"/>
    <s v="Mansi"/>
    <s v="Nam Lim Pa - Scattered IDPs in forest"/>
    <m/>
    <m/>
    <m/>
    <m/>
    <m/>
    <m/>
    <m/>
    <m/>
    <m/>
    <m/>
    <m/>
    <m/>
    <m/>
    <m/>
    <m/>
    <n v="0"/>
    <n v="0"/>
    <n v="0"/>
    <n v="0"/>
    <n v="0"/>
    <n v="0"/>
    <n v="0"/>
    <n v="0"/>
    <n v="0"/>
    <n v="0"/>
    <n v="0"/>
    <n v="0"/>
    <n v="0"/>
    <n v="0"/>
    <x v="0"/>
    <n v="0"/>
    <s v="MMR001CMP137"/>
    <x v="0"/>
    <x v="2"/>
    <x v="1"/>
    <s v=""/>
    <s v="No"/>
    <m/>
  </r>
  <r>
    <n v="23.366666666666667"/>
    <d v="2013-11-30T00:00:00"/>
    <x v="5"/>
    <m/>
    <s v="Kachin"/>
    <s v="Bhamo"/>
    <s v="Nant Hlaing Church"/>
    <m/>
    <m/>
    <m/>
    <m/>
    <m/>
    <m/>
    <m/>
    <m/>
    <m/>
    <n v="57"/>
    <m/>
    <m/>
    <m/>
    <m/>
    <m/>
    <n v="0"/>
    <n v="0"/>
    <n v="0"/>
    <n v="0"/>
    <n v="0"/>
    <n v="0"/>
    <n v="0"/>
    <n v="0"/>
    <n v="0"/>
    <n v="0"/>
    <n v="0"/>
    <n v="0"/>
    <n v="0"/>
    <n v="0"/>
    <x v="0"/>
    <n v="0"/>
    <s v="MMR001CMP054"/>
    <x v="0"/>
    <x v="0"/>
    <x v="0"/>
    <n v="0"/>
    <s v="No"/>
    <m/>
  </r>
  <r>
    <n v="23.366666666666667"/>
    <d v="2013-11-30T00:00:00"/>
    <x v="8"/>
    <s v="MDCG"/>
    <s v="Shan_North"/>
    <s v="Hseni"/>
    <s v="Narte"/>
    <m/>
    <m/>
    <m/>
    <m/>
    <m/>
    <n v="201"/>
    <m/>
    <m/>
    <m/>
    <m/>
    <n v="266"/>
    <n v="126"/>
    <n v="0"/>
    <m/>
    <m/>
    <n v="0"/>
    <n v="0"/>
    <n v="0"/>
    <n v="0"/>
    <n v="0"/>
    <n v="0"/>
    <n v="0"/>
    <n v="0"/>
    <n v="0"/>
    <n v="0"/>
    <n v="0"/>
    <n v="0"/>
    <n v="0"/>
    <n v="0"/>
    <x v="1"/>
    <n v="0"/>
    <s v="MMR015CMP207"/>
    <x v="0"/>
    <x v="0"/>
    <x v="0"/>
    <n v="0"/>
    <s v="No"/>
    <m/>
  </r>
  <r>
    <n v="23.366666666666667"/>
    <d v="2013-11-30T00:00:00"/>
    <x v="5"/>
    <s v="LDO"/>
    <s v="Kachin"/>
    <s v="Momauk"/>
    <s v="Nhkawng Pa "/>
    <m/>
    <m/>
    <m/>
    <m/>
    <m/>
    <m/>
    <m/>
    <m/>
    <m/>
    <m/>
    <m/>
    <m/>
    <m/>
    <m/>
    <m/>
    <n v="0"/>
    <n v="0"/>
    <n v="0"/>
    <n v="0"/>
    <n v="0"/>
    <n v="0"/>
    <n v="0"/>
    <n v="0"/>
    <n v="0"/>
    <n v="0"/>
    <n v="0"/>
    <n v="0"/>
    <n v="0"/>
    <n v="0"/>
    <x v="0"/>
    <n v="0"/>
    <s v="MMR001CMP131"/>
    <x v="0"/>
    <x v="0"/>
    <x v="3"/>
    <n v="0"/>
    <s v="No"/>
    <m/>
  </r>
  <r>
    <n v="23.366666666666667"/>
    <d v="2013-11-30T00:00:00"/>
    <x v="5"/>
    <m/>
    <s v="Kachin"/>
    <s v="Momauk"/>
    <s v="Ni Thaw Ka Monestry"/>
    <m/>
    <m/>
    <m/>
    <m/>
    <m/>
    <m/>
    <m/>
    <m/>
    <m/>
    <n v="60"/>
    <m/>
    <m/>
    <m/>
    <m/>
    <m/>
    <n v="0"/>
    <n v="0"/>
    <n v="0"/>
    <n v="0"/>
    <n v="0"/>
    <n v="0"/>
    <n v="0"/>
    <n v="0"/>
    <n v="0"/>
    <n v="0"/>
    <n v="0"/>
    <n v="0"/>
    <n v="0"/>
    <n v="0"/>
    <x v="0"/>
    <n v="0"/>
    <s v="MMR001CMP059"/>
    <x v="0"/>
    <x v="0"/>
    <x v="0"/>
    <n v="0"/>
    <s v="No"/>
    <m/>
  </r>
  <r>
    <n v="23.366666666666667"/>
    <d v="2013-11-30T00:00:00"/>
    <x v="5"/>
    <m/>
    <s v="Kachin"/>
    <s v="Momauk"/>
    <s v="Nyaung Na Pin "/>
    <m/>
    <m/>
    <m/>
    <m/>
    <m/>
    <m/>
    <m/>
    <m/>
    <m/>
    <n v="135"/>
    <m/>
    <m/>
    <m/>
    <m/>
    <m/>
    <n v="0"/>
    <n v="0"/>
    <n v="0"/>
    <n v="0"/>
    <n v="0"/>
    <n v="0"/>
    <n v="0"/>
    <n v="0"/>
    <n v="0"/>
    <n v="0"/>
    <n v="0"/>
    <n v="0"/>
    <n v="0"/>
    <n v="0"/>
    <x v="0"/>
    <n v="0"/>
    <s v="MMR001CMP072"/>
    <x v="0"/>
    <x v="0"/>
    <x v="2"/>
    <n v="0"/>
    <s v="No"/>
    <m/>
  </r>
  <r>
    <n v="23.366666666666667"/>
    <d v="2013-11-30T00:00:00"/>
    <x v="5"/>
    <s v="LDO"/>
    <s v="Kachin"/>
    <s v="Momauk"/>
    <s v="Pa Kahtawng "/>
    <m/>
    <m/>
    <m/>
    <m/>
    <m/>
    <m/>
    <m/>
    <m/>
    <m/>
    <m/>
    <m/>
    <m/>
    <m/>
    <m/>
    <m/>
    <n v="0"/>
    <n v="0"/>
    <n v="0"/>
    <n v="0"/>
    <n v="0"/>
    <n v="0"/>
    <n v="0"/>
    <n v="0"/>
    <n v="0"/>
    <n v="0"/>
    <n v="0"/>
    <n v="0"/>
    <n v="0"/>
    <n v="0"/>
    <x v="0"/>
    <n v="0"/>
    <s v="MMR001CMP126"/>
    <x v="0"/>
    <x v="0"/>
    <x v="4"/>
    <n v="0"/>
    <s v="No"/>
    <m/>
  </r>
  <r>
    <n v="23.366666666666667"/>
    <d v="2013-11-30T00:00:00"/>
    <x v="0"/>
    <s v="UNHCR"/>
    <s v="Kachin"/>
    <s v="Momauk"/>
    <s v="Pa Kahtawng "/>
    <m/>
    <m/>
    <m/>
    <m/>
    <m/>
    <m/>
    <m/>
    <m/>
    <m/>
    <m/>
    <m/>
    <m/>
    <m/>
    <m/>
    <m/>
    <n v="0"/>
    <n v="0"/>
    <n v="0"/>
    <n v="0"/>
    <n v="0"/>
    <n v="0"/>
    <n v="0"/>
    <n v="0"/>
    <n v="0"/>
    <n v="0"/>
    <n v="0"/>
    <n v="0"/>
    <n v="0"/>
    <n v="0"/>
    <x v="0"/>
    <n v="0"/>
    <s v="MMR001CMP126"/>
    <x v="0"/>
    <x v="0"/>
    <x v="4"/>
    <n v="0"/>
    <s v="No"/>
    <m/>
  </r>
  <r>
    <n v="23.366666666666667"/>
    <d v="2013-11-30T00:00:00"/>
    <x v="5"/>
    <s v="KBC"/>
    <s v="Kachin"/>
    <s v="Waingmaw"/>
    <s v="Pajau - Jan Mai"/>
    <m/>
    <m/>
    <m/>
    <m/>
    <m/>
    <m/>
    <m/>
    <m/>
    <m/>
    <m/>
    <m/>
    <m/>
    <m/>
    <m/>
    <m/>
    <n v="0"/>
    <n v="0"/>
    <n v="0"/>
    <n v="0"/>
    <n v="0"/>
    <n v="0"/>
    <n v="0"/>
    <n v="0"/>
    <n v="0"/>
    <n v="0"/>
    <n v="0"/>
    <n v="0"/>
    <n v="0"/>
    <n v="0"/>
    <x v="0"/>
    <n v="0"/>
    <s v="MMR001CMP120"/>
    <x v="0"/>
    <x v="0"/>
    <x v="3"/>
    <n v="0"/>
    <s v="No"/>
    <m/>
  </r>
  <r>
    <n v="23.366666666666667"/>
    <d v="2013-11-30T00:00:00"/>
    <x v="8"/>
    <s v="MDCG"/>
    <s v="Kachin"/>
    <s v="Bhamo"/>
    <s v="Phan Khar Kone"/>
    <m/>
    <m/>
    <m/>
    <m/>
    <m/>
    <n v="320"/>
    <m/>
    <m/>
    <m/>
    <m/>
    <n v="234"/>
    <n v="336"/>
    <n v="0"/>
    <m/>
    <m/>
    <n v="0"/>
    <n v="0"/>
    <n v="0"/>
    <n v="0"/>
    <n v="0"/>
    <n v="0"/>
    <n v="0"/>
    <n v="0"/>
    <n v="0"/>
    <n v="0"/>
    <n v="0"/>
    <n v="0"/>
    <n v="0"/>
    <n v="0"/>
    <x v="1"/>
    <n v="0"/>
    <s v="MMR001CMP193"/>
    <x v="0"/>
    <x v="0"/>
    <x v="0"/>
    <n v="0"/>
    <s v="No"/>
    <m/>
  </r>
  <r>
    <n v="23.366666666666667"/>
    <d v="2013-11-30T00:00:00"/>
    <x v="5"/>
    <m/>
    <s v="Kachin"/>
    <s v="Bhamo"/>
    <s v="Phan Khar Kone"/>
    <m/>
    <m/>
    <m/>
    <m/>
    <m/>
    <m/>
    <m/>
    <m/>
    <m/>
    <m/>
    <m/>
    <m/>
    <m/>
    <m/>
    <m/>
    <n v="0"/>
    <n v="0"/>
    <n v="0"/>
    <n v="0"/>
    <n v="0"/>
    <n v="0"/>
    <n v="0"/>
    <n v="0"/>
    <n v="0"/>
    <n v="0"/>
    <n v="0"/>
    <n v="0"/>
    <n v="0"/>
    <n v="0"/>
    <x v="0"/>
    <n v="0"/>
    <s v="MMR001CMP193"/>
    <x v="0"/>
    <x v="0"/>
    <x v="0"/>
    <n v="0"/>
    <s v="No"/>
    <m/>
  </r>
  <r>
    <n v="23.366666666666667"/>
    <d v="2013-11-30T00:00:00"/>
    <x v="5"/>
    <s v="KBC"/>
    <s v="Kachin"/>
    <s v="Waingmaw"/>
    <s v="Post 6 Camp"/>
    <m/>
    <m/>
    <m/>
    <m/>
    <m/>
    <m/>
    <m/>
    <m/>
    <m/>
    <m/>
    <m/>
    <m/>
    <m/>
    <m/>
    <m/>
    <n v="0"/>
    <n v="0"/>
    <n v="0"/>
    <n v="0"/>
    <n v="0"/>
    <n v="0"/>
    <n v="0"/>
    <n v="0"/>
    <n v="0"/>
    <n v="0"/>
    <n v="0"/>
    <n v="0"/>
    <n v="0"/>
    <n v="0"/>
    <x v="0"/>
    <n v="0"/>
    <s v="MMR001CMP160"/>
    <x v="0"/>
    <x v="0"/>
    <x v="3"/>
    <n v="0"/>
    <s v="No"/>
    <m/>
  </r>
  <r>
    <n v="23.366666666666667"/>
    <d v="2013-11-30T00:00:00"/>
    <x v="5"/>
    <s v="KBC"/>
    <s v="Kachin"/>
    <s v="Waingmaw"/>
    <s v="Qtr. 2 Myoma Baptist Church"/>
    <m/>
    <m/>
    <m/>
    <m/>
    <m/>
    <m/>
    <m/>
    <m/>
    <m/>
    <m/>
    <m/>
    <m/>
    <m/>
    <m/>
    <m/>
    <n v="0"/>
    <n v="0"/>
    <n v="0"/>
    <n v="0"/>
    <n v="0"/>
    <n v="0"/>
    <n v="0"/>
    <n v="0"/>
    <n v="0"/>
    <n v="0"/>
    <n v="0"/>
    <n v="0"/>
    <n v="0"/>
    <n v="0"/>
    <x v="0"/>
    <n v="0"/>
    <s v="MMR001CMP025"/>
    <x v="0"/>
    <x v="0"/>
    <x v="0"/>
    <n v="0"/>
    <s v="No"/>
    <m/>
  </r>
  <r>
    <n v="23.366666666666667"/>
    <d v="2013-11-30T00:00:00"/>
    <x v="5"/>
    <s v="KBC"/>
    <s v="Kachin"/>
    <s v="Waingmaw"/>
    <s v="Qtr. 3 Mu-yin  Baptist Church"/>
    <m/>
    <m/>
    <m/>
    <m/>
    <m/>
    <m/>
    <m/>
    <m/>
    <m/>
    <m/>
    <m/>
    <m/>
    <m/>
    <m/>
    <m/>
    <n v="0"/>
    <n v="0"/>
    <n v="0"/>
    <n v="0"/>
    <n v="0"/>
    <n v="0"/>
    <n v="0"/>
    <n v="0"/>
    <n v="0"/>
    <n v="0"/>
    <n v="0"/>
    <n v="0"/>
    <n v="0"/>
    <n v="0"/>
    <x v="0"/>
    <n v="0"/>
    <s v="MMR001CMP030"/>
    <x v="0"/>
    <x v="0"/>
    <x v="0"/>
    <n v="0"/>
    <s v="No"/>
    <m/>
  </r>
  <r>
    <n v="23.366666666666667"/>
    <d v="2013-11-30T00:00:00"/>
    <x v="5"/>
    <s v="KBC"/>
    <s v="Kachin"/>
    <s v="Waingmaw"/>
    <s v="Qtr. 4 Monestry (Thargaya Thayett Taw)"/>
    <m/>
    <m/>
    <m/>
    <m/>
    <m/>
    <m/>
    <m/>
    <m/>
    <m/>
    <m/>
    <m/>
    <m/>
    <m/>
    <m/>
    <m/>
    <n v="0"/>
    <n v="0"/>
    <n v="0"/>
    <n v="0"/>
    <n v="0"/>
    <n v="0"/>
    <n v="0"/>
    <n v="0"/>
    <n v="0"/>
    <n v="0"/>
    <n v="0"/>
    <n v="0"/>
    <n v="0"/>
    <n v="0"/>
    <x v="0"/>
    <n v="0"/>
    <s v="MMR001CMP026"/>
    <x v="0"/>
    <x v="0"/>
    <x v="0"/>
    <n v="0"/>
    <s v="No"/>
    <m/>
  </r>
  <r>
    <n v="23.366666666666667"/>
    <d v="2013-11-30T00:00:00"/>
    <x v="5"/>
    <m/>
    <s v="Kachin"/>
    <s v="Bhamo"/>
    <s v="Robert Church"/>
    <m/>
    <m/>
    <m/>
    <m/>
    <m/>
    <m/>
    <m/>
    <m/>
    <m/>
    <n v="1164"/>
    <m/>
    <m/>
    <m/>
    <m/>
    <m/>
    <n v="0"/>
    <n v="0"/>
    <n v="0"/>
    <n v="0"/>
    <n v="0"/>
    <n v="0"/>
    <n v="0"/>
    <n v="0"/>
    <n v="0"/>
    <n v="0"/>
    <n v="0"/>
    <n v="0"/>
    <n v="0"/>
    <n v="0"/>
    <x v="0"/>
    <n v="0"/>
    <s v="MMR001CMP047"/>
    <x v="0"/>
    <x v="0"/>
    <x v="0"/>
    <n v="0"/>
    <s v="No"/>
    <m/>
  </r>
  <r>
    <n v="23.366666666666667"/>
    <d v="2013-11-30T00:00:00"/>
    <x v="0"/>
    <s v="UNHCR"/>
    <s v="Kachin"/>
    <s v="Bhamo"/>
    <s v="Robert Church"/>
    <m/>
    <m/>
    <m/>
    <n v="75"/>
    <n v="36"/>
    <n v="75"/>
    <n v="36"/>
    <n v="36"/>
    <m/>
    <m/>
    <m/>
    <m/>
    <m/>
    <m/>
    <m/>
    <n v="0"/>
    <n v="0"/>
    <n v="0"/>
    <n v="0"/>
    <n v="0"/>
    <n v="0"/>
    <n v="0"/>
    <n v="0"/>
    <n v="0"/>
    <n v="0"/>
    <n v="0"/>
    <n v="0"/>
    <n v="0"/>
    <n v="0"/>
    <x v="0"/>
    <n v="0"/>
    <s v="MMR001CMP047"/>
    <x v="0"/>
    <x v="0"/>
    <x v="0"/>
    <n v="5.5214723926380369E-2"/>
    <s v="No"/>
    <m/>
  </r>
  <r>
    <n v="23.366666666666667"/>
    <d v="2013-11-30T00:00:00"/>
    <x v="5"/>
    <m/>
    <s v="Kachin"/>
    <s v="Momauk"/>
    <s v="Seng Ja "/>
    <m/>
    <m/>
    <m/>
    <m/>
    <m/>
    <m/>
    <m/>
    <m/>
    <m/>
    <n v="99"/>
    <m/>
    <m/>
    <m/>
    <m/>
    <m/>
    <n v="0"/>
    <n v="0"/>
    <n v="0"/>
    <n v="0"/>
    <n v="0"/>
    <n v="0"/>
    <n v="0"/>
    <n v="0"/>
    <n v="0"/>
    <n v="0"/>
    <n v="0"/>
    <n v="0"/>
    <n v="0"/>
    <n v="0"/>
    <x v="0"/>
    <n v="0"/>
    <s v="MMR001CMP073"/>
    <x v="0"/>
    <x v="0"/>
    <x v="2"/>
    <n v="0"/>
    <s v="No"/>
    <m/>
  </r>
  <r>
    <n v="23.366666666666667"/>
    <d v="2013-11-30T00:00:00"/>
    <x v="5"/>
    <s v="KBC"/>
    <s v="Kachin"/>
    <s v="Waingmaw"/>
    <s v="Shing Jai"/>
    <m/>
    <m/>
    <m/>
    <m/>
    <m/>
    <m/>
    <m/>
    <m/>
    <m/>
    <m/>
    <m/>
    <m/>
    <m/>
    <m/>
    <m/>
    <n v="0"/>
    <n v="0"/>
    <n v="0"/>
    <n v="0"/>
    <n v="0"/>
    <n v="0"/>
    <n v="0"/>
    <n v="0"/>
    <n v="0"/>
    <n v="0"/>
    <n v="0"/>
    <n v="0"/>
    <n v="0"/>
    <n v="0"/>
    <x v="0"/>
    <n v="0"/>
    <s v="MMR001CMP041"/>
    <x v="0"/>
    <x v="0"/>
    <x v="3"/>
    <n v="0"/>
    <s v="No"/>
    <m/>
  </r>
  <r>
    <n v="23.366666666666667"/>
    <d v="2013-11-30T00:00:00"/>
    <x v="5"/>
    <s v="KBC"/>
    <s v="Kachin"/>
    <s v="Waingmaw"/>
    <s v="Thargaya Lisu Baptist Church"/>
    <m/>
    <m/>
    <m/>
    <m/>
    <m/>
    <m/>
    <m/>
    <m/>
    <m/>
    <m/>
    <m/>
    <m/>
    <m/>
    <m/>
    <m/>
    <n v="0"/>
    <n v="0"/>
    <n v="0"/>
    <n v="0"/>
    <n v="0"/>
    <n v="0"/>
    <n v="0"/>
    <n v="0"/>
    <n v="0"/>
    <n v="0"/>
    <n v="0"/>
    <n v="0"/>
    <n v="0"/>
    <n v="0"/>
    <x v="0"/>
    <n v="0"/>
    <s v="MMR001CMP037"/>
    <x v="0"/>
    <x v="0"/>
    <x v="0"/>
    <n v="0"/>
    <s v="No"/>
    <m/>
  </r>
  <r>
    <n v="23.366666666666667"/>
    <d v="2013-11-30T00:00:00"/>
    <x v="5"/>
    <s v="KBC"/>
    <s v="Kachin"/>
    <s v="Waingmaw"/>
    <s v="Waingmaw AG Church"/>
    <m/>
    <m/>
    <m/>
    <m/>
    <m/>
    <m/>
    <m/>
    <m/>
    <m/>
    <m/>
    <m/>
    <m/>
    <m/>
    <m/>
    <m/>
    <n v="0"/>
    <n v="0"/>
    <n v="0"/>
    <n v="0"/>
    <n v="0"/>
    <n v="0"/>
    <n v="0"/>
    <n v="0"/>
    <n v="0"/>
    <n v="0"/>
    <n v="0"/>
    <n v="0"/>
    <n v="0"/>
    <n v="0"/>
    <x v="0"/>
    <n v="0"/>
    <s v="MMR001CMP038"/>
    <x v="0"/>
    <x v="0"/>
    <x v="0"/>
    <n v="0"/>
    <s v="No"/>
    <m/>
  </r>
  <r>
    <n v="23.366666666666667"/>
    <d v="2013-11-30T00:00:00"/>
    <x v="5"/>
    <s v="KBC"/>
    <s v="Kachin"/>
    <s v="Waingmaw"/>
    <s v="Woi Chyai "/>
    <m/>
    <m/>
    <m/>
    <m/>
    <m/>
    <m/>
    <m/>
    <m/>
    <m/>
    <n v="1851"/>
    <m/>
    <m/>
    <m/>
    <m/>
    <m/>
    <n v="0"/>
    <n v="0"/>
    <n v="0"/>
    <n v="0"/>
    <n v="0"/>
    <n v="0"/>
    <n v="0"/>
    <n v="0"/>
    <n v="0"/>
    <n v="0"/>
    <n v="0"/>
    <n v="0"/>
    <n v="0"/>
    <n v="0"/>
    <x v="0"/>
    <n v="0"/>
    <s v="MMR001CMP116"/>
    <x v="0"/>
    <x v="0"/>
    <x v="0"/>
    <n v="0"/>
    <s v="No"/>
    <m/>
  </r>
  <r>
    <n v="23.366666666666667"/>
    <d v="2013-11-30T00:00:00"/>
    <x v="8"/>
    <s v="MDCG"/>
    <s v="Kachin"/>
    <s v="Bhamo"/>
    <s v="Yoe Kyi Monastery"/>
    <m/>
    <m/>
    <m/>
    <m/>
    <m/>
    <n v="64"/>
    <m/>
    <m/>
    <m/>
    <m/>
    <n v="58"/>
    <n v="52"/>
    <n v="0"/>
    <m/>
    <m/>
    <n v="0"/>
    <n v="0"/>
    <n v="0"/>
    <n v="0"/>
    <n v="0"/>
    <n v="0"/>
    <n v="0"/>
    <n v="0"/>
    <n v="0"/>
    <n v="0"/>
    <n v="0"/>
    <n v="0"/>
    <n v="0"/>
    <n v="0"/>
    <x v="1"/>
    <n v="0"/>
    <s v="MMR001CMP053"/>
    <x v="0"/>
    <x v="0"/>
    <x v="0"/>
    <n v="0"/>
    <s v="No"/>
    <m/>
  </r>
  <r>
    <n v="23.366666666666667"/>
    <d v="2013-11-30T00:00:00"/>
    <x v="5"/>
    <m/>
    <s v="Kachin"/>
    <s v="Bhamo"/>
    <s v="Yoe Kyi Monastery"/>
    <m/>
    <m/>
    <m/>
    <m/>
    <m/>
    <m/>
    <m/>
    <m/>
    <m/>
    <n v="99"/>
    <m/>
    <m/>
    <m/>
    <m/>
    <m/>
    <n v="0"/>
    <n v="0"/>
    <n v="0"/>
    <n v="0"/>
    <n v="0"/>
    <n v="0"/>
    <n v="0"/>
    <n v="0"/>
    <n v="0"/>
    <n v="0"/>
    <n v="0"/>
    <n v="0"/>
    <n v="0"/>
    <n v="0"/>
    <x v="0"/>
    <n v="0"/>
    <s v="MMR001CMP053"/>
    <x v="0"/>
    <x v="0"/>
    <x v="0"/>
    <n v="0"/>
    <s v="No"/>
    <m/>
  </r>
  <r>
    <n v="23.366666666666667"/>
    <d v="2013-11-30T00:00:00"/>
    <x v="5"/>
    <s v="KBC"/>
    <s v="Kachin"/>
    <s v="Waingmaw"/>
    <s v="Zai Awng - Mung Ga Zup"/>
    <m/>
    <m/>
    <m/>
    <m/>
    <m/>
    <m/>
    <m/>
    <m/>
    <m/>
    <m/>
    <m/>
    <m/>
    <m/>
    <m/>
    <m/>
    <n v="0"/>
    <n v="0"/>
    <n v="0"/>
    <n v="0"/>
    <n v="0"/>
    <n v="0"/>
    <n v="0"/>
    <n v="0"/>
    <n v="0"/>
    <n v="0"/>
    <n v="0"/>
    <n v="0"/>
    <n v="0"/>
    <n v="0"/>
    <x v="0"/>
    <n v="0"/>
    <s v="MMR001CMP111"/>
    <x v="0"/>
    <x v="0"/>
    <x v="4"/>
    <n v="0"/>
    <s v="No"/>
    <m/>
  </r>
  <r>
    <n v="23.366666666666667"/>
    <d v="2013-11-30T00:00:00"/>
    <x v="8"/>
    <s v="MDCG"/>
    <s v="Kachin"/>
    <s v="Bhamo"/>
    <s v="Ta Gun Taing Monastery (Shwe Kyi Na)"/>
    <m/>
    <m/>
    <m/>
    <m/>
    <m/>
    <n v="135"/>
    <m/>
    <m/>
    <m/>
    <m/>
    <n v="68"/>
    <n v="61"/>
    <n v="0"/>
    <m/>
    <m/>
    <n v="0"/>
    <n v="0"/>
    <n v="0"/>
    <n v="0"/>
    <n v="0"/>
    <n v="0"/>
    <n v="0"/>
    <n v="0"/>
    <n v="0"/>
    <n v="0"/>
    <n v="0"/>
    <n v="0"/>
    <n v="0"/>
    <n v="0"/>
    <x v="1"/>
    <n v="0"/>
    <s v="MMR001CMP055"/>
    <x v="0"/>
    <x v="0"/>
    <x v="0"/>
    <n v="0"/>
    <s v="No"/>
    <m/>
  </r>
  <r>
    <n v="23.366666666666667"/>
    <d v="2013-11-30T00:00:00"/>
    <x v="5"/>
    <m/>
    <s v="Kachin"/>
    <s v="Bhamo"/>
    <s v="Ta Gun Taing Monastery (Shwe Kyi Na)"/>
    <m/>
    <m/>
    <m/>
    <m/>
    <m/>
    <m/>
    <m/>
    <m/>
    <m/>
    <m/>
    <m/>
    <m/>
    <m/>
    <m/>
    <m/>
    <n v="0"/>
    <n v="0"/>
    <n v="0"/>
    <n v="0"/>
    <n v="0"/>
    <n v="0"/>
    <n v="0"/>
    <n v="0"/>
    <n v="0"/>
    <n v="0"/>
    <n v="0"/>
    <n v="0"/>
    <n v="0"/>
    <n v="0"/>
    <x v="0"/>
    <n v="0"/>
    <s v="MMR001CMP055"/>
    <x v="0"/>
    <x v="0"/>
    <x v="0"/>
    <n v="0"/>
    <s v="No"/>
    <m/>
  </r>
  <r>
    <n v="23.4"/>
    <d v="2013-11-29T00:00:00"/>
    <x v="5"/>
    <s v="KBC"/>
    <s v="Kachin"/>
    <s v="Waingmaw"/>
    <s v="Hkau Shau (BP 12)"/>
    <m/>
    <m/>
    <m/>
    <m/>
    <m/>
    <m/>
    <m/>
    <m/>
    <m/>
    <m/>
    <n v="177"/>
    <n v="354"/>
    <n v="1062"/>
    <n v="531"/>
    <m/>
    <n v="0"/>
    <n v="0"/>
    <n v="0"/>
    <n v="0"/>
    <n v="0"/>
    <n v="0"/>
    <n v="0"/>
    <n v="0"/>
    <n v="0"/>
    <n v="0"/>
    <n v="0"/>
    <n v="0"/>
    <n v="0"/>
    <n v="0"/>
    <x v="1"/>
    <n v="0"/>
    <s v="MMR001CMP115"/>
    <x v="0"/>
    <x v="0"/>
    <x v="3"/>
    <n v="0"/>
    <m/>
    <m/>
  </r>
  <r>
    <n v="23.433333333333334"/>
    <d v="2013-11-28T00:00:00"/>
    <x v="0"/>
    <s v="UNHCR"/>
    <s v="Kachin"/>
    <s v="Mansi"/>
    <s v="Mansi Baptist Church"/>
    <m/>
    <m/>
    <m/>
    <n v="20"/>
    <n v="7"/>
    <n v="22"/>
    <n v="7"/>
    <n v="7"/>
    <m/>
    <m/>
    <m/>
    <m/>
    <m/>
    <m/>
    <m/>
    <n v="0"/>
    <n v="0"/>
    <n v="0"/>
    <n v="0"/>
    <n v="0"/>
    <n v="0"/>
    <n v="0"/>
    <n v="0"/>
    <n v="0"/>
    <n v="0"/>
    <n v="0"/>
    <n v="0"/>
    <n v="0"/>
    <n v="0"/>
    <x v="0"/>
    <n v="0"/>
    <s v="MMR001CMP066"/>
    <x v="0"/>
    <x v="0"/>
    <x v="0"/>
    <n v="3.1674208144796379E-2"/>
    <s v="No"/>
    <m/>
  </r>
  <r>
    <n v="23.433333333333334"/>
    <d v="2013-11-28T00:00:00"/>
    <x v="5"/>
    <s v="KBC"/>
    <s v="Kachin"/>
    <s v="Waingmaw"/>
    <s v="Zai Awng - Mung Ga Zup"/>
    <m/>
    <m/>
    <m/>
    <m/>
    <m/>
    <m/>
    <m/>
    <m/>
    <m/>
    <m/>
    <n v="636"/>
    <n v="1272"/>
    <n v="3816"/>
    <n v="1908"/>
    <m/>
    <n v="0"/>
    <n v="0"/>
    <n v="0"/>
    <n v="0"/>
    <n v="0"/>
    <n v="0"/>
    <n v="0"/>
    <n v="0"/>
    <n v="0"/>
    <n v="0"/>
    <n v="0"/>
    <n v="0"/>
    <n v="0"/>
    <n v="0"/>
    <x v="1"/>
    <n v="0"/>
    <s v="MMR001CMP111"/>
    <x v="0"/>
    <x v="0"/>
    <x v="4"/>
    <n v="0"/>
    <m/>
    <m/>
  </r>
  <r>
    <n v="23.5"/>
    <d v="2013-11-26T00:00:00"/>
    <x v="0"/>
    <s v="UNHCR"/>
    <s v="Kachin"/>
    <s v="Bhamo"/>
    <s v="Aung Thar Church"/>
    <m/>
    <m/>
    <m/>
    <n v="11"/>
    <n v="5"/>
    <n v="11"/>
    <n v="5"/>
    <n v="5"/>
    <m/>
    <m/>
    <m/>
    <m/>
    <m/>
    <m/>
    <m/>
    <n v="0"/>
    <n v="0"/>
    <n v="0"/>
    <n v="0"/>
    <n v="0"/>
    <n v="0"/>
    <n v="0"/>
    <n v="0"/>
    <n v="0"/>
    <n v="0"/>
    <n v="0"/>
    <n v="0"/>
    <n v="0"/>
    <n v="0"/>
    <x v="0"/>
    <n v="0"/>
    <s v="MMR001CMP194"/>
    <x v="0"/>
    <x v="2"/>
    <x v="0"/>
    <n v="0.41666666666666669"/>
    <s v="No"/>
    <m/>
  </r>
  <r>
    <n v="23.5"/>
    <d v="2013-11-26T00:00:00"/>
    <x v="0"/>
    <s v="UNHCR"/>
    <s v="Kachin"/>
    <s v="Bhamo"/>
    <s v="Host Families"/>
    <m/>
    <m/>
    <m/>
    <n v="25"/>
    <n v="13"/>
    <n v="25"/>
    <n v="13"/>
    <n v="13"/>
    <m/>
    <m/>
    <m/>
    <m/>
    <m/>
    <m/>
    <m/>
    <n v="0"/>
    <n v="0"/>
    <n v="0"/>
    <n v="0"/>
    <n v="0"/>
    <n v="0"/>
    <n v="0"/>
    <n v="0"/>
    <n v="0"/>
    <n v="0"/>
    <n v="0"/>
    <n v="0"/>
    <n v="0"/>
    <n v="0"/>
    <x v="0"/>
    <n v="0"/>
    <s v="MMR001CMP163"/>
    <x v="0"/>
    <x v="0"/>
    <x v="0"/>
    <n v="6.1611374407582936E-2"/>
    <s v="No"/>
    <m/>
  </r>
  <r>
    <n v="23.5"/>
    <d v="2013-11-26T00:00:00"/>
    <x v="5"/>
    <s v="Solidarities"/>
    <s v="Kachin"/>
    <s v="Mansi"/>
    <s v="Lagatyan "/>
    <m/>
    <m/>
    <m/>
    <m/>
    <m/>
    <m/>
    <m/>
    <m/>
    <m/>
    <m/>
    <n v="80"/>
    <n v="160"/>
    <n v="480"/>
    <n v="240"/>
    <m/>
    <n v="0"/>
    <n v="0"/>
    <n v="0"/>
    <n v="0"/>
    <n v="0"/>
    <n v="0"/>
    <n v="0"/>
    <n v="0"/>
    <n v="0"/>
    <n v="0"/>
    <n v="0"/>
    <n v="0"/>
    <n v="0"/>
    <n v="0"/>
    <x v="1"/>
    <n v="0"/>
    <s v="MMR001CMP202"/>
    <x v="0"/>
    <x v="2"/>
    <x v="0"/>
    <s v=""/>
    <m/>
    <m/>
  </r>
  <r>
    <n v="23.5"/>
    <d v="2013-11-26T00:00:00"/>
    <x v="0"/>
    <s v="UNHCR"/>
    <s v="Kachin"/>
    <s v="Bhamo"/>
    <s v="Lisu Boarding-House"/>
    <m/>
    <m/>
    <m/>
    <n v="31"/>
    <n v="13"/>
    <n v="31"/>
    <n v="13"/>
    <n v="13"/>
    <m/>
    <m/>
    <m/>
    <m/>
    <m/>
    <m/>
    <m/>
    <n v="0"/>
    <n v="0"/>
    <n v="0"/>
    <n v="0"/>
    <n v="0"/>
    <n v="0"/>
    <n v="0"/>
    <n v="0"/>
    <n v="0"/>
    <n v="0"/>
    <n v="0"/>
    <n v="0"/>
    <n v="0"/>
    <n v="0"/>
    <x v="0"/>
    <n v="0"/>
    <s v="MMR001CMP049"/>
    <x v="0"/>
    <x v="0"/>
    <x v="0"/>
    <n v="0.11206896551724138"/>
    <s v="No"/>
    <m/>
  </r>
  <r>
    <n v="23.5"/>
    <d v="2013-11-26T00:00:00"/>
    <x v="0"/>
    <s v="UNHCR"/>
    <s v="Kachin"/>
    <s v="Bhamo"/>
    <s v="Mu-yin Baptist Church"/>
    <m/>
    <m/>
    <m/>
    <n v="22"/>
    <n v="11"/>
    <n v="22"/>
    <n v="11"/>
    <n v="11"/>
    <m/>
    <m/>
    <m/>
    <m/>
    <m/>
    <m/>
    <m/>
    <n v="0"/>
    <n v="0"/>
    <n v="0"/>
    <n v="0"/>
    <n v="0"/>
    <n v="0"/>
    <n v="0"/>
    <n v="0"/>
    <n v="0"/>
    <n v="0"/>
    <n v="0"/>
    <n v="0"/>
    <n v="0"/>
    <n v="0"/>
    <x v="0"/>
    <n v="0"/>
    <s v="MMR001CMP051"/>
    <x v="0"/>
    <x v="0"/>
    <x v="0"/>
    <n v="0.47826086956521741"/>
    <s v="No"/>
    <m/>
  </r>
  <r>
    <n v="23.5"/>
    <d v="2013-11-26T00:00:00"/>
    <x v="5"/>
    <s v="KBC"/>
    <s v="Kachin"/>
    <s v="Waingmaw"/>
    <s v="Pajau - Jan Mai"/>
    <m/>
    <m/>
    <m/>
    <m/>
    <m/>
    <m/>
    <m/>
    <m/>
    <m/>
    <m/>
    <n v="98"/>
    <n v="196"/>
    <n v="588"/>
    <n v="294"/>
    <m/>
    <n v="0"/>
    <n v="0"/>
    <n v="0"/>
    <n v="0"/>
    <n v="0"/>
    <n v="0"/>
    <n v="0"/>
    <n v="0"/>
    <n v="0"/>
    <n v="0"/>
    <n v="0"/>
    <n v="0"/>
    <n v="0"/>
    <n v="0"/>
    <x v="1"/>
    <n v="0"/>
    <s v="MMR001CMP120"/>
    <x v="0"/>
    <x v="0"/>
    <x v="3"/>
    <n v="0"/>
    <m/>
    <m/>
  </r>
  <r>
    <n v="23.533333333333335"/>
    <d v="2013-11-25T00:00:00"/>
    <x v="5"/>
    <s v="Solidarities"/>
    <s v="Kachin"/>
    <s v="Mansi"/>
    <s v="Man Wing Baptist Church"/>
    <m/>
    <m/>
    <m/>
    <m/>
    <m/>
    <m/>
    <m/>
    <m/>
    <m/>
    <m/>
    <m/>
    <m/>
    <m/>
    <m/>
    <m/>
    <n v="0"/>
    <n v="0"/>
    <n v="0"/>
    <n v="0"/>
    <n v="0"/>
    <n v="0"/>
    <n v="0"/>
    <n v="0"/>
    <n v="0"/>
    <n v="0"/>
    <n v="0"/>
    <n v="0"/>
    <n v="0"/>
    <n v="0"/>
    <x v="0"/>
    <n v="0"/>
    <s v="MMR001CMP133"/>
    <x v="0"/>
    <x v="0"/>
    <x v="0"/>
    <n v="0"/>
    <m/>
    <m/>
  </r>
  <r>
    <n v="23.533333333333335"/>
    <d v="2013-11-25T00:00:00"/>
    <x v="5"/>
    <s v="Solidarities"/>
    <s v="Kachin"/>
    <s v="Mansi"/>
    <s v="Man Wing Baptist Church"/>
    <m/>
    <m/>
    <m/>
    <m/>
    <m/>
    <m/>
    <m/>
    <m/>
    <m/>
    <m/>
    <n v="19"/>
    <n v="38"/>
    <n v="114"/>
    <n v="57"/>
    <m/>
    <n v="0"/>
    <n v="0"/>
    <n v="0"/>
    <n v="0"/>
    <n v="0"/>
    <n v="0"/>
    <n v="0"/>
    <n v="0"/>
    <n v="0"/>
    <n v="0"/>
    <n v="0"/>
    <n v="0"/>
    <n v="0"/>
    <n v="0"/>
    <x v="1"/>
    <n v="0"/>
    <s v="MMR001CMP133"/>
    <x v="0"/>
    <x v="0"/>
    <x v="0"/>
    <n v="0"/>
    <m/>
    <m/>
  </r>
  <r>
    <n v="23.533333333333335"/>
    <d v="2013-11-25T00:00:00"/>
    <x v="5"/>
    <s v="Solidarities"/>
    <s v="Kachin"/>
    <s v="Mansi"/>
    <s v="Man Wing Catholic Church"/>
    <m/>
    <m/>
    <m/>
    <m/>
    <m/>
    <m/>
    <m/>
    <m/>
    <m/>
    <m/>
    <n v="60"/>
    <n v="120"/>
    <n v="360"/>
    <n v="180"/>
    <m/>
    <n v="0"/>
    <n v="0"/>
    <n v="0"/>
    <n v="0"/>
    <n v="0"/>
    <n v="0"/>
    <n v="0"/>
    <n v="0"/>
    <n v="0"/>
    <n v="0"/>
    <n v="0"/>
    <n v="0"/>
    <n v="0"/>
    <n v="0"/>
    <x v="1"/>
    <n v="0"/>
    <s v="MMR001CMP132"/>
    <x v="0"/>
    <x v="0"/>
    <x v="0"/>
    <n v="0"/>
    <m/>
    <m/>
  </r>
  <r>
    <n v="23.566666666666666"/>
    <d v="2013-11-24T00:00:00"/>
    <x v="5"/>
    <s v="Solidarities"/>
    <s v="Kachin"/>
    <s v="Mansi"/>
    <s v="Ban Hkung (School)"/>
    <m/>
    <m/>
    <m/>
    <m/>
    <m/>
    <m/>
    <m/>
    <m/>
    <m/>
    <m/>
    <n v="24"/>
    <n v="48"/>
    <n v="144"/>
    <n v="72"/>
    <m/>
    <n v="0"/>
    <n v="0"/>
    <n v="0"/>
    <n v="0"/>
    <n v="0"/>
    <n v="0"/>
    <n v="0"/>
    <n v="0"/>
    <n v="0"/>
    <n v="0"/>
    <n v="0"/>
    <n v="0"/>
    <n v="0"/>
    <n v="0"/>
    <x v="1"/>
    <n v="0"/>
    <s v="MMR001CMP215"/>
    <x v="0"/>
    <x v="2"/>
    <x v="1"/>
    <s v=""/>
    <m/>
    <m/>
  </r>
  <r>
    <n v="23.566666666666666"/>
    <d v="2013-11-24T00:00:00"/>
    <x v="5"/>
    <s v="Solidarities"/>
    <s v="Kachin"/>
    <s v="Mansi"/>
    <s v="Ban Hkung Yang (Boarding School)"/>
    <m/>
    <m/>
    <m/>
    <m/>
    <m/>
    <m/>
    <m/>
    <m/>
    <m/>
    <m/>
    <n v="135"/>
    <n v="270"/>
    <n v="810"/>
    <n v="405"/>
    <m/>
    <n v="0"/>
    <n v="0"/>
    <n v="0"/>
    <n v="0"/>
    <n v="0"/>
    <n v="0"/>
    <n v="0"/>
    <n v="0"/>
    <n v="0"/>
    <n v="0"/>
    <n v="0"/>
    <n v="0"/>
    <n v="0"/>
    <n v="0"/>
    <x v="1"/>
    <n v="0"/>
    <s v="MMR001CMP214"/>
    <x v="0"/>
    <x v="2"/>
    <x v="1"/>
    <s v=""/>
    <m/>
    <m/>
  </r>
  <r>
    <n v="23.566666666666666"/>
    <d v="2013-11-24T00:00:00"/>
    <x v="5"/>
    <s v="Solidarities"/>
    <s v="Kachin"/>
    <s v="Shwegu"/>
    <s v="Lawk Awng Mare D. (Sinbo Area)"/>
    <m/>
    <m/>
    <m/>
    <m/>
    <m/>
    <m/>
    <m/>
    <m/>
    <m/>
    <m/>
    <n v="45"/>
    <n v="90"/>
    <n v="270"/>
    <n v="135"/>
    <m/>
    <n v="0"/>
    <n v="0"/>
    <n v="0"/>
    <n v="0"/>
    <n v="0"/>
    <n v="0"/>
    <n v="0"/>
    <n v="0"/>
    <n v="0"/>
    <n v="0"/>
    <n v="0"/>
    <n v="0"/>
    <n v="0"/>
    <n v="0"/>
    <x v="1"/>
    <n v="0"/>
    <s v="MMR001CMP147"/>
    <x v="0"/>
    <x v="0"/>
    <x v="0"/>
    <n v="0"/>
    <m/>
    <m/>
  </r>
  <r>
    <n v="23.6"/>
    <d v="2013-11-23T00:00:00"/>
    <x v="4"/>
    <m/>
    <s v="Kachin"/>
    <s v="Waingmaw"/>
    <s v="Border Post 8"/>
    <m/>
    <m/>
    <m/>
    <m/>
    <m/>
    <n v="358"/>
    <m/>
    <m/>
    <m/>
    <m/>
    <m/>
    <m/>
    <m/>
    <m/>
    <m/>
    <n v="0"/>
    <n v="0"/>
    <n v="0"/>
    <n v="0"/>
    <n v="0"/>
    <n v="0"/>
    <n v="0"/>
    <n v="0"/>
    <n v="0"/>
    <n v="0"/>
    <n v="0"/>
    <n v="0"/>
    <n v="0"/>
    <n v="0"/>
    <x v="0"/>
    <n v="0"/>
    <s v="MMR001CMP113"/>
    <x v="0"/>
    <x v="0"/>
    <x v="3"/>
    <n v="0"/>
    <s v="No"/>
    <m/>
  </r>
  <r>
    <n v="23.666666666666668"/>
    <d v="2013-11-21T00:00:00"/>
    <x v="0"/>
    <s v="UNHCR"/>
    <s v="Kachin"/>
    <s v="Bhamo"/>
    <s v="Aung Thar Church"/>
    <m/>
    <m/>
    <m/>
    <n v="34"/>
    <n v="18"/>
    <n v="34"/>
    <n v="18"/>
    <n v="18"/>
    <m/>
    <m/>
    <m/>
    <m/>
    <m/>
    <m/>
    <m/>
    <n v="0"/>
    <n v="0"/>
    <n v="0"/>
    <n v="0"/>
    <n v="0"/>
    <n v="0"/>
    <n v="0"/>
    <n v="0"/>
    <n v="0"/>
    <n v="0"/>
    <n v="0"/>
    <n v="0"/>
    <n v="0"/>
    <n v="0"/>
    <x v="0"/>
    <n v="0"/>
    <s v="MMR001CMP194"/>
    <x v="0"/>
    <x v="2"/>
    <x v="0"/>
    <n v="1.5"/>
    <s v="No"/>
    <m/>
  </r>
  <r>
    <n v="23.666666666666668"/>
    <d v="2013-11-21T00:00:00"/>
    <x v="0"/>
    <s v="UNHCR "/>
    <s v="Kachin"/>
    <s v="Mansi"/>
    <s v="Man Kawng Baptist Church"/>
    <m/>
    <m/>
    <m/>
    <n v="400"/>
    <n v="210"/>
    <n v="400"/>
    <n v="210"/>
    <m/>
    <m/>
    <n v="210"/>
    <m/>
    <m/>
    <m/>
    <m/>
    <m/>
    <n v="0"/>
    <n v="0"/>
    <n v="0"/>
    <n v="0"/>
    <n v="0"/>
    <n v="0"/>
    <n v="0"/>
    <n v="0"/>
    <n v="0"/>
    <n v="0"/>
    <n v="0"/>
    <n v="0"/>
    <n v="0"/>
    <n v="0"/>
    <x v="0"/>
    <n v="0"/>
    <s v="MMR001CMP212"/>
    <x v="0"/>
    <x v="2"/>
    <x v="1"/>
    <s v=""/>
    <s v="No"/>
    <m/>
  </r>
  <r>
    <n v="23.666666666666668"/>
    <d v="2013-11-21T00:00:00"/>
    <x v="0"/>
    <s v="UNHCR"/>
    <s v="Kachin"/>
    <s v="Bhamo"/>
    <s v="Phan Khar Kone"/>
    <m/>
    <m/>
    <m/>
    <n v="15"/>
    <n v="9"/>
    <n v="15"/>
    <n v="9"/>
    <n v="9"/>
    <m/>
    <m/>
    <m/>
    <m/>
    <m/>
    <m/>
    <m/>
    <n v="0"/>
    <n v="0"/>
    <n v="0"/>
    <n v="0"/>
    <n v="0"/>
    <n v="0"/>
    <n v="0"/>
    <n v="0"/>
    <n v="0"/>
    <n v="0"/>
    <n v="0"/>
    <n v="0"/>
    <n v="0"/>
    <n v="0"/>
    <x v="0"/>
    <n v="0"/>
    <s v="MMR001CMP193"/>
    <x v="0"/>
    <x v="0"/>
    <x v="0"/>
    <n v="5.7324840764331211E-2"/>
    <s v="No"/>
    <m/>
  </r>
  <r>
    <n v="23.7"/>
    <d v="2013-11-20T00:00:00"/>
    <x v="5"/>
    <s v="Solidarities"/>
    <s v="Kachin"/>
    <s v="Bhamo"/>
    <s v="Robert Church"/>
    <m/>
    <m/>
    <m/>
    <m/>
    <m/>
    <m/>
    <m/>
    <m/>
    <m/>
    <m/>
    <m/>
    <n v="19"/>
    <n v="38"/>
    <n v="19"/>
    <m/>
    <n v="0"/>
    <n v="0"/>
    <n v="0"/>
    <n v="0"/>
    <n v="0"/>
    <n v="0"/>
    <n v="0"/>
    <n v="0"/>
    <n v="0"/>
    <n v="0"/>
    <n v="0"/>
    <n v="0"/>
    <n v="0"/>
    <n v="0"/>
    <x v="1"/>
    <n v="0"/>
    <s v="MMR001CMP047"/>
    <x v="0"/>
    <x v="0"/>
    <x v="0"/>
    <n v="0"/>
    <m/>
    <m/>
  </r>
  <r>
    <n v="23.733333333333334"/>
    <d v="2013-11-19T00:00:00"/>
    <x v="0"/>
    <s v="UNHCR"/>
    <s v="Kachin"/>
    <s v="Bhamo"/>
    <s v="Host Families"/>
    <m/>
    <m/>
    <m/>
    <n v="57"/>
    <n v="33"/>
    <n v="57"/>
    <n v="33"/>
    <n v="33"/>
    <m/>
    <m/>
    <m/>
    <m/>
    <m/>
    <m/>
    <m/>
    <n v="0"/>
    <n v="0"/>
    <n v="0"/>
    <n v="0"/>
    <n v="0"/>
    <n v="0"/>
    <n v="0"/>
    <n v="0"/>
    <n v="0"/>
    <n v="0"/>
    <n v="0"/>
    <n v="0"/>
    <n v="0"/>
    <n v="0"/>
    <x v="0"/>
    <n v="0"/>
    <s v="MMR001CMP163"/>
    <x v="0"/>
    <x v="0"/>
    <x v="0"/>
    <n v="0.15639810426540285"/>
    <s v="No"/>
    <m/>
  </r>
  <r>
    <n v="23.733333333333334"/>
    <d v="2013-11-19T00:00:00"/>
    <x v="5"/>
    <s v="KBC"/>
    <s v="Kachin"/>
    <s v="Waingmaw"/>
    <s v="Maga Yang "/>
    <m/>
    <m/>
    <m/>
    <m/>
    <m/>
    <m/>
    <m/>
    <m/>
    <m/>
    <m/>
    <n v="613"/>
    <n v="1226"/>
    <n v="3678"/>
    <n v="1839"/>
    <m/>
    <n v="0"/>
    <n v="0"/>
    <n v="0"/>
    <n v="0"/>
    <n v="0"/>
    <n v="0"/>
    <n v="0"/>
    <n v="0"/>
    <n v="0"/>
    <n v="0"/>
    <n v="0"/>
    <n v="0"/>
    <n v="0"/>
    <n v="0"/>
    <x v="1"/>
    <n v="0"/>
    <s v="MMR001CMP119"/>
    <x v="0"/>
    <x v="0"/>
    <x v="4"/>
    <n v="0"/>
    <m/>
    <m/>
  </r>
  <r>
    <n v="23.733333333333334"/>
    <d v="2013-11-19T00:00:00"/>
    <x v="0"/>
    <s v="UNHCR"/>
    <s v="Kachin"/>
    <s v="Bhamo"/>
    <s v="Robert Church"/>
    <m/>
    <m/>
    <n v="40"/>
    <n v="38"/>
    <n v="20"/>
    <n v="38"/>
    <n v="20"/>
    <n v="20"/>
    <m/>
    <m/>
    <m/>
    <m/>
    <m/>
    <m/>
    <m/>
    <n v="0"/>
    <n v="0"/>
    <n v="0"/>
    <n v="0"/>
    <n v="0"/>
    <n v="0"/>
    <n v="0"/>
    <n v="0"/>
    <n v="0"/>
    <n v="0"/>
    <n v="0"/>
    <n v="0"/>
    <n v="0"/>
    <n v="0"/>
    <x v="0"/>
    <n v="0"/>
    <s v="MMR001CMP047"/>
    <x v="0"/>
    <x v="0"/>
    <x v="0"/>
    <n v="3.0674846625766871E-2"/>
    <s v="No"/>
    <m/>
  </r>
  <r>
    <n v="23.733333333333334"/>
    <d v="2013-11-19T00:00:00"/>
    <x v="0"/>
    <s v="UNHCR"/>
    <s v="Kachin"/>
    <s v="Bhamo"/>
    <s v="Thu Kha Waddy"/>
    <m/>
    <m/>
    <m/>
    <n v="13"/>
    <n v="9"/>
    <n v="13"/>
    <n v="9"/>
    <n v="9"/>
    <m/>
    <m/>
    <m/>
    <m/>
    <m/>
    <m/>
    <m/>
    <n v="0"/>
    <n v="0"/>
    <n v="0"/>
    <n v="0"/>
    <n v="0"/>
    <n v="0"/>
    <n v="0"/>
    <n v="0"/>
    <n v="0"/>
    <n v="0"/>
    <n v="0"/>
    <n v="0"/>
    <n v="0"/>
    <n v="0"/>
    <x v="0"/>
    <n v="0"/>
    <s v="MMR001CMP211"/>
    <x v="0"/>
    <x v="2"/>
    <x v="1"/>
    <s v=""/>
    <s v="No"/>
    <m/>
  </r>
  <r>
    <n v="23.766666666666666"/>
    <d v="2013-11-18T00:00:00"/>
    <x v="4"/>
    <m/>
    <s v="Kachin"/>
    <s v="Momauk"/>
    <s v="Loi Je Lisu Camp"/>
    <m/>
    <m/>
    <m/>
    <m/>
    <m/>
    <n v="395"/>
    <m/>
    <m/>
    <m/>
    <m/>
    <m/>
    <m/>
    <m/>
    <m/>
    <m/>
    <n v="0"/>
    <n v="0"/>
    <n v="0"/>
    <n v="0"/>
    <n v="0"/>
    <n v="0"/>
    <n v="0"/>
    <n v="0"/>
    <n v="0"/>
    <n v="0"/>
    <n v="0"/>
    <n v="0"/>
    <n v="0"/>
    <n v="0"/>
    <x v="0"/>
    <n v="0"/>
    <s v="MMR001CMP070"/>
    <x v="0"/>
    <x v="0"/>
    <x v="2"/>
    <n v="0"/>
    <s v="No"/>
    <m/>
  </r>
  <r>
    <n v="23.8"/>
    <d v="2013-11-17T00:00:00"/>
    <x v="4"/>
    <m/>
    <s v="Kachin"/>
    <s v="Momauk"/>
    <s v="Loi Je Catholic Church"/>
    <m/>
    <m/>
    <m/>
    <m/>
    <m/>
    <n v="141"/>
    <m/>
    <m/>
    <m/>
    <m/>
    <m/>
    <m/>
    <m/>
    <m/>
    <m/>
    <n v="0"/>
    <n v="0"/>
    <n v="0"/>
    <n v="0"/>
    <n v="0"/>
    <n v="0"/>
    <n v="0"/>
    <n v="0"/>
    <n v="0"/>
    <n v="0"/>
    <n v="0"/>
    <n v="0"/>
    <n v="0"/>
    <n v="0"/>
    <x v="0"/>
    <n v="0"/>
    <s v="MMR001CMP069"/>
    <x v="0"/>
    <x v="0"/>
    <x v="2"/>
    <n v="0"/>
    <s v="No"/>
    <m/>
  </r>
  <r>
    <n v="23.8"/>
    <d v="2013-11-17T00:00:00"/>
    <x v="0"/>
    <s v="UNHCR "/>
    <s v="Kachin"/>
    <s v="Mansi"/>
    <s v="Man Wing Catholic Church"/>
    <m/>
    <m/>
    <m/>
    <n v="700"/>
    <n v="350"/>
    <n v="700"/>
    <n v="350"/>
    <n v="350"/>
    <m/>
    <m/>
    <m/>
    <m/>
    <m/>
    <m/>
    <m/>
    <n v="0"/>
    <n v="0"/>
    <n v="0"/>
    <n v="0"/>
    <n v="0"/>
    <n v="0"/>
    <n v="0"/>
    <n v="0"/>
    <n v="0"/>
    <n v="0"/>
    <n v="0"/>
    <n v="0"/>
    <n v="0"/>
    <n v="0"/>
    <x v="0"/>
    <n v="0"/>
    <s v="MMR001CMP132"/>
    <x v="0"/>
    <x v="0"/>
    <x v="0"/>
    <n v="0.72016460905349799"/>
    <s v="No"/>
    <m/>
  </r>
  <r>
    <n v="23.8"/>
    <d v="2013-11-17T00:00:00"/>
    <x v="4"/>
    <m/>
    <s v="Kachin"/>
    <s v="Momauk"/>
    <s v="Nyaung Na Pin "/>
    <m/>
    <m/>
    <m/>
    <m/>
    <m/>
    <n v="145"/>
    <m/>
    <m/>
    <m/>
    <m/>
    <m/>
    <m/>
    <m/>
    <m/>
    <m/>
    <n v="0"/>
    <n v="0"/>
    <n v="0"/>
    <n v="0"/>
    <n v="0"/>
    <n v="0"/>
    <n v="0"/>
    <n v="0"/>
    <n v="0"/>
    <n v="0"/>
    <n v="0"/>
    <n v="0"/>
    <n v="0"/>
    <n v="0"/>
    <x v="0"/>
    <n v="0"/>
    <s v="MMR001CMP072"/>
    <x v="0"/>
    <x v="0"/>
    <x v="2"/>
    <n v="0"/>
    <s v="No"/>
    <m/>
  </r>
  <r>
    <n v="23.833333333333332"/>
    <d v="2013-11-16T00:00:00"/>
    <x v="0"/>
    <s v="UNHCR "/>
    <s v="Kachin"/>
    <s v="Bhamo"/>
    <s v="Phan Khar Kone"/>
    <m/>
    <m/>
    <m/>
    <m/>
    <n v="11"/>
    <m/>
    <m/>
    <m/>
    <m/>
    <m/>
    <m/>
    <m/>
    <m/>
    <m/>
    <m/>
    <n v="0"/>
    <n v="0"/>
    <n v="0"/>
    <n v="0"/>
    <n v="0"/>
    <n v="0"/>
    <n v="0"/>
    <n v="0"/>
    <n v="0"/>
    <n v="0"/>
    <n v="0"/>
    <n v="0"/>
    <n v="0"/>
    <n v="0"/>
    <x v="0"/>
    <n v="0"/>
    <s v="MMR001CMP193"/>
    <x v="0"/>
    <x v="0"/>
    <x v="0"/>
    <n v="0"/>
    <s v="No"/>
    <m/>
  </r>
  <r>
    <n v="23.833333333333332"/>
    <d v="2013-11-16T00:00:00"/>
    <x v="0"/>
    <s v="UNHCR"/>
    <s v="Kachin"/>
    <s v="Bhamo"/>
    <s v="Robert Church"/>
    <m/>
    <m/>
    <m/>
    <m/>
    <n v="10"/>
    <m/>
    <m/>
    <m/>
    <m/>
    <m/>
    <m/>
    <m/>
    <m/>
    <m/>
    <m/>
    <n v="0"/>
    <n v="0"/>
    <n v="0"/>
    <n v="0"/>
    <n v="0"/>
    <n v="0"/>
    <n v="0"/>
    <n v="0"/>
    <n v="0"/>
    <n v="0"/>
    <n v="0"/>
    <n v="0"/>
    <n v="0"/>
    <n v="0"/>
    <x v="0"/>
    <n v="0"/>
    <s v="MMR001CMP047"/>
    <x v="0"/>
    <x v="0"/>
    <x v="0"/>
    <n v="0"/>
    <s v="No"/>
    <m/>
  </r>
  <r>
    <n v="23.866666666666667"/>
    <d v="2013-11-15T00:00:00"/>
    <x v="0"/>
    <s v="UNHCR "/>
    <s v="Kachin"/>
    <s v="Bhamo"/>
    <m/>
    <m/>
    <m/>
    <m/>
    <m/>
    <n v="12"/>
    <m/>
    <m/>
    <m/>
    <m/>
    <m/>
    <m/>
    <m/>
    <m/>
    <m/>
    <m/>
    <n v="0"/>
    <n v="0"/>
    <n v="0"/>
    <n v="0"/>
    <n v="0"/>
    <n v="0"/>
    <n v="0"/>
    <n v="0"/>
    <n v="0"/>
    <n v="0"/>
    <n v="0"/>
    <n v="0"/>
    <n v="0"/>
    <n v="0"/>
    <x v="0"/>
    <n v="0"/>
    <s v=""/>
    <x v="1"/>
    <x v="1"/>
    <x v="1"/>
    <s v=""/>
    <s v="No"/>
    <m/>
  </r>
  <r>
    <n v="23.866666666666667"/>
    <d v="2013-11-15T00:00:00"/>
    <x v="5"/>
    <s v="LDO"/>
    <s v="Kachin"/>
    <s v="Mansi"/>
    <s v="Lung Kawk  ( Hka Hkye Zup)"/>
    <m/>
    <m/>
    <m/>
    <m/>
    <m/>
    <m/>
    <m/>
    <m/>
    <m/>
    <m/>
    <n v="54"/>
    <n v="106"/>
    <n v="320"/>
    <n v="160"/>
    <m/>
    <n v="0"/>
    <n v="0"/>
    <n v="0"/>
    <n v="0"/>
    <n v="0"/>
    <n v="0"/>
    <n v="0"/>
    <n v="0"/>
    <n v="0"/>
    <n v="0"/>
    <n v="0"/>
    <n v="0"/>
    <n v="0"/>
    <n v="0"/>
    <x v="1"/>
    <n v="0"/>
    <s v="MMR001CMP135"/>
    <x v="0"/>
    <x v="2"/>
    <x v="4"/>
    <s v=""/>
    <m/>
    <m/>
  </r>
  <r>
    <n v="23.866666666666667"/>
    <d v="2013-11-15T00:00:00"/>
    <x v="5"/>
    <s v="LDO"/>
    <s v="Kachin"/>
    <s v="Momauk"/>
    <s v="Nhkawng Pa "/>
    <m/>
    <m/>
    <m/>
    <m/>
    <m/>
    <m/>
    <m/>
    <m/>
    <m/>
    <m/>
    <n v="387"/>
    <n v="760"/>
    <n v="2294"/>
    <n v="1147"/>
    <m/>
    <n v="0"/>
    <n v="0"/>
    <n v="0"/>
    <n v="0"/>
    <n v="0"/>
    <n v="0"/>
    <n v="0"/>
    <n v="0"/>
    <n v="0"/>
    <n v="0"/>
    <n v="0"/>
    <n v="0"/>
    <n v="0"/>
    <n v="0"/>
    <x v="1"/>
    <n v="0"/>
    <s v="MMR001CMP131"/>
    <x v="0"/>
    <x v="0"/>
    <x v="3"/>
    <n v="0"/>
    <m/>
    <m/>
  </r>
  <r>
    <n v="23.9"/>
    <d v="2013-11-14T00:00:00"/>
    <x v="0"/>
    <s v="UNHCR "/>
    <s v="Kachin"/>
    <s v="Bhamo"/>
    <s v="Aung Thar Church"/>
    <m/>
    <m/>
    <m/>
    <n v="12"/>
    <n v="9"/>
    <n v="12"/>
    <n v="9"/>
    <n v="9"/>
    <m/>
    <m/>
    <m/>
    <m/>
    <m/>
    <m/>
    <m/>
    <n v="0"/>
    <n v="0"/>
    <n v="0"/>
    <n v="0"/>
    <n v="0"/>
    <n v="0"/>
    <n v="0"/>
    <n v="0"/>
    <n v="0"/>
    <n v="0"/>
    <n v="0"/>
    <n v="0"/>
    <n v="0"/>
    <n v="0"/>
    <x v="0"/>
    <n v="0"/>
    <s v="MMR001CMP194"/>
    <x v="0"/>
    <x v="2"/>
    <x v="0"/>
    <n v="0.75"/>
    <s v="No"/>
    <m/>
  </r>
  <r>
    <n v="23.9"/>
    <d v="2013-11-14T00:00:00"/>
    <x v="5"/>
    <s v="Solidarities"/>
    <s v="Kachin"/>
    <s v="Mansi"/>
    <s v="Lagatyan "/>
    <m/>
    <m/>
    <m/>
    <m/>
    <m/>
    <m/>
    <m/>
    <m/>
    <m/>
    <m/>
    <n v="120"/>
    <n v="207"/>
    <n v="654"/>
    <n v="327"/>
    <m/>
    <n v="0"/>
    <n v="0"/>
    <n v="0"/>
    <n v="0"/>
    <n v="0"/>
    <n v="0"/>
    <n v="0"/>
    <n v="0"/>
    <n v="0"/>
    <n v="0"/>
    <n v="0"/>
    <n v="0"/>
    <n v="0"/>
    <n v="0"/>
    <x v="1"/>
    <n v="0"/>
    <s v="MMR001CMP202"/>
    <x v="0"/>
    <x v="2"/>
    <x v="0"/>
    <s v=""/>
    <m/>
    <m/>
  </r>
  <r>
    <n v="23.9"/>
    <d v="2013-11-14T00:00:00"/>
    <x v="5"/>
    <s v="LDO"/>
    <s v="Kachin"/>
    <s v="Mansi"/>
    <s v="Lana Zup Ja "/>
    <m/>
    <m/>
    <m/>
    <m/>
    <m/>
    <m/>
    <m/>
    <m/>
    <m/>
    <m/>
    <n v="550"/>
    <n v="1101"/>
    <n v="3302"/>
    <n v="1651"/>
    <m/>
    <n v="0"/>
    <n v="0"/>
    <n v="0"/>
    <n v="0"/>
    <n v="0"/>
    <n v="0"/>
    <n v="0"/>
    <n v="0"/>
    <n v="0"/>
    <n v="0"/>
    <n v="0"/>
    <n v="0"/>
    <n v="0"/>
    <n v="0"/>
    <x v="1"/>
    <n v="0"/>
    <s v="MMR001CMP128"/>
    <x v="0"/>
    <x v="0"/>
    <x v="4"/>
    <n v="0"/>
    <m/>
    <m/>
  </r>
  <r>
    <n v="23.9"/>
    <d v="2013-11-14T00:00:00"/>
    <x v="4"/>
    <m/>
    <s v="Kachin"/>
    <s v="Momauk"/>
    <s v="Loi Je Baptist Church"/>
    <m/>
    <m/>
    <m/>
    <m/>
    <m/>
    <n v="75"/>
    <m/>
    <m/>
    <m/>
    <m/>
    <m/>
    <m/>
    <m/>
    <m/>
    <m/>
    <n v="0"/>
    <n v="0"/>
    <n v="0"/>
    <n v="0"/>
    <n v="0"/>
    <n v="0"/>
    <n v="0"/>
    <n v="0"/>
    <n v="0"/>
    <n v="0"/>
    <n v="0"/>
    <n v="0"/>
    <n v="0"/>
    <n v="0"/>
    <x v="0"/>
    <n v="0"/>
    <s v="MMR001CMP071"/>
    <x v="0"/>
    <x v="0"/>
    <x v="2"/>
    <n v="0"/>
    <s v="No"/>
    <m/>
  </r>
  <r>
    <n v="23.9"/>
    <d v="2013-11-14T00:00:00"/>
    <x v="4"/>
    <m/>
    <s v="Kachin"/>
    <s v="Mansi"/>
    <s v="Man Wing Baptist Church"/>
    <m/>
    <m/>
    <m/>
    <m/>
    <m/>
    <m/>
    <m/>
    <m/>
    <m/>
    <m/>
    <m/>
    <n v="32"/>
    <m/>
    <m/>
    <m/>
    <n v="0"/>
    <n v="0"/>
    <n v="0"/>
    <n v="0"/>
    <n v="0"/>
    <n v="0"/>
    <n v="0"/>
    <n v="0"/>
    <n v="0"/>
    <n v="0"/>
    <n v="0"/>
    <n v="0"/>
    <n v="0"/>
    <n v="0"/>
    <x v="1"/>
    <n v="0"/>
    <s v="MMR001CMP133"/>
    <x v="0"/>
    <x v="0"/>
    <x v="0"/>
    <n v="0"/>
    <s v="No"/>
    <m/>
  </r>
  <r>
    <n v="23.9"/>
    <d v="2013-11-14T00:00:00"/>
    <x v="5"/>
    <s v="Solidarities"/>
    <s v="Kachin"/>
    <s v="Mansi"/>
    <s v="Man Wing Catholic Church"/>
    <m/>
    <m/>
    <m/>
    <m/>
    <m/>
    <m/>
    <m/>
    <m/>
    <m/>
    <m/>
    <m/>
    <n v="176"/>
    <n v="352"/>
    <n v="176"/>
    <m/>
    <n v="0"/>
    <n v="0"/>
    <n v="0"/>
    <n v="0"/>
    <n v="0"/>
    <n v="0"/>
    <n v="0"/>
    <n v="0"/>
    <n v="0"/>
    <n v="0"/>
    <n v="0"/>
    <n v="0"/>
    <n v="0"/>
    <n v="0"/>
    <x v="1"/>
    <n v="0"/>
    <s v="MMR001CMP132"/>
    <x v="0"/>
    <x v="0"/>
    <x v="0"/>
    <n v="0"/>
    <m/>
    <m/>
  </r>
  <r>
    <n v="23.9"/>
    <d v="2013-11-14T00:00:00"/>
    <x v="0"/>
    <s v="UNHCR"/>
    <s v="Kachin"/>
    <s v="Mansi"/>
    <s v="Mansi Baptist Church"/>
    <m/>
    <m/>
    <n v="18"/>
    <n v="31"/>
    <n v="18"/>
    <n v="31"/>
    <n v="18"/>
    <n v="18"/>
    <m/>
    <m/>
    <m/>
    <m/>
    <m/>
    <m/>
    <m/>
    <n v="0"/>
    <n v="0"/>
    <n v="0"/>
    <n v="0"/>
    <n v="0"/>
    <n v="0"/>
    <n v="0"/>
    <n v="0"/>
    <n v="0"/>
    <n v="0"/>
    <n v="0"/>
    <n v="0"/>
    <n v="0"/>
    <n v="0"/>
    <x v="0"/>
    <n v="0"/>
    <s v="MMR001CMP066"/>
    <x v="0"/>
    <x v="0"/>
    <x v="0"/>
    <n v="8.1447963800904979E-2"/>
    <s v="No"/>
    <m/>
  </r>
  <r>
    <n v="23.9"/>
    <d v="2013-11-14T00:00:00"/>
    <x v="4"/>
    <m/>
    <s v="Kachin"/>
    <s v="Momauk"/>
    <s v="Seng Ja "/>
    <m/>
    <m/>
    <m/>
    <m/>
    <m/>
    <n v="110"/>
    <m/>
    <m/>
    <m/>
    <m/>
    <m/>
    <m/>
    <m/>
    <m/>
    <m/>
    <n v="0"/>
    <n v="0"/>
    <n v="0"/>
    <n v="0"/>
    <n v="0"/>
    <n v="0"/>
    <n v="0"/>
    <n v="0"/>
    <n v="0"/>
    <n v="0"/>
    <n v="0"/>
    <n v="0"/>
    <n v="0"/>
    <n v="0"/>
    <x v="0"/>
    <n v="0"/>
    <s v="MMR001CMP073"/>
    <x v="0"/>
    <x v="0"/>
    <x v="2"/>
    <n v="0"/>
    <s v="No"/>
    <m/>
  </r>
  <r>
    <n v="23.933333333333334"/>
    <d v="2013-11-13T00:00:00"/>
    <x v="5"/>
    <s v="Solidarities"/>
    <s v="Kachin"/>
    <s v="Mansi"/>
    <s v="Man Wing Baptist Church"/>
    <m/>
    <m/>
    <m/>
    <m/>
    <m/>
    <m/>
    <m/>
    <m/>
    <m/>
    <m/>
    <m/>
    <n v="160"/>
    <n v="320"/>
    <n v="160"/>
    <m/>
    <n v="0"/>
    <n v="0"/>
    <n v="0"/>
    <n v="0"/>
    <n v="0"/>
    <n v="0"/>
    <n v="0"/>
    <n v="0"/>
    <n v="0"/>
    <n v="0"/>
    <n v="0"/>
    <n v="0"/>
    <n v="0"/>
    <n v="0"/>
    <x v="1"/>
    <n v="0"/>
    <s v="MMR001CMP133"/>
    <x v="0"/>
    <x v="0"/>
    <x v="0"/>
    <n v="0"/>
    <m/>
    <m/>
  </r>
  <r>
    <n v="23.933333333333334"/>
    <d v="2013-11-13T00:00:00"/>
    <x v="5"/>
    <s v="LDO"/>
    <s v="Kachin"/>
    <s v="Momauk"/>
    <s v="Pa Kahtawng "/>
    <m/>
    <m/>
    <m/>
    <m/>
    <m/>
    <m/>
    <m/>
    <m/>
    <m/>
    <m/>
    <n v="514"/>
    <n v="1016"/>
    <n v="3060"/>
    <n v="1530"/>
    <m/>
    <n v="0"/>
    <n v="0"/>
    <n v="0"/>
    <n v="0"/>
    <n v="0"/>
    <n v="0"/>
    <n v="0"/>
    <n v="0"/>
    <n v="0"/>
    <n v="0"/>
    <n v="0"/>
    <n v="0"/>
    <n v="0"/>
    <n v="0"/>
    <x v="1"/>
    <n v="0"/>
    <s v="MMR001CMP126"/>
    <x v="0"/>
    <x v="0"/>
    <x v="4"/>
    <n v="0"/>
    <m/>
    <m/>
  </r>
  <r>
    <n v="24"/>
    <d v="2013-11-11T00:00:00"/>
    <x v="0"/>
    <s v="UNHCR "/>
    <s v="Kachin"/>
    <s v="Momauk"/>
    <s v="Nhkawng Pa "/>
    <m/>
    <m/>
    <n v="36"/>
    <n v="200"/>
    <n v="100"/>
    <m/>
    <n v="100"/>
    <n v="100"/>
    <m/>
    <m/>
    <m/>
    <m/>
    <m/>
    <m/>
    <m/>
    <n v="0"/>
    <n v="0"/>
    <n v="0"/>
    <n v="0"/>
    <n v="0"/>
    <n v="0"/>
    <n v="0"/>
    <n v="0"/>
    <n v="0"/>
    <n v="0"/>
    <n v="0"/>
    <n v="0"/>
    <n v="0"/>
    <n v="0"/>
    <x v="0"/>
    <n v="0"/>
    <s v="MMR001CMP131"/>
    <x v="0"/>
    <x v="0"/>
    <x v="3"/>
    <n v="0.24271844660194175"/>
    <s v="No"/>
    <m/>
  </r>
  <r>
    <n v="24.133333333333333"/>
    <d v="2013-11-07T00:00:00"/>
    <x v="5"/>
    <s v="Solidarities"/>
    <s v="Kachin"/>
    <s v="Bhamo"/>
    <s v="Aung Thar Church"/>
    <m/>
    <m/>
    <m/>
    <m/>
    <m/>
    <m/>
    <m/>
    <m/>
    <m/>
    <m/>
    <n v="25"/>
    <n v="73"/>
    <n v="196"/>
    <n v="98"/>
    <m/>
    <n v="0"/>
    <n v="0"/>
    <n v="0"/>
    <n v="0"/>
    <n v="0"/>
    <n v="0"/>
    <n v="0"/>
    <n v="0"/>
    <n v="0"/>
    <n v="0"/>
    <n v="0"/>
    <n v="0"/>
    <n v="0"/>
    <n v="0"/>
    <x v="1"/>
    <n v="0"/>
    <s v="MMR001CMP194"/>
    <x v="0"/>
    <x v="2"/>
    <x v="0"/>
    <n v="0"/>
    <m/>
    <m/>
  </r>
  <r>
    <n v="24.133333333333333"/>
    <d v="2013-11-07T00:00:00"/>
    <x v="0"/>
    <s v="UNHCR"/>
    <s v="Kachin"/>
    <s v="Hpakant"/>
    <s v="Baptist Church, Naung Hmee VT"/>
    <m/>
    <m/>
    <n v="13"/>
    <n v="32"/>
    <n v="15"/>
    <n v="32"/>
    <n v="15"/>
    <m/>
    <n v="15"/>
    <n v="32"/>
    <m/>
    <m/>
    <m/>
    <m/>
    <m/>
    <n v="0"/>
    <n v="0"/>
    <n v="0"/>
    <n v="0"/>
    <n v="0"/>
    <n v="0"/>
    <n v="0"/>
    <n v="0"/>
    <n v="0"/>
    <n v="0"/>
    <n v="0"/>
    <n v="0"/>
    <n v="0"/>
    <n v="0"/>
    <x v="0"/>
    <n v="0"/>
    <s v="MMR001CMP188"/>
    <x v="0"/>
    <x v="2"/>
    <x v="0"/>
    <s v=""/>
    <s v="No"/>
    <m/>
  </r>
  <r>
    <n v="24.133333333333333"/>
    <d v="2013-11-07T00:00:00"/>
    <x v="5"/>
    <s v="Solidarities"/>
    <s v="Kachin"/>
    <s v="Bhamo"/>
    <s v="Phan Khar Kone"/>
    <m/>
    <m/>
    <m/>
    <m/>
    <m/>
    <m/>
    <m/>
    <m/>
    <m/>
    <m/>
    <n v="23"/>
    <n v="41"/>
    <n v="128"/>
    <n v="64"/>
    <m/>
    <n v="0"/>
    <n v="0"/>
    <n v="0"/>
    <n v="0"/>
    <n v="0"/>
    <n v="0"/>
    <n v="0"/>
    <n v="0"/>
    <n v="0"/>
    <n v="0"/>
    <n v="0"/>
    <n v="0"/>
    <n v="0"/>
    <n v="0"/>
    <x v="1"/>
    <n v="0"/>
    <s v="MMR001CMP193"/>
    <x v="0"/>
    <x v="0"/>
    <x v="0"/>
    <n v="0"/>
    <m/>
    <m/>
  </r>
  <r>
    <n v="24.133333333333333"/>
    <d v="2013-11-07T00:00:00"/>
    <x v="0"/>
    <s v="UNHCR"/>
    <s v="Kachin"/>
    <s v="Bhamo"/>
    <s v="Phan Khar Kone"/>
    <m/>
    <m/>
    <n v="58"/>
    <n v="46"/>
    <n v="29"/>
    <n v="46"/>
    <n v="29"/>
    <n v="29"/>
    <m/>
    <m/>
    <m/>
    <m/>
    <m/>
    <m/>
    <m/>
    <n v="0"/>
    <n v="0"/>
    <n v="0"/>
    <n v="0"/>
    <n v="0"/>
    <n v="0"/>
    <n v="0"/>
    <n v="0"/>
    <n v="0"/>
    <n v="0"/>
    <n v="0"/>
    <n v="0"/>
    <n v="0"/>
    <n v="0"/>
    <x v="0"/>
    <n v="0"/>
    <s v="MMR001CMP193"/>
    <x v="0"/>
    <x v="0"/>
    <x v="0"/>
    <n v="0.18471337579617833"/>
    <s v="No"/>
    <m/>
  </r>
  <r>
    <n v="24.133333333333333"/>
    <d v="2013-11-07T00:00:00"/>
    <x v="5"/>
    <s v="Solidarities"/>
    <s v="Kachin"/>
    <s v="Bhamo"/>
    <s v="Ta Gun Taing Monastery (Shwe Kyi Na)"/>
    <m/>
    <m/>
    <m/>
    <m/>
    <m/>
    <m/>
    <m/>
    <m/>
    <m/>
    <m/>
    <n v="64"/>
    <n v="118"/>
    <n v="364"/>
    <n v="182"/>
    <m/>
    <n v="0"/>
    <n v="0"/>
    <n v="0"/>
    <n v="0"/>
    <n v="0"/>
    <n v="0"/>
    <n v="0"/>
    <n v="0"/>
    <n v="0"/>
    <n v="0"/>
    <n v="0"/>
    <n v="0"/>
    <n v="0"/>
    <n v="0"/>
    <x v="1"/>
    <n v="0"/>
    <s v="MMR001CMP055"/>
    <x v="0"/>
    <x v="0"/>
    <x v="0"/>
    <n v="0"/>
    <m/>
    <m/>
  </r>
  <r>
    <n v="24.2"/>
    <d v="2013-11-05T00:00:00"/>
    <x v="0"/>
    <s v="UNHCR"/>
    <s v="Kachin"/>
    <s v="Mansi"/>
    <s v="Mansi Baptist Church"/>
    <m/>
    <m/>
    <n v="60"/>
    <n v="54"/>
    <n v="30"/>
    <n v="54"/>
    <n v="30"/>
    <n v="30"/>
    <m/>
    <m/>
    <m/>
    <m/>
    <m/>
    <m/>
    <m/>
    <n v="0"/>
    <n v="0"/>
    <n v="0"/>
    <n v="0"/>
    <n v="0"/>
    <n v="0"/>
    <n v="0"/>
    <n v="0"/>
    <n v="0"/>
    <n v="0"/>
    <n v="0"/>
    <n v="0"/>
    <n v="0"/>
    <n v="0"/>
    <x v="0"/>
    <n v="0"/>
    <s v="MMR001CMP066"/>
    <x v="0"/>
    <x v="0"/>
    <x v="0"/>
    <n v="0.13574660633484162"/>
    <s v="No"/>
    <m/>
  </r>
  <r>
    <n v="24.266666666666666"/>
    <d v="2013-11-03T00:00:00"/>
    <x v="9"/>
    <s v="MRCS"/>
    <s v="Kachin"/>
    <s v="Bhamo"/>
    <s v="AD-2000 Tharthana Compound"/>
    <m/>
    <m/>
    <n v="21"/>
    <m/>
    <m/>
    <m/>
    <n v="21"/>
    <m/>
    <m/>
    <m/>
    <m/>
    <m/>
    <m/>
    <m/>
    <m/>
    <n v="0"/>
    <n v="0"/>
    <n v="0"/>
    <n v="0"/>
    <n v="0"/>
    <n v="0"/>
    <n v="0"/>
    <n v="0"/>
    <n v="0"/>
    <n v="0"/>
    <n v="0"/>
    <n v="0"/>
    <n v="0"/>
    <n v="0"/>
    <x v="0"/>
    <n v="0"/>
    <s v="MMR001CMP050"/>
    <x v="0"/>
    <x v="0"/>
    <x v="0"/>
    <n v="6.9767441860465115E-2"/>
    <s v="No"/>
    <m/>
  </r>
  <r>
    <n v="24.266666666666666"/>
    <d v="2013-11-03T00:00:00"/>
    <x v="0"/>
    <s v="UNHCR "/>
    <s v="Kachin"/>
    <s v="Mansi"/>
    <s v="Bum Tsit Pa "/>
    <m/>
    <m/>
    <n v="130"/>
    <n v="130"/>
    <n v="65"/>
    <n v="65"/>
    <n v="65"/>
    <n v="65"/>
    <m/>
    <m/>
    <m/>
    <m/>
    <m/>
    <m/>
    <m/>
    <n v="0"/>
    <n v="0"/>
    <n v="0"/>
    <n v="0"/>
    <n v="0"/>
    <n v="0"/>
    <n v="0"/>
    <n v="0"/>
    <n v="0"/>
    <n v="0"/>
    <n v="0"/>
    <n v="0"/>
    <n v="0"/>
    <n v="0"/>
    <x v="0"/>
    <n v="0"/>
    <s v="MMR001CMP129"/>
    <x v="0"/>
    <x v="0"/>
    <x v="4"/>
    <n v="0.37356321839080459"/>
    <s v="No"/>
    <m/>
  </r>
  <r>
    <n v="24.266666666666666"/>
    <d v="2013-11-03T00:00:00"/>
    <x v="9"/>
    <s v="MRCS"/>
    <s v="Kachin"/>
    <s v="Bhamo"/>
    <s v="Htoi San Church"/>
    <m/>
    <m/>
    <n v="41"/>
    <m/>
    <m/>
    <m/>
    <n v="41"/>
    <m/>
    <m/>
    <m/>
    <m/>
    <m/>
    <m/>
    <m/>
    <m/>
    <n v="0"/>
    <n v="0"/>
    <n v="0"/>
    <n v="0"/>
    <n v="0"/>
    <n v="0"/>
    <n v="0"/>
    <n v="0"/>
    <n v="0"/>
    <n v="0"/>
    <n v="0"/>
    <n v="0"/>
    <n v="0"/>
    <n v="0"/>
    <x v="0"/>
    <n v="0"/>
    <s v="MMR001CMP052"/>
    <x v="0"/>
    <x v="0"/>
    <x v="0"/>
    <n v="0.95348837209302328"/>
    <s v="No"/>
    <m/>
  </r>
  <r>
    <n v="24.266666666666666"/>
    <d v="2013-11-03T00:00:00"/>
    <x v="0"/>
    <s v="UNHCR "/>
    <s v="Kachin"/>
    <s v="Mansi"/>
    <s v="Lana Zup Ja "/>
    <m/>
    <m/>
    <n v="592"/>
    <n v="592"/>
    <n v="296"/>
    <n v="296"/>
    <n v="296"/>
    <n v="296"/>
    <m/>
    <m/>
    <m/>
    <m/>
    <m/>
    <m/>
    <m/>
    <n v="0"/>
    <n v="0"/>
    <n v="0"/>
    <n v="0"/>
    <n v="0"/>
    <n v="0"/>
    <n v="0"/>
    <n v="0"/>
    <n v="0"/>
    <n v="0"/>
    <n v="0"/>
    <n v="0"/>
    <n v="0"/>
    <n v="0"/>
    <x v="0"/>
    <n v="0"/>
    <s v="MMR001CMP128"/>
    <x v="0"/>
    <x v="0"/>
    <x v="4"/>
    <n v="0.5471349353049908"/>
    <s v="No"/>
    <m/>
  </r>
  <r>
    <n v="24.266666666666666"/>
    <d v="2013-11-03T00:00:00"/>
    <x v="0"/>
    <s v="UNHCR "/>
    <s v="Kachin"/>
    <s v="Momauk"/>
    <s v="Loi Je Lisu Camp"/>
    <m/>
    <m/>
    <n v="24"/>
    <n v="24"/>
    <n v="12"/>
    <n v="12"/>
    <n v="12"/>
    <n v="12"/>
    <m/>
    <m/>
    <m/>
    <m/>
    <m/>
    <m/>
    <m/>
    <n v="0"/>
    <n v="0"/>
    <n v="0"/>
    <n v="0"/>
    <n v="0"/>
    <n v="0"/>
    <n v="0"/>
    <n v="0"/>
    <n v="0"/>
    <n v="0"/>
    <n v="0"/>
    <n v="0"/>
    <n v="0"/>
    <n v="0"/>
    <x v="0"/>
    <n v="0"/>
    <s v="MMR001CMP070"/>
    <x v="0"/>
    <x v="0"/>
    <x v="2"/>
    <n v="6.3829787234042548E-2"/>
    <s v="No"/>
    <m/>
  </r>
  <r>
    <n v="24.266666666666666"/>
    <d v="2013-11-03T00:00:00"/>
    <x v="9"/>
    <s v="MRCS"/>
    <s v="Kachin"/>
    <s v="Mansi"/>
    <s v="Mansi Baptist Church"/>
    <m/>
    <m/>
    <n v="29"/>
    <m/>
    <m/>
    <m/>
    <n v="29"/>
    <m/>
    <m/>
    <m/>
    <m/>
    <m/>
    <m/>
    <m/>
    <m/>
    <n v="0"/>
    <n v="0"/>
    <n v="0"/>
    <n v="0"/>
    <n v="0"/>
    <n v="0"/>
    <n v="0"/>
    <n v="0"/>
    <n v="0"/>
    <n v="0"/>
    <n v="0"/>
    <n v="0"/>
    <n v="0"/>
    <n v="0"/>
    <x v="0"/>
    <n v="0"/>
    <s v="MMR001CMP066"/>
    <x v="0"/>
    <x v="0"/>
    <x v="0"/>
    <n v="0.13122171945701358"/>
    <s v="No"/>
    <m/>
  </r>
  <r>
    <n v="24.266666666666666"/>
    <d v="2013-11-03T00:00:00"/>
    <x v="9"/>
    <s v="MRCS"/>
    <s v="Kachin"/>
    <s v="Bhamo"/>
    <s v="Phan Khar Kone"/>
    <m/>
    <m/>
    <n v="49"/>
    <m/>
    <m/>
    <m/>
    <n v="49"/>
    <m/>
    <m/>
    <m/>
    <m/>
    <m/>
    <m/>
    <m/>
    <m/>
    <n v="0"/>
    <n v="0"/>
    <n v="0"/>
    <n v="0"/>
    <n v="0"/>
    <n v="0"/>
    <n v="0"/>
    <n v="0"/>
    <n v="0"/>
    <n v="0"/>
    <n v="0"/>
    <n v="0"/>
    <n v="0"/>
    <n v="0"/>
    <x v="0"/>
    <n v="0"/>
    <s v="MMR001CMP193"/>
    <x v="0"/>
    <x v="0"/>
    <x v="0"/>
    <n v="0.31210191082802546"/>
    <s v="No"/>
    <m/>
  </r>
  <r>
    <n v="24.333333333333332"/>
    <d v="2013-11-01T00:00:00"/>
    <x v="0"/>
    <s v="UNHCR"/>
    <s v="Kachin"/>
    <s v="Bhamo"/>
    <s v="Aung Thar Church"/>
    <m/>
    <m/>
    <n v="8"/>
    <n v="6"/>
    <n v="4"/>
    <n v="6"/>
    <n v="4"/>
    <n v="4"/>
    <m/>
    <m/>
    <m/>
    <m/>
    <m/>
    <m/>
    <m/>
    <n v="0"/>
    <n v="0"/>
    <n v="0"/>
    <n v="0"/>
    <n v="0"/>
    <n v="0"/>
    <n v="0"/>
    <n v="0"/>
    <n v="0"/>
    <n v="0"/>
    <n v="0"/>
    <n v="0"/>
    <n v="0"/>
    <n v="0"/>
    <x v="0"/>
    <n v="0"/>
    <s v="MMR001CMP194"/>
    <x v="0"/>
    <x v="2"/>
    <x v="0"/>
    <n v="0.33333333333333331"/>
    <s v="No"/>
    <m/>
  </r>
  <r>
    <n v="24.333333333333332"/>
    <d v="2013-11-01T00:00:00"/>
    <x v="0"/>
    <s v="UNHCR"/>
    <s v="Kachin"/>
    <s v="Bhamo"/>
    <s v="Htoi San Church"/>
    <m/>
    <m/>
    <n v="12"/>
    <n v="9"/>
    <n v="6"/>
    <n v="9"/>
    <n v="6"/>
    <n v="6"/>
    <n v="6"/>
    <m/>
    <m/>
    <m/>
    <m/>
    <m/>
    <m/>
    <n v="0"/>
    <n v="0"/>
    <n v="0"/>
    <n v="0"/>
    <n v="0"/>
    <n v="0"/>
    <n v="0"/>
    <n v="0"/>
    <n v="0"/>
    <n v="0"/>
    <n v="0"/>
    <n v="0"/>
    <n v="0"/>
    <n v="0"/>
    <x v="0"/>
    <n v="0"/>
    <s v="MMR001CMP052"/>
    <x v="0"/>
    <x v="0"/>
    <x v="0"/>
    <n v="0.13953488372093023"/>
    <s v="No"/>
    <m/>
  </r>
  <r>
    <n v="24.333333333333332"/>
    <d v="2013-11-01T00:00:00"/>
    <x v="0"/>
    <s v="UNHCR"/>
    <s v="Kachin"/>
    <s v="Bhamo"/>
    <s v="Robert Church"/>
    <m/>
    <m/>
    <n v="40"/>
    <n v="48"/>
    <n v="20"/>
    <n v="48"/>
    <n v="20"/>
    <n v="20"/>
    <n v="500"/>
    <n v="500"/>
    <m/>
    <m/>
    <m/>
    <m/>
    <m/>
    <n v="0"/>
    <n v="0"/>
    <n v="0"/>
    <n v="0"/>
    <n v="0"/>
    <n v="0"/>
    <n v="0"/>
    <n v="0"/>
    <n v="0"/>
    <n v="0"/>
    <n v="0"/>
    <n v="0"/>
    <n v="0"/>
    <n v="0"/>
    <x v="0"/>
    <n v="0"/>
    <s v="MMR001CMP047"/>
    <x v="0"/>
    <x v="0"/>
    <x v="0"/>
    <n v="3.0674846625766871E-2"/>
    <s v="No"/>
    <m/>
  </r>
  <r>
    <n v="24.4"/>
    <d v="2013-10-30T00:00:00"/>
    <x v="0"/>
    <s v="UNHCR"/>
    <s v="Kachin"/>
    <s v="Bhamo"/>
    <s v="AD-2000 Tharthana Compound"/>
    <m/>
    <m/>
    <n v="22"/>
    <n v="40"/>
    <n v="21"/>
    <n v="40"/>
    <n v="21"/>
    <n v="21"/>
    <n v="21"/>
    <n v="21"/>
    <m/>
    <m/>
    <m/>
    <m/>
    <m/>
    <n v="0"/>
    <n v="0"/>
    <n v="0"/>
    <n v="0"/>
    <n v="0"/>
    <n v="0"/>
    <n v="0"/>
    <n v="0"/>
    <n v="0"/>
    <n v="0"/>
    <n v="0"/>
    <n v="0"/>
    <n v="0"/>
    <n v="0"/>
    <x v="0"/>
    <n v="0"/>
    <s v="MMR001CMP050"/>
    <x v="0"/>
    <x v="0"/>
    <x v="0"/>
    <n v="6.9767441860465115E-2"/>
    <s v="No"/>
    <m/>
  </r>
  <r>
    <n v="24.4"/>
    <d v="2013-10-30T00:00:00"/>
    <x v="0"/>
    <s v="UNHCR"/>
    <s v="Kachin"/>
    <s v="Bhamo"/>
    <s v="Htoi San Church"/>
    <m/>
    <m/>
    <n v="72"/>
    <n v="61"/>
    <n v="36"/>
    <n v="61"/>
    <n v="36"/>
    <n v="36"/>
    <n v="36"/>
    <n v="36"/>
    <m/>
    <m/>
    <m/>
    <m/>
    <m/>
    <n v="0"/>
    <n v="0"/>
    <n v="0"/>
    <n v="0"/>
    <n v="0"/>
    <n v="0"/>
    <n v="0"/>
    <n v="0"/>
    <n v="0"/>
    <n v="0"/>
    <n v="0"/>
    <n v="0"/>
    <n v="0"/>
    <n v="0"/>
    <x v="0"/>
    <n v="0"/>
    <s v="MMR001CMP052"/>
    <x v="0"/>
    <x v="0"/>
    <x v="0"/>
    <n v="0.83720930232558144"/>
    <s v="No"/>
    <m/>
  </r>
  <r>
    <n v="24.4"/>
    <d v="2013-10-30T00:00:00"/>
    <x v="0"/>
    <s v="UNHCR"/>
    <s v="Kachin"/>
    <s v="Bhamo"/>
    <s v="Phan Khar Kone"/>
    <m/>
    <m/>
    <n v="81"/>
    <n v="94"/>
    <n v="50"/>
    <n v="94"/>
    <n v="50"/>
    <n v="50"/>
    <n v="50"/>
    <n v="50"/>
    <m/>
    <m/>
    <m/>
    <m/>
    <m/>
    <n v="0"/>
    <n v="0"/>
    <n v="0"/>
    <n v="0"/>
    <n v="0"/>
    <n v="0"/>
    <n v="0"/>
    <n v="0"/>
    <n v="0"/>
    <n v="0"/>
    <n v="0"/>
    <n v="0"/>
    <n v="0"/>
    <n v="0"/>
    <x v="0"/>
    <n v="0"/>
    <s v="MMR001CMP193"/>
    <x v="0"/>
    <x v="0"/>
    <x v="0"/>
    <n v="0.31847133757961782"/>
    <s v="No"/>
    <m/>
  </r>
  <r>
    <n v="25.533333333333335"/>
    <d v="2013-09-26T00:00:00"/>
    <x v="0"/>
    <s v="UNHCR"/>
    <s v="Kachin"/>
    <s v="Momauk"/>
    <s v="Hpun Lum Yang "/>
    <m/>
    <m/>
    <n v="882"/>
    <n v="882"/>
    <n v="441"/>
    <n v="882"/>
    <n v="441"/>
    <m/>
    <n v="441"/>
    <n v="882"/>
    <m/>
    <m/>
    <m/>
    <m/>
    <m/>
    <n v="0"/>
    <n v="0"/>
    <n v="0"/>
    <n v="0"/>
    <n v="0"/>
    <n v="0"/>
    <n v="0"/>
    <n v="0"/>
    <n v="0"/>
    <n v="0"/>
    <n v="0"/>
    <n v="0"/>
    <n v="0"/>
    <n v="0"/>
    <x v="0"/>
    <n v="0"/>
    <s v="MMR001CMP122"/>
    <x v="0"/>
    <x v="0"/>
    <x v="4"/>
    <n v="0.71941272430668846"/>
    <s v="No"/>
    <m/>
  </r>
  <r>
    <n v="25.533333333333335"/>
    <d v="2013-09-26T00:00:00"/>
    <x v="0"/>
    <s v="UNHCR"/>
    <s v="Kachin"/>
    <s v="Momauk"/>
    <s v="Je Yang Hka "/>
    <m/>
    <m/>
    <n v="1628"/>
    <n v="3256"/>
    <n v="1628"/>
    <n v="3256"/>
    <n v="1628"/>
    <m/>
    <n v="1628"/>
    <n v="3256"/>
    <m/>
    <m/>
    <m/>
    <m/>
    <m/>
    <n v="0"/>
    <n v="0"/>
    <n v="0"/>
    <n v="0"/>
    <n v="0"/>
    <n v="0"/>
    <n v="0"/>
    <n v="0"/>
    <n v="0"/>
    <n v="0"/>
    <n v="0"/>
    <n v="0"/>
    <n v="0"/>
    <n v="0"/>
    <x v="0"/>
    <n v="0"/>
    <s v="MMR001CMP121"/>
    <x v="0"/>
    <x v="0"/>
    <x v="4"/>
    <n v="0.9621749408983451"/>
    <s v="No"/>
    <m/>
  </r>
  <r>
    <n v="25.533333333333335"/>
    <d v="2013-09-26T00:00:00"/>
    <x v="0"/>
    <s v="UNHCR"/>
    <s v="Kachin"/>
    <s v="Waingmaw"/>
    <s v="Laiza Market 3 - Laiza Gat"/>
    <m/>
    <m/>
    <n v="437"/>
    <n v="874"/>
    <n v="437"/>
    <n v="874"/>
    <n v="437"/>
    <n v="54"/>
    <n v="383"/>
    <n v="766"/>
    <m/>
    <m/>
    <m/>
    <m/>
    <m/>
    <n v="0"/>
    <n v="0"/>
    <n v="0"/>
    <n v="0"/>
    <n v="0"/>
    <n v="0"/>
    <n v="0"/>
    <n v="0"/>
    <n v="0"/>
    <n v="0"/>
    <n v="0"/>
    <n v="0"/>
    <n v="0"/>
    <n v="0"/>
    <x v="0"/>
    <n v="0"/>
    <s v="MMR001CMP117"/>
    <x v="0"/>
    <x v="2"/>
    <x v="4"/>
    <s v=""/>
    <s v="No"/>
    <m/>
  </r>
  <r>
    <n v="25.8"/>
    <d v="2013-09-18T00:00:00"/>
    <x v="0"/>
    <s v="UNHCR"/>
    <s v="Kachin"/>
    <s v="Waingmaw"/>
    <s v="Woi Chyai "/>
    <m/>
    <m/>
    <n v="1520"/>
    <n v="1520"/>
    <n v="760"/>
    <n v="1520"/>
    <n v="760"/>
    <n v="760"/>
    <m/>
    <m/>
    <m/>
    <m/>
    <m/>
    <m/>
    <m/>
    <n v="0"/>
    <n v="0"/>
    <n v="0"/>
    <n v="0"/>
    <n v="0"/>
    <n v="0"/>
    <n v="0"/>
    <n v="0"/>
    <n v="0"/>
    <n v="0"/>
    <n v="0"/>
    <n v="0"/>
    <n v="0"/>
    <n v="0"/>
    <x v="0"/>
    <n v="0"/>
    <s v="MMR001CMP116"/>
    <x v="0"/>
    <x v="0"/>
    <x v="0"/>
    <n v="0.56505576208178443"/>
    <s v="No"/>
    <m/>
  </r>
  <r>
    <n v="26"/>
    <d v="2013-09-12T00:00:00"/>
    <x v="0"/>
    <s v="UNHCR"/>
    <s v="Kachin"/>
    <s v="Momauk"/>
    <s v="Nhkawng Pa "/>
    <m/>
    <m/>
    <n v="640"/>
    <n v="640"/>
    <n v="320"/>
    <n v="320"/>
    <n v="320"/>
    <n v="320"/>
    <n v="640"/>
    <n v="320"/>
    <m/>
    <m/>
    <m/>
    <m/>
    <m/>
    <n v="0"/>
    <n v="0"/>
    <n v="0"/>
    <n v="0"/>
    <n v="0"/>
    <n v="0"/>
    <n v="0"/>
    <n v="0"/>
    <n v="0"/>
    <n v="0"/>
    <n v="0"/>
    <n v="0"/>
    <n v="0"/>
    <n v="0"/>
    <x v="0"/>
    <n v="0"/>
    <s v="MMR001CMP131"/>
    <x v="0"/>
    <x v="0"/>
    <x v="3"/>
    <n v="0.77669902912621358"/>
    <s v="No"/>
    <m/>
  </r>
  <r>
    <n v="27"/>
    <d v="2013-08-13T00:00:00"/>
    <x v="0"/>
    <s v="KBC"/>
    <s v="Shan_North"/>
    <s v="Hseni"/>
    <s v="Na Ti (Koe Kant Traditional school)"/>
    <m/>
    <m/>
    <n v="67"/>
    <n v="90"/>
    <n v="30"/>
    <n v="90"/>
    <n v="30"/>
    <n v="30"/>
    <n v="30"/>
    <n v="30"/>
    <m/>
    <m/>
    <m/>
    <m/>
    <m/>
    <n v="0"/>
    <n v="0"/>
    <n v="0"/>
    <n v="0"/>
    <n v="0"/>
    <n v="0"/>
    <n v="0"/>
    <n v="0"/>
    <n v="0"/>
    <n v="0"/>
    <n v="0"/>
    <n v="0"/>
    <n v="0"/>
    <n v="0"/>
    <x v="0"/>
    <n v="0"/>
    <s v=""/>
    <x v="1"/>
    <x v="1"/>
    <x v="1"/>
    <s v=""/>
    <s v="No"/>
    <m/>
  </r>
  <r>
    <n v="27"/>
    <d v="2013-08-13T00:00:00"/>
    <x v="0"/>
    <s v="KMSS"/>
    <s v="Shan_North"/>
    <s v="Manton"/>
    <s v="Host Families"/>
    <m/>
    <m/>
    <n v="49"/>
    <n v="90"/>
    <n v="30"/>
    <n v="90"/>
    <n v="30"/>
    <n v="30"/>
    <n v="30"/>
    <n v="30"/>
    <m/>
    <m/>
    <m/>
    <m/>
    <m/>
    <n v="0"/>
    <n v="0"/>
    <n v="0"/>
    <n v="0"/>
    <n v="0"/>
    <n v="0"/>
    <n v="0"/>
    <n v="0"/>
    <n v="0"/>
    <n v="0"/>
    <n v="0"/>
    <n v="0"/>
    <n v="0"/>
    <n v="0"/>
    <x v="0"/>
    <n v="0"/>
    <s v="MMR001CMP163"/>
    <x v="0"/>
    <x v="0"/>
    <x v="0"/>
    <n v="0.14218009478672985"/>
    <s v="No"/>
    <m/>
  </r>
  <r>
    <n v="27"/>
    <d v="2013-08-13T00:00:00"/>
    <x v="0"/>
    <s v="KBC"/>
    <s v="Shan_North"/>
    <s v="Kutkai"/>
    <s v="Kone Khem Camp"/>
    <m/>
    <m/>
    <n v="70"/>
    <n v="120"/>
    <n v="48"/>
    <n v="120"/>
    <n v="48"/>
    <n v="48"/>
    <n v="48"/>
    <n v="48"/>
    <m/>
    <m/>
    <m/>
    <m/>
    <m/>
    <n v="0"/>
    <n v="0"/>
    <n v="0"/>
    <n v="0"/>
    <n v="0"/>
    <n v="0"/>
    <n v="0"/>
    <n v="0"/>
    <n v="0"/>
    <n v="0"/>
    <n v="0"/>
    <n v="0"/>
    <n v="0"/>
    <n v="0"/>
    <x v="0"/>
    <n v="0"/>
    <s v="MMR015CMP015"/>
    <x v="0"/>
    <x v="0"/>
    <x v="2"/>
    <n v="0.55172413793103448"/>
    <s v="No"/>
    <m/>
  </r>
  <r>
    <n v="27"/>
    <d v="2013-08-13T00:00:00"/>
    <x v="0"/>
    <s v="KMSS"/>
    <s v="Shan_North"/>
    <s v="Kutkai"/>
    <s v="Kutkai downtown (RC Church)"/>
    <m/>
    <m/>
    <n v="47"/>
    <n v="103"/>
    <n v="41"/>
    <n v="103"/>
    <n v="41"/>
    <n v="41"/>
    <n v="41"/>
    <n v="41"/>
    <m/>
    <m/>
    <m/>
    <m/>
    <m/>
    <n v="0"/>
    <n v="0"/>
    <n v="0"/>
    <n v="0"/>
    <n v="0"/>
    <n v="0"/>
    <n v="0"/>
    <n v="0"/>
    <n v="0"/>
    <n v="0"/>
    <n v="0"/>
    <n v="0"/>
    <n v="0"/>
    <n v="0"/>
    <x v="0"/>
    <n v="0"/>
    <s v="MMR015CMP017"/>
    <x v="0"/>
    <x v="0"/>
    <x v="2"/>
    <n v="1.3666666666666667"/>
    <s v="No"/>
    <m/>
  </r>
  <r>
    <n v="27"/>
    <d v="2013-08-13T00:00:00"/>
    <x v="0"/>
    <s v="KBC"/>
    <s v="Shan_North"/>
    <s v="Manton"/>
    <s v="Mandung - Jinghpaw"/>
    <m/>
    <m/>
    <n v="36"/>
    <n v="84"/>
    <n v="42"/>
    <n v="84"/>
    <n v="42"/>
    <n v="42"/>
    <n v="42"/>
    <n v="42"/>
    <m/>
    <m/>
    <m/>
    <m/>
    <m/>
    <n v="0"/>
    <n v="0"/>
    <n v="0"/>
    <n v="0"/>
    <n v="0"/>
    <n v="0"/>
    <n v="0"/>
    <n v="0"/>
    <n v="0"/>
    <n v="0"/>
    <n v="0"/>
    <n v="0"/>
    <n v="0"/>
    <n v="0"/>
    <x v="0"/>
    <n v="0"/>
    <s v="MMR015CMP009"/>
    <x v="0"/>
    <x v="0"/>
    <x v="4"/>
    <n v="1.1052631578947369"/>
    <s v="No"/>
    <m/>
  </r>
  <r>
    <n v="27"/>
    <d v="2013-08-13T00:00:00"/>
    <x v="0"/>
    <s v="KBC"/>
    <s v="Shan_North"/>
    <s v="Kutkai"/>
    <s v="Mine Yu Lay village"/>
    <m/>
    <m/>
    <n v="113"/>
    <n v="160"/>
    <n v="32"/>
    <n v="160"/>
    <n v="32"/>
    <n v="32"/>
    <n v="32"/>
    <n v="32"/>
    <m/>
    <m/>
    <m/>
    <m/>
    <m/>
    <n v="0"/>
    <n v="0"/>
    <n v="0"/>
    <n v="0"/>
    <n v="0"/>
    <n v="0"/>
    <n v="0"/>
    <n v="0"/>
    <n v="0"/>
    <n v="0"/>
    <n v="0"/>
    <n v="0"/>
    <n v="0"/>
    <n v="0"/>
    <x v="0"/>
    <n v="0"/>
    <s v="MMR015CMP018"/>
    <x v="0"/>
    <x v="0"/>
    <x v="2"/>
    <n v="0.4050632911392405"/>
    <s v="No"/>
    <m/>
  </r>
  <r>
    <n v="27"/>
    <d v="2013-08-13T00:00:00"/>
    <x v="0"/>
    <s v="KMSS"/>
    <s v="Shan_North"/>
    <s v="Kutkai"/>
    <s v="Mungji Pa Dabang (Baptist Church)         "/>
    <m/>
    <m/>
    <n v="30"/>
    <n v="56"/>
    <n v="23"/>
    <n v="56"/>
    <n v="23"/>
    <n v="23"/>
    <n v="23"/>
    <n v="23"/>
    <m/>
    <m/>
    <m/>
    <m/>
    <m/>
    <n v="0"/>
    <n v="0"/>
    <n v="0"/>
    <n v="0"/>
    <n v="0"/>
    <n v="0"/>
    <n v="0"/>
    <n v="0"/>
    <n v="0"/>
    <n v="0"/>
    <n v="0"/>
    <n v="0"/>
    <n v="0"/>
    <n v="0"/>
    <x v="0"/>
    <n v="0"/>
    <s v="MMR015CMP006"/>
    <x v="0"/>
    <x v="0"/>
    <x v="3"/>
    <n v="0.45098039215686275"/>
    <s v="No"/>
    <m/>
  </r>
  <r>
    <n v="27"/>
    <d v="2013-08-13T00:00:00"/>
    <x v="0"/>
    <s v="KMSS"/>
    <s v="Shan_North"/>
    <s v="Kutkai"/>
    <s v="Mungji Pa Dabang (RC Church)         "/>
    <m/>
    <m/>
    <n v="70"/>
    <n v="130"/>
    <n v="52"/>
    <n v="130"/>
    <n v="52"/>
    <n v="52"/>
    <n v="52"/>
    <n v="52"/>
    <m/>
    <m/>
    <m/>
    <m/>
    <m/>
    <n v="0"/>
    <n v="0"/>
    <n v="0"/>
    <n v="0"/>
    <n v="0"/>
    <n v="0"/>
    <n v="0"/>
    <n v="0"/>
    <n v="0"/>
    <n v="0"/>
    <n v="0"/>
    <n v="0"/>
    <n v="0"/>
    <n v="0"/>
    <x v="0"/>
    <n v="0"/>
    <s v="MMR015CMP019"/>
    <x v="0"/>
    <x v="2"/>
    <x v="1"/>
    <s v=""/>
    <s v="No"/>
    <m/>
  </r>
  <r>
    <n v="27"/>
    <d v="2013-08-13T00:00:00"/>
    <x v="0"/>
    <s v="KBC"/>
    <s v="Shan_North"/>
    <s v="Namhkan"/>
    <s v="Nam Hkam - Nay Win Ni (Palawng)"/>
    <m/>
    <m/>
    <n v="125"/>
    <n v="233"/>
    <n v="93"/>
    <n v="233"/>
    <n v="93"/>
    <n v="93"/>
    <n v="93"/>
    <n v="93"/>
    <m/>
    <m/>
    <m/>
    <m/>
    <m/>
    <n v="0"/>
    <n v="0"/>
    <n v="0"/>
    <n v="0"/>
    <n v="0"/>
    <n v="0"/>
    <n v="0"/>
    <n v="0"/>
    <n v="0"/>
    <n v="0"/>
    <n v="0"/>
    <n v="0"/>
    <n v="0"/>
    <n v="0"/>
    <x v="0"/>
    <n v="0"/>
    <s v="MMR015CMP004"/>
    <x v="0"/>
    <x v="0"/>
    <x v="2"/>
    <n v="1.1341463414634145"/>
    <s v="No"/>
    <m/>
  </r>
  <r>
    <n v="27"/>
    <d v="2013-08-13T00:00:00"/>
    <x v="0"/>
    <s v="KMSS"/>
    <s v="Shan_North"/>
    <s v="Namhkan"/>
    <s v="Nam Hkam (KBC Jaw Wang)"/>
    <m/>
    <m/>
    <n v="100"/>
    <n v="188"/>
    <n v="75"/>
    <n v="188"/>
    <n v="75"/>
    <n v="75"/>
    <n v="75"/>
    <n v="75"/>
    <m/>
    <m/>
    <m/>
    <m/>
    <m/>
    <n v="0"/>
    <n v="0"/>
    <n v="0"/>
    <n v="0"/>
    <n v="0"/>
    <n v="0"/>
    <n v="0"/>
    <n v="0"/>
    <n v="0"/>
    <n v="0"/>
    <n v="0"/>
    <n v="0"/>
    <n v="0"/>
    <n v="0"/>
    <x v="0"/>
    <n v="0"/>
    <s v="MMR015CMP001"/>
    <x v="0"/>
    <x v="0"/>
    <x v="2"/>
    <n v="1.1029411764705883"/>
    <s v="No"/>
    <m/>
  </r>
  <r>
    <n v="27"/>
    <d v="2013-08-13T00:00:00"/>
    <x v="0"/>
    <s v="KMSS"/>
    <s v="Shan_North"/>
    <s v="Namhkan"/>
    <s v="Nam Hkam Catholic Church ( St. Thomas I)"/>
    <m/>
    <m/>
    <n v="36"/>
    <n v="72"/>
    <n v="33"/>
    <n v="72"/>
    <n v="33"/>
    <n v="33"/>
    <n v="33"/>
    <n v="33"/>
    <m/>
    <m/>
    <m/>
    <m/>
    <m/>
    <n v="0"/>
    <n v="0"/>
    <n v="0"/>
    <n v="0"/>
    <n v="0"/>
    <n v="0"/>
    <n v="0"/>
    <n v="0"/>
    <n v="0"/>
    <n v="0"/>
    <n v="0"/>
    <n v="0"/>
    <n v="0"/>
    <n v="0"/>
    <x v="0"/>
    <n v="0"/>
    <s v="MMR015CMP003"/>
    <x v="0"/>
    <x v="0"/>
    <x v="2"/>
    <n v="0.66"/>
    <s v="No"/>
    <m/>
  </r>
  <r>
    <n v="27"/>
    <d v="2013-08-13T00:00:00"/>
    <x v="0"/>
    <s v="KMSS"/>
    <s v="Shan_North"/>
    <s v="Namhkan"/>
    <s v="Nam Hkam Catholic Church ( St. Thomas II)"/>
    <m/>
    <m/>
    <n v="40"/>
    <n v="83"/>
    <n v="33"/>
    <n v="83"/>
    <n v="33"/>
    <n v="33"/>
    <n v="33"/>
    <n v="33"/>
    <m/>
    <m/>
    <m/>
    <m/>
    <m/>
    <n v="0"/>
    <n v="0"/>
    <n v="0"/>
    <n v="0"/>
    <n v="0"/>
    <n v="0"/>
    <n v="0"/>
    <n v="0"/>
    <n v="0"/>
    <n v="0"/>
    <n v="0"/>
    <n v="0"/>
    <n v="0"/>
    <n v="0"/>
    <x v="0"/>
    <n v="0"/>
    <s v="MMR015CMP024"/>
    <x v="0"/>
    <x v="2"/>
    <x v="1"/>
    <s v=""/>
    <s v="No"/>
    <m/>
  </r>
  <r>
    <n v="27"/>
    <d v="2013-08-13T00:00:00"/>
    <x v="0"/>
    <s v="KMSS"/>
    <s v="Shan_North"/>
    <s v="Namtu"/>
    <s v="Nam Tu RC"/>
    <m/>
    <m/>
    <n v="130"/>
    <n v="288"/>
    <n v="115"/>
    <n v="288"/>
    <n v="115"/>
    <n v="115"/>
    <n v="115"/>
    <n v="115"/>
    <m/>
    <m/>
    <m/>
    <m/>
    <m/>
    <n v="0"/>
    <n v="0"/>
    <n v="0"/>
    <n v="0"/>
    <n v="0"/>
    <n v="0"/>
    <n v="0"/>
    <n v="0"/>
    <n v="0"/>
    <n v="0"/>
    <n v="0"/>
    <n v="0"/>
    <n v="0"/>
    <n v="0"/>
    <x v="0"/>
    <n v="0"/>
    <s v="MMR015CMP210"/>
    <x v="0"/>
    <x v="0"/>
    <x v="2"/>
    <n v="0.97457627118644063"/>
    <s v="No"/>
    <m/>
  </r>
  <r>
    <n v="27"/>
    <d v="2013-08-13T00:00:00"/>
    <x v="0"/>
    <s v="KBC"/>
    <s v="Shan_North"/>
    <s v="Hseni"/>
    <s v="Narte"/>
    <m/>
    <m/>
    <n v="27"/>
    <n v="43"/>
    <n v="17"/>
    <n v="43"/>
    <n v="17"/>
    <n v="17"/>
    <n v="17"/>
    <n v="17"/>
    <m/>
    <m/>
    <m/>
    <m/>
    <m/>
    <n v="0"/>
    <n v="0"/>
    <n v="0"/>
    <n v="0"/>
    <n v="0"/>
    <n v="0"/>
    <n v="0"/>
    <n v="0"/>
    <n v="0"/>
    <n v="0"/>
    <n v="0"/>
    <n v="0"/>
    <n v="0"/>
    <n v="0"/>
    <x v="0"/>
    <n v="0"/>
    <s v="MMR015CMP207"/>
    <x v="0"/>
    <x v="0"/>
    <x v="0"/>
    <n v="0.2537313432835821"/>
    <s v="No"/>
    <m/>
  </r>
  <r>
    <n v="27.2"/>
    <d v="2013-08-07T00:00:00"/>
    <x v="0"/>
    <s v="UNHCR"/>
    <s v="Kachin"/>
    <s v="Waingmaw"/>
    <s v="Mading Baptist Church"/>
    <m/>
    <m/>
    <n v="15"/>
    <n v="57"/>
    <n v="24"/>
    <n v="57"/>
    <n v="24"/>
    <n v="24"/>
    <n v="24"/>
    <n v="24"/>
    <m/>
    <m/>
    <m/>
    <m/>
    <m/>
    <n v="0"/>
    <n v="0"/>
    <n v="0"/>
    <n v="0"/>
    <n v="0"/>
    <n v="0"/>
    <n v="0"/>
    <n v="0"/>
    <n v="0"/>
    <n v="0"/>
    <n v="0"/>
    <n v="0"/>
    <n v="0"/>
    <n v="0"/>
    <x v="0"/>
    <n v="0"/>
    <s v="MMR001CMP027"/>
    <x v="0"/>
    <x v="0"/>
    <x v="0"/>
    <n v="0.96"/>
    <s v="No"/>
    <m/>
  </r>
  <r>
    <n v="27.2"/>
    <d v="2013-08-07T00:00:00"/>
    <x v="0"/>
    <s v="UNHCR"/>
    <s v="Kachin"/>
    <s v="Waingmaw"/>
    <s v="Maina AG Church"/>
    <m/>
    <m/>
    <n v="20"/>
    <n v="40"/>
    <n v="17"/>
    <n v="40"/>
    <n v="17"/>
    <n v="17"/>
    <n v="17"/>
    <n v="17"/>
    <m/>
    <m/>
    <m/>
    <m/>
    <m/>
    <n v="0"/>
    <n v="0"/>
    <n v="0"/>
    <n v="0"/>
    <n v="0"/>
    <n v="0"/>
    <n v="0"/>
    <n v="0"/>
    <n v="0"/>
    <n v="0"/>
    <n v="0"/>
    <n v="0"/>
    <n v="0"/>
    <n v="0"/>
    <x v="0"/>
    <n v="0"/>
    <s v="MMR001CMP031"/>
    <x v="0"/>
    <x v="0"/>
    <x v="0"/>
    <n v="0.12592592592592591"/>
    <s v="No"/>
    <m/>
  </r>
  <r>
    <n v="27.2"/>
    <d v="2013-08-07T00:00:00"/>
    <x v="0"/>
    <s v="UNHCR"/>
    <s v="Kachin"/>
    <s v="Myitkyina"/>
    <s v="Maliyang Baptist Church"/>
    <m/>
    <m/>
    <n v="15"/>
    <n v="25"/>
    <n v="11"/>
    <n v="25"/>
    <n v="11"/>
    <n v="11"/>
    <n v="11"/>
    <n v="11"/>
    <m/>
    <m/>
    <m/>
    <m/>
    <m/>
    <n v="0"/>
    <n v="0"/>
    <n v="0"/>
    <n v="0"/>
    <n v="0"/>
    <n v="0"/>
    <n v="0"/>
    <n v="0"/>
    <n v="0"/>
    <n v="0"/>
    <n v="0"/>
    <n v="0"/>
    <n v="0"/>
    <n v="0"/>
    <x v="0"/>
    <n v="0"/>
    <s v="MMR001CMP016"/>
    <x v="0"/>
    <x v="0"/>
    <x v="0"/>
    <n v="0.15277777777777779"/>
    <s v="No"/>
    <m/>
  </r>
  <r>
    <n v="27.666666666666668"/>
    <d v="2013-07-24T00:00:00"/>
    <x v="0"/>
    <s v="KBC"/>
    <s v="Kachin"/>
    <s v="Myitkyina"/>
    <s v="Le Kone Bethlehem Church"/>
    <m/>
    <m/>
    <n v="66"/>
    <n v="98"/>
    <n v="45"/>
    <n v="98"/>
    <n v="45"/>
    <n v="45"/>
    <n v="45"/>
    <n v="45"/>
    <m/>
    <m/>
    <m/>
    <m/>
    <m/>
    <n v="0"/>
    <n v="0"/>
    <n v="0"/>
    <n v="0"/>
    <n v="0"/>
    <n v="0"/>
    <n v="0"/>
    <n v="0"/>
    <n v="0"/>
    <n v="0"/>
    <n v="0"/>
    <n v="0"/>
    <n v="0"/>
    <n v="0"/>
    <x v="0"/>
    <n v="0"/>
    <s v="MMR001CMP015"/>
    <x v="0"/>
    <x v="0"/>
    <x v="0"/>
    <n v="0.41666666666666669"/>
    <s v="No"/>
    <m/>
  </r>
  <r>
    <n v="27.666666666666668"/>
    <d v="2013-07-24T00:00:00"/>
    <x v="0"/>
    <s v="KBC"/>
    <s v="Kachin"/>
    <s v="Myitkyina"/>
    <s v="Le Kone Ziun Baptist Church "/>
    <m/>
    <m/>
    <n v="100"/>
    <n v="158"/>
    <n v="65"/>
    <n v="158"/>
    <n v="65"/>
    <n v="65"/>
    <n v="65"/>
    <n v="65"/>
    <m/>
    <m/>
    <m/>
    <m/>
    <m/>
    <n v="0"/>
    <n v="0"/>
    <n v="0"/>
    <n v="0"/>
    <n v="0"/>
    <n v="0"/>
    <n v="0"/>
    <n v="0"/>
    <n v="0"/>
    <n v="0"/>
    <n v="0"/>
    <n v="0"/>
    <n v="0"/>
    <n v="0"/>
    <x v="0"/>
    <n v="0"/>
    <s v="MMR001CMP014"/>
    <x v="0"/>
    <x v="0"/>
    <x v="0"/>
    <n v="0.3987730061349693"/>
    <s v="No"/>
    <m/>
  </r>
  <r>
    <n v="27.666666666666668"/>
    <d v="2013-07-24T00:00:00"/>
    <x v="0"/>
    <s v="Shalom"/>
    <s v="Kachin"/>
    <s v="Waingmaw"/>
    <s v="Maina AG Church"/>
    <m/>
    <m/>
    <n v="10"/>
    <n v="14"/>
    <n v="7"/>
    <n v="14"/>
    <n v="7"/>
    <n v="7"/>
    <n v="7"/>
    <n v="7"/>
    <m/>
    <m/>
    <m/>
    <m/>
    <m/>
    <n v="0"/>
    <n v="0"/>
    <n v="0"/>
    <n v="0"/>
    <n v="0"/>
    <n v="0"/>
    <n v="0"/>
    <n v="0"/>
    <n v="0"/>
    <n v="0"/>
    <n v="0"/>
    <n v="0"/>
    <n v="0"/>
    <n v="0"/>
    <x v="0"/>
    <n v="0"/>
    <s v="MMR001CMP031"/>
    <x v="0"/>
    <x v="0"/>
    <x v="0"/>
    <n v="5.185185185185185E-2"/>
    <s v="No"/>
    <m/>
  </r>
  <r>
    <n v="27.666666666666668"/>
    <d v="2013-07-24T00:00:00"/>
    <x v="0"/>
    <s v="KMSS"/>
    <s v="Kachin"/>
    <s v="Waingmaw"/>
    <s v="Maina Catholic Church (St. Joseph)"/>
    <m/>
    <m/>
    <n v="40"/>
    <n v="49"/>
    <n v="23"/>
    <n v="49"/>
    <n v="23"/>
    <n v="23"/>
    <n v="23"/>
    <n v="23"/>
    <m/>
    <m/>
    <m/>
    <m/>
    <m/>
    <n v="0"/>
    <n v="0"/>
    <n v="0"/>
    <n v="0"/>
    <n v="0"/>
    <n v="0"/>
    <n v="0"/>
    <n v="0"/>
    <n v="0"/>
    <n v="0"/>
    <n v="0"/>
    <n v="0"/>
    <n v="0"/>
    <n v="0"/>
    <x v="0"/>
    <n v="0"/>
    <s v="MMR001CMP029"/>
    <x v="0"/>
    <x v="0"/>
    <x v="0"/>
    <n v="0.1013215859030837"/>
    <s v="No"/>
    <m/>
  </r>
  <r>
    <n v="27.666666666666668"/>
    <d v="2013-07-24T00:00:00"/>
    <x v="0"/>
    <s v="KMSS"/>
    <s v="Kachin"/>
    <s v="Myitkyina"/>
    <s v="Nan Kway St. John Catholic Church"/>
    <m/>
    <m/>
    <n v="21"/>
    <n v="30"/>
    <n v="15"/>
    <n v="30"/>
    <n v="15"/>
    <n v="15"/>
    <n v="15"/>
    <n v="15"/>
    <m/>
    <m/>
    <m/>
    <m/>
    <m/>
    <n v="0"/>
    <n v="0"/>
    <n v="0"/>
    <n v="0"/>
    <n v="0"/>
    <n v="0"/>
    <n v="0"/>
    <n v="0"/>
    <n v="0"/>
    <n v="0"/>
    <n v="0"/>
    <n v="0"/>
    <n v="0"/>
    <n v="0"/>
    <x v="0"/>
    <n v="0"/>
    <s v="MMR001CMP024"/>
    <x v="0"/>
    <x v="0"/>
    <x v="0"/>
    <n v="0.21428571428571427"/>
    <s v="No"/>
    <m/>
  </r>
  <r>
    <n v="27.666666666666668"/>
    <d v="2013-07-24T00:00:00"/>
    <x v="0"/>
    <s v="KMSS"/>
    <s v="Kachin"/>
    <s v="Hpakant"/>
    <s v="Nant Ma Hpit Catholic Church"/>
    <m/>
    <m/>
    <n v="15"/>
    <n v="25"/>
    <n v="10"/>
    <n v="25"/>
    <n v="10"/>
    <n v="10"/>
    <n v="10"/>
    <n v="10"/>
    <m/>
    <m/>
    <m/>
    <m/>
    <m/>
    <n v="0"/>
    <n v="0"/>
    <n v="0"/>
    <n v="0"/>
    <n v="0"/>
    <n v="0"/>
    <n v="0"/>
    <n v="0"/>
    <n v="0"/>
    <n v="0"/>
    <n v="0"/>
    <n v="0"/>
    <n v="0"/>
    <n v="0"/>
    <x v="0"/>
    <n v="0"/>
    <s v="MMR001CMP103"/>
    <x v="0"/>
    <x v="0"/>
    <x v="0"/>
    <n v="0.18518518518518517"/>
    <s v="No"/>
    <m/>
  </r>
  <r>
    <n v="27.666666666666668"/>
    <d v="2013-07-24T00:00:00"/>
    <x v="0"/>
    <s v="KMSS"/>
    <s v="Kachin"/>
    <s v="Myitkyina"/>
    <s v="Pa Dauk Myaing(Pa La Na)"/>
    <m/>
    <m/>
    <n v="31"/>
    <n v="41"/>
    <n v="17"/>
    <n v="41"/>
    <n v="17"/>
    <n v="17"/>
    <n v="17"/>
    <n v="17"/>
    <m/>
    <m/>
    <m/>
    <m/>
    <m/>
    <n v="0"/>
    <n v="0"/>
    <n v="0"/>
    <n v="0"/>
    <n v="0"/>
    <n v="0"/>
    <n v="0"/>
    <n v="0"/>
    <n v="0"/>
    <n v="0"/>
    <n v="0"/>
    <n v="0"/>
    <n v="0"/>
    <n v="0"/>
    <x v="0"/>
    <n v="0"/>
    <s v="MMR001CMP162"/>
    <x v="0"/>
    <x v="0"/>
    <x v="0"/>
    <n v="0.2982456140350877"/>
    <s v="No"/>
    <m/>
  </r>
  <r>
    <n v="27.666666666666668"/>
    <d v="2013-07-24T00:00:00"/>
    <x v="0"/>
    <s v="KBC"/>
    <s v="Kachin"/>
    <s v="Waingmaw"/>
    <s v="Qtr. 2 Myoma Baptist Church"/>
    <m/>
    <m/>
    <n v="31"/>
    <n v="44"/>
    <n v="18"/>
    <n v="44"/>
    <n v="18"/>
    <n v="18"/>
    <n v="18"/>
    <n v="18"/>
    <m/>
    <m/>
    <m/>
    <m/>
    <m/>
    <n v="0"/>
    <n v="0"/>
    <n v="0"/>
    <n v="0"/>
    <n v="0"/>
    <n v="0"/>
    <n v="0"/>
    <n v="0"/>
    <n v="0"/>
    <n v="0"/>
    <n v="0"/>
    <n v="0"/>
    <n v="0"/>
    <n v="0"/>
    <x v="0"/>
    <n v="0"/>
    <s v="MMR001CMP025"/>
    <x v="0"/>
    <x v="0"/>
    <x v="0"/>
    <n v="0.27692307692307694"/>
    <s v="No"/>
    <m/>
  </r>
  <r>
    <n v="27.666666666666668"/>
    <d v="2013-07-24T00:00:00"/>
    <x v="0"/>
    <s v="Shalom"/>
    <s v="Kachin"/>
    <s v="Waingmaw"/>
    <s v="Qtr. 4 Monestry (Thargaya Thayett Taw)"/>
    <m/>
    <m/>
    <n v="41"/>
    <n v="73"/>
    <n v="31"/>
    <n v="73"/>
    <n v="31"/>
    <n v="31"/>
    <n v="31"/>
    <n v="31"/>
    <m/>
    <m/>
    <m/>
    <m/>
    <m/>
    <n v="0"/>
    <n v="0"/>
    <n v="0"/>
    <n v="0"/>
    <n v="0"/>
    <n v="0"/>
    <n v="0"/>
    <n v="0"/>
    <n v="0"/>
    <n v="0"/>
    <n v="0"/>
    <n v="0"/>
    <n v="0"/>
    <n v="0"/>
    <x v="0"/>
    <n v="0"/>
    <s v="MMR001CMP026"/>
    <x v="0"/>
    <x v="0"/>
    <x v="0"/>
    <n v="0.34065934065934067"/>
    <s v="No"/>
    <m/>
  </r>
  <r>
    <n v="27.666666666666668"/>
    <d v="2013-07-24T00:00:00"/>
    <x v="0"/>
    <s v="KBC"/>
    <s v="Kachin"/>
    <s v="Myitkyina"/>
    <s v="Shatapru Sut Ngai Tawng"/>
    <m/>
    <m/>
    <n v="21"/>
    <n v="36"/>
    <n v="16"/>
    <n v="36"/>
    <n v="16"/>
    <n v="16"/>
    <n v="16"/>
    <n v="16"/>
    <m/>
    <m/>
    <m/>
    <m/>
    <m/>
    <n v="0"/>
    <n v="0"/>
    <n v="0"/>
    <n v="0"/>
    <n v="0"/>
    <n v="0"/>
    <n v="0"/>
    <n v="0"/>
    <n v="0"/>
    <n v="0"/>
    <n v="0"/>
    <n v="0"/>
    <n v="0"/>
    <n v="0"/>
    <x v="0"/>
    <n v="0"/>
    <s v="MMR001CMP006"/>
    <x v="0"/>
    <x v="0"/>
    <x v="0"/>
    <n v="0.16842105263157894"/>
    <s v="No"/>
    <m/>
  </r>
  <r>
    <n v="27.666666666666668"/>
    <d v="2013-07-24T00:00:00"/>
    <x v="0"/>
    <s v="KBC"/>
    <s v="Kachin"/>
    <s v="Myitkyina"/>
    <s v="Tat Kone COC Baptist - Tat Kone Htoi San"/>
    <m/>
    <m/>
    <n v="34"/>
    <n v="46"/>
    <n v="22"/>
    <n v="46"/>
    <n v="22"/>
    <n v="22"/>
    <n v="22"/>
    <n v="22"/>
    <m/>
    <m/>
    <m/>
    <m/>
    <m/>
    <n v="0"/>
    <n v="0"/>
    <n v="0"/>
    <n v="0"/>
    <n v="0"/>
    <n v="0"/>
    <n v="0"/>
    <n v="0"/>
    <n v="0"/>
    <n v="0"/>
    <n v="0"/>
    <n v="0"/>
    <n v="0"/>
    <n v="0"/>
    <x v="0"/>
    <n v="0"/>
    <s v="MMR001CMP023"/>
    <x v="0"/>
    <x v="0"/>
    <x v="0"/>
    <n v="0.3235294117647059"/>
    <s v="No"/>
    <m/>
  </r>
  <r>
    <n v="27.666666666666668"/>
    <d v="2013-07-24T00:00:00"/>
    <x v="0"/>
    <s v="Shalom"/>
    <s v="Kachin"/>
    <s v="Waingmaw"/>
    <s v="Waingmaw AG Church"/>
    <m/>
    <m/>
    <n v="22"/>
    <n v="32"/>
    <n v="15"/>
    <n v="32"/>
    <n v="15"/>
    <n v="15"/>
    <n v="15"/>
    <n v="15"/>
    <m/>
    <m/>
    <m/>
    <m/>
    <m/>
    <n v="0"/>
    <n v="0"/>
    <n v="0"/>
    <n v="0"/>
    <n v="0"/>
    <n v="0"/>
    <n v="0"/>
    <n v="0"/>
    <n v="0"/>
    <n v="0"/>
    <n v="0"/>
    <n v="0"/>
    <n v="0"/>
    <n v="0"/>
    <x v="0"/>
    <n v="0"/>
    <s v="MMR001CMP038"/>
    <x v="0"/>
    <x v="0"/>
    <x v="0"/>
    <n v="0.16483516483516483"/>
    <s v="No"/>
    <m/>
  </r>
  <r>
    <n v="27.933333333333334"/>
    <d v="2013-07-16T00:00:00"/>
    <x v="0"/>
    <s v="Shalom"/>
    <s v="Kachin"/>
    <s v="Myitkyina"/>
    <s v="Tat Kone COC Baptist - Tat Kone Htoi San"/>
    <m/>
    <m/>
    <n v="55"/>
    <n v="74"/>
    <n v="31"/>
    <n v="74"/>
    <n v="31"/>
    <n v="31"/>
    <n v="31"/>
    <n v="31"/>
    <m/>
    <m/>
    <m/>
    <m/>
    <m/>
    <n v="0"/>
    <n v="0"/>
    <n v="0"/>
    <n v="0"/>
    <n v="0"/>
    <n v="0"/>
    <n v="0"/>
    <n v="0"/>
    <n v="0"/>
    <n v="0"/>
    <n v="0"/>
    <n v="0"/>
    <n v="0"/>
    <n v="0"/>
    <x v="0"/>
    <n v="0"/>
    <s v="MMR001CMP023"/>
    <x v="0"/>
    <x v="0"/>
    <x v="0"/>
    <n v="0.45588235294117646"/>
    <s v="No"/>
    <m/>
  </r>
  <r>
    <n v="28.466666666666665"/>
    <d v="2013-06-30T00:00:00"/>
    <x v="0"/>
    <m/>
    <s v="Kachin"/>
    <s v="Mansi"/>
    <s v="Maing Khaung"/>
    <m/>
    <m/>
    <m/>
    <m/>
    <m/>
    <n v="9"/>
    <m/>
    <m/>
    <n v="19"/>
    <n v="1"/>
    <m/>
    <m/>
    <m/>
    <m/>
    <m/>
    <n v="0"/>
    <n v="0"/>
    <n v="0"/>
    <n v="0"/>
    <n v="0"/>
    <n v="0"/>
    <n v="0"/>
    <n v="0"/>
    <n v="0"/>
    <n v="0"/>
    <n v="0"/>
    <n v="0"/>
    <n v="0"/>
    <n v="0"/>
    <x v="0"/>
    <n v="0"/>
    <s v="MMR001CMP218"/>
    <x v="0"/>
    <x v="0"/>
    <x v="0"/>
    <n v="0"/>
    <m/>
    <m/>
  </r>
  <r>
    <n v="28.466666666666665"/>
    <d v="2013-06-30T00:00:00"/>
    <x v="0"/>
    <m/>
    <s v="Kachin"/>
    <s v="Mansi"/>
    <s v="Maing Khaung Catholic Church"/>
    <m/>
    <m/>
    <m/>
    <n v="50"/>
    <n v="15"/>
    <m/>
    <n v="15"/>
    <m/>
    <n v="15"/>
    <n v="60"/>
    <m/>
    <m/>
    <m/>
    <m/>
    <m/>
    <n v="0"/>
    <n v="0"/>
    <n v="0"/>
    <n v="0"/>
    <n v="0"/>
    <n v="0"/>
    <n v="0"/>
    <n v="0"/>
    <n v="0"/>
    <n v="0"/>
    <n v="0"/>
    <n v="0"/>
    <n v="0"/>
    <n v="0"/>
    <x v="0"/>
    <n v="0"/>
    <s v="MMR001CMP223"/>
    <x v="0"/>
    <x v="0"/>
    <x v="0"/>
    <n v="0.12396694214876033"/>
    <m/>
    <m/>
  </r>
  <r>
    <n v="28.5"/>
    <d v="2013-06-29T00:00:00"/>
    <x v="0"/>
    <m/>
    <s v="Kachin"/>
    <s v="Mansi"/>
    <s v="Maing Khaung"/>
    <m/>
    <m/>
    <m/>
    <m/>
    <n v="19"/>
    <m/>
    <n v="19"/>
    <m/>
    <m/>
    <n v="100"/>
    <m/>
    <m/>
    <m/>
    <m/>
    <m/>
    <n v="0"/>
    <n v="0"/>
    <n v="0"/>
    <n v="0"/>
    <n v="0"/>
    <n v="0"/>
    <n v="0"/>
    <n v="0"/>
    <n v="0"/>
    <n v="0"/>
    <n v="0"/>
    <n v="0"/>
    <n v="0"/>
    <n v="0"/>
    <x v="0"/>
    <n v="0"/>
    <s v="MMR001CMP218"/>
    <x v="0"/>
    <x v="0"/>
    <x v="0"/>
    <n v="5.1075268817204304E-2"/>
    <m/>
    <m/>
  </r>
  <r>
    <n v="28.533333333333335"/>
    <d v="2013-06-28T00:00:00"/>
    <x v="0"/>
    <m/>
    <s v="Kachin"/>
    <s v="Mansi"/>
    <s v="Maing Khaung"/>
    <m/>
    <m/>
    <m/>
    <n v="10"/>
    <n v="3"/>
    <n v="10"/>
    <n v="3"/>
    <m/>
    <n v="3"/>
    <n v="10"/>
    <m/>
    <m/>
    <m/>
    <m/>
    <m/>
    <n v="0"/>
    <n v="0"/>
    <n v="0"/>
    <n v="0"/>
    <n v="0"/>
    <n v="0"/>
    <n v="0"/>
    <n v="0"/>
    <n v="0"/>
    <n v="0"/>
    <n v="0"/>
    <n v="0"/>
    <n v="0"/>
    <n v="0"/>
    <x v="0"/>
    <n v="0"/>
    <s v="MMR001CMP218"/>
    <x v="0"/>
    <x v="0"/>
    <x v="0"/>
    <n v="8.0645161290322578E-3"/>
    <m/>
    <m/>
  </r>
  <r>
    <n v="28.566666666666666"/>
    <d v="2013-06-27T00:00:00"/>
    <x v="0"/>
    <m/>
    <s v="Kachin"/>
    <s v="Mansi"/>
    <s v="Maing Khaung"/>
    <m/>
    <m/>
    <m/>
    <n v="54"/>
    <n v="18"/>
    <n v="45"/>
    <n v="18"/>
    <m/>
    <n v="18"/>
    <n v="50"/>
    <m/>
    <m/>
    <m/>
    <m/>
    <m/>
    <n v="0"/>
    <n v="0"/>
    <n v="0"/>
    <n v="0"/>
    <n v="0"/>
    <n v="0"/>
    <n v="0"/>
    <n v="0"/>
    <n v="0"/>
    <n v="0"/>
    <n v="0"/>
    <n v="0"/>
    <n v="0"/>
    <n v="0"/>
    <x v="0"/>
    <n v="0"/>
    <s v="MMR001CMP218"/>
    <x v="0"/>
    <x v="0"/>
    <x v="0"/>
    <n v="4.8387096774193547E-2"/>
    <m/>
    <m/>
  </r>
  <r>
    <n v="29"/>
    <d v="2013-06-14T00:00:00"/>
    <x v="0"/>
    <s v="UNHCR"/>
    <s v="Kachin"/>
    <s v="Momauk"/>
    <s v="Pa Kahtawng "/>
    <m/>
    <m/>
    <n v="42"/>
    <n v="42"/>
    <n v="21"/>
    <n v="42"/>
    <n v="21"/>
    <n v="21"/>
    <n v="21"/>
    <n v="21"/>
    <m/>
    <m/>
    <m/>
    <m/>
    <m/>
    <n v="0"/>
    <n v="0"/>
    <n v="0"/>
    <n v="0"/>
    <n v="0"/>
    <n v="0"/>
    <n v="0"/>
    <n v="0"/>
    <n v="0"/>
    <n v="0"/>
    <n v="0"/>
    <n v="0"/>
    <n v="0"/>
    <n v="0"/>
    <x v="0"/>
    <n v="0"/>
    <s v="MMR001CMP126"/>
    <x v="0"/>
    <x v="0"/>
    <x v="4"/>
    <n v="2.5000000000000001E-2"/>
    <s v="No"/>
    <m/>
  </r>
  <r>
    <n v="29.033333333333335"/>
    <d v="2013-06-13T00:00:00"/>
    <x v="0"/>
    <s v="UNHCR"/>
    <s v="Kachin"/>
    <s v="Momauk"/>
    <s v="Loi Je Baptist Church"/>
    <m/>
    <m/>
    <n v="152"/>
    <n v="11"/>
    <n v="4"/>
    <n v="11"/>
    <n v="4"/>
    <n v="4"/>
    <n v="4"/>
    <n v="4"/>
    <m/>
    <m/>
    <m/>
    <m/>
    <m/>
    <n v="0"/>
    <n v="0"/>
    <n v="0"/>
    <n v="0"/>
    <n v="0"/>
    <n v="0"/>
    <n v="0"/>
    <n v="0"/>
    <n v="0"/>
    <n v="0"/>
    <n v="0"/>
    <n v="0"/>
    <n v="0"/>
    <n v="0"/>
    <x v="0"/>
    <n v="0"/>
    <s v="MMR001CMP071"/>
    <x v="0"/>
    <x v="0"/>
    <x v="2"/>
    <n v="0.13793103448275862"/>
    <s v="No"/>
    <m/>
  </r>
  <r>
    <n v="29.033333333333335"/>
    <d v="2013-06-13T00:00:00"/>
    <x v="0"/>
    <s v="UNHCR"/>
    <s v="Kachin"/>
    <s v="Momauk"/>
    <s v="Loi Je Catholic Church"/>
    <m/>
    <m/>
    <n v="425"/>
    <n v="30"/>
    <n v="11"/>
    <n v="30"/>
    <n v="11"/>
    <n v="11"/>
    <n v="11"/>
    <n v="11"/>
    <m/>
    <m/>
    <m/>
    <m/>
    <m/>
    <n v="0"/>
    <n v="0"/>
    <n v="0"/>
    <n v="0"/>
    <n v="0"/>
    <n v="0"/>
    <n v="0"/>
    <n v="0"/>
    <n v="0"/>
    <n v="0"/>
    <n v="0"/>
    <n v="0"/>
    <n v="0"/>
    <n v="0"/>
    <x v="0"/>
    <n v="0"/>
    <s v="MMR001CMP069"/>
    <x v="0"/>
    <x v="0"/>
    <x v="2"/>
    <n v="0.15714285714285714"/>
    <s v="No"/>
    <m/>
  </r>
  <r>
    <n v="29.033333333333335"/>
    <d v="2013-06-13T00:00:00"/>
    <x v="0"/>
    <s v="UNHCR"/>
    <s v="Kachin"/>
    <s v="Momauk"/>
    <s v="Loi Je Lisu Camp"/>
    <m/>
    <m/>
    <n v="941"/>
    <n v="67"/>
    <n v="24"/>
    <n v="67"/>
    <n v="24"/>
    <n v="24"/>
    <n v="24"/>
    <n v="24"/>
    <m/>
    <m/>
    <m/>
    <m/>
    <m/>
    <n v="0"/>
    <n v="0"/>
    <n v="0"/>
    <n v="0"/>
    <n v="0"/>
    <n v="0"/>
    <n v="0"/>
    <n v="0"/>
    <n v="0"/>
    <n v="0"/>
    <n v="0"/>
    <n v="0"/>
    <n v="0"/>
    <n v="0"/>
    <x v="0"/>
    <n v="0"/>
    <s v="MMR001CMP070"/>
    <x v="0"/>
    <x v="0"/>
    <x v="2"/>
    <n v="0.1276595744680851"/>
    <s v="No"/>
    <m/>
  </r>
  <r>
    <n v="29.766666666666666"/>
    <d v="2013-05-22T00:00:00"/>
    <x v="10"/>
    <s v="KMSS"/>
    <s v="Kachin"/>
    <s v="Chipwi"/>
    <s v="Chipwi KBC camp"/>
    <n v="510"/>
    <m/>
    <m/>
    <m/>
    <m/>
    <m/>
    <m/>
    <m/>
    <m/>
    <m/>
    <m/>
    <m/>
    <m/>
    <m/>
    <m/>
    <n v="0"/>
    <n v="0"/>
    <n v="0"/>
    <n v="0"/>
    <n v="0"/>
    <n v="0"/>
    <n v="0"/>
    <n v="0"/>
    <n v="0"/>
    <n v="0"/>
    <n v="0"/>
    <n v="0"/>
    <n v="0"/>
    <n v="0"/>
    <x v="0"/>
    <n v="0"/>
    <s v="MMR001CMP042"/>
    <x v="0"/>
    <x v="0"/>
    <x v="3"/>
    <n v="0"/>
    <s v="No"/>
    <m/>
  </r>
  <r>
    <n v="29.766666666666666"/>
    <d v="2013-05-22T00:00:00"/>
    <x v="0"/>
    <s v="UNHCR"/>
    <s v="Kachin"/>
    <s v="Chipwi"/>
    <s v="Chipwi KBC camp"/>
    <m/>
    <m/>
    <n v="80"/>
    <n v="84"/>
    <n v="41"/>
    <n v="84"/>
    <n v="41"/>
    <n v="41"/>
    <n v="41"/>
    <n v="41"/>
    <m/>
    <m/>
    <m/>
    <m/>
    <m/>
    <n v="0"/>
    <n v="0"/>
    <n v="0"/>
    <n v="0"/>
    <n v="0"/>
    <n v="0"/>
    <n v="0"/>
    <n v="0"/>
    <n v="0"/>
    <n v="0"/>
    <n v="0"/>
    <n v="0"/>
    <n v="0"/>
    <n v="0"/>
    <x v="0"/>
    <n v="0"/>
    <s v="MMR001CMP042"/>
    <x v="0"/>
    <x v="0"/>
    <x v="3"/>
    <n v="0.34745762711864409"/>
    <s v="No"/>
    <m/>
  </r>
  <r>
    <n v="29.766666666666666"/>
    <d v="2013-05-22T00:00:00"/>
    <x v="10"/>
    <s v="KMSS"/>
    <s v="Kachin"/>
    <s v="Chipwi"/>
    <s v="Lhaovao Baptist Church (LBC)"/>
    <n v="35"/>
    <m/>
    <m/>
    <m/>
    <m/>
    <m/>
    <m/>
    <m/>
    <m/>
    <m/>
    <m/>
    <m/>
    <m/>
    <m/>
    <m/>
    <n v="0"/>
    <n v="0"/>
    <n v="0"/>
    <n v="0"/>
    <n v="0"/>
    <n v="0"/>
    <n v="0"/>
    <n v="0"/>
    <n v="0"/>
    <n v="0"/>
    <n v="0"/>
    <n v="0"/>
    <n v="0"/>
    <n v="0"/>
    <x v="0"/>
    <n v="0"/>
    <s v="MMR001CMP195"/>
    <x v="0"/>
    <x v="0"/>
    <x v="3"/>
    <n v="0"/>
    <s v="No"/>
    <m/>
  </r>
  <r>
    <n v="29.766666666666666"/>
    <d v="2013-05-22T00:00:00"/>
    <x v="0"/>
    <s v="UNHCR"/>
    <s v="Kachin"/>
    <s v="Hpakant"/>
    <s v="Mashi Kahtawng Baptist  Church"/>
    <m/>
    <m/>
    <n v="48"/>
    <n v="74"/>
    <n v="31"/>
    <n v="74"/>
    <n v="31"/>
    <n v="31"/>
    <n v="31"/>
    <n v="31"/>
    <m/>
    <m/>
    <m/>
    <m/>
    <m/>
    <n v="0"/>
    <n v="0"/>
    <n v="0"/>
    <n v="0"/>
    <n v="0"/>
    <n v="0"/>
    <n v="0"/>
    <n v="0"/>
    <n v="0"/>
    <n v="0"/>
    <n v="0"/>
    <n v="0"/>
    <n v="0"/>
    <n v="0"/>
    <x v="0"/>
    <n v="0"/>
    <s v="MMR001CMP094"/>
    <x v="0"/>
    <x v="2"/>
    <x v="1"/>
    <s v=""/>
    <s v="No"/>
    <m/>
  </r>
  <r>
    <n v="29.766666666666666"/>
    <d v="2013-05-22T00:00:00"/>
    <x v="0"/>
    <s v="UNHCR"/>
    <s v="Kachin"/>
    <s v="Hpakant"/>
    <s v="Nam Ma Phyit, COC"/>
    <m/>
    <m/>
    <n v="34"/>
    <n v="61"/>
    <n v="30"/>
    <n v="61"/>
    <n v="30"/>
    <n v="30"/>
    <n v="30"/>
    <n v="30"/>
    <m/>
    <m/>
    <m/>
    <m/>
    <m/>
    <n v="0"/>
    <n v="0"/>
    <n v="0"/>
    <n v="0"/>
    <n v="0"/>
    <n v="0"/>
    <n v="0"/>
    <n v="0"/>
    <n v="0"/>
    <n v="0"/>
    <n v="0"/>
    <n v="0"/>
    <n v="0"/>
    <n v="0"/>
    <x v="0"/>
    <n v="0"/>
    <s v="MMR001CMP192"/>
    <x v="0"/>
    <x v="0"/>
    <x v="0"/>
    <n v="1.7647058823529411"/>
    <s v="No"/>
    <m/>
  </r>
  <r>
    <n v="29.766666666666666"/>
    <d v="2013-05-22T00:00:00"/>
    <x v="0"/>
    <s v="UNHCR"/>
    <s v="Kachin"/>
    <s v="Hpakant"/>
    <s v="Nga Pyaw Taw Baptist Nursery School "/>
    <m/>
    <m/>
    <n v="273"/>
    <n v="339"/>
    <n v="151"/>
    <n v="339"/>
    <n v="151"/>
    <n v="151"/>
    <n v="151"/>
    <n v="151"/>
    <m/>
    <m/>
    <m/>
    <m/>
    <m/>
    <n v="0"/>
    <n v="0"/>
    <n v="0"/>
    <n v="0"/>
    <n v="0"/>
    <n v="0"/>
    <n v="0"/>
    <n v="0"/>
    <n v="0"/>
    <n v="0"/>
    <n v="0"/>
    <n v="0"/>
    <n v="0"/>
    <n v="0"/>
    <x v="0"/>
    <n v="0"/>
    <s v="MMR001CMP082"/>
    <x v="0"/>
    <x v="2"/>
    <x v="1"/>
    <s v=""/>
    <s v="No"/>
    <m/>
  </r>
  <r>
    <n v="29.766666666666666"/>
    <d v="2013-05-22T00:00:00"/>
    <x v="0"/>
    <s v="UNHCR"/>
    <s v="Kachin"/>
    <s v="Waingmaw"/>
    <s v="Qtr. 2 Lhaovo Baptist Church"/>
    <m/>
    <m/>
    <n v="18"/>
    <n v="20"/>
    <n v="14"/>
    <n v="20"/>
    <n v="10"/>
    <n v="10"/>
    <n v="10"/>
    <n v="10"/>
    <m/>
    <m/>
    <m/>
    <m/>
    <m/>
    <n v="0"/>
    <n v="0"/>
    <n v="0"/>
    <n v="0"/>
    <n v="0"/>
    <n v="0"/>
    <n v="0"/>
    <n v="0"/>
    <n v="0"/>
    <n v="0"/>
    <n v="0"/>
    <n v="0"/>
    <n v="0"/>
    <n v="0"/>
    <x v="0"/>
    <n v="0"/>
    <s v="MMR001CMP032"/>
    <x v="0"/>
    <x v="0"/>
    <x v="0"/>
    <n v="0.10638297872340426"/>
    <s v="No"/>
    <m/>
  </r>
  <r>
    <n v="29.766666666666666"/>
    <d v="2013-05-22T00:00:00"/>
    <x v="0"/>
    <s v="UNHCR"/>
    <s v="Kachin"/>
    <s v="Hpakant"/>
    <s v="Yumar Baptist Church"/>
    <m/>
    <m/>
    <n v="42"/>
    <n v="66"/>
    <n v="28"/>
    <n v="66"/>
    <n v="28"/>
    <n v="28"/>
    <n v="28"/>
    <n v="28"/>
    <m/>
    <m/>
    <m/>
    <m/>
    <m/>
    <n v="0"/>
    <n v="0"/>
    <n v="0"/>
    <n v="0"/>
    <n v="0"/>
    <n v="0"/>
    <n v="0"/>
    <n v="0"/>
    <n v="0"/>
    <n v="0"/>
    <n v="0"/>
    <n v="0"/>
    <n v="0"/>
    <n v="0"/>
    <x v="0"/>
    <n v="0"/>
    <s v="MMR001CMP105"/>
    <x v="0"/>
    <x v="0"/>
    <x v="0"/>
    <n v="1.4"/>
    <s v="No"/>
    <m/>
  </r>
  <r>
    <n v="29.966666666666665"/>
    <d v="2013-05-16T00:00:00"/>
    <x v="10"/>
    <s v="KMSS"/>
    <s v="Kachin"/>
    <s v="Hpakant"/>
    <s v="Lawng Hkang"/>
    <n v="394"/>
    <m/>
    <m/>
    <m/>
    <m/>
    <m/>
    <m/>
    <m/>
    <m/>
    <m/>
    <m/>
    <m/>
    <m/>
    <m/>
    <m/>
    <n v="0"/>
    <n v="0"/>
    <n v="0"/>
    <n v="0"/>
    <n v="0"/>
    <n v="0"/>
    <n v="0"/>
    <n v="0"/>
    <n v="0"/>
    <n v="0"/>
    <n v="0"/>
    <n v="0"/>
    <n v="0"/>
    <n v="0"/>
    <x v="0"/>
    <n v="0"/>
    <s v=""/>
    <x v="1"/>
    <x v="1"/>
    <x v="1"/>
    <s v=""/>
    <s v="No"/>
    <m/>
  </r>
  <r>
    <n v="29.966666666666665"/>
    <d v="2013-05-16T00:00:00"/>
    <x v="10"/>
    <s v="KMSS"/>
    <s v="Kachin"/>
    <s v="Hpakant"/>
    <s v="Nant Ma Hpit Catholic Church"/>
    <n v="423"/>
    <m/>
    <m/>
    <m/>
    <m/>
    <m/>
    <m/>
    <m/>
    <m/>
    <m/>
    <m/>
    <m/>
    <m/>
    <m/>
    <m/>
    <n v="0"/>
    <n v="0"/>
    <n v="0"/>
    <n v="0"/>
    <n v="0"/>
    <n v="0"/>
    <n v="0"/>
    <n v="0"/>
    <n v="0"/>
    <n v="0"/>
    <n v="0"/>
    <n v="0"/>
    <n v="0"/>
    <n v="0"/>
    <x v="0"/>
    <n v="0"/>
    <s v="MMR001CMP103"/>
    <x v="0"/>
    <x v="0"/>
    <x v="0"/>
    <n v="0"/>
    <s v="No"/>
    <m/>
  </r>
  <r>
    <n v="29.966666666666665"/>
    <d v="2013-05-16T00:00:00"/>
    <x v="10"/>
    <s v="KMSS"/>
    <s v="Kachin"/>
    <s v="Hpakant"/>
    <s v="Ward 2 Cahotlic Church, Seik Mu"/>
    <n v="103"/>
    <m/>
    <m/>
    <m/>
    <m/>
    <m/>
    <m/>
    <m/>
    <m/>
    <m/>
    <m/>
    <m/>
    <m/>
    <m/>
    <m/>
    <n v="0"/>
    <n v="0"/>
    <n v="0"/>
    <n v="0"/>
    <n v="0"/>
    <n v="0"/>
    <n v="0"/>
    <n v="0"/>
    <n v="0"/>
    <n v="0"/>
    <n v="0"/>
    <n v="0"/>
    <n v="0"/>
    <n v="0"/>
    <x v="0"/>
    <n v="0"/>
    <s v="MMR001CMP185"/>
    <x v="0"/>
    <x v="2"/>
    <x v="1"/>
    <s v=""/>
    <s v="No"/>
    <m/>
  </r>
  <r>
    <n v="30.033333333333335"/>
    <d v="2013-05-14T00:00:00"/>
    <x v="10"/>
    <s v="KMSS"/>
    <s v="Kachin"/>
    <s v="Waingmaw"/>
    <s v="Border Post 8"/>
    <n v="604"/>
    <m/>
    <m/>
    <m/>
    <m/>
    <m/>
    <m/>
    <m/>
    <m/>
    <m/>
    <m/>
    <m/>
    <m/>
    <m/>
    <m/>
    <n v="0"/>
    <n v="0"/>
    <n v="0"/>
    <n v="0"/>
    <n v="0"/>
    <n v="0"/>
    <n v="0"/>
    <n v="0"/>
    <n v="0"/>
    <n v="0"/>
    <n v="0"/>
    <n v="0"/>
    <n v="0"/>
    <n v="0"/>
    <x v="0"/>
    <n v="0"/>
    <s v="MMR001CMP113"/>
    <x v="0"/>
    <x v="0"/>
    <x v="3"/>
    <n v="0"/>
    <s v="No"/>
    <m/>
  </r>
  <r>
    <n v="30.133333333333333"/>
    <d v="2013-05-11T00:00:00"/>
    <x v="10"/>
    <s v="KMSS"/>
    <s v="Kachin"/>
    <s v="Waingmaw"/>
    <s v="Post 6 Camp"/>
    <n v="490"/>
    <m/>
    <m/>
    <m/>
    <m/>
    <m/>
    <m/>
    <m/>
    <m/>
    <m/>
    <m/>
    <m/>
    <m/>
    <m/>
    <m/>
    <n v="0"/>
    <n v="0"/>
    <n v="0"/>
    <n v="0"/>
    <n v="0"/>
    <n v="0"/>
    <n v="0"/>
    <n v="0"/>
    <n v="0"/>
    <n v="0"/>
    <n v="0"/>
    <n v="0"/>
    <n v="0"/>
    <n v="0"/>
    <x v="0"/>
    <n v="0"/>
    <s v="MMR001CMP160"/>
    <x v="0"/>
    <x v="0"/>
    <x v="3"/>
    <n v="0"/>
    <s v="No"/>
    <m/>
  </r>
  <r>
    <n v="30.2"/>
    <d v="2013-05-09T00:00:00"/>
    <x v="10"/>
    <s v="KMSS"/>
    <s v="Kachin"/>
    <s v="Myitkyina"/>
    <s v="Jan Mai Kawng Catholic Church"/>
    <n v="460"/>
    <m/>
    <m/>
    <m/>
    <m/>
    <m/>
    <m/>
    <m/>
    <m/>
    <m/>
    <m/>
    <m/>
    <m/>
    <m/>
    <m/>
    <n v="0"/>
    <n v="0"/>
    <n v="0"/>
    <n v="0"/>
    <n v="0"/>
    <n v="0"/>
    <n v="0"/>
    <n v="0"/>
    <n v="0"/>
    <n v="0"/>
    <n v="0"/>
    <n v="0"/>
    <n v="0"/>
    <n v="0"/>
    <x v="0"/>
    <n v="0"/>
    <s v="MMR001CMP019"/>
    <x v="0"/>
    <x v="0"/>
    <x v="0"/>
    <n v="0"/>
    <s v="No"/>
    <m/>
  </r>
  <r>
    <n v="30.2"/>
    <d v="2013-05-09T00:00:00"/>
    <x v="10"/>
    <s v="KMSS"/>
    <s v="Kachin"/>
    <s v="Myitkyina"/>
    <s v="Nan Kway St. John Catholic Church"/>
    <n v="324"/>
    <m/>
    <m/>
    <m/>
    <m/>
    <m/>
    <m/>
    <m/>
    <m/>
    <m/>
    <m/>
    <m/>
    <m/>
    <m/>
    <m/>
    <n v="0"/>
    <n v="0"/>
    <n v="0"/>
    <n v="0"/>
    <n v="0"/>
    <n v="0"/>
    <n v="0"/>
    <n v="0"/>
    <n v="0"/>
    <n v="0"/>
    <n v="0"/>
    <n v="0"/>
    <n v="0"/>
    <n v="0"/>
    <x v="0"/>
    <n v="0"/>
    <s v="MMR001CMP024"/>
    <x v="0"/>
    <x v="0"/>
    <x v="0"/>
    <n v="0"/>
    <s v="No"/>
    <m/>
  </r>
  <r>
    <n v="30.233333333333334"/>
    <d v="2013-05-08T00:00:00"/>
    <x v="10"/>
    <s v="KMSS"/>
    <s v="Kachin"/>
    <s v="Waingmaw"/>
    <s v="Maina Catholic Church (St. Joseph)"/>
    <n v="1062"/>
    <m/>
    <m/>
    <m/>
    <m/>
    <m/>
    <m/>
    <m/>
    <m/>
    <m/>
    <m/>
    <m/>
    <m/>
    <m/>
    <m/>
    <n v="0"/>
    <n v="0"/>
    <n v="0"/>
    <n v="0"/>
    <n v="0"/>
    <n v="0"/>
    <n v="0"/>
    <n v="0"/>
    <n v="0"/>
    <n v="0"/>
    <n v="0"/>
    <n v="0"/>
    <n v="0"/>
    <n v="0"/>
    <x v="0"/>
    <n v="0"/>
    <s v="MMR001CMP029"/>
    <x v="0"/>
    <x v="0"/>
    <x v="0"/>
    <n v="0"/>
    <s v="No"/>
    <m/>
  </r>
  <r>
    <n v="30.266666666666666"/>
    <d v="2013-05-07T00:00:00"/>
    <x v="10"/>
    <s v="KMSS"/>
    <s v="Kachin"/>
    <s v="Myitkyina"/>
    <s v="Pa Dauk Myaing(Pa La Na)"/>
    <n v="149"/>
    <m/>
    <m/>
    <m/>
    <m/>
    <m/>
    <m/>
    <m/>
    <m/>
    <m/>
    <m/>
    <m/>
    <m/>
    <m/>
    <m/>
    <n v="0"/>
    <n v="0"/>
    <n v="0"/>
    <n v="0"/>
    <n v="0"/>
    <n v="0"/>
    <n v="0"/>
    <n v="0"/>
    <n v="0"/>
    <n v="0"/>
    <n v="0"/>
    <n v="0"/>
    <n v="0"/>
    <n v="0"/>
    <x v="0"/>
    <n v="0"/>
    <s v="MMR001CMP162"/>
    <x v="0"/>
    <x v="0"/>
    <x v="0"/>
    <n v="0"/>
    <s v="No"/>
    <m/>
  </r>
  <r>
    <n v="31.4"/>
    <d v="2013-04-03T00:00:00"/>
    <x v="0"/>
    <s v="UNHCR"/>
    <s v="Kachin"/>
    <s v="Waingmaw"/>
    <s v="Maina AG Church"/>
    <m/>
    <m/>
    <n v="15"/>
    <n v="22"/>
    <n v="11"/>
    <n v="22"/>
    <n v="11"/>
    <n v="11"/>
    <n v="11"/>
    <n v="11"/>
    <m/>
    <m/>
    <m/>
    <m/>
    <m/>
    <n v="0"/>
    <n v="0"/>
    <n v="0"/>
    <n v="0"/>
    <n v="0"/>
    <n v="0"/>
    <n v="0"/>
    <n v="0"/>
    <n v="0"/>
    <n v="0"/>
    <n v="0"/>
    <n v="0"/>
    <n v="0"/>
    <n v="0"/>
    <x v="0"/>
    <n v="0"/>
    <s v="MMR001CMP031"/>
    <x v="0"/>
    <x v="0"/>
    <x v="0"/>
    <n v="8.1481481481481488E-2"/>
    <s v="No"/>
    <m/>
  </r>
  <r>
    <n v="31.4"/>
    <d v="2013-04-03T00:00:00"/>
    <x v="0"/>
    <s v="UNHCR"/>
    <s v="Kachin"/>
    <s v="Waingmaw"/>
    <s v="Waingmaw AG Church"/>
    <m/>
    <m/>
    <n v="4"/>
    <n v="7"/>
    <n v="3"/>
    <n v="7"/>
    <n v="3"/>
    <n v="3"/>
    <n v="3"/>
    <n v="3"/>
    <m/>
    <m/>
    <m/>
    <m/>
    <m/>
    <n v="0"/>
    <n v="0"/>
    <n v="0"/>
    <n v="0"/>
    <n v="0"/>
    <n v="0"/>
    <n v="0"/>
    <n v="0"/>
    <n v="0"/>
    <n v="0"/>
    <n v="0"/>
    <n v="0"/>
    <n v="0"/>
    <n v="0"/>
    <x v="0"/>
    <n v="0"/>
    <s v="MMR001CMP038"/>
    <x v="0"/>
    <x v="0"/>
    <x v="0"/>
    <n v="3.2967032967032968E-2"/>
    <s v="No"/>
    <m/>
  </r>
  <r>
    <n v="31.566666666666666"/>
    <d v="2013-03-29T00:00:00"/>
    <x v="9"/>
    <s v="MRCS"/>
    <s v="Kachin"/>
    <s v="Sumprabum"/>
    <s v="Sumprabum"/>
    <m/>
    <m/>
    <n v="6"/>
    <m/>
    <m/>
    <m/>
    <n v="6"/>
    <m/>
    <n v="0"/>
    <n v="0"/>
    <m/>
    <m/>
    <m/>
    <m/>
    <m/>
    <n v="0"/>
    <n v="0"/>
    <n v="0"/>
    <n v="0"/>
    <n v="0"/>
    <n v="0"/>
    <n v="0"/>
    <n v="0"/>
    <n v="0"/>
    <n v="0"/>
    <n v="0"/>
    <n v="0"/>
    <n v="0"/>
    <n v="0"/>
    <x v="0"/>
    <n v="0"/>
    <s v="MMR001CMP206"/>
    <x v="0"/>
    <x v="0"/>
    <x v="0"/>
    <n v="1.2"/>
    <s v="No"/>
    <m/>
  </r>
  <r>
    <n v="31.833333333333332"/>
    <d v="2013-03-21T00:00:00"/>
    <x v="0"/>
    <s v="UNHCR"/>
    <s v="Kachin"/>
    <s v="Hpakant"/>
    <s v="Lisu Baptist Church, Maw Shan Vil,. Seik Mu"/>
    <m/>
    <m/>
    <n v="34"/>
    <n v="40"/>
    <n v="40"/>
    <n v="75"/>
    <n v="40"/>
    <n v="75"/>
    <n v="75"/>
    <n v="75"/>
    <m/>
    <m/>
    <m/>
    <m/>
    <m/>
    <n v="0"/>
    <n v="0"/>
    <n v="0"/>
    <n v="0"/>
    <n v="0"/>
    <n v="0"/>
    <n v="0"/>
    <n v="0"/>
    <n v="0"/>
    <n v="0"/>
    <n v="0"/>
    <n v="0"/>
    <n v="0"/>
    <n v="0"/>
    <x v="0"/>
    <n v="0"/>
    <s v="MMR001CMP181"/>
    <x v="0"/>
    <x v="0"/>
    <x v="0"/>
    <n v="1.6"/>
    <s v="No"/>
    <m/>
  </r>
  <r>
    <n v="31.833333333333332"/>
    <d v="2013-03-21T00:00:00"/>
    <x v="0"/>
    <s v="UNHCR"/>
    <s v="Kachin"/>
    <s v="Hpakant"/>
    <s v="Rawan Baptist Church, Maw Shan Vil., Seik Mu"/>
    <m/>
    <m/>
    <n v="15"/>
    <n v="8"/>
    <n v="8"/>
    <n v="17"/>
    <n v="8"/>
    <n v="17"/>
    <n v="17"/>
    <n v="17"/>
    <m/>
    <m/>
    <m/>
    <m/>
    <m/>
    <n v="0"/>
    <n v="0"/>
    <n v="0"/>
    <n v="0"/>
    <n v="0"/>
    <n v="0"/>
    <n v="0"/>
    <n v="0"/>
    <n v="0"/>
    <n v="0"/>
    <n v="0"/>
    <n v="0"/>
    <n v="0"/>
    <n v="0"/>
    <x v="0"/>
    <n v="0"/>
    <s v="MMR001CMP182"/>
    <x v="0"/>
    <x v="0"/>
    <x v="0"/>
    <n v="0.8"/>
    <s v="No"/>
    <m/>
  </r>
  <r>
    <n v="31.866666666666667"/>
    <d v="2013-03-20T00:00:00"/>
    <x v="0"/>
    <s v="UNHCR"/>
    <s v="Kachin"/>
    <s v="Hpakant"/>
    <s v="AG Church, Maw Wan"/>
    <m/>
    <m/>
    <n v="24"/>
    <n v="17"/>
    <n v="17"/>
    <n v="41"/>
    <n v="17"/>
    <n v="41"/>
    <n v="41"/>
    <n v="41"/>
    <m/>
    <m/>
    <m/>
    <m/>
    <m/>
    <n v="0"/>
    <n v="0"/>
    <n v="0"/>
    <n v="0"/>
    <n v="0"/>
    <n v="0"/>
    <n v="0"/>
    <n v="0"/>
    <n v="0"/>
    <n v="0"/>
    <n v="0"/>
    <n v="0"/>
    <n v="0"/>
    <n v="0"/>
    <x v="0"/>
    <n v="0"/>
    <s v="MMR001CMP190"/>
    <x v="0"/>
    <x v="0"/>
    <x v="0"/>
    <n v="1.2142857142857142"/>
    <s v="No"/>
    <m/>
  </r>
  <r>
    <n v="31.866666666666667"/>
    <d v="2013-03-20T00:00:00"/>
    <x v="0"/>
    <s v="UNHCR"/>
    <s v="Kachin"/>
    <s v="Hpakant"/>
    <s v="Anglican Church, Hmaw Si Sar"/>
    <m/>
    <m/>
    <n v="38"/>
    <n v="11"/>
    <n v="11"/>
    <n v="87"/>
    <n v="11"/>
    <n v="26"/>
    <n v="26"/>
    <n v="26"/>
    <m/>
    <m/>
    <m/>
    <m/>
    <m/>
    <n v="0"/>
    <n v="0"/>
    <n v="0"/>
    <n v="0"/>
    <n v="0"/>
    <n v="0"/>
    <n v="0"/>
    <n v="0"/>
    <n v="0"/>
    <n v="0"/>
    <n v="0"/>
    <n v="0"/>
    <n v="0"/>
    <n v="0"/>
    <x v="0"/>
    <n v="0"/>
    <s v="MMR001CMP173"/>
    <x v="0"/>
    <x v="2"/>
    <x v="1"/>
    <s v=""/>
    <s v="No"/>
    <m/>
  </r>
  <r>
    <n v="31.866666666666667"/>
    <d v="2013-03-20T00:00:00"/>
    <x v="0"/>
    <s v="UNHCR"/>
    <s v="Kachin"/>
    <s v="Hpakant"/>
    <s v="Chin Church, Seik Mu"/>
    <m/>
    <m/>
    <n v="3"/>
    <n v="8"/>
    <n v="8"/>
    <n v="15"/>
    <n v="8"/>
    <n v="15"/>
    <n v="15"/>
    <n v="15"/>
    <m/>
    <m/>
    <m/>
    <m/>
    <m/>
    <n v="0"/>
    <n v="0"/>
    <n v="0"/>
    <n v="0"/>
    <n v="0"/>
    <n v="0"/>
    <n v="0"/>
    <n v="0"/>
    <n v="0"/>
    <n v="0"/>
    <n v="0"/>
    <n v="0"/>
    <n v="0"/>
    <n v="0"/>
    <x v="0"/>
    <n v="0"/>
    <s v="MMR001CMP109"/>
    <x v="0"/>
    <x v="0"/>
    <x v="0"/>
    <n v="1.3333333333333333"/>
    <s v="No"/>
    <m/>
  </r>
  <r>
    <n v="31.866666666666667"/>
    <d v="2013-03-20T00:00:00"/>
    <x v="0"/>
    <s v="UNHCR"/>
    <s v="Kachin"/>
    <s v="Hpakant"/>
    <s v="Chin(Zomi) Baptist Church"/>
    <m/>
    <m/>
    <n v="9"/>
    <n v="6"/>
    <n v="6"/>
    <n v="15"/>
    <n v="6"/>
    <n v="15"/>
    <n v="15"/>
    <n v="15"/>
    <m/>
    <m/>
    <m/>
    <m/>
    <m/>
    <n v="0"/>
    <n v="0"/>
    <n v="0"/>
    <n v="0"/>
    <n v="0"/>
    <n v="0"/>
    <n v="0"/>
    <n v="0"/>
    <n v="0"/>
    <n v="0"/>
    <n v="0"/>
    <n v="0"/>
    <n v="0"/>
    <n v="0"/>
    <x v="0"/>
    <n v="0"/>
    <s v="MMR001CMP086"/>
    <x v="0"/>
    <x v="2"/>
    <x v="1"/>
    <s v=""/>
    <s v="No"/>
    <m/>
  </r>
  <r>
    <n v="31.866666666666667"/>
    <d v="2013-03-20T00:00:00"/>
    <x v="0"/>
    <s v="UNHCR"/>
    <s v="Kachin"/>
    <s v="Hpakant"/>
    <s v="Lisu Baptist Church, Maw Wan Ward"/>
    <m/>
    <m/>
    <n v="32"/>
    <n v="27"/>
    <n v="27"/>
    <n v="66"/>
    <n v="27"/>
    <n v="66"/>
    <n v="66"/>
    <n v="66"/>
    <m/>
    <m/>
    <m/>
    <m/>
    <m/>
    <n v="0"/>
    <n v="0"/>
    <n v="0"/>
    <n v="0"/>
    <n v="0"/>
    <n v="0"/>
    <n v="0"/>
    <n v="0"/>
    <n v="0"/>
    <n v="0"/>
    <n v="0"/>
    <n v="0"/>
    <n v="0"/>
    <n v="0"/>
    <x v="0"/>
    <n v="0"/>
    <s v="MMR001CMP167"/>
    <x v="0"/>
    <x v="0"/>
    <x v="0"/>
    <n v="1.8"/>
    <s v="No"/>
    <m/>
  </r>
  <r>
    <n v="31.866666666666667"/>
    <d v="2013-03-20T00:00:00"/>
    <x v="0"/>
    <s v="UNHCR"/>
    <s v="Kachin"/>
    <s v="Hpakant"/>
    <s v="Maw Wan, Kachin Baptist Church"/>
    <m/>
    <m/>
    <n v="18"/>
    <n v="17"/>
    <n v="17"/>
    <n v="42"/>
    <n v="17"/>
    <n v="42"/>
    <n v="42"/>
    <n v="42"/>
    <m/>
    <m/>
    <m/>
    <m/>
    <m/>
    <n v="0"/>
    <n v="0"/>
    <n v="0"/>
    <n v="0"/>
    <n v="0"/>
    <n v="0"/>
    <n v="0"/>
    <n v="0"/>
    <n v="0"/>
    <n v="0"/>
    <n v="0"/>
    <n v="0"/>
    <n v="0"/>
    <n v="0"/>
    <x v="0"/>
    <n v="0"/>
    <s v="MMR001CMP085"/>
    <x v="0"/>
    <x v="2"/>
    <x v="1"/>
    <s v=""/>
    <s v="No"/>
    <m/>
  </r>
  <r>
    <n v="31.866666666666667"/>
    <d v="2013-03-20T00:00:00"/>
    <x v="0"/>
    <s v="UNHCR"/>
    <s v="Kachin"/>
    <s v="Hpakant"/>
    <s v="Maw Wan, Mu-yin Baptist Church"/>
    <m/>
    <m/>
    <n v="17"/>
    <n v="17"/>
    <n v="17"/>
    <n v="41"/>
    <n v="17"/>
    <n v="41"/>
    <n v="41"/>
    <n v="41"/>
    <m/>
    <m/>
    <m/>
    <m/>
    <m/>
    <n v="0"/>
    <n v="0"/>
    <n v="0"/>
    <n v="0"/>
    <n v="0"/>
    <n v="0"/>
    <n v="0"/>
    <n v="0"/>
    <n v="0"/>
    <n v="0"/>
    <n v="0"/>
    <n v="0"/>
    <n v="0"/>
    <n v="0"/>
    <x v="0"/>
    <n v="0"/>
    <s v="MMR001CMP091"/>
    <x v="0"/>
    <x v="0"/>
    <x v="0"/>
    <n v="3.4"/>
    <s v="No"/>
    <m/>
  </r>
  <r>
    <n v="31.866666666666667"/>
    <d v="2013-03-20T00:00:00"/>
    <x v="0"/>
    <s v="UNHCR"/>
    <s v="Kachin"/>
    <s v="Hpakant"/>
    <s v="Muring Baptist Church, Awng Ra, Wa Ra Zut VT"/>
    <m/>
    <m/>
    <n v="48"/>
    <n v="48"/>
    <n v="48"/>
    <n v="98"/>
    <n v="48"/>
    <n v="98"/>
    <n v="98"/>
    <n v="98"/>
    <m/>
    <m/>
    <m/>
    <m/>
    <m/>
    <n v="0"/>
    <n v="0"/>
    <n v="0"/>
    <n v="0"/>
    <n v="0"/>
    <n v="0"/>
    <n v="0"/>
    <n v="0"/>
    <n v="0"/>
    <n v="0"/>
    <n v="0"/>
    <n v="0"/>
    <n v="0"/>
    <n v="0"/>
    <x v="0"/>
    <n v="0"/>
    <s v="MMR001CMP177"/>
    <x v="0"/>
    <x v="2"/>
    <x v="1"/>
    <s v=""/>
    <s v="No"/>
    <m/>
  </r>
  <r>
    <n v="31.866666666666667"/>
    <d v="2013-03-20T00:00:00"/>
    <x v="0"/>
    <s v="UNHCR"/>
    <s v="Kachin"/>
    <s v="Hpakant"/>
    <s v="Ward 2 Sai Taung Baptist Church, Seik Mu "/>
    <m/>
    <m/>
    <n v="124"/>
    <n v="117"/>
    <n v="121"/>
    <n v="227"/>
    <n v="122"/>
    <n v="263"/>
    <n v="263"/>
    <n v="263"/>
    <m/>
    <m/>
    <m/>
    <m/>
    <m/>
    <n v="0"/>
    <n v="0"/>
    <n v="0"/>
    <n v="0"/>
    <n v="0"/>
    <n v="0"/>
    <n v="0"/>
    <n v="0"/>
    <n v="0"/>
    <n v="0"/>
    <n v="0"/>
    <n v="0"/>
    <n v="0"/>
    <n v="0"/>
    <x v="0"/>
    <n v="0"/>
    <s v="MMR001CMP184"/>
    <x v="0"/>
    <x v="0"/>
    <x v="0"/>
    <n v="2.975609756097561"/>
    <s v="No"/>
    <m/>
  </r>
  <r>
    <n v="31.866666666666667"/>
    <d v="2013-03-20T00:00:00"/>
    <x v="0"/>
    <s v="UNHCR"/>
    <s v="Kachin"/>
    <s v="Hpakant"/>
    <s v="Wrad(5) Christian Association"/>
    <m/>
    <m/>
    <n v="34"/>
    <n v="26"/>
    <n v="26"/>
    <n v="60"/>
    <n v="26"/>
    <n v="60"/>
    <n v="60"/>
    <n v="60"/>
    <m/>
    <m/>
    <m/>
    <m/>
    <m/>
    <n v="0"/>
    <n v="0"/>
    <n v="0"/>
    <n v="0"/>
    <n v="0"/>
    <n v="0"/>
    <n v="0"/>
    <n v="0"/>
    <n v="0"/>
    <n v="0"/>
    <n v="0"/>
    <n v="0"/>
    <n v="0"/>
    <n v="0"/>
    <x v="0"/>
    <n v="0"/>
    <s v="MMR001CMP175"/>
    <x v="0"/>
    <x v="2"/>
    <x v="1"/>
    <s v=""/>
    <s v="No"/>
    <m/>
  </r>
  <r>
    <n v="31.866666666666667"/>
    <d v="2013-03-20T00:00:00"/>
    <x v="0"/>
    <s v="UNHCR"/>
    <s v="Kachin"/>
    <s v="Hpakant"/>
    <s v="Zomee Baptist Church camp, Hmaw Wan"/>
    <m/>
    <m/>
    <n v="6"/>
    <n v="0"/>
    <n v="0"/>
    <n v="11"/>
    <n v="0"/>
    <n v="0"/>
    <m/>
    <m/>
    <m/>
    <m/>
    <m/>
    <m/>
    <m/>
    <n v="0"/>
    <n v="0"/>
    <n v="0"/>
    <n v="0"/>
    <n v="0"/>
    <n v="0"/>
    <n v="0"/>
    <n v="0"/>
    <n v="0"/>
    <n v="0"/>
    <n v="0"/>
    <n v="0"/>
    <n v="0"/>
    <n v="0"/>
    <x v="0"/>
    <n v="0"/>
    <s v="MMR001CMP201"/>
    <x v="0"/>
    <x v="2"/>
    <x v="1"/>
    <s v=""/>
    <s v="No"/>
    <m/>
  </r>
  <r>
    <n v="32.333333333333336"/>
    <d v="2013-03-06T00:00:00"/>
    <x v="0"/>
    <s v="UNHCR"/>
    <s v="Kachin"/>
    <s v="Waingmaw"/>
    <s v="Maina KBC (Bawng Ring)"/>
    <m/>
    <m/>
    <n v="34"/>
    <n v="73"/>
    <n v="38"/>
    <n v="73"/>
    <n v="38"/>
    <n v="33"/>
    <n v="33"/>
    <n v="33"/>
    <m/>
    <m/>
    <m/>
    <m/>
    <m/>
    <n v="0"/>
    <n v="0"/>
    <n v="0"/>
    <n v="0"/>
    <n v="0"/>
    <n v="0"/>
    <n v="0"/>
    <n v="0"/>
    <n v="0"/>
    <n v="0"/>
    <n v="0"/>
    <n v="0"/>
    <n v="0"/>
    <n v="0"/>
    <x v="0"/>
    <n v="0"/>
    <s v="MMR001CMP040"/>
    <x v="0"/>
    <x v="0"/>
    <x v="0"/>
    <n v="8.8785046728971959E-2"/>
    <s v="No"/>
    <m/>
  </r>
  <r>
    <n v="32.333333333333336"/>
    <d v="2013-03-06T00:00:00"/>
    <x v="0"/>
    <s v="UNHCR"/>
    <s v="Kachin"/>
    <s v="Waingmaw"/>
    <s v="Qtr. 2 Lhaovo Baptist Church"/>
    <m/>
    <m/>
    <n v="6"/>
    <n v="11"/>
    <n v="5"/>
    <n v="11"/>
    <n v="5"/>
    <n v="5"/>
    <n v="5"/>
    <n v="5"/>
    <m/>
    <m/>
    <m/>
    <m/>
    <m/>
    <n v="0"/>
    <n v="0"/>
    <n v="0"/>
    <n v="0"/>
    <n v="0"/>
    <n v="0"/>
    <n v="0"/>
    <n v="0"/>
    <n v="0"/>
    <n v="0"/>
    <n v="0"/>
    <n v="0"/>
    <n v="0"/>
    <n v="0"/>
    <x v="0"/>
    <n v="0"/>
    <s v="MMR001CMP032"/>
    <x v="0"/>
    <x v="0"/>
    <x v="0"/>
    <n v="5.3191489361702128E-2"/>
    <s v="No"/>
    <m/>
  </r>
  <r>
    <n v="32.43333333333333"/>
    <d v="2013-03-03T00:00:00"/>
    <x v="5"/>
    <s v="Solidarities"/>
    <s v="Kachin"/>
    <s v="Momauk"/>
    <s v="Seng Ja "/>
    <n v="33"/>
    <m/>
    <m/>
    <m/>
    <m/>
    <m/>
    <m/>
    <m/>
    <n v="0"/>
    <n v="0"/>
    <m/>
    <m/>
    <m/>
    <m/>
    <m/>
    <n v="0"/>
    <n v="0"/>
    <n v="0"/>
    <n v="0"/>
    <n v="0"/>
    <n v="0"/>
    <n v="0"/>
    <n v="0"/>
    <n v="0"/>
    <n v="0"/>
    <n v="0"/>
    <n v="0"/>
    <n v="0"/>
    <n v="0"/>
    <x v="0"/>
    <n v="0"/>
    <s v="MMR001CMP073"/>
    <x v="0"/>
    <x v="0"/>
    <x v="2"/>
    <n v="0"/>
    <s v="No"/>
    <m/>
  </r>
  <r>
    <n v="32.466666666666669"/>
    <d v="2013-03-02T00:00:00"/>
    <x v="5"/>
    <s v="Solidarities"/>
    <s v="Kachin"/>
    <s v="Momauk"/>
    <s v="Loi Je Baptist Church"/>
    <n v="3"/>
    <m/>
    <m/>
    <m/>
    <m/>
    <m/>
    <m/>
    <m/>
    <n v="0"/>
    <n v="0"/>
    <m/>
    <m/>
    <m/>
    <m/>
    <m/>
    <n v="0"/>
    <n v="0"/>
    <n v="0"/>
    <n v="0"/>
    <n v="0"/>
    <n v="0"/>
    <n v="0"/>
    <n v="0"/>
    <n v="0"/>
    <n v="0"/>
    <n v="0"/>
    <n v="0"/>
    <n v="0"/>
    <n v="0"/>
    <x v="0"/>
    <n v="0"/>
    <s v="MMR001CMP071"/>
    <x v="0"/>
    <x v="0"/>
    <x v="2"/>
    <n v="0"/>
    <s v="No"/>
    <m/>
  </r>
  <r>
    <n v="32.466666666666669"/>
    <d v="2013-03-02T00:00:00"/>
    <x v="5"/>
    <s v="Solidarities"/>
    <s v="Kachin"/>
    <s v="Momauk"/>
    <s v="Loi Je Lisu Camp"/>
    <n v="368"/>
    <m/>
    <m/>
    <m/>
    <m/>
    <m/>
    <m/>
    <m/>
    <n v="0"/>
    <n v="0"/>
    <m/>
    <m/>
    <m/>
    <m/>
    <m/>
    <n v="0"/>
    <n v="0"/>
    <n v="0"/>
    <n v="0"/>
    <n v="0"/>
    <n v="0"/>
    <n v="0"/>
    <n v="0"/>
    <n v="0"/>
    <n v="0"/>
    <n v="0"/>
    <n v="0"/>
    <n v="0"/>
    <n v="0"/>
    <x v="0"/>
    <n v="0"/>
    <s v="MMR001CMP070"/>
    <x v="0"/>
    <x v="0"/>
    <x v="2"/>
    <n v="0"/>
    <s v="No"/>
    <m/>
  </r>
  <r>
    <n v="32.466666666666669"/>
    <d v="2013-03-02T00:00:00"/>
    <x v="5"/>
    <s v="Solidarities"/>
    <s v="Kachin"/>
    <s v="Mansi"/>
    <s v="Man Wing Catholic Church"/>
    <n v="1542"/>
    <m/>
    <n v="1800"/>
    <m/>
    <m/>
    <m/>
    <m/>
    <m/>
    <n v="0"/>
    <n v="0"/>
    <m/>
    <m/>
    <m/>
    <m/>
    <m/>
    <n v="0"/>
    <n v="0"/>
    <n v="0"/>
    <n v="0"/>
    <n v="0"/>
    <n v="0"/>
    <n v="0"/>
    <n v="0"/>
    <n v="0"/>
    <n v="0"/>
    <n v="0"/>
    <n v="0"/>
    <n v="0"/>
    <n v="0"/>
    <x v="0"/>
    <n v="0"/>
    <s v="MMR001CMP132"/>
    <x v="0"/>
    <x v="0"/>
    <x v="0"/>
    <n v="0"/>
    <s v="No"/>
    <m/>
  </r>
  <r>
    <n v="32.56666666666667"/>
    <d v="2013-02-27T00:00:00"/>
    <x v="0"/>
    <s v="UNHCR"/>
    <s v="Kachin"/>
    <s v="Waingmaw"/>
    <s v="Maina AG Church"/>
    <m/>
    <m/>
    <n v="23"/>
    <n v="40"/>
    <n v="18"/>
    <n v="40"/>
    <n v="18"/>
    <n v="18"/>
    <n v="18"/>
    <n v="18"/>
    <m/>
    <m/>
    <m/>
    <m/>
    <m/>
    <n v="0"/>
    <n v="0"/>
    <n v="0"/>
    <n v="0"/>
    <n v="0"/>
    <n v="0"/>
    <n v="0"/>
    <n v="0"/>
    <n v="0"/>
    <n v="0"/>
    <n v="0"/>
    <n v="0"/>
    <n v="0"/>
    <n v="0"/>
    <x v="0"/>
    <n v="0"/>
    <s v="MMR001CMP031"/>
    <x v="0"/>
    <x v="0"/>
    <x v="0"/>
    <n v="0.13333333333333333"/>
    <s v="No"/>
    <m/>
  </r>
  <r>
    <n v="32.56666666666667"/>
    <d v="2013-02-27T00:00:00"/>
    <x v="5"/>
    <s v="Solidarities"/>
    <s v="Kachin"/>
    <s v="Mansi"/>
    <s v="Man Wing Baptist Church"/>
    <n v="595"/>
    <m/>
    <n v="740"/>
    <m/>
    <m/>
    <m/>
    <m/>
    <m/>
    <n v="0"/>
    <n v="0"/>
    <m/>
    <m/>
    <m/>
    <m/>
    <m/>
    <n v="0"/>
    <n v="0"/>
    <n v="0"/>
    <n v="0"/>
    <n v="0"/>
    <n v="0"/>
    <n v="0"/>
    <n v="0"/>
    <n v="0"/>
    <n v="0"/>
    <n v="0"/>
    <n v="0"/>
    <n v="0"/>
    <n v="0"/>
    <x v="0"/>
    <n v="0"/>
    <s v="MMR001CMP133"/>
    <x v="0"/>
    <x v="0"/>
    <x v="0"/>
    <n v="0"/>
    <s v="No"/>
    <m/>
  </r>
  <r>
    <n v="32.6"/>
    <d v="2013-02-26T00:00:00"/>
    <x v="9"/>
    <s v="MRCS"/>
    <s v="Kachin"/>
    <s v="Waingmaw"/>
    <s v="Hkat Cho "/>
    <m/>
    <m/>
    <n v="136"/>
    <m/>
    <n v="66"/>
    <m/>
    <n v="70"/>
    <m/>
    <n v="0"/>
    <n v="0"/>
    <m/>
    <m/>
    <m/>
    <m/>
    <m/>
    <n v="0"/>
    <n v="0"/>
    <n v="0"/>
    <n v="0"/>
    <n v="0"/>
    <n v="0"/>
    <n v="0"/>
    <n v="0"/>
    <n v="0"/>
    <n v="0"/>
    <n v="0"/>
    <n v="0"/>
    <n v="0"/>
    <n v="0"/>
    <x v="0"/>
    <n v="0"/>
    <s v="MMR001CMP028"/>
    <x v="0"/>
    <x v="0"/>
    <x v="0"/>
    <n v="0.63636363636363635"/>
    <s v="No"/>
    <m/>
  </r>
  <r>
    <n v="32.6"/>
    <d v="2013-02-26T00:00:00"/>
    <x v="9"/>
    <s v="MRCS"/>
    <s v="Kachin"/>
    <s v="Myitkyina"/>
    <s v="Jan Mai Kawng Catholic Church"/>
    <m/>
    <m/>
    <n v="99"/>
    <m/>
    <n v="99"/>
    <m/>
    <m/>
    <m/>
    <n v="0"/>
    <n v="0"/>
    <m/>
    <m/>
    <m/>
    <m/>
    <m/>
    <n v="0"/>
    <n v="0"/>
    <n v="0"/>
    <n v="0"/>
    <n v="0"/>
    <n v="0"/>
    <n v="0"/>
    <n v="0"/>
    <n v="0"/>
    <n v="0"/>
    <n v="0"/>
    <n v="0"/>
    <n v="0"/>
    <n v="0"/>
    <x v="0"/>
    <n v="0"/>
    <s v="MMR001CMP019"/>
    <x v="0"/>
    <x v="0"/>
    <x v="0"/>
    <n v="0"/>
    <s v="No"/>
    <m/>
  </r>
  <r>
    <n v="32.633333333333333"/>
    <d v="2013-02-25T00:00:00"/>
    <x v="0"/>
    <s v="Chipwe CM"/>
    <s v="Kachin"/>
    <s v="Chipwi"/>
    <s v="Chipwi KBC camp"/>
    <m/>
    <m/>
    <n v="11"/>
    <n v="17"/>
    <n v="7"/>
    <n v="17"/>
    <n v="7"/>
    <n v="7"/>
    <n v="7"/>
    <n v="7"/>
    <m/>
    <m/>
    <m/>
    <m/>
    <m/>
    <n v="0"/>
    <n v="0"/>
    <n v="0"/>
    <n v="0"/>
    <n v="0"/>
    <n v="0"/>
    <n v="0"/>
    <n v="0"/>
    <n v="0"/>
    <n v="0"/>
    <n v="0"/>
    <n v="0"/>
    <n v="0"/>
    <n v="0"/>
    <x v="0"/>
    <n v="0"/>
    <s v="MMR001CMP042"/>
    <x v="0"/>
    <x v="0"/>
    <x v="3"/>
    <n v="5.9322033898305086E-2"/>
    <s v="No"/>
    <m/>
  </r>
  <r>
    <n v="32.633333333333333"/>
    <d v="2013-02-25T00:00:00"/>
    <x v="0"/>
    <s v="Chipwe CM"/>
    <s v="Kachin"/>
    <s v="Chipwi"/>
    <s v="Gant Gwin"/>
    <m/>
    <m/>
    <n v="11"/>
    <n v="17"/>
    <n v="7"/>
    <n v="17"/>
    <n v="7"/>
    <n v="7"/>
    <n v="7"/>
    <n v="7"/>
    <m/>
    <m/>
    <m/>
    <m/>
    <m/>
    <n v="0"/>
    <n v="0"/>
    <n v="0"/>
    <n v="0"/>
    <n v="0"/>
    <n v="0"/>
    <n v="0"/>
    <n v="0"/>
    <n v="0"/>
    <n v="0"/>
    <n v="0"/>
    <n v="0"/>
    <n v="0"/>
    <n v="0"/>
    <x v="0"/>
    <n v="0"/>
    <s v="MMR001CMP046"/>
    <x v="0"/>
    <x v="2"/>
    <x v="3"/>
    <s v=""/>
    <s v="No"/>
    <m/>
  </r>
  <r>
    <n v="32.633333333333333"/>
    <d v="2013-02-25T00:00:00"/>
    <x v="9"/>
    <s v="MRCS"/>
    <s v="Kachin"/>
    <s v="Waingmaw"/>
    <s v="Hkat Cho "/>
    <m/>
    <m/>
    <m/>
    <m/>
    <n v="1"/>
    <m/>
    <m/>
    <m/>
    <n v="0"/>
    <n v="0"/>
    <m/>
    <m/>
    <m/>
    <m/>
    <m/>
    <n v="0"/>
    <n v="0"/>
    <n v="0"/>
    <n v="0"/>
    <n v="0"/>
    <n v="0"/>
    <n v="0"/>
    <n v="0"/>
    <n v="0"/>
    <n v="0"/>
    <n v="0"/>
    <n v="0"/>
    <n v="0"/>
    <n v="0"/>
    <x v="0"/>
    <n v="0"/>
    <s v="MMR001CMP028"/>
    <x v="0"/>
    <x v="0"/>
    <x v="0"/>
    <n v="0"/>
    <s v="No"/>
    <m/>
  </r>
  <r>
    <n v="32.633333333333333"/>
    <d v="2013-02-25T00:00:00"/>
    <x v="0"/>
    <s v="Chipwe CM"/>
    <s v="Kachin"/>
    <s v="Chipwi"/>
    <s v="Hpare Hkyer - BP6"/>
    <m/>
    <m/>
    <n v="11"/>
    <n v="17"/>
    <n v="7"/>
    <n v="17"/>
    <n v="7"/>
    <n v="7"/>
    <n v="7"/>
    <n v="7"/>
    <m/>
    <m/>
    <m/>
    <m/>
    <m/>
    <n v="0"/>
    <n v="0"/>
    <n v="0"/>
    <n v="0"/>
    <n v="0"/>
    <n v="0"/>
    <n v="0"/>
    <n v="0"/>
    <n v="0"/>
    <n v="0"/>
    <n v="0"/>
    <n v="0"/>
    <n v="0"/>
    <n v="0"/>
    <x v="0"/>
    <n v="0"/>
    <s v="MMR001CMP043"/>
    <x v="0"/>
    <x v="0"/>
    <x v="3"/>
    <n v="4.5454545454545456E-2"/>
    <s v="No"/>
    <m/>
  </r>
  <r>
    <n v="32.633333333333333"/>
    <d v="2013-02-25T00:00:00"/>
    <x v="0"/>
    <s v="Chipwe CM"/>
    <s v="Kachin"/>
    <s v="Chipwi"/>
    <s v="Lan Jaw "/>
    <m/>
    <m/>
    <n v="11"/>
    <n v="17"/>
    <n v="7"/>
    <n v="17"/>
    <n v="7"/>
    <n v="7"/>
    <n v="7"/>
    <n v="7"/>
    <m/>
    <m/>
    <m/>
    <m/>
    <m/>
    <n v="0"/>
    <n v="0"/>
    <n v="0"/>
    <n v="0"/>
    <n v="0"/>
    <n v="0"/>
    <n v="0"/>
    <n v="0"/>
    <n v="0"/>
    <n v="0"/>
    <n v="0"/>
    <n v="0"/>
    <n v="0"/>
    <n v="0"/>
    <x v="0"/>
    <n v="0"/>
    <s v="MMR001CMP045"/>
    <x v="0"/>
    <x v="0"/>
    <x v="3"/>
    <s v=""/>
    <s v="No"/>
    <m/>
  </r>
  <r>
    <n v="32.633333333333333"/>
    <d v="2013-02-25T00:00:00"/>
    <x v="0"/>
    <s v="Chipwe CM"/>
    <s v="Kachin"/>
    <s v="Chipwi"/>
    <s v="Lhaovao Baptist Church (LBC)"/>
    <m/>
    <m/>
    <n v="12"/>
    <n v="17"/>
    <n v="7"/>
    <n v="17"/>
    <n v="7"/>
    <n v="7"/>
    <n v="7"/>
    <n v="7"/>
    <m/>
    <m/>
    <m/>
    <m/>
    <m/>
    <n v="0"/>
    <n v="0"/>
    <n v="0"/>
    <n v="0"/>
    <n v="0"/>
    <n v="0"/>
    <n v="0"/>
    <n v="0"/>
    <n v="0"/>
    <n v="0"/>
    <n v="0"/>
    <n v="0"/>
    <n v="0"/>
    <n v="0"/>
    <x v="0"/>
    <n v="0"/>
    <s v="MMR001CMP195"/>
    <x v="0"/>
    <x v="0"/>
    <x v="3"/>
    <n v="4.8611111111111112E-2"/>
    <s v="No"/>
    <m/>
  </r>
  <r>
    <n v="32.633333333333333"/>
    <d v="2013-02-25T00:00:00"/>
    <x v="9"/>
    <s v="MRCS"/>
    <s v="Kachin"/>
    <s v="Waingmaw"/>
    <s v="Maina KBC (Bawng Ring)"/>
    <m/>
    <m/>
    <n v="235"/>
    <m/>
    <n v="174"/>
    <m/>
    <n v="61"/>
    <m/>
    <n v="0"/>
    <n v="0"/>
    <m/>
    <m/>
    <m/>
    <m/>
    <m/>
    <n v="0"/>
    <n v="0"/>
    <n v="0"/>
    <n v="0"/>
    <n v="0"/>
    <n v="0"/>
    <n v="0"/>
    <n v="0"/>
    <n v="0"/>
    <n v="0"/>
    <n v="0"/>
    <n v="0"/>
    <n v="0"/>
    <n v="0"/>
    <x v="0"/>
    <n v="0"/>
    <s v="MMR001CMP040"/>
    <x v="0"/>
    <x v="0"/>
    <x v="0"/>
    <n v="0.1425233644859813"/>
    <s v="No"/>
    <m/>
  </r>
  <r>
    <n v="32.633333333333333"/>
    <d v="2013-02-25T00:00:00"/>
    <x v="0"/>
    <s v="Chipwe CM"/>
    <s v="Kachin"/>
    <s v="Chipwi"/>
    <s v="Women's Affairs Association Building"/>
    <m/>
    <m/>
    <n v="12"/>
    <n v="18"/>
    <n v="8"/>
    <n v="18"/>
    <n v="8"/>
    <n v="8"/>
    <n v="8"/>
    <n v="8"/>
    <m/>
    <m/>
    <m/>
    <m/>
    <m/>
    <n v="0"/>
    <n v="0"/>
    <n v="0"/>
    <n v="0"/>
    <n v="0"/>
    <n v="0"/>
    <n v="0"/>
    <n v="0"/>
    <n v="0"/>
    <n v="0"/>
    <n v="0"/>
    <n v="0"/>
    <n v="0"/>
    <n v="0"/>
    <x v="0"/>
    <n v="0"/>
    <s v="MMR001CMP044"/>
    <x v="0"/>
    <x v="2"/>
    <x v="1"/>
    <s v=""/>
    <s v="No"/>
    <m/>
  </r>
  <r>
    <n v="32.799999999999997"/>
    <d v="2013-02-20T00:00:00"/>
    <x v="0"/>
    <s v="UNHCR"/>
    <s v="Kachin"/>
    <s v="Hpakant"/>
    <s v="AG Church, Maw Wan"/>
    <m/>
    <m/>
    <m/>
    <n v="59"/>
    <n v="28"/>
    <n v="0"/>
    <n v="28"/>
    <n v="28"/>
    <n v="28"/>
    <n v="28"/>
    <m/>
    <m/>
    <m/>
    <m/>
    <m/>
    <n v="0"/>
    <n v="0"/>
    <n v="0"/>
    <n v="0"/>
    <n v="0"/>
    <n v="0"/>
    <n v="0"/>
    <n v="0"/>
    <n v="0"/>
    <n v="0"/>
    <n v="0"/>
    <n v="0"/>
    <n v="0"/>
    <n v="0"/>
    <x v="0"/>
    <n v="0"/>
    <s v="MMR001CMP190"/>
    <x v="0"/>
    <x v="0"/>
    <x v="0"/>
    <n v="2"/>
    <s v="No"/>
    <m/>
  </r>
  <r>
    <n v="32.799999999999997"/>
    <d v="2013-02-20T00:00:00"/>
    <x v="0"/>
    <s v="UNHCR"/>
    <s v="Kachin"/>
    <s v="Hpakant"/>
    <s v="Aye Mya Tharyar Church of Christ "/>
    <m/>
    <m/>
    <n v="18"/>
    <n v="0"/>
    <n v="0"/>
    <n v="0"/>
    <n v="0"/>
    <n v="0"/>
    <m/>
    <m/>
    <m/>
    <m/>
    <m/>
    <m/>
    <m/>
    <n v="0"/>
    <n v="0"/>
    <n v="0"/>
    <n v="0"/>
    <n v="0"/>
    <n v="0"/>
    <n v="0"/>
    <n v="0"/>
    <n v="0"/>
    <n v="0"/>
    <n v="0"/>
    <n v="0"/>
    <n v="0"/>
    <n v="0"/>
    <x v="0"/>
    <n v="0"/>
    <s v="MMR001CMP092"/>
    <x v="0"/>
    <x v="2"/>
    <x v="1"/>
    <s v=""/>
    <s v="No"/>
    <m/>
  </r>
  <r>
    <n v="32.799999999999997"/>
    <d v="2013-02-20T00:00:00"/>
    <x v="0"/>
    <s v="UNHCR"/>
    <s v="Kachin"/>
    <s v="Hpakant"/>
    <s v="Chin(Zomi) Baptist Church"/>
    <m/>
    <m/>
    <n v="13"/>
    <n v="28"/>
    <n v="15"/>
    <n v="28"/>
    <n v="15"/>
    <n v="15"/>
    <n v="15"/>
    <n v="15"/>
    <m/>
    <m/>
    <m/>
    <m/>
    <m/>
    <n v="0"/>
    <n v="0"/>
    <n v="0"/>
    <n v="0"/>
    <n v="0"/>
    <n v="0"/>
    <n v="0"/>
    <n v="0"/>
    <n v="0"/>
    <n v="0"/>
    <n v="0"/>
    <n v="0"/>
    <n v="0"/>
    <n v="0"/>
    <x v="0"/>
    <n v="0"/>
    <s v="MMR001CMP086"/>
    <x v="0"/>
    <x v="2"/>
    <x v="1"/>
    <s v=""/>
    <s v="No"/>
    <m/>
  </r>
  <r>
    <n v="32.799999999999997"/>
    <d v="2013-02-20T00:00:00"/>
    <x v="0"/>
    <s v="UNHCR"/>
    <s v="Kachin"/>
    <s v="Hpakant"/>
    <s v="Lisu Baptist Church, Maw Wan Ward"/>
    <m/>
    <m/>
    <n v="12"/>
    <n v="20"/>
    <n v="8"/>
    <n v="20"/>
    <n v="8"/>
    <n v="8"/>
    <n v="8"/>
    <n v="8"/>
    <m/>
    <m/>
    <m/>
    <m/>
    <m/>
    <n v="0"/>
    <n v="0"/>
    <n v="0"/>
    <n v="0"/>
    <n v="0"/>
    <n v="0"/>
    <n v="0"/>
    <n v="0"/>
    <n v="0"/>
    <n v="0"/>
    <n v="0"/>
    <n v="0"/>
    <n v="0"/>
    <n v="0"/>
    <x v="0"/>
    <n v="0"/>
    <s v="MMR001CMP167"/>
    <x v="0"/>
    <x v="0"/>
    <x v="0"/>
    <n v="0.53333333333333333"/>
    <s v="No"/>
    <m/>
  </r>
  <r>
    <n v="32.799999999999997"/>
    <d v="2013-02-20T00:00:00"/>
    <x v="0"/>
    <s v="UNHCR"/>
    <s v="Kachin"/>
    <s v="Hpakant"/>
    <s v="Mashi Kahtawng Baptist  Church"/>
    <m/>
    <m/>
    <n v="74"/>
    <n v="0"/>
    <n v="0"/>
    <n v="0"/>
    <n v="0"/>
    <n v="0"/>
    <m/>
    <m/>
    <m/>
    <m/>
    <m/>
    <m/>
    <m/>
    <n v="0"/>
    <n v="0"/>
    <n v="0"/>
    <n v="0"/>
    <n v="0"/>
    <n v="0"/>
    <n v="0"/>
    <n v="0"/>
    <n v="0"/>
    <n v="0"/>
    <n v="0"/>
    <n v="0"/>
    <n v="0"/>
    <n v="0"/>
    <x v="0"/>
    <n v="0"/>
    <s v="MMR001CMP094"/>
    <x v="0"/>
    <x v="2"/>
    <x v="1"/>
    <s v=""/>
    <s v="No"/>
    <m/>
  </r>
  <r>
    <n v="32.799999999999997"/>
    <d v="2013-02-20T00:00:00"/>
    <x v="0"/>
    <s v="UNHCR"/>
    <s v="Kachin"/>
    <s v="Hpakant"/>
    <s v="Mashi Kahtawng Catholic Church"/>
    <m/>
    <m/>
    <n v="16"/>
    <n v="26"/>
    <n v="13"/>
    <n v="26"/>
    <n v="13"/>
    <n v="13"/>
    <n v="13"/>
    <n v="13"/>
    <m/>
    <m/>
    <m/>
    <m/>
    <m/>
    <n v="0"/>
    <n v="0"/>
    <n v="0"/>
    <n v="0"/>
    <n v="0"/>
    <n v="0"/>
    <n v="0"/>
    <n v="0"/>
    <n v="0"/>
    <n v="0"/>
    <n v="0"/>
    <n v="0"/>
    <n v="0"/>
    <n v="0"/>
    <x v="0"/>
    <n v="0"/>
    <s v="MMR001CMP093"/>
    <x v="0"/>
    <x v="2"/>
    <x v="1"/>
    <s v=""/>
    <s v="No"/>
    <m/>
  </r>
  <r>
    <n v="32.799999999999997"/>
    <d v="2013-02-20T00:00:00"/>
    <x v="0"/>
    <s v="UNHCR"/>
    <s v="Kachin"/>
    <s v="Hpakant"/>
    <s v="Maw Wan, Kachin Baptist Church"/>
    <m/>
    <m/>
    <n v="85"/>
    <n v="138"/>
    <n v="65"/>
    <n v="138"/>
    <n v="65"/>
    <n v="65"/>
    <n v="65"/>
    <n v="65"/>
    <m/>
    <m/>
    <m/>
    <m/>
    <m/>
    <n v="0"/>
    <n v="0"/>
    <n v="0"/>
    <n v="0"/>
    <n v="0"/>
    <n v="0"/>
    <n v="0"/>
    <n v="0"/>
    <n v="0"/>
    <n v="0"/>
    <n v="0"/>
    <n v="0"/>
    <n v="0"/>
    <n v="0"/>
    <x v="0"/>
    <n v="0"/>
    <s v="MMR001CMP085"/>
    <x v="0"/>
    <x v="2"/>
    <x v="1"/>
    <s v=""/>
    <s v="No"/>
    <m/>
  </r>
  <r>
    <n v="32.799999999999997"/>
    <d v="2013-02-20T00:00:00"/>
    <x v="0"/>
    <s v="UNHCR"/>
    <s v="Kachin"/>
    <s v="Hpakant"/>
    <s v="Nant Ma Hpit Catholic Church"/>
    <m/>
    <m/>
    <n v="35"/>
    <n v="0"/>
    <n v="0"/>
    <n v="0"/>
    <n v="0"/>
    <n v="0"/>
    <m/>
    <m/>
    <m/>
    <m/>
    <m/>
    <m/>
    <m/>
    <n v="0"/>
    <n v="0"/>
    <n v="0"/>
    <n v="0"/>
    <n v="0"/>
    <n v="0"/>
    <n v="0"/>
    <n v="0"/>
    <n v="0"/>
    <n v="0"/>
    <n v="0"/>
    <n v="0"/>
    <n v="0"/>
    <n v="0"/>
    <x v="0"/>
    <n v="0"/>
    <s v="MMR001CMP103"/>
    <x v="0"/>
    <x v="0"/>
    <x v="0"/>
    <n v="0"/>
    <s v="No"/>
    <m/>
  </r>
  <r>
    <n v="32.799999999999997"/>
    <d v="2013-02-20T00:00:00"/>
    <x v="0"/>
    <s v="UNHCR"/>
    <s v="Kachin"/>
    <s v="Hpakant"/>
    <s v="Nant Ma Hpit Catholic Church"/>
    <m/>
    <m/>
    <n v="32"/>
    <n v="64"/>
    <n v="33"/>
    <n v="64"/>
    <n v="33"/>
    <n v="33"/>
    <n v="33"/>
    <n v="33"/>
    <m/>
    <m/>
    <m/>
    <m/>
    <m/>
    <n v="0"/>
    <n v="0"/>
    <n v="0"/>
    <n v="0"/>
    <n v="0"/>
    <n v="0"/>
    <n v="0"/>
    <n v="0"/>
    <n v="0"/>
    <n v="0"/>
    <n v="0"/>
    <n v="0"/>
    <n v="0"/>
    <n v="0"/>
    <x v="0"/>
    <n v="0"/>
    <s v="MMR001CMP103"/>
    <x v="0"/>
    <x v="0"/>
    <x v="0"/>
    <n v="0.61111111111111116"/>
    <s v="No"/>
    <m/>
  </r>
  <r>
    <n v="32.799999999999997"/>
    <d v="2013-02-20T00:00:00"/>
    <x v="0"/>
    <s v="UNHCR"/>
    <s v="Kachin"/>
    <s v="Hpakant"/>
    <s v="Nga Pyaw Taw Baptist Nursery School "/>
    <m/>
    <m/>
    <n v="175"/>
    <n v="0"/>
    <n v="0"/>
    <n v="0"/>
    <n v="0"/>
    <n v="0"/>
    <m/>
    <m/>
    <m/>
    <m/>
    <m/>
    <m/>
    <m/>
    <n v="0"/>
    <n v="0"/>
    <n v="0"/>
    <n v="0"/>
    <n v="0"/>
    <n v="0"/>
    <n v="0"/>
    <n v="0"/>
    <n v="0"/>
    <n v="0"/>
    <n v="0"/>
    <n v="0"/>
    <n v="0"/>
    <n v="0"/>
    <x v="0"/>
    <n v="0"/>
    <s v="MMR001CMP082"/>
    <x v="0"/>
    <x v="2"/>
    <x v="1"/>
    <s v=""/>
    <s v="No"/>
    <m/>
  </r>
  <r>
    <n v="32.799999999999997"/>
    <d v="2013-02-20T00:00:00"/>
    <x v="0"/>
    <s v="UNHCR"/>
    <s v="Kachin"/>
    <s v="Hpakant"/>
    <s v="Nga Pyaw Taw Roman Catholic Church"/>
    <m/>
    <m/>
    <n v="38"/>
    <n v="89"/>
    <n v="44"/>
    <n v="89"/>
    <n v="44"/>
    <n v="44"/>
    <n v="44"/>
    <n v="44"/>
    <m/>
    <m/>
    <m/>
    <m/>
    <m/>
    <n v="0"/>
    <n v="0"/>
    <n v="0"/>
    <n v="0"/>
    <n v="0"/>
    <n v="0"/>
    <n v="0"/>
    <n v="0"/>
    <n v="0"/>
    <n v="0"/>
    <n v="0"/>
    <n v="0"/>
    <n v="0"/>
    <n v="0"/>
    <x v="0"/>
    <n v="0"/>
    <s v="MMR001CMP083"/>
    <x v="0"/>
    <x v="2"/>
    <x v="1"/>
    <s v=""/>
    <s v="No"/>
    <m/>
  </r>
  <r>
    <n v="32.799999999999997"/>
    <d v="2013-02-20T00:00:00"/>
    <x v="0"/>
    <s v="UNHCR"/>
    <s v="Kachin"/>
    <s v="Hpakant"/>
    <s v="Yumar Baptist Church"/>
    <m/>
    <m/>
    <n v="46"/>
    <n v="0"/>
    <n v="0"/>
    <n v="0"/>
    <n v="0"/>
    <n v="0"/>
    <m/>
    <m/>
    <m/>
    <m/>
    <m/>
    <m/>
    <m/>
    <n v="0"/>
    <n v="0"/>
    <n v="0"/>
    <n v="0"/>
    <n v="0"/>
    <n v="0"/>
    <n v="0"/>
    <n v="0"/>
    <n v="0"/>
    <n v="0"/>
    <n v="0"/>
    <n v="0"/>
    <n v="0"/>
    <n v="0"/>
    <x v="0"/>
    <n v="0"/>
    <s v="MMR001CMP105"/>
    <x v="0"/>
    <x v="0"/>
    <x v="0"/>
    <n v="0"/>
    <s v="No"/>
    <m/>
  </r>
  <r>
    <n v="32.799999999999997"/>
    <d v="2013-02-20T00:00:00"/>
    <x v="0"/>
    <s v="UNHCR"/>
    <s v="Kachin"/>
    <s v="Hpakant"/>
    <s v="Zomee Baptist Church camp, Hmaw Wan"/>
    <m/>
    <m/>
    <m/>
    <n v="11"/>
    <n v="6"/>
    <n v="0"/>
    <n v="6"/>
    <n v="6"/>
    <n v="6"/>
    <n v="6"/>
    <m/>
    <m/>
    <m/>
    <m/>
    <m/>
    <n v="0"/>
    <n v="0"/>
    <n v="0"/>
    <n v="0"/>
    <n v="0"/>
    <n v="0"/>
    <n v="0"/>
    <n v="0"/>
    <n v="0"/>
    <n v="0"/>
    <n v="0"/>
    <n v="0"/>
    <n v="0"/>
    <n v="0"/>
    <x v="0"/>
    <n v="0"/>
    <s v="MMR001CMP201"/>
    <x v="0"/>
    <x v="2"/>
    <x v="1"/>
    <s v=""/>
    <s v="No"/>
    <m/>
  </r>
  <r>
    <n v="32.833333333333336"/>
    <d v="2013-02-19T00:00:00"/>
    <x v="0"/>
    <s v="UNHCR"/>
    <s v="Kachin"/>
    <s v="Hpakant"/>
    <s v="1 Ward, Sein Yadanar Company(Lon Khin)"/>
    <m/>
    <m/>
    <n v="3"/>
    <n v="7"/>
    <n v="4"/>
    <n v="7"/>
    <n v="4"/>
    <n v="4"/>
    <n v="4"/>
    <n v="4"/>
    <m/>
    <m/>
    <m/>
    <m/>
    <m/>
    <n v="0"/>
    <n v="0"/>
    <n v="0"/>
    <n v="0"/>
    <n v="0"/>
    <n v="0"/>
    <n v="0"/>
    <n v="0"/>
    <n v="0"/>
    <n v="0"/>
    <n v="0"/>
    <n v="0"/>
    <n v="0"/>
    <n v="0"/>
    <x v="0"/>
    <n v="0"/>
    <s v="MMR001CMP171"/>
    <x v="0"/>
    <x v="2"/>
    <x v="1"/>
    <s v=""/>
    <s v="No"/>
    <m/>
  </r>
  <r>
    <n v="32.833333333333336"/>
    <d v="2013-02-19T00:00:00"/>
    <x v="0"/>
    <s v="UNHCR"/>
    <s v="Kachin"/>
    <s v="Hpakant"/>
    <s v="5 Ward Baptist Church(lon Khin)"/>
    <m/>
    <m/>
    <n v="18"/>
    <n v="30"/>
    <n v="17"/>
    <n v="64"/>
    <n v="17"/>
    <n v="17"/>
    <n v="17"/>
    <n v="17"/>
    <m/>
    <m/>
    <m/>
    <m/>
    <m/>
    <n v="0"/>
    <n v="0"/>
    <n v="0"/>
    <n v="0"/>
    <n v="0"/>
    <n v="0"/>
    <n v="0"/>
    <n v="0"/>
    <n v="0"/>
    <n v="0"/>
    <n v="0"/>
    <n v="0"/>
    <n v="0"/>
    <n v="0"/>
    <x v="0"/>
    <n v="0"/>
    <s v="MMR001CMP179"/>
    <x v="0"/>
    <x v="0"/>
    <x v="0"/>
    <n v="0.22368421052631579"/>
    <s v="No"/>
    <m/>
  </r>
  <r>
    <n v="32.833333333333336"/>
    <d v="2013-02-19T00:00:00"/>
    <x v="0"/>
    <s v="UNHCR"/>
    <s v="Kachin"/>
    <s v="Hpakant"/>
    <s v="Anglican Church, Hmaw Si Sar"/>
    <m/>
    <m/>
    <n v="1"/>
    <n v="6"/>
    <n v="3"/>
    <n v="15"/>
    <n v="4"/>
    <n v="4"/>
    <n v="4"/>
    <n v="4"/>
    <m/>
    <m/>
    <m/>
    <m/>
    <m/>
    <n v="0"/>
    <n v="0"/>
    <n v="0"/>
    <n v="0"/>
    <n v="0"/>
    <n v="0"/>
    <n v="0"/>
    <n v="0"/>
    <n v="0"/>
    <n v="0"/>
    <n v="0"/>
    <n v="0"/>
    <n v="0"/>
    <n v="0"/>
    <x v="0"/>
    <n v="0"/>
    <s v="MMR001CMP173"/>
    <x v="0"/>
    <x v="2"/>
    <x v="1"/>
    <s v=""/>
    <s v="No"/>
    <m/>
  </r>
  <r>
    <n v="32.833333333333336"/>
    <d v="2013-02-19T00:00:00"/>
    <x v="0"/>
    <s v="UNHCR"/>
    <s v="Kachin"/>
    <s v="Hpakant"/>
    <s v="Anglican Church, Hmaw Si Sar"/>
    <m/>
    <m/>
    <n v="92"/>
    <n v="130"/>
    <n v="67"/>
    <n v="130"/>
    <n v="67"/>
    <n v="67"/>
    <n v="67"/>
    <n v="67"/>
    <m/>
    <m/>
    <m/>
    <m/>
    <m/>
    <n v="0"/>
    <n v="0"/>
    <n v="0"/>
    <n v="0"/>
    <n v="0"/>
    <n v="0"/>
    <n v="0"/>
    <n v="0"/>
    <n v="0"/>
    <n v="0"/>
    <n v="0"/>
    <n v="0"/>
    <n v="0"/>
    <n v="0"/>
    <x v="0"/>
    <n v="0"/>
    <s v="MMR001CMP173"/>
    <x v="0"/>
    <x v="2"/>
    <x v="1"/>
    <s v=""/>
    <s v="No"/>
    <m/>
  </r>
  <r>
    <n v="32.833333333333336"/>
    <d v="2013-02-19T00:00:00"/>
    <x v="0"/>
    <s v="UNHCR"/>
    <s v="Kachin"/>
    <s v="Hpakant"/>
    <s v="Away Yar Rama Monastery, Ka Day village"/>
    <m/>
    <m/>
    <n v="8"/>
    <n v="16"/>
    <n v="8"/>
    <n v="16"/>
    <n v="8"/>
    <n v="8"/>
    <n v="8"/>
    <n v="8"/>
    <m/>
    <m/>
    <m/>
    <m/>
    <m/>
    <n v="0"/>
    <n v="0"/>
    <n v="0"/>
    <n v="0"/>
    <n v="0"/>
    <n v="0"/>
    <n v="0"/>
    <n v="0"/>
    <n v="0"/>
    <n v="0"/>
    <n v="0"/>
    <n v="0"/>
    <n v="0"/>
    <n v="0"/>
    <x v="0"/>
    <n v="0"/>
    <s v="MMR001CMP170"/>
    <x v="0"/>
    <x v="2"/>
    <x v="1"/>
    <s v=""/>
    <s v="No"/>
    <m/>
  </r>
  <r>
    <n v="32.833333333333336"/>
    <d v="2013-02-19T00:00:00"/>
    <x v="0"/>
    <s v="UNHCR"/>
    <s v="Kachin"/>
    <s v="Hpakant"/>
    <s v="Dhama Rakhita, Nyein Chan Tar Yar Ward(Lon Khin)"/>
    <m/>
    <m/>
    <n v="74"/>
    <n v="105"/>
    <n v="59"/>
    <n v="105"/>
    <n v="59"/>
    <n v="59"/>
    <n v="59"/>
    <n v="59"/>
    <m/>
    <m/>
    <m/>
    <m/>
    <m/>
    <n v="0"/>
    <n v="0"/>
    <n v="0"/>
    <n v="0"/>
    <n v="0"/>
    <n v="0"/>
    <n v="0"/>
    <n v="0"/>
    <n v="0"/>
    <n v="0"/>
    <n v="0"/>
    <n v="0"/>
    <n v="0"/>
    <n v="0"/>
    <x v="0"/>
    <n v="0"/>
    <s v="MMR001CMP174"/>
    <x v="0"/>
    <x v="0"/>
    <x v="0"/>
    <n v="0.90769230769230769"/>
    <s v="No"/>
    <m/>
  </r>
  <r>
    <n v="32.833333333333336"/>
    <d v="2013-02-19T00:00:00"/>
    <x v="0"/>
    <s v="UNHCR"/>
    <s v="Kachin"/>
    <s v="Hpakant"/>
    <s v="May Di Ka Rama Monastery(Lon Khin)"/>
    <m/>
    <m/>
    <n v="9"/>
    <n v="21"/>
    <n v="9"/>
    <n v="21"/>
    <n v="9"/>
    <n v="9"/>
    <n v="9"/>
    <n v="9"/>
    <m/>
    <m/>
    <m/>
    <m/>
    <m/>
    <n v="0"/>
    <n v="0"/>
    <n v="0"/>
    <n v="0"/>
    <n v="0"/>
    <n v="0"/>
    <n v="0"/>
    <n v="0"/>
    <n v="0"/>
    <n v="0"/>
    <n v="0"/>
    <n v="0"/>
    <n v="0"/>
    <n v="0"/>
    <x v="0"/>
    <n v="0"/>
    <s v="MMR001CMP178"/>
    <x v="0"/>
    <x v="2"/>
    <x v="1"/>
    <s v=""/>
    <s v="No"/>
    <m/>
  </r>
  <r>
    <n v="32.833333333333336"/>
    <d v="2013-02-19T00:00:00"/>
    <x v="0"/>
    <s v="UNHCR"/>
    <s v="Kachin"/>
    <s v="Hpakant"/>
    <s v="Nam Ma Phyit, COC"/>
    <m/>
    <m/>
    <n v="19"/>
    <n v="30"/>
    <n v="18"/>
    <n v="68"/>
    <n v="18"/>
    <n v="18"/>
    <n v="18"/>
    <n v="18"/>
    <m/>
    <m/>
    <m/>
    <m/>
    <m/>
    <n v="0"/>
    <n v="0"/>
    <n v="0"/>
    <n v="0"/>
    <n v="0"/>
    <n v="0"/>
    <n v="0"/>
    <n v="0"/>
    <n v="0"/>
    <n v="0"/>
    <n v="0"/>
    <n v="0"/>
    <n v="0"/>
    <n v="0"/>
    <x v="0"/>
    <n v="0"/>
    <s v="MMR001CMP192"/>
    <x v="0"/>
    <x v="0"/>
    <x v="0"/>
    <n v="1.0588235294117647"/>
    <s v="No"/>
    <m/>
  </r>
  <r>
    <n v="32.833333333333336"/>
    <d v="2013-02-19T00:00:00"/>
    <x v="0"/>
    <s v="UNHCR"/>
    <s v="Kachin"/>
    <s v="Hpakant"/>
    <s v="Wrad(5) Christian Association"/>
    <m/>
    <m/>
    <n v="2"/>
    <n v="3"/>
    <n v="2"/>
    <n v="7"/>
    <n v="2"/>
    <n v="2"/>
    <n v="2"/>
    <n v="2"/>
    <m/>
    <m/>
    <m/>
    <m/>
    <m/>
    <n v="0"/>
    <n v="0"/>
    <n v="0"/>
    <n v="0"/>
    <n v="0"/>
    <n v="0"/>
    <n v="0"/>
    <n v="0"/>
    <n v="0"/>
    <n v="0"/>
    <n v="0"/>
    <n v="0"/>
    <n v="0"/>
    <n v="0"/>
    <x v="0"/>
    <n v="0"/>
    <s v="MMR001CMP175"/>
    <x v="0"/>
    <x v="2"/>
    <x v="1"/>
    <s v=""/>
    <s v="No"/>
    <m/>
  </r>
  <r>
    <n v="32.866666666666667"/>
    <d v="2013-02-18T00:00:00"/>
    <x v="0"/>
    <s v="UNHCR"/>
    <s v="Kachin"/>
    <s v="Hpakant"/>
    <s v="Hlaing Naung Baptist"/>
    <m/>
    <m/>
    <n v="30"/>
    <n v="0"/>
    <n v="0"/>
    <n v="0"/>
    <n v="0"/>
    <n v="0"/>
    <m/>
    <m/>
    <m/>
    <m/>
    <m/>
    <m/>
    <m/>
    <n v="0"/>
    <n v="0"/>
    <n v="0"/>
    <n v="0"/>
    <n v="0"/>
    <n v="0"/>
    <n v="0"/>
    <n v="0"/>
    <n v="0"/>
    <n v="0"/>
    <n v="0"/>
    <n v="0"/>
    <n v="0"/>
    <n v="0"/>
    <x v="0"/>
    <n v="0"/>
    <s v="MMR001CMP148"/>
    <x v="0"/>
    <x v="0"/>
    <x v="0"/>
    <n v="0"/>
    <s v="No"/>
    <m/>
  </r>
  <r>
    <n v="32.866666666666667"/>
    <d v="2013-02-18T00:00:00"/>
    <x v="0"/>
    <s v="KBC"/>
    <s v="Shan_North"/>
    <s v="Kutkai"/>
    <s v="Kutkai downtown (KBC Church)"/>
    <m/>
    <m/>
    <n v="120"/>
    <n v="120"/>
    <n v="60"/>
    <n v="120"/>
    <n v="60"/>
    <n v="60"/>
    <n v="60"/>
    <n v="60"/>
    <m/>
    <m/>
    <m/>
    <m/>
    <m/>
    <n v="0"/>
    <n v="0"/>
    <n v="0"/>
    <n v="0"/>
    <n v="0"/>
    <n v="0"/>
    <n v="0"/>
    <n v="0"/>
    <n v="0"/>
    <n v="0"/>
    <n v="0"/>
    <n v="0"/>
    <n v="0"/>
    <n v="0"/>
    <x v="0"/>
    <n v="0"/>
    <s v="MMR015CMP016"/>
    <x v="0"/>
    <x v="0"/>
    <x v="2"/>
    <n v="0.9375"/>
    <s v="No"/>
    <m/>
  </r>
  <r>
    <n v="32.866666666666667"/>
    <d v="2013-02-18T00:00:00"/>
    <x v="0"/>
    <s v="KBC"/>
    <s v="Kachin"/>
    <s v="Mansi"/>
    <s v="Man Wing Baptist Church"/>
    <m/>
    <m/>
    <n v="221"/>
    <n v="221"/>
    <n v="110"/>
    <n v="221"/>
    <n v="110"/>
    <n v="110"/>
    <n v="110"/>
    <n v="110"/>
    <m/>
    <m/>
    <m/>
    <m/>
    <m/>
    <n v="0"/>
    <n v="0"/>
    <n v="0"/>
    <n v="0"/>
    <n v="0"/>
    <n v="0"/>
    <n v="0"/>
    <n v="0"/>
    <n v="0"/>
    <n v="0"/>
    <n v="0"/>
    <n v="0"/>
    <n v="0"/>
    <n v="0"/>
    <x v="0"/>
    <n v="0"/>
    <s v="MMR001CMP133"/>
    <x v="0"/>
    <x v="0"/>
    <x v="0"/>
    <n v="0.96491228070175439"/>
    <s v="No"/>
    <m/>
  </r>
  <r>
    <n v="32.866666666666667"/>
    <d v="2013-02-18T00:00:00"/>
    <x v="0"/>
    <s v="KBC"/>
    <s v="Shan_North"/>
    <s v="Manton"/>
    <s v="Mandung - Jinghpaw"/>
    <m/>
    <m/>
    <n v="57"/>
    <n v="57"/>
    <n v="29"/>
    <n v="57"/>
    <n v="29"/>
    <n v="29"/>
    <n v="29"/>
    <n v="29"/>
    <m/>
    <m/>
    <m/>
    <m/>
    <m/>
    <n v="0"/>
    <n v="0"/>
    <n v="0"/>
    <n v="0"/>
    <n v="0"/>
    <n v="0"/>
    <n v="0"/>
    <n v="0"/>
    <n v="0"/>
    <n v="0"/>
    <n v="0"/>
    <n v="0"/>
    <n v="0"/>
    <n v="0"/>
    <x v="0"/>
    <n v="0"/>
    <s v="MMR015CMP009"/>
    <x v="0"/>
    <x v="0"/>
    <x v="4"/>
    <n v="0.76315789473684215"/>
    <s v="No"/>
    <m/>
  </r>
  <r>
    <n v="32.866666666666667"/>
    <d v="2013-02-18T00:00:00"/>
    <x v="0"/>
    <s v="KBC"/>
    <s v="Shan_North"/>
    <s v="Muse"/>
    <s v="Munekoe Pa (Giwang) - Hka San (Mung  Go  Pa ) "/>
    <m/>
    <m/>
    <n v="60"/>
    <n v="60"/>
    <n v="30"/>
    <n v="60"/>
    <n v="30"/>
    <n v="30"/>
    <n v="30"/>
    <n v="30"/>
    <m/>
    <m/>
    <m/>
    <m/>
    <m/>
    <n v="0"/>
    <n v="0"/>
    <n v="0"/>
    <n v="0"/>
    <n v="0"/>
    <n v="0"/>
    <n v="0"/>
    <n v="0"/>
    <n v="0"/>
    <n v="0"/>
    <n v="0"/>
    <n v="0"/>
    <n v="0"/>
    <n v="0"/>
    <x v="0"/>
    <n v="0"/>
    <s v="MMR015CMP012"/>
    <x v="0"/>
    <x v="0"/>
    <x v="3"/>
    <n v="3.3333333333333335"/>
    <s v="No"/>
    <m/>
  </r>
  <r>
    <n v="32.866666666666667"/>
    <d v="2013-02-18T00:00:00"/>
    <x v="0"/>
    <s v="KBC"/>
    <s v="Shan_North"/>
    <s v="Kutkai"/>
    <s v="Mungji Pa Dabang (Baptist Church)         "/>
    <m/>
    <m/>
    <n v="93"/>
    <n v="93"/>
    <n v="46"/>
    <n v="93"/>
    <n v="46"/>
    <n v="46"/>
    <n v="46"/>
    <n v="46"/>
    <m/>
    <m/>
    <m/>
    <m/>
    <m/>
    <n v="0"/>
    <n v="0"/>
    <n v="0"/>
    <n v="0"/>
    <n v="0"/>
    <n v="0"/>
    <n v="0"/>
    <n v="0"/>
    <n v="0"/>
    <n v="0"/>
    <n v="0"/>
    <n v="0"/>
    <n v="0"/>
    <n v="0"/>
    <x v="0"/>
    <n v="0"/>
    <s v="MMR015CMP006"/>
    <x v="0"/>
    <x v="0"/>
    <x v="3"/>
    <n v="0.90196078431372551"/>
    <s v="No"/>
    <m/>
  </r>
  <r>
    <n v="32.866666666666667"/>
    <d v="2013-02-18T00:00:00"/>
    <x v="0"/>
    <s v="KBC"/>
    <s v="Shan_North"/>
    <s v="Namhkan"/>
    <s v="Nam Hkam - Nay Win Ni (Palawng)"/>
    <m/>
    <m/>
    <n v="118"/>
    <n v="118"/>
    <n v="59"/>
    <n v="118"/>
    <n v="59"/>
    <n v="59"/>
    <n v="59"/>
    <n v="59"/>
    <m/>
    <m/>
    <m/>
    <m/>
    <m/>
    <n v="0"/>
    <n v="0"/>
    <n v="0"/>
    <n v="0"/>
    <n v="0"/>
    <n v="0"/>
    <n v="0"/>
    <n v="0"/>
    <n v="0"/>
    <n v="0"/>
    <n v="0"/>
    <n v="0"/>
    <n v="0"/>
    <n v="0"/>
    <x v="0"/>
    <n v="0"/>
    <s v="MMR015CMP004"/>
    <x v="0"/>
    <x v="0"/>
    <x v="2"/>
    <n v="0.71951219512195119"/>
    <s v="No"/>
    <m/>
  </r>
  <r>
    <n v="32.866666666666667"/>
    <d v="2013-02-18T00:00:00"/>
    <x v="0"/>
    <s v="KBC"/>
    <s v="Shan_North"/>
    <s v="Namhkan"/>
    <s v="Nam Hkam (KBC Jaw Wang)"/>
    <m/>
    <m/>
    <n v="139"/>
    <n v="139"/>
    <n v="70"/>
    <n v="139"/>
    <n v="70"/>
    <n v="70"/>
    <n v="70"/>
    <n v="70"/>
    <m/>
    <m/>
    <m/>
    <m/>
    <m/>
    <n v="0"/>
    <n v="0"/>
    <n v="0"/>
    <n v="0"/>
    <n v="0"/>
    <n v="0"/>
    <n v="0"/>
    <n v="0"/>
    <n v="0"/>
    <n v="0"/>
    <n v="0"/>
    <n v="0"/>
    <n v="0"/>
    <n v="0"/>
    <x v="0"/>
    <n v="0"/>
    <s v="MMR015CMP001"/>
    <x v="0"/>
    <x v="0"/>
    <x v="2"/>
    <n v="1.0294117647058822"/>
    <s v="No"/>
    <m/>
  </r>
  <r>
    <n v="32.866666666666667"/>
    <d v="2013-02-18T00:00:00"/>
    <x v="0"/>
    <s v="KBC"/>
    <s v="Shan_North"/>
    <s v="Namhkan"/>
    <s v="Nam Hkawng"/>
    <m/>
    <m/>
    <n v="16"/>
    <n v="16"/>
    <n v="8"/>
    <n v="16"/>
    <n v="8"/>
    <n v="8"/>
    <n v="8"/>
    <n v="8"/>
    <m/>
    <m/>
    <m/>
    <m/>
    <m/>
    <n v="0"/>
    <n v="0"/>
    <n v="0"/>
    <n v="0"/>
    <n v="0"/>
    <n v="0"/>
    <n v="0"/>
    <n v="0"/>
    <n v="0"/>
    <n v="0"/>
    <n v="0"/>
    <n v="0"/>
    <n v="0"/>
    <n v="0"/>
    <x v="0"/>
    <n v="0"/>
    <s v="MMR015CMP139"/>
    <x v="0"/>
    <x v="0"/>
    <x v="4"/>
    <n v="0.88888888888888884"/>
    <s v="No"/>
    <m/>
  </r>
  <r>
    <n v="32.866666666666667"/>
    <d v="2013-02-18T00:00:00"/>
    <x v="0"/>
    <s v="KBC"/>
    <s v="Shan_North"/>
    <s v="Kutkai"/>
    <s v="Nam Hpak Ka Mare "/>
    <m/>
    <m/>
    <n v="86"/>
    <n v="86"/>
    <n v="43"/>
    <n v="86"/>
    <n v="43"/>
    <n v="43"/>
    <n v="43"/>
    <n v="43"/>
    <m/>
    <m/>
    <m/>
    <m/>
    <m/>
    <n v="0"/>
    <n v="0"/>
    <n v="0"/>
    <n v="0"/>
    <n v="0"/>
    <n v="0"/>
    <n v="0"/>
    <n v="0"/>
    <n v="0"/>
    <n v="0"/>
    <n v="0"/>
    <n v="0"/>
    <n v="0"/>
    <n v="0"/>
    <x v="0"/>
    <n v="0"/>
    <s v="MMR015CMP007"/>
    <x v="0"/>
    <x v="0"/>
    <x v="2"/>
    <n v="0.60563380281690138"/>
    <s v="No"/>
    <m/>
  </r>
  <r>
    <n v="32.866666666666667"/>
    <d v="2013-02-18T00:00:00"/>
    <x v="0"/>
    <s v="KBC"/>
    <s v="Shan_North"/>
    <s v="Namtu"/>
    <s v="Nam Tu RC"/>
    <m/>
    <m/>
    <n v="90"/>
    <n v="90"/>
    <n v="45"/>
    <n v="90"/>
    <n v="45"/>
    <n v="45"/>
    <n v="45"/>
    <n v="45"/>
    <m/>
    <m/>
    <m/>
    <m/>
    <m/>
    <n v="0"/>
    <n v="0"/>
    <n v="0"/>
    <n v="0"/>
    <n v="0"/>
    <n v="0"/>
    <n v="0"/>
    <n v="0"/>
    <n v="0"/>
    <n v="0"/>
    <n v="0"/>
    <n v="0"/>
    <n v="0"/>
    <n v="0"/>
    <x v="0"/>
    <n v="0"/>
    <s v="MMR015CMP210"/>
    <x v="0"/>
    <x v="0"/>
    <x v="2"/>
    <n v="0.38135593220338981"/>
    <s v="No"/>
    <m/>
  </r>
  <r>
    <n v="33.133333333333333"/>
    <d v="2013-02-10T00:00:00"/>
    <x v="9"/>
    <s v="MRCS"/>
    <s v="Kachin"/>
    <s v="Mohnyin"/>
    <s v="Nant Mun"/>
    <m/>
    <m/>
    <m/>
    <m/>
    <n v="36"/>
    <m/>
    <n v="22"/>
    <m/>
    <n v="0"/>
    <n v="0"/>
    <m/>
    <m/>
    <m/>
    <m/>
    <m/>
    <n v="0"/>
    <n v="0"/>
    <n v="0"/>
    <n v="0"/>
    <n v="0"/>
    <n v="0"/>
    <n v="0"/>
    <n v="0"/>
    <n v="0"/>
    <n v="0"/>
    <n v="0"/>
    <n v="0"/>
    <n v="0"/>
    <n v="0"/>
    <x v="0"/>
    <n v="0"/>
    <s v="MMR001CMP081"/>
    <x v="0"/>
    <x v="2"/>
    <x v="0"/>
    <s v=""/>
    <s v="No"/>
    <m/>
  </r>
  <r>
    <n v="33.133333333333333"/>
    <d v="2013-02-10T00:00:00"/>
    <x v="9"/>
    <s v="MRCS"/>
    <s v="Kachin"/>
    <s v="Mohnyin"/>
    <s v="St. Patrick Catholic Church "/>
    <m/>
    <m/>
    <m/>
    <m/>
    <n v="20"/>
    <m/>
    <n v="12"/>
    <m/>
    <n v="0"/>
    <n v="0"/>
    <m/>
    <m/>
    <m/>
    <m/>
    <m/>
    <n v="0"/>
    <n v="0"/>
    <n v="0"/>
    <n v="0"/>
    <n v="0"/>
    <n v="0"/>
    <n v="0"/>
    <n v="0"/>
    <n v="0"/>
    <n v="0"/>
    <n v="0"/>
    <n v="0"/>
    <n v="0"/>
    <n v="0"/>
    <x v="0"/>
    <n v="0"/>
    <s v="MMR001CMP080"/>
    <x v="0"/>
    <x v="0"/>
    <x v="0"/>
    <n v="1"/>
    <s v="No"/>
    <m/>
  </r>
  <r>
    <n v="33.166666666666664"/>
    <d v="2013-02-09T00:00:00"/>
    <x v="9"/>
    <s v="MRCS"/>
    <s v="Kachin"/>
    <s v="Myitkyina"/>
    <s v="Jan Mai Kawng Baptist Church"/>
    <m/>
    <m/>
    <m/>
    <m/>
    <n v="177"/>
    <n v="10"/>
    <n v="10"/>
    <m/>
    <n v="0"/>
    <n v="0"/>
    <m/>
    <m/>
    <m/>
    <m/>
    <m/>
    <n v="0"/>
    <n v="0"/>
    <n v="0"/>
    <n v="0"/>
    <n v="0"/>
    <n v="0"/>
    <n v="0"/>
    <n v="0"/>
    <n v="0"/>
    <n v="0"/>
    <n v="0"/>
    <n v="0"/>
    <n v="0"/>
    <n v="0"/>
    <x v="0"/>
    <n v="0"/>
    <s v="MMR001CMP018"/>
    <x v="0"/>
    <x v="0"/>
    <x v="0"/>
    <n v="4.9261083743842367E-2"/>
    <s v="No"/>
    <m/>
  </r>
  <r>
    <n v="33.166666666666664"/>
    <d v="2013-02-09T00:00:00"/>
    <x v="9"/>
    <s v="MRCS"/>
    <s v="Kachin"/>
    <s v="Myitkyina"/>
    <s v="Shatapru Sut Ngai Tawng"/>
    <m/>
    <m/>
    <m/>
    <m/>
    <n v="109"/>
    <n v="10"/>
    <n v="10"/>
    <m/>
    <n v="0"/>
    <n v="0"/>
    <m/>
    <m/>
    <m/>
    <m/>
    <m/>
    <n v="0"/>
    <n v="0"/>
    <n v="0"/>
    <n v="0"/>
    <n v="0"/>
    <n v="0"/>
    <n v="0"/>
    <n v="0"/>
    <n v="0"/>
    <n v="0"/>
    <n v="0"/>
    <n v="0"/>
    <n v="0"/>
    <n v="0"/>
    <x v="0"/>
    <n v="0"/>
    <s v="MMR001CMP006"/>
    <x v="0"/>
    <x v="0"/>
    <x v="0"/>
    <n v="0.10526315789473684"/>
    <s v="No"/>
    <m/>
  </r>
  <r>
    <n v="33.266666666666666"/>
    <d v="2013-02-06T00:00:00"/>
    <x v="0"/>
    <s v="UNHCR"/>
    <s v="Kachin"/>
    <s v="Waingmaw"/>
    <s v="Qtr. 2 Lhaovo Baptist Church"/>
    <m/>
    <m/>
    <n v="17"/>
    <n v="20"/>
    <n v="15"/>
    <n v="20"/>
    <n v="14"/>
    <n v="11"/>
    <n v="11"/>
    <n v="11"/>
    <m/>
    <m/>
    <m/>
    <m/>
    <m/>
    <n v="0"/>
    <n v="0"/>
    <n v="0"/>
    <n v="0"/>
    <n v="0"/>
    <n v="0"/>
    <n v="0"/>
    <n v="0"/>
    <n v="0"/>
    <n v="0"/>
    <n v="0"/>
    <n v="0"/>
    <n v="0"/>
    <n v="0"/>
    <x v="0"/>
    <n v="0"/>
    <s v="MMR001CMP032"/>
    <x v="0"/>
    <x v="0"/>
    <x v="0"/>
    <n v="0.14893617021276595"/>
    <s v="No"/>
    <m/>
  </r>
  <r>
    <n v="33.299999999999997"/>
    <d v="2013-02-05T00:00:00"/>
    <x v="9"/>
    <s v="MRCS"/>
    <s v="Kachin"/>
    <s v="Myitkyina"/>
    <s v="Jan Mai Kawng Baptist Church"/>
    <n v="22"/>
    <m/>
    <m/>
    <m/>
    <m/>
    <m/>
    <m/>
    <m/>
    <n v="0"/>
    <n v="0"/>
    <m/>
    <m/>
    <m/>
    <m/>
    <m/>
    <n v="0"/>
    <n v="0"/>
    <n v="0"/>
    <n v="0"/>
    <n v="0"/>
    <n v="0"/>
    <n v="0"/>
    <n v="0"/>
    <n v="0"/>
    <n v="0"/>
    <n v="0"/>
    <n v="0"/>
    <n v="0"/>
    <n v="0"/>
    <x v="0"/>
    <n v="0"/>
    <s v="MMR001CMP018"/>
    <x v="0"/>
    <x v="0"/>
    <x v="0"/>
    <n v="0"/>
    <s v="No"/>
    <m/>
  </r>
  <r>
    <n v="33.299999999999997"/>
    <d v="2013-02-05T00:00:00"/>
    <x v="0"/>
    <s v="UNHCR"/>
    <s v="Kachin"/>
    <s v="Waingmaw"/>
    <s v="Maina AG Church"/>
    <m/>
    <m/>
    <n v="37"/>
    <n v="70"/>
    <n v="34"/>
    <n v="70"/>
    <n v="34"/>
    <n v="34"/>
    <n v="34"/>
    <n v="34"/>
    <m/>
    <m/>
    <m/>
    <m/>
    <m/>
    <n v="0"/>
    <n v="0"/>
    <n v="0"/>
    <n v="0"/>
    <n v="0"/>
    <n v="0"/>
    <n v="0"/>
    <n v="0"/>
    <n v="0"/>
    <n v="0"/>
    <n v="0"/>
    <n v="0"/>
    <n v="0"/>
    <n v="0"/>
    <x v="0"/>
    <n v="0"/>
    <s v="MMR001CMP031"/>
    <x v="0"/>
    <x v="0"/>
    <x v="0"/>
    <n v="0.25185185185185183"/>
    <s v="No"/>
    <m/>
  </r>
  <r>
    <n v="33.299999999999997"/>
    <d v="2013-02-05T00:00:00"/>
    <x v="9"/>
    <s v="MRCS"/>
    <s v="Kachin"/>
    <s v="Waingmaw"/>
    <s v="Maina Catholic Church (St. Joseph)"/>
    <n v="46"/>
    <m/>
    <m/>
    <m/>
    <m/>
    <m/>
    <m/>
    <m/>
    <n v="0"/>
    <n v="0"/>
    <m/>
    <m/>
    <m/>
    <m/>
    <m/>
    <n v="0"/>
    <n v="0"/>
    <n v="0"/>
    <n v="0"/>
    <n v="0"/>
    <n v="0"/>
    <n v="0"/>
    <n v="0"/>
    <n v="0"/>
    <n v="0"/>
    <n v="0"/>
    <n v="0"/>
    <n v="0"/>
    <n v="0"/>
    <x v="0"/>
    <n v="0"/>
    <s v="MMR001CMP029"/>
    <x v="0"/>
    <x v="0"/>
    <x v="0"/>
    <n v="0"/>
    <s v="No"/>
    <m/>
  </r>
  <r>
    <n v="33.299999999999997"/>
    <d v="2013-02-05T00:00:00"/>
    <x v="0"/>
    <s v="UNHCR"/>
    <s v="Kachin"/>
    <s v="Myitkyina"/>
    <s v="Maw Hpawng Lhaovo Baptist Church"/>
    <m/>
    <m/>
    <n v="10"/>
    <n v="16"/>
    <n v="7"/>
    <n v="16"/>
    <n v="7"/>
    <n v="7"/>
    <n v="7"/>
    <n v="7"/>
    <m/>
    <m/>
    <m/>
    <m/>
    <m/>
    <n v="0"/>
    <n v="0"/>
    <n v="0"/>
    <n v="0"/>
    <n v="0"/>
    <n v="0"/>
    <n v="0"/>
    <n v="0"/>
    <n v="0"/>
    <n v="0"/>
    <n v="0"/>
    <n v="0"/>
    <n v="0"/>
    <n v="0"/>
    <x v="0"/>
    <n v="0"/>
    <s v="MMR001CMP021"/>
    <x v="0"/>
    <x v="0"/>
    <x v="0"/>
    <n v="0.5"/>
    <s v="No"/>
    <m/>
  </r>
  <r>
    <n v="33.299999999999997"/>
    <d v="2013-02-05T00:00:00"/>
    <x v="9"/>
    <s v="MRCS"/>
    <s v="Kachin"/>
    <s v="Waingmaw"/>
    <s v="Qtr. 4 Monestry (Thargaya Thayett Taw)"/>
    <n v="20"/>
    <m/>
    <m/>
    <m/>
    <m/>
    <m/>
    <m/>
    <m/>
    <n v="0"/>
    <n v="0"/>
    <m/>
    <m/>
    <m/>
    <m/>
    <m/>
    <n v="0"/>
    <n v="0"/>
    <n v="0"/>
    <n v="0"/>
    <n v="0"/>
    <n v="0"/>
    <n v="0"/>
    <n v="0"/>
    <n v="0"/>
    <n v="0"/>
    <n v="0"/>
    <n v="0"/>
    <n v="0"/>
    <n v="0"/>
    <x v="0"/>
    <n v="0"/>
    <s v="MMR001CMP026"/>
    <x v="0"/>
    <x v="0"/>
    <x v="0"/>
    <n v="0"/>
    <s v="No"/>
    <m/>
  </r>
  <r>
    <n v="33.299999999999997"/>
    <d v="2013-02-05T00:00:00"/>
    <x v="9"/>
    <s v="MRCS"/>
    <s v="Kachin"/>
    <s v="Myitkyina"/>
    <s v="Shatapru Sut Ngai Tawng"/>
    <n v="36"/>
    <m/>
    <m/>
    <m/>
    <m/>
    <m/>
    <m/>
    <m/>
    <n v="0"/>
    <n v="0"/>
    <m/>
    <m/>
    <m/>
    <m/>
    <m/>
    <n v="0"/>
    <n v="0"/>
    <n v="0"/>
    <n v="0"/>
    <n v="0"/>
    <n v="0"/>
    <n v="0"/>
    <n v="0"/>
    <n v="0"/>
    <n v="0"/>
    <n v="0"/>
    <n v="0"/>
    <n v="0"/>
    <n v="0"/>
    <x v="0"/>
    <n v="0"/>
    <s v="MMR001CMP006"/>
    <x v="0"/>
    <x v="0"/>
    <x v="0"/>
    <n v="0"/>
    <s v="No"/>
    <m/>
  </r>
  <r>
    <n v="33.333333333333336"/>
    <d v="2013-02-04T00:00:00"/>
    <x v="9"/>
    <s v="MRCS"/>
    <s v="Kachin"/>
    <s v="Hpakant"/>
    <s v="5 Ward Baptist Church(lon Khin)"/>
    <m/>
    <m/>
    <m/>
    <m/>
    <m/>
    <m/>
    <n v="162"/>
    <m/>
    <n v="0"/>
    <n v="0"/>
    <m/>
    <m/>
    <m/>
    <m/>
    <m/>
    <n v="0"/>
    <n v="0"/>
    <n v="0"/>
    <n v="0"/>
    <n v="0"/>
    <n v="0"/>
    <n v="0"/>
    <n v="0"/>
    <n v="0"/>
    <n v="0"/>
    <n v="0"/>
    <n v="0"/>
    <n v="0"/>
    <n v="0"/>
    <x v="0"/>
    <n v="0"/>
    <s v="MMR001CMP179"/>
    <x v="0"/>
    <x v="0"/>
    <x v="0"/>
    <n v="2.1315789473684212"/>
    <s v="No"/>
    <m/>
  </r>
  <r>
    <n v="33.333333333333336"/>
    <d v="2013-02-04T00:00:00"/>
    <x v="9"/>
    <s v="MRCS"/>
    <s v="Kachin"/>
    <s v="Hpakant"/>
    <s v="5 Ward RC Church(lon Khin)"/>
    <m/>
    <m/>
    <m/>
    <m/>
    <m/>
    <m/>
    <n v="117"/>
    <m/>
    <n v="0"/>
    <n v="0"/>
    <m/>
    <m/>
    <m/>
    <m/>
    <m/>
    <n v="0"/>
    <n v="0"/>
    <n v="0"/>
    <n v="0"/>
    <n v="0"/>
    <n v="0"/>
    <n v="0"/>
    <n v="0"/>
    <n v="0"/>
    <n v="0"/>
    <n v="0"/>
    <n v="0"/>
    <n v="0"/>
    <n v="0"/>
    <x v="0"/>
    <n v="0"/>
    <s v="MMR001CMP168"/>
    <x v="0"/>
    <x v="0"/>
    <x v="0"/>
    <n v="1.56"/>
    <s v="No"/>
    <m/>
  </r>
  <r>
    <n v="33.333333333333336"/>
    <d v="2013-02-04T00:00:00"/>
    <x v="9"/>
    <s v="MRCS"/>
    <s v="Kachin"/>
    <s v="Hpakant"/>
    <s v="Baptist Church, Hmaw Si Sar(Lon Khin)"/>
    <m/>
    <m/>
    <m/>
    <m/>
    <m/>
    <m/>
    <n v="106"/>
    <m/>
    <n v="0"/>
    <n v="0"/>
    <m/>
    <m/>
    <m/>
    <m/>
    <m/>
    <n v="0"/>
    <n v="0"/>
    <n v="0"/>
    <n v="0"/>
    <n v="0"/>
    <n v="0"/>
    <n v="0"/>
    <n v="0"/>
    <n v="0"/>
    <n v="0"/>
    <n v="0"/>
    <n v="0"/>
    <n v="0"/>
    <n v="0"/>
    <x v="0"/>
    <n v="0"/>
    <s v="MMR001CMP169"/>
    <x v="0"/>
    <x v="0"/>
    <x v="0"/>
    <n v="3.0285714285714285"/>
    <s v="No"/>
    <m/>
  </r>
  <r>
    <n v="33.333333333333336"/>
    <d v="2013-02-04T00:00:00"/>
    <x v="9"/>
    <s v="MRCS"/>
    <s v="Kachin"/>
    <s v="Hpakant"/>
    <s v="Dhama Rakhita, Nyein Chan Tar Yar Ward(Lon Khin)"/>
    <m/>
    <m/>
    <m/>
    <m/>
    <m/>
    <m/>
    <n v="58"/>
    <m/>
    <n v="0"/>
    <n v="0"/>
    <m/>
    <m/>
    <m/>
    <m/>
    <m/>
    <n v="0"/>
    <n v="0"/>
    <n v="0"/>
    <n v="0"/>
    <n v="0"/>
    <n v="0"/>
    <n v="0"/>
    <n v="0"/>
    <n v="0"/>
    <n v="0"/>
    <n v="0"/>
    <n v="0"/>
    <n v="0"/>
    <n v="0"/>
    <x v="0"/>
    <n v="0"/>
    <s v="MMR001CMP174"/>
    <x v="0"/>
    <x v="0"/>
    <x v="0"/>
    <n v="0.89230769230769236"/>
    <s v="No"/>
    <m/>
  </r>
  <r>
    <n v="33.333333333333336"/>
    <d v="2013-02-04T00:00:00"/>
    <x v="0"/>
    <s v="UNHCR"/>
    <s v="Kachin"/>
    <s v="Myitkyina"/>
    <s v="Pa Dauk Myaing(Pa La Na)"/>
    <m/>
    <m/>
    <n v="5"/>
    <n v="8"/>
    <n v="5"/>
    <n v="8"/>
    <n v="5"/>
    <n v="5"/>
    <n v="5"/>
    <n v="5"/>
    <m/>
    <m/>
    <m/>
    <m/>
    <m/>
    <n v="0"/>
    <n v="0"/>
    <n v="0"/>
    <n v="0"/>
    <n v="0"/>
    <n v="0"/>
    <n v="0"/>
    <n v="0"/>
    <n v="0"/>
    <n v="0"/>
    <n v="0"/>
    <n v="0"/>
    <n v="0"/>
    <n v="0"/>
    <x v="0"/>
    <n v="0"/>
    <s v="MMR001CMP162"/>
    <x v="0"/>
    <x v="0"/>
    <x v="0"/>
    <n v="8.771929824561403E-2"/>
    <s v="No"/>
    <m/>
  </r>
  <r>
    <n v="33.466666666666669"/>
    <d v="2013-01-31T00:00:00"/>
    <x v="11"/>
    <s v="World Vision"/>
    <s v="Kachin"/>
    <s v="Hpakant"/>
    <s v="Baptist Church, Naung Hmee VT"/>
    <m/>
    <m/>
    <m/>
    <m/>
    <m/>
    <n v="26"/>
    <m/>
    <m/>
    <n v="0"/>
    <n v="0"/>
    <m/>
    <m/>
    <m/>
    <m/>
    <m/>
    <n v="0"/>
    <n v="0"/>
    <n v="0"/>
    <n v="0"/>
    <n v="0"/>
    <n v="0"/>
    <n v="0"/>
    <n v="0"/>
    <n v="0"/>
    <n v="0"/>
    <n v="0"/>
    <n v="0"/>
    <n v="0"/>
    <n v="0"/>
    <x v="0"/>
    <n v="0"/>
    <s v="MMR001CMP188"/>
    <x v="0"/>
    <x v="2"/>
    <x v="0"/>
    <s v=""/>
    <s v="No"/>
    <m/>
  </r>
  <r>
    <n v="33.466666666666669"/>
    <d v="2013-01-31T00:00:00"/>
    <x v="11"/>
    <s v="World Vision"/>
    <s v="Kachin"/>
    <s v="Waingmaw"/>
    <s v="Hkat Cho "/>
    <m/>
    <m/>
    <m/>
    <m/>
    <m/>
    <n v="256"/>
    <m/>
    <m/>
    <n v="0"/>
    <n v="0"/>
    <m/>
    <m/>
    <m/>
    <m/>
    <m/>
    <n v="0"/>
    <n v="0"/>
    <n v="0"/>
    <n v="0"/>
    <n v="0"/>
    <n v="0"/>
    <n v="0"/>
    <n v="0"/>
    <n v="0"/>
    <n v="0"/>
    <n v="0"/>
    <n v="0"/>
    <n v="0"/>
    <n v="0"/>
    <x v="0"/>
    <n v="0"/>
    <s v="MMR001CMP028"/>
    <x v="0"/>
    <x v="0"/>
    <x v="0"/>
    <n v="0"/>
    <s v="No"/>
    <m/>
  </r>
  <r>
    <n v="33.466666666666669"/>
    <d v="2013-01-31T00:00:00"/>
    <x v="11"/>
    <s v="World Vision"/>
    <s v="Kachin"/>
    <s v="Waingmaw"/>
    <s v="Mading Baptist Church"/>
    <m/>
    <m/>
    <m/>
    <m/>
    <m/>
    <n v="42"/>
    <m/>
    <m/>
    <n v="0"/>
    <n v="0"/>
    <m/>
    <m/>
    <m/>
    <m/>
    <m/>
    <n v="0"/>
    <n v="0"/>
    <n v="0"/>
    <n v="0"/>
    <n v="0"/>
    <n v="0"/>
    <n v="0"/>
    <n v="0"/>
    <n v="0"/>
    <n v="0"/>
    <n v="0"/>
    <n v="0"/>
    <n v="0"/>
    <n v="0"/>
    <x v="0"/>
    <n v="0"/>
    <s v="MMR001CMP027"/>
    <x v="0"/>
    <x v="0"/>
    <x v="0"/>
    <n v="0"/>
    <s v="No"/>
    <m/>
  </r>
  <r>
    <n v="33.466666666666669"/>
    <d v="2013-01-31T00:00:00"/>
    <x v="11"/>
    <s v="World Vision"/>
    <s v="Kachin"/>
    <s v="Waingmaw"/>
    <s v="Maina AG Church"/>
    <m/>
    <m/>
    <m/>
    <m/>
    <m/>
    <n v="128"/>
    <m/>
    <m/>
    <n v="0"/>
    <n v="0"/>
    <m/>
    <m/>
    <m/>
    <m/>
    <m/>
    <n v="0"/>
    <n v="0"/>
    <n v="0"/>
    <n v="0"/>
    <n v="0"/>
    <n v="0"/>
    <n v="0"/>
    <n v="0"/>
    <n v="0"/>
    <n v="0"/>
    <n v="0"/>
    <n v="0"/>
    <n v="0"/>
    <n v="0"/>
    <x v="0"/>
    <n v="0"/>
    <s v="MMR001CMP031"/>
    <x v="0"/>
    <x v="0"/>
    <x v="0"/>
    <n v="0"/>
    <s v="No"/>
    <m/>
  </r>
  <r>
    <n v="33.466666666666669"/>
    <d v="2013-01-31T00:00:00"/>
    <x v="11"/>
    <s v="World Vision"/>
    <s v="Kachin"/>
    <s v="Waingmaw"/>
    <s v="Maina Catholic Church (St. Joseph)"/>
    <m/>
    <m/>
    <m/>
    <m/>
    <m/>
    <n v="442"/>
    <m/>
    <m/>
    <n v="0"/>
    <n v="0"/>
    <m/>
    <m/>
    <m/>
    <m/>
    <m/>
    <n v="0"/>
    <n v="0"/>
    <n v="0"/>
    <n v="0"/>
    <n v="0"/>
    <n v="0"/>
    <n v="0"/>
    <n v="0"/>
    <n v="0"/>
    <n v="0"/>
    <n v="0"/>
    <n v="0"/>
    <n v="0"/>
    <n v="0"/>
    <x v="0"/>
    <n v="0"/>
    <s v="MMR001CMP029"/>
    <x v="0"/>
    <x v="0"/>
    <x v="0"/>
    <n v="0"/>
    <s v="No"/>
    <m/>
  </r>
  <r>
    <n v="33.466666666666669"/>
    <d v="2013-01-31T00:00:00"/>
    <x v="11"/>
    <s v="World Vision"/>
    <s v="Kachin"/>
    <s v="Waingmaw"/>
    <s v="Maina KBC (Bawng Ring)"/>
    <m/>
    <m/>
    <m/>
    <m/>
    <m/>
    <n v="324"/>
    <m/>
    <m/>
    <n v="0"/>
    <n v="0"/>
    <m/>
    <m/>
    <m/>
    <m/>
    <m/>
    <n v="0"/>
    <n v="0"/>
    <n v="0"/>
    <n v="0"/>
    <n v="0"/>
    <n v="0"/>
    <n v="0"/>
    <n v="0"/>
    <n v="0"/>
    <n v="0"/>
    <n v="0"/>
    <n v="0"/>
    <n v="0"/>
    <n v="0"/>
    <x v="0"/>
    <n v="0"/>
    <s v="MMR001CMP040"/>
    <x v="0"/>
    <x v="0"/>
    <x v="0"/>
    <n v="0"/>
    <s v="No"/>
    <m/>
  </r>
  <r>
    <n v="33.466666666666669"/>
    <d v="2013-01-31T00:00:00"/>
    <x v="11"/>
    <s v="World Vision"/>
    <s v="Kachin"/>
    <s v="Waingmaw"/>
    <s v="Maina Lawang Baptist Church"/>
    <m/>
    <m/>
    <m/>
    <m/>
    <m/>
    <n v="94"/>
    <m/>
    <m/>
    <n v="0"/>
    <n v="0"/>
    <m/>
    <m/>
    <m/>
    <m/>
    <m/>
    <n v="0"/>
    <n v="0"/>
    <n v="0"/>
    <n v="0"/>
    <n v="0"/>
    <n v="0"/>
    <n v="0"/>
    <n v="0"/>
    <n v="0"/>
    <n v="0"/>
    <n v="0"/>
    <n v="0"/>
    <n v="0"/>
    <n v="0"/>
    <x v="0"/>
    <n v="0"/>
    <s v="MMR001CMP039"/>
    <x v="0"/>
    <x v="0"/>
    <x v="0"/>
    <n v="0"/>
    <s v="No"/>
    <m/>
  </r>
  <r>
    <n v="33.466666666666669"/>
    <d v="2013-01-31T00:00:00"/>
    <x v="11"/>
    <s v="World Vision"/>
    <s v="Kachin"/>
    <s v="Waingmaw"/>
    <s v="Qtr. 2 Lhaovo Baptist Church"/>
    <m/>
    <m/>
    <m/>
    <m/>
    <m/>
    <n v="184"/>
    <m/>
    <m/>
    <n v="0"/>
    <n v="0"/>
    <m/>
    <m/>
    <m/>
    <m/>
    <m/>
    <n v="0"/>
    <n v="0"/>
    <n v="0"/>
    <n v="0"/>
    <n v="0"/>
    <n v="0"/>
    <n v="0"/>
    <n v="0"/>
    <n v="0"/>
    <n v="0"/>
    <n v="0"/>
    <n v="0"/>
    <n v="0"/>
    <n v="0"/>
    <x v="0"/>
    <n v="0"/>
    <s v="MMR001CMP032"/>
    <x v="0"/>
    <x v="0"/>
    <x v="0"/>
    <n v="0"/>
    <s v="No"/>
    <m/>
  </r>
  <r>
    <n v="33.466666666666669"/>
    <d v="2013-01-31T00:00:00"/>
    <x v="11"/>
    <s v="World Vision"/>
    <s v="Kachin"/>
    <s v="Waingmaw"/>
    <s v="Qtr. 2 Myoma Baptist Church"/>
    <m/>
    <m/>
    <m/>
    <m/>
    <m/>
    <n v="242"/>
    <m/>
    <m/>
    <n v="0"/>
    <n v="0"/>
    <m/>
    <m/>
    <m/>
    <m/>
    <m/>
    <n v="0"/>
    <n v="0"/>
    <n v="0"/>
    <n v="0"/>
    <n v="0"/>
    <n v="0"/>
    <n v="0"/>
    <n v="0"/>
    <n v="0"/>
    <n v="0"/>
    <n v="0"/>
    <n v="0"/>
    <n v="0"/>
    <n v="0"/>
    <x v="0"/>
    <n v="0"/>
    <s v="MMR001CMP025"/>
    <x v="0"/>
    <x v="0"/>
    <x v="0"/>
    <n v="0"/>
    <s v="No"/>
    <m/>
  </r>
  <r>
    <n v="33.466666666666669"/>
    <d v="2013-01-31T00:00:00"/>
    <x v="11"/>
    <s v="World Vision"/>
    <s v="Kachin"/>
    <s v="Waingmaw"/>
    <s v="Qtr. 3 Mu-yin  Baptist Church"/>
    <m/>
    <m/>
    <m/>
    <m/>
    <m/>
    <n v="54"/>
    <m/>
    <m/>
    <n v="0"/>
    <n v="0"/>
    <m/>
    <m/>
    <m/>
    <m/>
    <m/>
    <n v="0"/>
    <n v="0"/>
    <n v="0"/>
    <n v="0"/>
    <n v="0"/>
    <n v="0"/>
    <n v="0"/>
    <n v="0"/>
    <n v="0"/>
    <n v="0"/>
    <n v="0"/>
    <n v="0"/>
    <n v="0"/>
    <n v="0"/>
    <x v="0"/>
    <n v="0"/>
    <s v="MMR001CMP030"/>
    <x v="0"/>
    <x v="0"/>
    <x v="0"/>
    <n v="0"/>
    <s v="No"/>
    <m/>
  </r>
  <r>
    <n v="33.466666666666669"/>
    <d v="2013-01-31T00:00:00"/>
    <x v="11"/>
    <s v="World Vision"/>
    <s v="Kachin"/>
    <s v="Waingmaw"/>
    <s v="Qtr. 4 Monestry (Thargaya Thayett Taw)"/>
    <m/>
    <m/>
    <m/>
    <m/>
    <m/>
    <n v="188"/>
    <m/>
    <m/>
    <n v="0"/>
    <n v="0"/>
    <m/>
    <m/>
    <m/>
    <m/>
    <m/>
    <n v="0"/>
    <n v="0"/>
    <n v="0"/>
    <n v="0"/>
    <n v="0"/>
    <n v="0"/>
    <n v="0"/>
    <n v="0"/>
    <n v="0"/>
    <n v="0"/>
    <n v="0"/>
    <n v="0"/>
    <n v="0"/>
    <n v="0"/>
    <x v="0"/>
    <n v="0"/>
    <s v="MMR001CMP026"/>
    <x v="0"/>
    <x v="0"/>
    <x v="0"/>
    <n v="0"/>
    <s v="No"/>
    <m/>
  </r>
  <r>
    <n v="33.466666666666669"/>
    <d v="2013-01-31T00:00:00"/>
    <x v="11"/>
    <s v="World Vision"/>
    <s v="Kachin"/>
    <s v="Waingmaw"/>
    <s v="Shing Jai"/>
    <m/>
    <m/>
    <m/>
    <m/>
    <m/>
    <n v="358"/>
    <m/>
    <m/>
    <n v="0"/>
    <n v="0"/>
    <m/>
    <m/>
    <m/>
    <m/>
    <m/>
    <n v="0"/>
    <n v="0"/>
    <n v="0"/>
    <n v="0"/>
    <n v="0"/>
    <n v="0"/>
    <n v="0"/>
    <n v="0"/>
    <n v="0"/>
    <n v="0"/>
    <n v="0"/>
    <n v="0"/>
    <n v="0"/>
    <n v="0"/>
    <x v="0"/>
    <n v="0"/>
    <s v="MMR001CMP041"/>
    <x v="0"/>
    <x v="0"/>
    <x v="3"/>
    <n v="0"/>
    <s v="No"/>
    <m/>
  </r>
  <r>
    <n v="33.466666666666669"/>
    <d v="2013-01-31T00:00:00"/>
    <x v="11"/>
    <s v="World Vision"/>
    <s v="Kachin"/>
    <s v="Waingmaw"/>
    <s v="Thargaya Lisu Baptist Church"/>
    <m/>
    <m/>
    <m/>
    <m/>
    <m/>
    <n v="122"/>
    <m/>
    <m/>
    <n v="0"/>
    <n v="0"/>
    <m/>
    <m/>
    <m/>
    <m/>
    <m/>
    <n v="0"/>
    <n v="0"/>
    <n v="0"/>
    <n v="0"/>
    <n v="0"/>
    <n v="0"/>
    <n v="0"/>
    <n v="0"/>
    <n v="0"/>
    <n v="0"/>
    <n v="0"/>
    <n v="0"/>
    <n v="0"/>
    <n v="0"/>
    <x v="0"/>
    <n v="0"/>
    <s v="MMR001CMP037"/>
    <x v="0"/>
    <x v="0"/>
    <x v="0"/>
    <n v="0"/>
    <s v="No"/>
    <m/>
  </r>
  <r>
    <n v="33.466666666666669"/>
    <d v="2013-01-31T00:00:00"/>
    <x v="11"/>
    <s v="World Vision"/>
    <s v="Kachin"/>
    <s v="Waingmaw"/>
    <s v="Waingmaw AG Church"/>
    <m/>
    <m/>
    <m/>
    <m/>
    <m/>
    <n v="104"/>
    <m/>
    <m/>
    <n v="0"/>
    <n v="0"/>
    <m/>
    <m/>
    <m/>
    <m/>
    <m/>
    <n v="0"/>
    <n v="0"/>
    <n v="0"/>
    <n v="0"/>
    <n v="0"/>
    <n v="0"/>
    <n v="0"/>
    <n v="0"/>
    <n v="0"/>
    <n v="0"/>
    <n v="0"/>
    <n v="0"/>
    <n v="0"/>
    <n v="0"/>
    <x v="0"/>
    <n v="0"/>
    <s v="MMR001CMP038"/>
    <x v="0"/>
    <x v="0"/>
    <x v="0"/>
    <n v="0"/>
    <s v="No"/>
    <m/>
  </r>
  <r>
    <n v="33.466666666666669"/>
    <d v="2013-01-31T00:00:00"/>
    <x v="11"/>
    <s v="World Vision"/>
    <s v="Kachin"/>
    <s v="Waingmaw"/>
    <s v="Waingmaw Baptist Zonal Office"/>
    <m/>
    <m/>
    <m/>
    <m/>
    <m/>
    <n v="224"/>
    <m/>
    <m/>
    <n v="0"/>
    <n v="0"/>
    <m/>
    <m/>
    <m/>
    <m/>
    <m/>
    <n v="0"/>
    <n v="0"/>
    <n v="0"/>
    <n v="0"/>
    <n v="0"/>
    <n v="0"/>
    <n v="0"/>
    <n v="0"/>
    <n v="0"/>
    <n v="0"/>
    <n v="0"/>
    <n v="0"/>
    <n v="0"/>
    <n v="0"/>
    <x v="0"/>
    <n v="0"/>
    <s v="MMR001CMP036"/>
    <x v="0"/>
    <x v="0"/>
    <x v="0"/>
    <s v=""/>
    <s v="No"/>
    <m/>
  </r>
  <r>
    <n v="33.5"/>
    <d v="2013-01-30T00:00:00"/>
    <x v="5"/>
    <s v="Solidarities"/>
    <s v="Kachin"/>
    <s v="Shwegu"/>
    <s v="Shwe Gu Baptist Church"/>
    <n v="272"/>
    <m/>
    <n v="280"/>
    <m/>
    <m/>
    <m/>
    <m/>
    <m/>
    <n v="0"/>
    <n v="0"/>
    <m/>
    <m/>
    <m/>
    <m/>
    <m/>
    <n v="0"/>
    <n v="0"/>
    <n v="0"/>
    <n v="0"/>
    <n v="0"/>
    <n v="0"/>
    <n v="0"/>
    <n v="0"/>
    <n v="0"/>
    <n v="0"/>
    <n v="0"/>
    <n v="0"/>
    <n v="0"/>
    <n v="0"/>
    <x v="0"/>
    <n v="0"/>
    <s v="MMR001CMP067"/>
    <x v="0"/>
    <x v="0"/>
    <x v="0"/>
    <n v="0"/>
    <s v="No"/>
    <m/>
  </r>
  <r>
    <n v="33.533333333333331"/>
    <d v="2013-01-29T00:00:00"/>
    <x v="5"/>
    <s v="Solidarities"/>
    <s v="Kachin"/>
    <s v="Shwegu"/>
    <s v="Shwe Gu Catholic Church"/>
    <n v="177"/>
    <m/>
    <n v="240"/>
    <m/>
    <m/>
    <m/>
    <m/>
    <m/>
    <n v="0"/>
    <n v="0"/>
    <m/>
    <m/>
    <m/>
    <m/>
    <m/>
    <n v="0"/>
    <n v="0"/>
    <n v="0"/>
    <n v="0"/>
    <n v="0"/>
    <n v="0"/>
    <n v="0"/>
    <n v="0"/>
    <n v="0"/>
    <n v="0"/>
    <n v="0"/>
    <n v="0"/>
    <n v="0"/>
    <n v="0"/>
    <x v="0"/>
    <n v="0"/>
    <s v="MMR001CMP068"/>
    <x v="0"/>
    <x v="0"/>
    <x v="0"/>
    <n v="0"/>
    <s v="No"/>
    <m/>
  </r>
  <r>
    <n v="33.666666666666664"/>
    <d v="2013-01-25T00:00:00"/>
    <x v="5"/>
    <s v="Solidarities"/>
    <s v="Kachin"/>
    <s v="Momauk"/>
    <s v="Ni Thaw Ka Monestry"/>
    <n v="75"/>
    <m/>
    <n v="120"/>
    <m/>
    <m/>
    <m/>
    <m/>
    <m/>
    <n v="0"/>
    <n v="0"/>
    <m/>
    <m/>
    <m/>
    <m/>
    <m/>
    <n v="0"/>
    <n v="0"/>
    <n v="0"/>
    <n v="0"/>
    <n v="0"/>
    <n v="0"/>
    <n v="0"/>
    <n v="0"/>
    <n v="0"/>
    <n v="0"/>
    <n v="0"/>
    <n v="0"/>
    <n v="0"/>
    <n v="0"/>
    <x v="0"/>
    <n v="0"/>
    <s v="MMR001CMP059"/>
    <x v="0"/>
    <x v="0"/>
    <x v="0"/>
    <n v="0"/>
    <s v="No"/>
    <m/>
  </r>
  <r>
    <n v="33.700000000000003"/>
    <d v="2013-01-24T00:00:00"/>
    <x v="5"/>
    <s v="Solidarities"/>
    <s v="Kachin"/>
    <s v="Momauk"/>
    <s v="Man Bung Catholic compound"/>
    <n v="200"/>
    <m/>
    <n v="250"/>
    <m/>
    <m/>
    <m/>
    <m/>
    <m/>
    <n v="0"/>
    <n v="0"/>
    <m/>
    <m/>
    <m/>
    <m/>
    <m/>
    <n v="0"/>
    <n v="0"/>
    <n v="0"/>
    <n v="0"/>
    <n v="0"/>
    <n v="0"/>
    <n v="0"/>
    <n v="0"/>
    <n v="0"/>
    <n v="0"/>
    <n v="0"/>
    <n v="0"/>
    <n v="0"/>
    <n v="0"/>
    <x v="0"/>
    <n v="0"/>
    <s v="MMR001CMP062"/>
    <x v="0"/>
    <x v="0"/>
    <x v="0"/>
    <n v="0"/>
    <s v="No"/>
    <m/>
  </r>
  <r>
    <n v="33.700000000000003"/>
    <d v="2013-01-24T00:00:00"/>
    <x v="5"/>
    <s v="Solidarities"/>
    <s v="Kachin"/>
    <s v="Momauk"/>
    <s v="Momauk Catholic Church (St. Patrick)"/>
    <n v="793"/>
    <m/>
    <n v="1125"/>
    <m/>
    <m/>
    <m/>
    <m/>
    <m/>
    <n v="0"/>
    <n v="0"/>
    <m/>
    <m/>
    <m/>
    <m/>
    <m/>
    <n v="0"/>
    <n v="0"/>
    <n v="0"/>
    <n v="0"/>
    <n v="0"/>
    <n v="0"/>
    <n v="0"/>
    <n v="0"/>
    <n v="0"/>
    <n v="0"/>
    <n v="0"/>
    <n v="0"/>
    <n v="0"/>
    <n v="0"/>
    <x v="0"/>
    <n v="0"/>
    <s v="MMR001CMP057"/>
    <x v="0"/>
    <x v="2"/>
    <x v="0"/>
    <s v=""/>
    <s v="No"/>
    <m/>
  </r>
  <r>
    <n v="33.766666666666666"/>
    <d v="2013-01-22T00:00:00"/>
    <x v="5"/>
    <s v="Solidarities"/>
    <s v="Kachin"/>
    <s v="Bhamo"/>
    <s v="Robert Church"/>
    <n v="1824"/>
    <m/>
    <n v="2090"/>
    <m/>
    <m/>
    <m/>
    <m/>
    <m/>
    <n v="0"/>
    <n v="0"/>
    <m/>
    <m/>
    <m/>
    <m/>
    <m/>
    <n v="0"/>
    <n v="0"/>
    <n v="0"/>
    <n v="0"/>
    <n v="0"/>
    <n v="0"/>
    <n v="0"/>
    <n v="0"/>
    <n v="0"/>
    <n v="0"/>
    <n v="0"/>
    <n v="0"/>
    <n v="0"/>
    <n v="0"/>
    <x v="0"/>
    <n v="0"/>
    <s v="MMR001CMP047"/>
    <x v="0"/>
    <x v="0"/>
    <x v="0"/>
    <n v="0"/>
    <s v="No"/>
    <m/>
  </r>
  <r>
    <n v="33.799999999999997"/>
    <d v="2013-01-21T00:00:00"/>
    <x v="5"/>
    <s v="Solidarities"/>
    <s v="Kachin"/>
    <s v="Bhamo"/>
    <s v="Nant Hlaing Church"/>
    <n v="85"/>
    <m/>
    <n v="105"/>
    <m/>
    <m/>
    <m/>
    <m/>
    <m/>
    <n v="0"/>
    <n v="0"/>
    <m/>
    <m/>
    <m/>
    <m/>
    <m/>
    <n v="0"/>
    <n v="0"/>
    <n v="0"/>
    <n v="0"/>
    <n v="0"/>
    <n v="0"/>
    <n v="0"/>
    <n v="0"/>
    <n v="0"/>
    <n v="0"/>
    <n v="0"/>
    <n v="0"/>
    <n v="0"/>
    <n v="0"/>
    <x v="0"/>
    <n v="0"/>
    <s v="MMR001CMP054"/>
    <x v="0"/>
    <x v="0"/>
    <x v="0"/>
    <n v="0"/>
    <s v="No"/>
    <m/>
  </r>
  <r>
    <n v="33.966666666666669"/>
    <d v="2013-01-16T00:00:00"/>
    <x v="5"/>
    <s v="Solidarities"/>
    <s v="Kachin"/>
    <s v="Momauk"/>
    <s v="Momauk Baptist Church"/>
    <n v="1215"/>
    <m/>
    <n v="1735"/>
    <m/>
    <m/>
    <m/>
    <m/>
    <m/>
    <n v="0"/>
    <n v="0"/>
    <m/>
    <m/>
    <m/>
    <m/>
    <m/>
    <n v="0"/>
    <n v="0"/>
    <n v="0"/>
    <n v="0"/>
    <n v="0"/>
    <n v="0"/>
    <n v="0"/>
    <n v="0"/>
    <n v="0"/>
    <n v="0"/>
    <n v="0"/>
    <n v="0"/>
    <n v="0"/>
    <n v="0"/>
    <x v="0"/>
    <n v="0"/>
    <s v="MMR001CMP056"/>
    <x v="0"/>
    <x v="0"/>
    <x v="0"/>
    <n v="0"/>
    <s v="No"/>
    <m/>
  </r>
  <r>
    <n v="34.033333333333331"/>
    <d v="2013-01-14T00:00:00"/>
    <x v="5"/>
    <s v="Solidarities"/>
    <s v="Kachin"/>
    <s v="Bhamo"/>
    <s v="AD-2000 Tharthana Compound"/>
    <n v="940"/>
    <m/>
    <n v="1310"/>
    <m/>
    <m/>
    <m/>
    <m/>
    <m/>
    <n v="0"/>
    <n v="0"/>
    <m/>
    <m/>
    <m/>
    <m/>
    <m/>
    <n v="0"/>
    <n v="0"/>
    <n v="0"/>
    <n v="0"/>
    <n v="0"/>
    <n v="0"/>
    <n v="0"/>
    <n v="0"/>
    <n v="0"/>
    <n v="0"/>
    <n v="0"/>
    <n v="0"/>
    <n v="0"/>
    <n v="0"/>
    <x v="0"/>
    <n v="0"/>
    <s v="MMR001CMP050"/>
    <x v="0"/>
    <x v="0"/>
    <x v="0"/>
    <n v="0"/>
    <s v="No"/>
    <m/>
  </r>
  <r>
    <n v="34.166666666666664"/>
    <d v="2013-01-10T00:00:00"/>
    <x v="5"/>
    <s v="Solidarities"/>
    <s v="Kachin"/>
    <s v="Bhamo"/>
    <s v="Htoi San Church"/>
    <n v="212"/>
    <m/>
    <n v="240"/>
    <m/>
    <m/>
    <m/>
    <m/>
    <m/>
    <n v="0"/>
    <n v="0"/>
    <m/>
    <m/>
    <m/>
    <m/>
    <m/>
    <n v="0"/>
    <n v="0"/>
    <n v="0"/>
    <n v="0"/>
    <n v="0"/>
    <n v="0"/>
    <n v="0"/>
    <n v="0"/>
    <n v="0"/>
    <n v="0"/>
    <n v="0"/>
    <n v="0"/>
    <n v="0"/>
    <n v="0"/>
    <x v="0"/>
    <n v="0"/>
    <s v="MMR001CMP052"/>
    <x v="0"/>
    <x v="0"/>
    <x v="0"/>
    <n v="0"/>
    <s v="No"/>
    <m/>
  </r>
  <r>
    <n v="34.200000000000003"/>
    <d v="2013-01-09T00:00:00"/>
    <x v="5"/>
    <s v="Solidarities"/>
    <s v="Kachin"/>
    <s v="Bhamo"/>
    <s v="Lisu Boarding-House"/>
    <n v="205"/>
    <m/>
    <n v="200"/>
    <m/>
    <m/>
    <m/>
    <m/>
    <m/>
    <n v="0"/>
    <n v="0"/>
    <m/>
    <m/>
    <m/>
    <m/>
    <m/>
    <n v="0"/>
    <n v="0"/>
    <n v="0"/>
    <n v="0"/>
    <n v="0"/>
    <n v="0"/>
    <n v="0"/>
    <n v="0"/>
    <n v="0"/>
    <n v="0"/>
    <n v="0"/>
    <n v="0"/>
    <n v="0"/>
    <n v="0"/>
    <x v="0"/>
    <n v="0"/>
    <s v="MMR001CMP049"/>
    <x v="0"/>
    <x v="0"/>
    <x v="0"/>
    <n v="0"/>
    <s v="No"/>
    <m/>
  </r>
  <r>
    <n v="34.233333333333334"/>
    <d v="2013-01-08T00:00:00"/>
    <x v="5"/>
    <s v="Solidarities"/>
    <s v="Kachin"/>
    <s v="Momauk"/>
    <s v="Loi Je Catholic Church"/>
    <n v="353"/>
    <m/>
    <n v="435"/>
    <m/>
    <m/>
    <m/>
    <m/>
    <m/>
    <n v="0"/>
    <n v="0"/>
    <m/>
    <m/>
    <m/>
    <m/>
    <m/>
    <n v="0"/>
    <n v="0"/>
    <n v="0"/>
    <n v="0"/>
    <n v="0"/>
    <n v="0"/>
    <n v="0"/>
    <n v="0"/>
    <n v="0"/>
    <n v="0"/>
    <n v="0"/>
    <n v="0"/>
    <n v="0"/>
    <n v="0"/>
    <x v="0"/>
    <n v="0"/>
    <s v="MMR001CMP069"/>
    <x v="0"/>
    <x v="0"/>
    <x v="2"/>
    <n v="0"/>
    <s v="No"/>
    <m/>
  </r>
  <r>
    <n v="34.233333333333334"/>
    <d v="2013-01-08T00:00:00"/>
    <x v="5"/>
    <s v="Solidarities"/>
    <s v="Kachin"/>
    <s v="Bhamo"/>
    <s v="Yoe Kyi Monastery"/>
    <n v="132"/>
    <m/>
    <n v="180"/>
    <m/>
    <m/>
    <m/>
    <m/>
    <m/>
    <n v="0"/>
    <n v="0"/>
    <m/>
    <m/>
    <m/>
    <m/>
    <m/>
    <n v="0"/>
    <n v="0"/>
    <n v="0"/>
    <n v="0"/>
    <n v="0"/>
    <n v="0"/>
    <n v="0"/>
    <n v="0"/>
    <n v="0"/>
    <n v="0"/>
    <n v="0"/>
    <n v="0"/>
    <n v="0"/>
    <n v="0"/>
    <x v="0"/>
    <n v="0"/>
    <s v="MMR001CMP053"/>
    <x v="0"/>
    <x v="0"/>
    <x v="0"/>
    <n v="0"/>
    <s v="No"/>
    <m/>
  </r>
  <r>
    <n v="34.299999999999997"/>
    <d v="2013-01-06T00:00:00"/>
    <x v="5"/>
    <s v="Solidarities"/>
    <s v="Kachin"/>
    <s v="Mansi"/>
    <s v="Mansi Baptist Church"/>
    <n v="351"/>
    <m/>
    <n v="415"/>
    <m/>
    <m/>
    <m/>
    <m/>
    <m/>
    <n v="0"/>
    <n v="0"/>
    <m/>
    <m/>
    <m/>
    <m/>
    <m/>
    <n v="0"/>
    <n v="0"/>
    <n v="0"/>
    <n v="0"/>
    <n v="0"/>
    <n v="0"/>
    <n v="0"/>
    <n v="0"/>
    <n v="0"/>
    <n v="0"/>
    <n v="0"/>
    <n v="0"/>
    <n v="0"/>
    <n v="0"/>
    <x v="0"/>
    <n v="0"/>
    <s v="MMR001CMP066"/>
    <x v="0"/>
    <x v="0"/>
    <x v="0"/>
    <n v="0"/>
    <s v="No"/>
    <m/>
  </r>
  <r>
    <n v="34.5"/>
    <d v="2012-12-31T00:00:00"/>
    <x v="4"/>
    <s v="DRC"/>
    <s v="Kachin"/>
    <s v="Hpakant"/>
    <s v="5 Ward Baptist Church(lon Khin)"/>
    <n v="12"/>
    <m/>
    <m/>
    <m/>
    <m/>
    <m/>
    <m/>
    <m/>
    <n v="0"/>
    <n v="0"/>
    <m/>
    <m/>
    <m/>
    <m/>
    <m/>
    <n v="0"/>
    <n v="0"/>
    <n v="0"/>
    <n v="0"/>
    <n v="0"/>
    <n v="0"/>
    <n v="0"/>
    <n v="0"/>
    <n v="0"/>
    <n v="0"/>
    <n v="0"/>
    <n v="0"/>
    <n v="0"/>
    <n v="0"/>
    <x v="0"/>
    <n v="0"/>
    <s v="MMR001CMP179"/>
    <x v="0"/>
    <x v="0"/>
    <x v="0"/>
    <n v="0"/>
    <s v="No"/>
    <m/>
  </r>
  <r>
    <n v="34.5"/>
    <d v="2012-12-31T00:00:00"/>
    <x v="4"/>
    <s v="DRC"/>
    <s v="Kachin"/>
    <s v="Hpakant"/>
    <s v="5 Ward RC Church(lon Khin)"/>
    <n v="19"/>
    <m/>
    <m/>
    <m/>
    <m/>
    <m/>
    <m/>
    <m/>
    <n v="0"/>
    <n v="0"/>
    <m/>
    <m/>
    <m/>
    <m/>
    <m/>
    <n v="0"/>
    <n v="0"/>
    <n v="0"/>
    <n v="0"/>
    <n v="0"/>
    <n v="0"/>
    <n v="0"/>
    <n v="0"/>
    <n v="0"/>
    <n v="0"/>
    <n v="0"/>
    <n v="0"/>
    <n v="0"/>
    <n v="0"/>
    <x v="0"/>
    <n v="0"/>
    <s v="MMR001CMP168"/>
    <x v="0"/>
    <x v="0"/>
    <x v="0"/>
    <n v="0"/>
    <s v="No"/>
    <m/>
  </r>
  <r>
    <n v="34.5"/>
    <d v="2012-12-31T00:00:00"/>
    <x v="4"/>
    <s v="DRC"/>
    <s v="Kachin"/>
    <s v="Hpakant"/>
    <s v="AG Church, Hmaw Si Sa"/>
    <n v="7"/>
    <m/>
    <m/>
    <m/>
    <m/>
    <m/>
    <m/>
    <m/>
    <n v="0"/>
    <n v="0"/>
    <m/>
    <m/>
    <m/>
    <m/>
    <m/>
    <n v="0"/>
    <n v="0"/>
    <n v="0"/>
    <n v="0"/>
    <n v="0"/>
    <n v="0"/>
    <n v="0"/>
    <n v="0"/>
    <n v="0"/>
    <n v="0"/>
    <n v="0"/>
    <n v="0"/>
    <n v="0"/>
    <n v="0"/>
    <x v="0"/>
    <n v="0"/>
    <s v="MMR001CMP176"/>
    <x v="0"/>
    <x v="0"/>
    <x v="0"/>
    <n v="0"/>
    <s v="No"/>
    <m/>
  </r>
  <r>
    <n v="34.5"/>
    <d v="2012-12-31T00:00:00"/>
    <x v="4"/>
    <s v="DRC"/>
    <s v="Kachin"/>
    <s v="Hpakant"/>
    <s v="AG Church, Maw Wan"/>
    <n v="4"/>
    <m/>
    <m/>
    <m/>
    <m/>
    <m/>
    <m/>
    <m/>
    <n v="0"/>
    <n v="0"/>
    <m/>
    <m/>
    <m/>
    <m/>
    <m/>
    <n v="0"/>
    <n v="0"/>
    <n v="0"/>
    <n v="0"/>
    <n v="0"/>
    <n v="0"/>
    <n v="0"/>
    <n v="0"/>
    <n v="0"/>
    <n v="0"/>
    <n v="0"/>
    <n v="0"/>
    <n v="0"/>
    <n v="0"/>
    <x v="0"/>
    <n v="0"/>
    <s v="MMR001CMP190"/>
    <x v="0"/>
    <x v="0"/>
    <x v="0"/>
    <n v="0"/>
    <s v="No"/>
    <m/>
  </r>
  <r>
    <n v="34.5"/>
    <d v="2012-12-31T00:00:00"/>
    <x v="4"/>
    <s v="DRC"/>
    <s v="Kachin"/>
    <s v="Hpakant"/>
    <s v="Aye Mya Tharyar Church of Christ "/>
    <n v="16"/>
    <m/>
    <m/>
    <m/>
    <m/>
    <m/>
    <m/>
    <m/>
    <n v="0"/>
    <n v="0"/>
    <m/>
    <m/>
    <m/>
    <m/>
    <m/>
    <n v="0"/>
    <n v="0"/>
    <n v="0"/>
    <n v="0"/>
    <n v="0"/>
    <n v="0"/>
    <n v="0"/>
    <n v="0"/>
    <n v="0"/>
    <n v="0"/>
    <n v="0"/>
    <n v="0"/>
    <n v="0"/>
    <n v="0"/>
    <x v="0"/>
    <n v="0"/>
    <s v="MMR001CMP092"/>
    <x v="0"/>
    <x v="2"/>
    <x v="1"/>
    <s v=""/>
    <s v="No"/>
    <m/>
  </r>
  <r>
    <n v="34.5"/>
    <d v="2012-12-31T00:00:00"/>
    <x v="4"/>
    <s v="DRC"/>
    <s v="Kachin"/>
    <s v="Hpakant"/>
    <s v="Baptist Church, Hmaw Si Sar(Lon Khin)"/>
    <n v="20"/>
    <m/>
    <m/>
    <m/>
    <m/>
    <m/>
    <m/>
    <m/>
    <n v="0"/>
    <n v="0"/>
    <m/>
    <m/>
    <m/>
    <m/>
    <m/>
    <n v="0"/>
    <n v="0"/>
    <n v="0"/>
    <n v="0"/>
    <n v="0"/>
    <n v="0"/>
    <n v="0"/>
    <n v="0"/>
    <n v="0"/>
    <n v="0"/>
    <n v="0"/>
    <n v="0"/>
    <n v="0"/>
    <n v="0"/>
    <x v="0"/>
    <n v="0"/>
    <s v="MMR001CMP169"/>
    <x v="0"/>
    <x v="0"/>
    <x v="0"/>
    <n v="0"/>
    <s v="No"/>
    <m/>
  </r>
  <r>
    <n v="34.5"/>
    <d v="2012-12-31T00:00:00"/>
    <x v="4"/>
    <s v="DRC"/>
    <s v="Kachin"/>
    <s v="Hpakant"/>
    <s v="Baptist Church, Sai Ra village"/>
    <n v="3"/>
    <m/>
    <m/>
    <m/>
    <m/>
    <m/>
    <m/>
    <m/>
    <n v="0"/>
    <n v="0"/>
    <m/>
    <m/>
    <m/>
    <m/>
    <m/>
    <n v="0"/>
    <n v="0"/>
    <n v="0"/>
    <n v="0"/>
    <n v="0"/>
    <n v="0"/>
    <n v="0"/>
    <n v="0"/>
    <n v="0"/>
    <n v="0"/>
    <n v="0"/>
    <n v="0"/>
    <n v="0"/>
    <n v="0"/>
    <x v="0"/>
    <n v="0"/>
    <s v="MMR001CMP172"/>
    <x v="0"/>
    <x v="2"/>
    <x v="1"/>
    <s v=""/>
    <s v="No"/>
    <m/>
  </r>
  <r>
    <n v="34.5"/>
    <d v="2012-12-31T00:00:00"/>
    <x v="4"/>
    <s v="DRC"/>
    <s v="Kachin"/>
    <s v="Hpakant"/>
    <s v="Dhama Rakhita, Nyein Chan Tar Yar Ward(Lon Khin)"/>
    <n v="6"/>
    <m/>
    <m/>
    <m/>
    <m/>
    <m/>
    <m/>
    <m/>
    <n v="0"/>
    <n v="0"/>
    <m/>
    <m/>
    <m/>
    <m/>
    <m/>
    <n v="0"/>
    <n v="0"/>
    <n v="0"/>
    <n v="0"/>
    <n v="0"/>
    <n v="0"/>
    <n v="0"/>
    <n v="0"/>
    <n v="0"/>
    <n v="0"/>
    <n v="0"/>
    <n v="0"/>
    <n v="0"/>
    <n v="0"/>
    <x v="0"/>
    <n v="0"/>
    <s v="MMR001CMP174"/>
    <x v="0"/>
    <x v="0"/>
    <x v="0"/>
    <n v="0"/>
    <s v="No"/>
    <m/>
  </r>
  <r>
    <n v="34.5"/>
    <d v="2012-12-31T00:00:00"/>
    <x v="4"/>
    <s v="DRC"/>
    <s v="Kachin"/>
    <s v="Waingmaw"/>
    <s v="Hkat Cho "/>
    <n v="136"/>
    <m/>
    <m/>
    <m/>
    <m/>
    <m/>
    <m/>
    <m/>
    <n v="0"/>
    <n v="0"/>
    <m/>
    <m/>
    <m/>
    <m/>
    <m/>
    <n v="0"/>
    <n v="0"/>
    <n v="0"/>
    <n v="0"/>
    <n v="0"/>
    <n v="0"/>
    <n v="0"/>
    <n v="0"/>
    <n v="0"/>
    <n v="0"/>
    <n v="0"/>
    <n v="0"/>
    <n v="0"/>
    <n v="0"/>
    <x v="0"/>
    <n v="0"/>
    <s v="MMR001CMP028"/>
    <x v="0"/>
    <x v="0"/>
    <x v="0"/>
    <n v="0"/>
    <s v="No"/>
    <m/>
  </r>
  <r>
    <n v="34.5"/>
    <d v="2012-12-31T00:00:00"/>
    <x v="4"/>
    <s v="DRC"/>
    <s v="Kachin"/>
    <s v="Hpakant"/>
    <s v="Hlaing Naung Baptist"/>
    <n v="4"/>
    <m/>
    <m/>
    <m/>
    <m/>
    <m/>
    <m/>
    <m/>
    <n v="0"/>
    <n v="0"/>
    <m/>
    <m/>
    <m/>
    <m/>
    <m/>
    <n v="0"/>
    <n v="0"/>
    <n v="0"/>
    <n v="0"/>
    <n v="0"/>
    <n v="0"/>
    <n v="0"/>
    <n v="0"/>
    <n v="0"/>
    <n v="0"/>
    <n v="0"/>
    <n v="0"/>
    <n v="0"/>
    <n v="0"/>
    <x v="0"/>
    <n v="0"/>
    <s v="MMR001CMP148"/>
    <x v="0"/>
    <x v="0"/>
    <x v="0"/>
    <n v="0"/>
    <s v="No"/>
    <m/>
  </r>
  <r>
    <n v="34.5"/>
    <d v="2012-12-31T00:00:00"/>
    <x v="4"/>
    <s v="DRC"/>
    <s v="Kachin"/>
    <s v="Hpakant"/>
    <s v="Hmaw Wan, Anglican"/>
    <n v="3"/>
    <m/>
    <m/>
    <m/>
    <m/>
    <m/>
    <m/>
    <m/>
    <n v="0"/>
    <n v="0"/>
    <m/>
    <m/>
    <m/>
    <m/>
    <m/>
    <n v="0"/>
    <n v="0"/>
    <n v="0"/>
    <n v="0"/>
    <n v="0"/>
    <n v="0"/>
    <n v="0"/>
    <n v="0"/>
    <n v="0"/>
    <n v="0"/>
    <n v="0"/>
    <n v="0"/>
    <n v="0"/>
    <n v="0"/>
    <x v="0"/>
    <n v="0"/>
    <s v="MMR001CMP191"/>
    <x v="0"/>
    <x v="0"/>
    <x v="0"/>
    <n v="0"/>
    <s v="No"/>
    <m/>
  </r>
  <r>
    <n v="34.5"/>
    <d v="2012-12-31T00:00:00"/>
    <x v="4"/>
    <s v="DRC"/>
    <s v="Kachin"/>
    <s v="Hpakant"/>
    <s v="Lisu Baptist Church, Maw Wan Ward"/>
    <n v="1"/>
    <m/>
    <m/>
    <m/>
    <m/>
    <m/>
    <m/>
    <m/>
    <n v="0"/>
    <n v="0"/>
    <m/>
    <m/>
    <m/>
    <m/>
    <m/>
    <n v="0"/>
    <n v="0"/>
    <n v="0"/>
    <n v="0"/>
    <n v="0"/>
    <n v="0"/>
    <n v="0"/>
    <n v="0"/>
    <n v="0"/>
    <n v="0"/>
    <n v="0"/>
    <n v="0"/>
    <n v="0"/>
    <n v="0"/>
    <x v="0"/>
    <n v="0"/>
    <s v="MMR001CMP167"/>
    <x v="0"/>
    <x v="0"/>
    <x v="0"/>
    <n v="0"/>
    <s v="No"/>
    <m/>
  </r>
  <r>
    <n v="34.5"/>
    <d v="2012-12-31T00:00:00"/>
    <x v="4"/>
    <s v="DRC"/>
    <s v="Kachin"/>
    <s v="Waingmaw"/>
    <s v="Mading Baptist Church"/>
    <n v="23"/>
    <m/>
    <m/>
    <m/>
    <m/>
    <m/>
    <m/>
    <m/>
    <n v="0"/>
    <n v="0"/>
    <m/>
    <m/>
    <m/>
    <m/>
    <m/>
    <n v="0"/>
    <n v="0"/>
    <n v="0"/>
    <n v="0"/>
    <n v="0"/>
    <n v="0"/>
    <n v="0"/>
    <n v="0"/>
    <n v="0"/>
    <n v="0"/>
    <n v="0"/>
    <n v="0"/>
    <n v="0"/>
    <n v="0"/>
    <x v="0"/>
    <n v="0"/>
    <s v="MMR001CMP027"/>
    <x v="0"/>
    <x v="0"/>
    <x v="0"/>
    <n v="0"/>
    <s v="No"/>
    <m/>
  </r>
  <r>
    <n v="34.5"/>
    <d v="2012-12-31T00:00:00"/>
    <x v="4"/>
    <s v="DRC"/>
    <s v="Kachin"/>
    <s v="Waingmaw"/>
    <s v="Maina AG Church"/>
    <n v="79"/>
    <m/>
    <m/>
    <m/>
    <m/>
    <m/>
    <m/>
    <m/>
    <n v="0"/>
    <n v="0"/>
    <m/>
    <m/>
    <m/>
    <m/>
    <m/>
    <n v="0"/>
    <n v="0"/>
    <n v="0"/>
    <n v="0"/>
    <n v="0"/>
    <n v="0"/>
    <n v="0"/>
    <n v="0"/>
    <n v="0"/>
    <n v="0"/>
    <n v="0"/>
    <n v="0"/>
    <n v="0"/>
    <n v="0"/>
    <x v="0"/>
    <n v="0"/>
    <s v="MMR001CMP031"/>
    <x v="0"/>
    <x v="0"/>
    <x v="0"/>
    <n v="0"/>
    <s v="No"/>
    <m/>
  </r>
  <r>
    <n v="34.5"/>
    <d v="2012-12-31T00:00:00"/>
    <x v="4"/>
    <s v="DRC"/>
    <s v="Kachin"/>
    <s v="Hpakant"/>
    <s v="Mashi Kahtawng Baptist  Church"/>
    <n v="57"/>
    <m/>
    <m/>
    <m/>
    <m/>
    <m/>
    <m/>
    <m/>
    <n v="0"/>
    <n v="0"/>
    <m/>
    <m/>
    <m/>
    <m/>
    <m/>
    <n v="0"/>
    <n v="0"/>
    <n v="0"/>
    <n v="0"/>
    <n v="0"/>
    <n v="0"/>
    <n v="0"/>
    <n v="0"/>
    <n v="0"/>
    <n v="0"/>
    <n v="0"/>
    <n v="0"/>
    <n v="0"/>
    <n v="0"/>
    <x v="0"/>
    <n v="0"/>
    <s v="MMR001CMP094"/>
    <x v="0"/>
    <x v="2"/>
    <x v="1"/>
    <s v=""/>
    <s v="No"/>
    <m/>
  </r>
  <r>
    <n v="34.5"/>
    <d v="2012-12-31T00:00:00"/>
    <x v="4"/>
    <s v="DRC"/>
    <s v="Kachin"/>
    <s v="Hpakant"/>
    <s v="Mashi Kahtawng Catholic Church"/>
    <n v="2"/>
    <m/>
    <m/>
    <m/>
    <m/>
    <m/>
    <m/>
    <m/>
    <n v="0"/>
    <n v="0"/>
    <m/>
    <m/>
    <m/>
    <m/>
    <m/>
    <n v="0"/>
    <n v="0"/>
    <n v="0"/>
    <n v="0"/>
    <n v="0"/>
    <n v="0"/>
    <n v="0"/>
    <n v="0"/>
    <n v="0"/>
    <n v="0"/>
    <n v="0"/>
    <n v="0"/>
    <n v="0"/>
    <n v="0"/>
    <x v="0"/>
    <n v="0"/>
    <s v="MMR001CMP093"/>
    <x v="0"/>
    <x v="2"/>
    <x v="1"/>
    <s v=""/>
    <s v="No"/>
    <m/>
  </r>
  <r>
    <n v="34.5"/>
    <d v="2012-12-31T00:00:00"/>
    <x v="4"/>
    <s v="DRC"/>
    <s v="Kachin"/>
    <s v="Myitkyina"/>
    <s v="Maw Hpawng Hka Nan Baptist Church"/>
    <n v="14"/>
    <m/>
    <m/>
    <m/>
    <m/>
    <m/>
    <m/>
    <m/>
    <n v="0"/>
    <n v="0"/>
    <m/>
    <m/>
    <m/>
    <m/>
    <m/>
    <n v="0"/>
    <n v="0"/>
    <n v="0"/>
    <n v="0"/>
    <n v="0"/>
    <n v="0"/>
    <n v="0"/>
    <n v="0"/>
    <n v="0"/>
    <n v="0"/>
    <n v="0"/>
    <n v="0"/>
    <n v="0"/>
    <n v="0"/>
    <x v="0"/>
    <n v="0"/>
    <s v="MMR001CMP020"/>
    <x v="0"/>
    <x v="0"/>
    <x v="0"/>
    <n v="0"/>
    <s v="No"/>
    <m/>
  </r>
  <r>
    <n v="34.5"/>
    <d v="2012-12-31T00:00:00"/>
    <x v="4"/>
    <s v="DRC"/>
    <s v="Kachin"/>
    <s v="Myitkyina"/>
    <s v="Maw Hpawng Lhaovo Baptist Church"/>
    <n v="23"/>
    <m/>
    <m/>
    <m/>
    <m/>
    <m/>
    <m/>
    <m/>
    <n v="0"/>
    <n v="0"/>
    <m/>
    <m/>
    <m/>
    <m/>
    <m/>
    <n v="0"/>
    <n v="0"/>
    <n v="0"/>
    <n v="0"/>
    <n v="0"/>
    <n v="0"/>
    <n v="0"/>
    <n v="0"/>
    <n v="0"/>
    <n v="0"/>
    <n v="0"/>
    <n v="0"/>
    <n v="0"/>
    <n v="0"/>
    <x v="0"/>
    <n v="0"/>
    <s v="MMR001CMP021"/>
    <x v="0"/>
    <x v="0"/>
    <x v="0"/>
    <n v="0"/>
    <s v="No"/>
    <m/>
  </r>
  <r>
    <n v="34.5"/>
    <d v="2012-12-31T00:00:00"/>
    <x v="4"/>
    <s v="DRC"/>
    <s v="Kachin"/>
    <s v="Hpakant"/>
    <s v="Maw Si Zar, Thiriyardanar Sein, Damma Compound, Lone Khin"/>
    <n v="3"/>
    <m/>
    <m/>
    <m/>
    <m/>
    <m/>
    <m/>
    <m/>
    <n v="0"/>
    <n v="0"/>
    <m/>
    <m/>
    <m/>
    <m/>
    <m/>
    <n v="0"/>
    <n v="0"/>
    <n v="0"/>
    <n v="0"/>
    <n v="0"/>
    <n v="0"/>
    <n v="0"/>
    <n v="0"/>
    <n v="0"/>
    <n v="0"/>
    <n v="0"/>
    <n v="0"/>
    <n v="0"/>
    <n v="0"/>
    <x v="0"/>
    <n v="0"/>
    <s v="MMR001CMP106"/>
    <x v="0"/>
    <x v="2"/>
    <x v="1"/>
    <s v=""/>
    <s v="No"/>
    <m/>
  </r>
  <r>
    <n v="34.5"/>
    <d v="2012-12-31T00:00:00"/>
    <x v="4"/>
    <s v="DRC"/>
    <s v="Kachin"/>
    <s v="Hpakant"/>
    <s v="Maw Wan, Kachin Baptist Church"/>
    <n v="10"/>
    <m/>
    <m/>
    <m/>
    <m/>
    <m/>
    <m/>
    <m/>
    <n v="0"/>
    <n v="0"/>
    <m/>
    <m/>
    <m/>
    <m/>
    <m/>
    <n v="0"/>
    <n v="0"/>
    <n v="0"/>
    <n v="0"/>
    <n v="0"/>
    <n v="0"/>
    <n v="0"/>
    <n v="0"/>
    <n v="0"/>
    <n v="0"/>
    <n v="0"/>
    <n v="0"/>
    <n v="0"/>
    <n v="0"/>
    <x v="0"/>
    <n v="0"/>
    <s v="MMR001CMP085"/>
    <x v="0"/>
    <x v="2"/>
    <x v="1"/>
    <s v=""/>
    <s v="No"/>
    <m/>
  </r>
  <r>
    <n v="34.5"/>
    <d v="2012-12-31T00:00:00"/>
    <x v="4"/>
    <s v="DRC"/>
    <s v="Kachin"/>
    <s v="Hpakant"/>
    <s v="Maw Wan, Mu-yin Baptist Church"/>
    <n v="2"/>
    <m/>
    <m/>
    <m/>
    <m/>
    <m/>
    <m/>
    <m/>
    <n v="0"/>
    <n v="0"/>
    <m/>
    <m/>
    <m/>
    <m/>
    <m/>
    <n v="0"/>
    <n v="0"/>
    <n v="0"/>
    <n v="0"/>
    <n v="0"/>
    <n v="0"/>
    <n v="0"/>
    <n v="0"/>
    <n v="0"/>
    <n v="0"/>
    <n v="0"/>
    <n v="0"/>
    <n v="0"/>
    <n v="0"/>
    <x v="0"/>
    <n v="0"/>
    <s v="MMR001CMP091"/>
    <x v="0"/>
    <x v="0"/>
    <x v="0"/>
    <n v="0"/>
    <s v="No"/>
    <m/>
  </r>
  <r>
    <n v="34.5"/>
    <d v="2012-12-31T00:00:00"/>
    <x v="4"/>
    <s v="DRC"/>
    <s v="Kachin"/>
    <s v="Hpakant"/>
    <s v="May Di Ka Rama Monastery(Lon Khin)"/>
    <n v="5"/>
    <m/>
    <m/>
    <m/>
    <m/>
    <m/>
    <m/>
    <m/>
    <n v="0"/>
    <n v="0"/>
    <m/>
    <m/>
    <m/>
    <m/>
    <m/>
    <n v="0"/>
    <n v="0"/>
    <n v="0"/>
    <n v="0"/>
    <n v="0"/>
    <n v="0"/>
    <n v="0"/>
    <n v="0"/>
    <n v="0"/>
    <n v="0"/>
    <n v="0"/>
    <n v="0"/>
    <n v="0"/>
    <n v="0"/>
    <x v="0"/>
    <n v="0"/>
    <s v="MMR001CMP178"/>
    <x v="0"/>
    <x v="2"/>
    <x v="1"/>
    <s v=""/>
    <s v="No"/>
    <m/>
  </r>
  <r>
    <n v="34.5"/>
    <d v="2012-12-31T00:00:00"/>
    <x v="4"/>
    <s v="DRC"/>
    <s v="Kachin"/>
    <s v="Hpakant"/>
    <s v="Muring Baptist Church, Awng Ra, Wa Ra Zut VT"/>
    <n v="1"/>
    <m/>
    <m/>
    <m/>
    <m/>
    <m/>
    <m/>
    <m/>
    <n v="0"/>
    <n v="0"/>
    <m/>
    <m/>
    <m/>
    <m/>
    <m/>
    <n v="0"/>
    <n v="0"/>
    <n v="0"/>
    <n v="0"/>
    <n v="0"/>
    <n v="0"/>
    <n v="0"/>
    <n v="0"/>
    <n v="0"/>
    <n v="0"/>
    <n v="0"/>
    <n v="0"/>
    <n v="0"/>
    <n v="0"/>
    <x v="0"/>
    <n v="0"/>
    <s v="MMR001CMP177"/>
    <x v="0"/>
    <x v="2"/>
    <x v="1"/>
    <s v=""/>
    <s v="No"/>
    <m/>
  </r>
  <r>
    <n v="34.5"/>
    <d v="2012-12-31T00:00:00"/>
    <x v="4"/>
    <s v="DRC"/>
    <s v="Kachin"/>
    <s v="Myitkyina"/>
    <s v="Myay Myint Baptist Church"/>
    <n v="12"/>
    <m/>
    <m/>
    <m/>
    <m/>
    <m/>
    <m/>
    <m/>
    <n v="0"/>
    <n v="0"/>
    <m/>
    <m/>
    <m/>
    <m/>
    <m/>
    <n v="0"/>
    <n v="0"/>
    <n v="0"/>
    <n v="0"/>
    <n v="0"/>
    <n v="0"/>
    <n v="0"/>
    <n v="0"/>
    <n v="0"/>
    <n v="0"/>
    <n v="0"/>
    <n v="0"/>
    <n v="0"/>
    <n v="0"/>
    <x v="0"/>
    <n v="0"/>
    <s v="MMR001CMP017"/>
    <x v="0"/>
    <x v="2"/>
    <x v="0"/>
    <s v=""/>
    <s v="No"/>
    <m/>
  </r>
  <r>
    <n v="34.5"/>
    <d v="2012-12-31T00:00:00"/>
    <x v="4"/>
    <s v="DRC"/>
    <s v="Kachin"/>
    <s v="Hpakant"/>
    <s v="Nam Ma Phyit, COC"/>
    <n v="32"/>
    <m/>
    <m/>
    <m/>
    <m/>
    <m/>
    <m/>
    <m/>
    <n v="0"/>
    <n v="0"/>
    <m/>
    <m/>
    <m/>
    <m/>
    <m/>
    <n v="0"/>
    <n v="0"/>
    <n v="0"/>
    <n v="0"/>
    <n v="0"/>
    <n v="0"/>
    <n v="0"/>
    <n v="0"/>
    <n v="0"/>
    <n v="0"/>
    <n v="0"/>
    <n v="0"/>
    <n v="0"/>
    <n v="0"/>
    <x v="0"/>
    <n v="0"/>
    <s v="MMR001CMP192"/>
    <x v="0"/>
    <x v="0"/>
    <x v="0"/>
    <n v="0"/>
    <s v="No"/>
    <m/>
  </r>
  <r>
    <n v="34.5"/>
    <d v="2012-12-31T00:00:00"/>
    <x v="4"/>
    <s v="DRC"/>
    <s v="Kachin"/>
    <s v="Hpakant"/>
    <s v="Nant Ma Hpit Catholic Church"/>
    <n v="4"/>
    <m/>
    <m/>
    <m/>
    <m/>
    <m/>
    <m/>
    <m/>
    <n v="0"/>
    <n v="0"/>
    <m/>
    <m/>
    <m/>
    <m/>
    <m/>
    <n v="0"/>
    <n v="0"/>
    <n v="0"/>
    <n v="0"/>
    <n v="0"/>
    <n v="0"/>
    <n v="0"/>
    <n v="0"/>
    <n v="0"/>
    <n v="0"/>
    <n v="0"/>
    <n v="0"/>
    <n v="0"/>
    <n v="0"/>
    <x v="0"/>
    <n v="0"/>
    <s v="MMR001CMP103"/>
    <x v="0"/>
    <x v="0"/>
    <x v="0"/>
    <n v="0"/>
    <s v="No"/>
    <m/>
  </r>
  <r>
    <n v="34.5"/>
    <d v="2012-12-31T00:00:00"/>
    <x v="4"/>
    <s v="DRC"/>
    <s v="Kachin"/>
    <s v="Hpakant"/>
    <s v="Nga Pyaw Taw Roman Catholic Church"/>
    <n v="3"/>
    <m/>
    <m/>
    <m/>
    <m/>
    <m/>
    <m/>
    <m/>
    <n v="0"/>
    <n v="0"/>
    <m/>
    <m/>
    <m/>
    <m/>
    <m/>
    <n v="0"/>
    <n v="0"/>
    <n v="0"/>
    <n v="0"/>
    <n v="0"/>
    <n v="0"/>
    <n v="0"/>
    <n v="0"/>
    <n v="0"/>
    <n v="0"/>
    <n v="0"/>
    <n v="0"/>
    <n v="0"/>
    <n v="0"/>
    <x v="0"/>
    <n v="0"/>
    <s v="MMR001CMP083"/>
    <x v="0"/>
    <x v="2"/>
    <x v="1"/>
    <s v=""/>
    <s v="No"/>
    <m/>
  </r>
  <r>
    <n v="34.5"/>
    <d v="2012-12-31T00:00:00"/>
    <x v="4"/>
    <s v="DRC"/>
    <s v="Kachin"/>
    <s v="Waingmaw"/>
    <s v="Qtr. 2 Lhaovo Baptist Church"/>
    <n v="92"/>
    <m/>
    <m/>
    <m/>
    <m/>
    <m/>
    <m/>
    <m/>
    <n v="0"/>
    <n v="0"/>
    <m/>
    <m/>
    <m/>
    <m/>
    <m/>
    <n v="0"/>
    <n v="0"/>
    <n v="0"/>
    <n v="0"/>
    <n v="0"/>
    <n v="0"/>
    <n v="0"/>
    <n v="0"/>
    <n v="0"/>
    <n v="0"/>
    <n v="0"/>
    <n v="0"/>
    <n v="0"/>
    <n v="0"/>
    <x v="0"/>
    <n v="0"/>
    <s v="MMR001CMP032"/>
    <x v="0"/>
    <x v="0"/>
    <x v="0"/>
    <n v="0"/>
    <s v="No"/>
    <m/>
  </r>
  <r>
    <n v="34.5"/>
    <d v="2012-12-31T00:00:00"/>
    <x v="4"/>
    <s v="DRC"/>
    <s v="Kachin"/>
    <s v="Waingmaw"/>
    <s v="Qtr. 3 Mu-yin  Baptist Church"/>
    <n v="27"/>
    <m/>
    <m/>
    <m/>
    <m/>
    <m/>
    <m/>
    <m/>
    <n v="0"/>
    <n v="0"/>
    <m/>
    <m/>
    <m/>
    <m/>
    <m/>
    <n v="0"/>
    <n v="0"/>
    <n v="0"/>
    <n v="0"/>
    <n v="0"/>
    <n v="0"/>
    <n v="0"/>
    <n v="0"/>
    <n v="0"/>
    <n v="0"/>
    <n v="0"/>
    <n v="0"/>
    <n v="0"/>
    <n v="0"/>
    <x v="0"/>
    <n v="0"/>
    <s v="MMR001CMP030"/>
    <x v="0"/>
    <x v="0"/>
    <x v="0"/>
    <n v="0"/>
    <s v="No"/>
    <m/>
  </r>
  <r>
    <n v="34.5"/>
    <d v="2012-12-31T00:00:00"/>
    <x v="4"/>
    <s v="DRC"/>
    <s v="Kachin"/>
    <s v="Waingmaw"/>
    <s v="Qtr. 4 Monestry (Thargaya Thayett Taw)"/>
    <n v="96"/>
    <m/>
    <m/>
    <m/>
    <m/>
    <m/>
    <m/>
    <m/>
    <n v="0"/>
    <n v="0"/>
    <m/>
    <m/>
    <m/>
    <m/>
    <m/>
    <n v="0"/>
    <n v="0"/>
    <n v="0"/>
    <n v="0"/>
    <n v="0"/>
    <n v="0"/>
    <n v="0"/>
    <n v="0"/>
    <n v="0"/>
    <n v="0"/>
    <n v="0"/>
    <n v="0"/>
    <n v="0"/>
    <n v="0"/>
    <x v="0"/>
    <n v="0"/>
    <s v="MMR001CMP026"/>
    <x v="0"/>
    <x v="0"/>
    <x v="0"/>
    <n v="0"/>
    <s v="No"/>
    <m/>
  </r>
  <r>
    <n v="34.5"/>
    <d v="2012-12-31T00:00:00"/>
    <x v="4"/>
    <s v="DRC"/>
    <s v="Kachin"/>
    <s v="Myitkyina"/>
    <s v="Shatapru Thida Aye Baptist Church"/>
    <n v="17"/>
    <m/>
    <m/>
    <m/>
    <m/>
    <m/>
    <m/>
    <m/>
    <n v="0"/>
    <n v="0"/>
    <m/>
    <m/>
    <m/>
    <m/>
    <m/>
    <n v="0"/>
    <n v="0"/>
    <n v="0"/>
    <n v="0"/>
    <n v="0"/>
    <n v="0"/>
    <n v="0"/>
    <n v="0"/>
    <n v="0"/>
    <n v="0"/>
    <n v="0"/>
    <n v="0"/>
    <n v="0"/>
    <n v="0"/>
    <x v="0"/>
    <n v="0"/>
    <s v="MMR001CMP007"/>
    <x v="0"/>
    <x v="0"/>
    <x v="0"/>
    <n v="0"/>
    <s v="No"/>
    <m/>
  </r>
  <r>
    <n v="34.5"/>
    <d v="2012-12-31T00:00:00"/>
    <x v="4"/>
    <s v="DRC"/>
    <s v="Kachin"/>
    <s v="Myitkyina"/>
    <s v="Tat Kone COC Baptist - Tat Kone Htoi San"/>
    <n v="34"/>
    <m/>
    <m/>
    <m/>
    <m/>
    <m/>
    <m/>
    <m/>
    <n v="0"/>
    <n v="0"/>
    <m/>
    <m/>
    <m/>
    <m/>
    <m/>
    <n v="0"/>
    <n v="0"/>
    <n v="0"/>
    <n v="0"/>
    <n v="0"/>
    <n v="0"/>
    <n v="0"/>
    <n v="0"/>
    <n v="0"/>
    <n v="0"/>
    <n v="0"/>
    <n v="0"/>
    <n v="0"/>
    <n v="0"/>
    <x v="0"/>
    <n v="0"/>
    <s v="MMR001CMP023"/>
    <x v="0"/>
    <x v="0"/>
    <x v="0"/>
    <n v="0"/>
    <s v="No"/>
    <m/>
  </r>
  <r>
    <n v="34.5"/>
    <d v="2012-12-31T00:00:00"/>
    <x v="4"/>
    <s v="DRC"/>
    <s v="Kachin"/>
    <s v="Myitkyina"/>
    <s v="Tat Kone Emanuel Church"/>
    <n v="14"/>
    <m/>
    <m/>
    <m/>
    <m/>
    <m/>
    <m/>
    <m/>
    <n v="0"/>
    <n v="0"/>
    <m/>
    <m/>
    <m/>
    <m/>
    <m/>
    <n v="0"/>
    <n v="0"/>
    <n v="0"/>
    <n v="0"/>
    <n v="0"/>
    <n v="0"/>
    <n v="0"/>
    <n v="0"/>
    <n v="0"/>
    <n v="0"/>
    <n v="0"/>
    <n v="0"/>
    <n v="0"/>
    <n v="0"/>
    <x v="0"/>
    <n v="0"/>
    <s v="MMR001CMP004"/>
    <x v="0"/>
    <x v="0"/>
    <x v="0"/>
    <n v="0"/>
    <s v="No"/>
    <m/>
  </r>
  <r>
    <n v="34.5"/>
    <d v="2012-12-31T00:00:00"/>
    <x v="4"/>
    <s v="DRC"/>
    <s v="Kachin"/>
    <s v="Waingmaw"/>
    <s v="Thargaya Lisu Baptist Church"/>
    <n v="68"/>
    <m/>
    <m/>
    <m/>
    <m/>
    <m/>
    <m/>
    <m/>
    <n v="0"/>
    <n v="0"/>
    <m/>
    <m/>
    <m/>
    <m/>
    <m/>
    <n v="0"/>
    <n v="0"/>
    <n v="0"/>
    <n v="0"/>
    <n v="0"/>
    <n v="0"/>
    <n v="0"/>
    <n v="0"/>
    <n v="0"/>
    <n v="0"/>
    <n v="0"/>
    <n v="0"/>
    <n v="0"/>
    <n v="0"/>
    <x v="0"/>
    <n v="0"/>
    <s v="MMR001CMP037"/>
    <x v="0"/>
    <x v="0"/>
    <x v="0"/>
    <n v="0"/>
    <s v="No"/>
    <m/>
  </r>
  <r>
    <n v="34.5"/>
    <d v="2012-12-31T00:00:00"/>
    <x v="4"/>
    <s v="DRC"/>
    <s v="Kachin"/>
    <s v="Waingmaw"/>
    <s v="Waingmaw AG Church"/>
    <n v="56"/>
    <m/>
    <m/>
    <m/>
    <m/>
    <m/>
    <m/>
    <m/>
    <n v="0"/>
    <n v="0"/>
    <m/>
    <m/>
    <m/>
    <m/>
    <m/>
    <n v="0"/>
    <n v="0"/>
    <n v="0"/>
    <n v="0"/>
    <n v="0"/>
    <n v="0"/>
    <n v="0"/>
    <n v="0"/>
    <n v="0"/>
    <n v="0"/>
    <n v="0"/>
    <n v="0"/>
    <n v="0"/>
    <n v="0"/>
    <x v="0"/>
    <n v="0"/>
    <s v="MMR001CMP038"/>
    <x v="0"/>
    <x v="0"/>
    <x v="0"/>
    <n v="0"/>
    <s v="No"/>
    <m/>
  </r>
  <r>
    <n v="34.5"/>
    <d v="2012-12-31T00:00:00"/>
    <x v="4"/>
    <s v="DRC"/>
    <s v="Kachin"/>
    <s v="Hpakant"/>
    <s v="Wrad(5) Christian Association"/>
    <n v="3"/>
    <m/>
    <m/>
    <m/>
    <m/>
    <m/>
    <m/>
    <m/>
    <n v="0"/>
    <n v="0"/>
    <m/>
    <m/>
    <m/>
    <m/>
    <m/>
    <n v="0"/>
    <n v="0"/>
    <n v="0"/>
    <n v="0"/>
    <n v="0"/>
    <n v="0"/>
    <n v="0"/>
    <n v="0"/>
    <n v="0"/>
    <n v="0"/>
    <n v="0"/>
    <n v="0"/>
    <n v="0"/>
    <n v="0"/>
    <x v="0"/>
    <n v="0"/>
    <s v="MMR001CMP175"/>
    <x v="0"/>
    <x v="2"/>
    <x v="1"/>
    <s v=""/>
    <s v="No"/>
    <m/>
  </r>
  <r>
    <n v="34.5"/>
    <d v="2012-12-31T00:00:00"/>
    <x v="4"/>
    <s v="DRC"/>
    <s v="Kachin"/>
    <s v="Myitkyina"/>
    <s v="Wun Tho Buddhist Monastery"/>
    <n v="24"/>
    <m/>
    <m/>
    <m/>
    <m/>
    <m/>
    <m/>
    <m/>
    <n v="0"/>
    <n v="0"/>
    <m/>
    <m/>
    <m/>
    <m/>
    <m/>
    <n v="0"/>
    <n v="0"/>
    <n v="0"/>
    <n v="0"/>
    <n v="0"/>
    <n v="0"/>
    <n v="0"/>
    <n v="0"/>
    <n v="0"/>
    <n v="0"/>
    <n v="0"/>
    <n v="0"/>
    <n v="0"/>
    <n v="0"/>
    <x v="0"/>
    <n v="0"/>
    <s v="MMR001CMP022"/>
    <x v="0"/>
    <x v="0"/>
    <x v="0"/>
    <n v="0"/>
    <s v="No"/>
    <m/>
  </r>
  <r>
    <n v="34.5"/>
    <d v="2012-12-31T00:00:00"/>
    <x v="4"/>
    <s v="DRC"/>
    <s v="Kachin"/>
    <s v="Hpakant"/>
    <s v="Yumar Baptist Church"/>
    <n v="42"/>
    <m/>
    <m/>
    <m/>
    <m/>
    <m/>
    <m/>
    <m/>
    <n v="0"/>
    <n v="0"/>
    <m/>
    <m/>
    <m/>
    <m/>
    <m/>
    <n v="0"/>
    <n v="0"/>
    <n v="0"/>
    <n v="0"/>
    <n v="0"/>
    <n v="0"/>
    <n v="0"/>
    <n v="0"/>
    <n v="0"/>
    <n v="0"/>
    <n v="0"/>
    <n v="0"/>
    <n v="0"/>
    <n v="0"/>
    <x v="0"/>
    <n v="0"/>
    <s v="MMR001CMP105"/>
    <x v="0"/>
    <x v="0"/>
    <x v="0"/>
    <n v="0"/>
    <s v="No"/>
    <m/>
  </r>
  <r>
    <n v="34.833333333333336"/>
    <d v="2012-12-21T00:00:00"/>
    <x v="0"/>
    <s v="UNHCR"/>
    <s v="Kachin"/>
    <s v="Shwegu"/>
    <s v="Shwe Gu Baptist Church"/>
    <m/>
    <m/>
    <m/>
    <n v="0"/>
    <n v="0"/>
    <n v="83"/>
    <n v="0"/>
    <n v="0"/>
    <m/>
    <m/>
    <m/>
    <m/>
    <m/>
    <m/>
    <m/>
    <n v="0"/>
    <n v="0"/>
    <n v="0"/>
    <n v="0"/>
    <n v="0"/>
    <n v="0"/>
    <n v="0"/>
    <n v="0"/>
    <n v="0"/>
    <n v="0"/>
    <n v="0"/>
    <n v="0"/>
    <n v="0"/>
    <n v="0"/>
    <x v="0"/>
    <n v="0"/>
    <s v="MMR001CMP067"/>
    <x v="0"/>
    <x v="0"/>
    <x v="0"/>
    <n v="0"/>
    <s v="No"/>
    <m/>
  </r>
  <r>
    <n v="34.833333333333336"/>
    <d v="2012-12-21T00:00:00"/>
    <x v="0"/>
    <s v="UNHCR"/>
    <s v="Kachin"/>
    <s v="Bhamo"/>
    <s v="Lisu Boarding-House"/>
    <m/>
    <m/>
    <m/>
    <n v="0"/>
    <n v="12"/>
    <n v="0"/>
    <n v="12"/>
    <n v="12"/>
    <n v="12"/>
    <n v="12"/>
    <m/>
    <m/>
    <m/>
    <m/>
    <m/>
    <n v="0"/>
    <n v="0"/>
    <n v="0"/>
    <n v="0"/>
    <n v="0"/>
    <n v="0"/>
    <n v="0"/>
    <n v="0"/>
    <n v="0"/>
    <n v="0"/>
    <n v="0"/>
    <n v="0"/>
    <n v="0"/>
    <n v="0"/>
    <x v="0"/>
    <n v="0"/>
    <s v="MMR001CMP049"/>
    <x v="0"/>
    <x v="0"/>
    <x v="0"/>
    <n v="0.10344827586206896"/>
    <s v="No"/>
    <m/>
  </r>
  <r>
    <n v="34.833333333333336"/>
    <d v="2012-12-21T00:00:00"/>
    <x v="0"/>
    <s v="UNHCR"/>
    <s v="Kachin"/>
    <s v="Bhamo"/>
    <s v="Robert Church"/>
    <m/>
    <m/>
    <m/>
    <n v="0"/>
    <n v="0"/>
    <n v="73"/>
    <n v="0"/>
    <n v="0"/>
    <m/>
    <m/>
    <m/>
    <m/>
    <m/>
    <m/>
    <m/>
    <n v="0"/>
    <n v="0"/>
    <n v="0"/>
    <n v="0"/>
    <n v="0"/>
    <n v="0"/>
    <n v="0"/>
    <n v="0"/>
    <n v="0"/>
    <n v="0"/>
    <n v="0"/>
    <n v="0"/>
    <n v="0"/>
    <n v="0"/>
    <x v="0"/>
    <n v="0"/>
    <s v="MMR001CMP047"/>
    <x v="0"/>
    <x v="0"/>
    <x v="0"/>
    <n v="0"/>
    <s v="No"/>
    <m/>
  </r>
  <r>
    <n v="34.833333333333336"/>
    <d v="2012-12-21T00:00:00"/>
    <x v="0"/>
    <s v="UNHCR"/>
    <s v="Kachin"/>
    <s v="Bhamo"/>
    <s v="Robert Church"/>
    <m/>
    <m/>
    <m/>
    <n v="24"/>
    <n v="12"/>
    <n v="24"/>
    <n v="12"/>
    <n v="12"/>
    <n v="12"/>
    <n v="12"/>
    <m/>
    <m/>
    <m/>
    <m/>
    <m/>
    <n v="0"/>
    <n v="0"/>
    <n v="0"/>
    <n v="0"/>
    <n v="0"/>
    <n v="0"/>
    <n v="0"/>
    <n v="0"/>
    <n v="0"/>
    <n v="0"/>
    <n v="0"/>
    <n v="0"/>
    <n v="0"/>
    <n v="0"/>
    <x v="0"/>
    <n v="0"/>
    <s v="MMR001CMP047"/>
    <x v="0"/>
    <x v="0"/>
    <x v="0"/>
    <n v="1.8404907975460124E-2"/>
    <s v="No"/>
    <m/>
  </r>
  <r>
    <n v="34.833333333333336"/>
    <d v="2012-12-21T00:00:00"/>
    <x v="0"/>
    <s v="UNHCR"/>
    <s v="Kachin"/>
    <s v="Bhamo"/>
    <s v="Yoe Kyi Monastery"/>
    <m/>
    <m/>
    <m/>
    <n v="0"/>
    <n v="3"/>
    <n v="0"/>
    <n v="3"/>
    <n v="3"/>
    <n v="3"/>
    <n v="3"/>
    <m/>
    <m/>
    <m/>
    <m/>
    <m/>
    <n v="0"/>
    <n v="0"/>
    <n v="0"/>
    <n v="0"/>
    <n v="0"/>
    <n v="0"/>
    <n v="0"/>
    <n v="0"/>
    <n v="0"/>
    <n v="0"/>
    <n v="0"/>
    <n v="0"/>
    <n v="0"/>
    <n v="0"/>
    <x v="0"/>
    <n v="0"/>
    <s v="MMR001CMP053"/>
    <x v="0"/>
    <x v="0"/>
    <x v="0"/>
    <n v="0.2"/>
    <s v="No"/>
    <m/>
  </r>
  <r>
    <n v="34.866666666666667"/>
    <d v="2012-12-20T00:00:00"/>
    <x v="0"/>
    <s v="KBC"/>
    <s v="Kachin"/>
    <s v="Hpakant"/>
    <s v="Hlaing Naung Baptist"/>
    <m/>
    <m/>
    <m/>
    <n v="12"/>
    <n v="0"/>
    <n v="12"/>
    <n v="0"/>
    <n v="0"/>
    <m/>
    <m/>
    <m/>
    <m/>
    <m/>
    <m/>
    <m/>
    <n v="0"/>
    <n v="0"/>
    <n v="0"/>
    <n v="0"/>
    <n v="0"/>
    <n v="0"/>
    <n v="0"/>
    <n v="0"/>
    <n v="0"/>
    <n v="0"/>
    <n v="0"/>
    <n v="0"/>
    <n v="0"/>
    <n v="0"/>
    <x v="0"/>
    <n v="0"/>
    <s v="MMR001CMP148"/>
    <x v="0"/>
    <x v="0"/>
    <x v="0"/>
    <n v="0"/>
    <s v="No"/>
    <m/>
  </r>
  <r>
    <n v="34.866666666666667"/>
    <d v="2012-12-20T00:00:00"/>
    <x v="0"/>
    <s v="UNHCR"/>
    <s v="Kachin"/>
    <s v="Myitkyina"/>
    <s v="Jan Mai Kawng Baptist Church"/>
    <m/>
    <m/>
    <m/>
    <n v="19"/>
    <n v="10"/>
    <n v="19"/>
    <n v="10"/>
    <n v="10"/>
    <n v="10"/>
    <n v="10"/>
    <m/>
    <m/>
    <m/>
    <m/>
    <m/>
    <n v="0"/>
    <n v="0"/>
    <n v="0"/>
    <n v="0"/>
    <n v="0"/>
    <n v="0"/>
    <n v="0"/>
    <n v="0"/>
    <n v="0"/>
    <n v="0"/>
    <n v="0"/>
    <n v="0"/>
    <n v="0"/>
    <n v="0"/>
    <x v="0"/>
    <n v="0"/>
    <s v="MMR001CMP018"/>
    <x v="0"/>
    <x v="0"/>
    <x v="0"/>
    <n v="4.9261083743842367E-2"/>
    <s v="No"/>
    <m/>
  </r>
  <r>
    <n v="34.9"/>
    <d v="2012-12-19T00:00:00"/>
    <x v="0"/>
    <s v="UNHCR"/>
    <s v="Kachin"/>
    <s v="Myitkyina"/>
    <s v="Pa Dauk Myaing(Pa La Na)"/>
    <m/>
    <m/>
    <m/>
    <n v="37"/>
    <n v="10"/>
    <n v="37"/>
    <n v="10"/>
    <n v="10"/>
    <n v="10"/>
    <n v="10"/>
    <m/>
    <m/>
    <m/>
    <m/>
    <m/>
    <n v="0"/>
    <n v="0"/>
    <n v="0"/>
    <n v="0"/>
    <n v="0"/>
    <n v="0"/>
    <n v="0"/>
    <n v="0"/>
    <n v="0"/>
    <n v="0"/>
    <n v="0"/>
    <n v="0"/>
    <n v="0"/>
    <n v="0"/>
    <x v="0"/>
    <n v="0"/>
    <s v="MMR001CMP162"/>
    <x v="0"/>
    <x v="0"/>
    <x v="0"/>
    <n v="0.17543859649122806"/>
    <s v="No"/>
    <m/>
  </r>
  <r>
    <n v="34.93333333333333"/>
    <d v="2012-12-18T00:00:00"/>
    <x v="0"/>
    <s v="UNHCR"/>
    <s v="Kachin"/>
    <s v="Myitkyina"/>
    <s v="Shwe Zet Baptist Church"/>
    <m/>
    <m/>
    <m/>
    <n v="30"/>
    <n v="20"/>
    <n v="30"/>
    <n v="20"/>
    <n v="20"/>
    <n v="20"/>
    <n v="20"/>
    <m/>
    <m/>
    <m/>
    <m/>
    <m/>
    <n v="0"/>
    <n v="0"/>
    <n v="0"/>
    <n v="0"/>
    <n v="0"/>
    <n v="0"/>
    <n v="0"/>
    <n v="0"/>
    <n v="0"/>
    <n v="0"/>
    <n v="0"/>
    <n v="0"/>
    <n v="0"/>
    <n v="0"/>
    <x v="0"/>
    <n v="0"/>
    <s v="MMR001CMP009"/>
    <x v="0"/>
    <x v="0"/>
    <x v="0"/>
    <n v="0.22222222222222221"/>
    <s v="No"/>
    <m/>
  </r>
  <r>
    <n v="35.033333333333331"/>
    <d v="2012-12-15T00:00:00"/>
    <x v="5"/>
    <s v="Solidarities"/>
    <s v="Kachin"/>
    <s v="Mansi"/>
    <s v="Bum Tsit Pa "/>
    <n v="587"/>
    <m/>
    <n v="855"/>
    <m/>
    <m/>
    <m/>
    <m/>
    <m/>
    <n v="0"/>
    <n v="0"/>
    <m/>
    <m/>
    <m/>
    <m/>
    <m/>
    <n v="0"/>
    <n v="0"/>
    <n v="0"/>
    <n v="0"/>
    <n v="0"/>
    <n v="0"/>
    <n v="0"/>
    <n v="0"/>
    <n v="0"/>
    <n v="0"/>
    <n v="0"/>
    <n v="0"/>
    <n v="0"/>
    <n v="0"/>
    <x v="0"/>
    <n v="0"/>
    <s v="MMR001CMP129"/>
    <x v="0"/>
    <x v="0"/>
    <x v="4"/>
    <n v="0"/>
    <s v="No"/>
    <m/>
  </r>
  <r>
    <n v="35.1"/>
    <d v="2012-12-13T00:00:00"/>
    <x v="0"/>
    <s v="UNHCR"/>
    <s v="Kachin"/>
    <s v="Myitkyina"/>
    <s v="Nan Kway St. John Catholic Church"/>
    <m/>
    <m/>
    <m/>
    <n v="16"/>
    <n v="7"/>
    <n v="16"/>
    <n v="7"/>
    <n v="7"/>
    <n v="7"/>
    <n v="7"/>
    <m/>
    <m/>
    <m/>
    <m/>
    <m/>
    <n v="0"/>
    <n v="0"/>
    <n v="0"/>
    <n v="0"/>
    <n v="0"/>
    <n v="0"/>
    <n v="0"/>
    <n v="0"/>
    <n v="0"/>
    <n v="0"/>
    <n v="0"/>
    <n v="0"/>
    <n v="0"/>
    <n v="0"/>
    <x v="0"/>
    <n v="0"/>
    <s v="MMR001CMP024"/>
    <x v="0"/>
    <x v="0"/>
    <x v="0"/>
    <n v="0.1"/>
    <s v="No"/>
    <m/>
  </r>
  <r>
    <n v="35.133333333333333"/>
    <d v="2012-12-12T00:00:00"/>
    <x v="5"/>
    <s v="Solidarities"/>
    <s v="Kachin"/>
    <s v="Momauk"/>
    <s v="Je Yang Hka "/>
    <n v="5228"/>
    <m/>
    <n v="6005"/>
    <m/>
    <m/>
    <m/>
    <m/>
    <m/>
    <n v="0"/>
    <n v="0"/>
    <m/>
    <m/>
    <m/>
    <m/>
    <m/>
    <n v="0"/>
    <n v="0"/>
    <n v="0"/>
    <n v="0"/>
    <n v="0"/>
    <n v="0"/>
    <n v="0"/>
    <n v="0"/>
    <n v="0"/>
    <n v="0"/>
    <n v="0"/>
    <n v="0"/>
    <n v="0"/>
    <n v="0"/>
    <x v="0"/>
    <n v="0"/>
    <s v="MMR001CMP121"/>
    <x v="0"/>
    <x v="0"/>
    <x v="4"/>
    <n v="0"/>
    <s v="No"/>
    <m/>
  </r>
  <r>
    <n v="35.166666666666664"/>
    <d v="2012-12-11T00:00:00"/>
    <x v="5"/>
    <s v="Solidarities"/>
    <s v="Kachin"/>
    <s v="Momauk"/>
    <s v="Hpun Lum Yang "/>
    <n v="1658"/>
    <m/>
    <n v="2085"/>
    <m/>
    <m/>
    <m/>
    <m/>
    <m/>
    <n v="0"/>
    <n v="0"/>
    <m/>
    <m/>
    <m/>
    <m/>
    <m/>
    <n v="0"/>
    <n v="0"/>
    <n v="0"/>
    <n v="0"/>
    <n v="0"/>
    <n v="0"/>
    <n v="0"/>
    <n v="0"/>
    <n v="0"/>
    <n v="0"/>
    <n v="0"/>
    <n v="0"/>
    <n v="0"/>
    <n v="0"/>
    <x v="0"/>
    <n v="0"/>
    <s v="MMR001CMP122"/>
    <x v="0"/>
    <x v="0"/>
    <x v="4"/>
    <n v="0"/>
    <s v="No"/>
    <m/>
  </r>
  <r>
    <n v="35.200000000000003"/>
    <d v="2012-12-10T00:00:00"/>
    <x v="5"/>
    <s v="Solidarities"/>
    <s v="Kachin"/>
    <s v="Waingmaw"/>
    <s v="Woi Chyai "/>
    <n v="4285"/>
    <m/>
    <n v="4055"/>
    <m/>
    <m/>
    <m/>
    <m/>
    <m/>
    <n v="0"/>
    <n v="0"/>
    <m/>
    <m/>
    <m/>
    <m/>
    <m/>
    <n v="0"/>
    <n v="0"/>
    <n v="0"/>
    <n v="0"/>
    <n v="0"/>
    <n v="0"/>
    <n v="0"/>
    <n v="0"/>
    <n v="0"/>
    <n v="0"/>
    <n v="0"/>
    <n v="0"/>
    <n v="0"/>
    <n v="0"/>
    <x v="0"/>
    <n v="0"/>
    <s v="MMR001CMP116"/>
    <x v="0"/>
    <x v="0"/>
    <x v="0"/>
    <n v="0"/>
    <s v="No"/>
    <m/>
  </r>
  <r>
    <n v="35.266666666666666"/>
    <d v="2012-12-08T00:00:00"/>
    <x v="5"/>
    <s v="Solidarities"/>
    <s v="Kachin"/>
    <s v="Waingmaw"/>
    <s v="Laiza Market 3 - Laiza Gat"/>
    <n v="1690"/>
    <m/>
    <n v="2245"/>
    <m/>
    <m/>
    <m/>
    <m/>
    <m/>
    <n v="0"/>
    <n v="0"/>
    <m/>
    <m/>
    <m/>
    <m/>
    <m/>
    <n v="0"/>
    <n v="0"/>
    <n v="0"/>
    <n v="0"/>
    <n v="0"/>
    <n v="0"/>
    <n v="0"/>
    <n v="0"/>
    <n v="0"/>
    <n v="0"/>
    <n v="0"/>
    <n v="0"/>
    <n v="0"/>
    <n v="0"/>
    <x v="0"/>
    <n v="0"/>
    <s v="MMR001CMP117"/>
    <x v="0"/>
    <x v="2"/>
    <x v="4"/>
    <s v=""/>
    <s v="No"/>
    <m/>
  </r>
  <r>
    <n v="36.133333333333333"/>
    <d v="2012-11-12T00:00:00"/>
    <x v="0"/>
    <s v="UNHCR"/>
    <s v="Kachin"/>
    <s v="Waingmaw"/>
    <s v="Qtr. 2 Lhaovo Baptist Church"/>
    <m/>
    <m/>
    <m/>
    <n v="12"/>
    <n v="12"/>
    <n v="12"/>
    <n v="5"/>
    <n v="5"/>
    <n v="5"/>
    <n v="5"/>
    <m/>
    <m/>
    <m/>
    <m/>
    <m/>
    <n v="0"/>
    <n v="0"/>
    <n v="0"/>
    <n v="0"/>
    <n v="0"/>
    <n v="0"/>
    <n v="0"/>
    <n v="0"/>
    <n v="0"/>
    <n v="0"/>
    <n v="0"/>
    <n v="0"/>
    <n v="0"/>
    <n v="0"/>
    <x v="0"/>
    <n v="0"/>
    <s v="MMR001CMP032"/>
    <x v="0"/>
    <x v="0"/>
    <x v="0"/>
    <n v="5.3191489361702128E-2"/>
    <s v="No"/>
    <m/>
  </r>
  <r>
    <n v="36.200000000000003"/>
    <d v="2012-11-10T00:00:00"/>
    <x v="0"/>
    <s v="UNHCR"/>
    <s v="Kachin"/>
    <s v="Hpakant"/>
    <s v="Hlaing Naung Baptist"/>
    <m/>
    <m/>
    <m/>
    <n v="12"/>
    <n v="0"/>
    <n v="12"/>
    <n v="0"/>
    <n v="0"/>
    <m/>
    <m/>
    <m/>
    <m/>
    <m/>
    <m/>
    <m/>
    <n v="0"/>
    <n v="0"/>
    <n v="0"/>
    <n v="0"/>
    <n v="0"/>
    <n v="0"/>
    <n v="0"/>
    <n v="0"/>
    <n v="0"/>
    <n v="0"/>
    <n v="0"/>
    <n v="0"/>
    <n v="0"/>
    <n v="0"/>
    <x v="0"/>
    <n v="0"/>
    <s v="MMR001CMP148"/>
    <x v="0"/>
    <x v="0"/>
    <x v="0"/>
    <n v="0"/>
    <s v="No"/>
    <m/>
  </r>
  <r>
    <n v="36.366666666666667"/>
    <d v="2012-11-05T00:00:00"/>
    <x v="0"/>
    <s v="UNHCR"/>
    <s v="Kachin"/>
    <s v="Hpakant"/>
    <s v="Hlaing Naung Baptist"/>
    <m/>
    <m/>
    <m/>
    <n v="70"/>
    <n v="40"/>
    <n v="70"/>
    <n v="40"/>
    <n v="40"/>
    <n v="40"/>
    <n v="40"/>
    <m/>
    <m/>
    <m/>
    <m/>
    <m/>
    <n v="0"/>
    <n v="0"/>
    <n v="0"/>
    <n v="0"/>
    <n v="0"/>
    <n v="0"/>
    <n v="0"/>
    <n v="0"/>
    <n v="0"/>
    <n v="0"/>
    <n v="0"/>
    <n v="0"/>
    <n v="0"/>
    <n v="0"/>
    <x v="0"/>
    <n v="0"/>
    <s v="MMR001CMP148"/>
    <x v="0"/>
    <x v="0"/>
    <x v="0"/>
    <n v="3.3333333333333335"/>
    <s v="No"/>
    <m/>
  </r>
  <r>
    <n v="37.200000000000003"/>
    <d v="2012-10-11T00:00:00"/>
    <x v="0"/>
    <s v="UNHCR"/>
    <s v="Kachin"/>
    <s v="Momauk"/>
    <s v="Seng Ja "/>
    <m/>
    <m/>
    <m/>
    <n v="28"/>
    <n v="17"/>
    <n v="28"/>
    <n v="17"/>
    <n v="17"/>
    <n v="17"/>
    <n v="17"/>
    <m/>
    <m/>
    <m/>
    <m/>
    <m/>
    <n v="0"/>
    <n v="0"/>
    <n v="0"/>
    <n v="0"/>
    <n v="0"/>
    <n v="0"/>
    <n v="0"/>
    <n v="0"/>
    <n v="0"/>
    <n v="0"/>
    <n v="0"/>
    <n v="0"/>
    <n v="0"/>
    <n v="0"/>
    <x v="0"/>
    <n v="0"/>
    <s v="MMR001CMP073"/>
    <x v="0"/>
    <x v="0"/>
    <x v="2"/>
    <n v="0.37777777777777777"/>
    <s v="No"/>
    <m/>
  </r>
  <r>
    <n v="37.56666666666667"/>
    <d v="2012-09-30T00:00:00"/>
    <x v="0"/>
    <s v="Chipwe CM"/>
    <s v="Kachin"/>
    <s v="Chipwi"/>
    <s v="Women's Affairs Association Building"/>
    <m/>
    <m/>
    <m/>
    <n v="34"/>
    <n v="12"/>
    <n v="34"/>
    <n v="12"/>
    <n v="12"/>
    <n v="12"/>
    <n v="12"/>
    <m/>
    <m/>
    <m/>
    <m/>
    <m/>
    <n v="0"/>
    <n v="0"/>
    <n v="0"/>
    <n v="0"/>
    <n v="0"/>
    <n v="0"/>
    <n v="0"/>
    <n v="0"/>
    <n v="0"/>
    <n v="0"/>
    <n v="0"/>
    <n v="0"/>
    <n v="0"/>
    <n v="0"/>
    <x v="0"/>
    <n v="0"/>
    <s v="MMR001CMP044"/>
    <x v="0"/>
    <x v="2"/>
    <x v="1"/>
    <s v=""/>
    <s v="No"/>
    <m/>
  </r>
  <r>
    <n v="37.6"/>
    <d v="2012-09-29T00:00:00"/>
    <x v="0"/>
    <s v="Chipwe CM"/>
    <s v="Kachin"/>
    <s v="Chipwi"/>
    <s v="Lhaovao Baptist Church (LBC)"/>
    <m/>
    <m/>
    <m/>
    <n v="34"/>
    <n v="12"/>
    <n v="34"/>
    <n v="12"/>
    <n v="12"/>
    <n v="12"/>
    <n v="12"/>
    <m/>
    <m/>
    <m/>
    <m/>
    <m/>
    <n v="0"/>
    <n v="0"/>
    <n v="0"/>
    <n v="0"/>
    <n v="0"/>
    <n v="0"/>
    <n v="0"/>
    <n v="0"/>
    <n v="0"/>
    <n v="0"/>
    <n v="0"/>
    <n v="0"/>
    <n v="0"/>
    <n v="0"/>
    <x v="0"/>
    <n v="0"/>
    <s v="MMR001CMP195"/>
    <x v="0"/>
    <x v="0"/>
    <x v="3"/>
    <n v="8.3333333333333329E-2"/>
    <s v="No"/>
    <m/>
  </r>
  <r>
    <n v="37.6"/>
    <d v="2012-09-29T00:00:00"/>
    <x v="0"/>
    <s v="UNHCR"/>
    <s v="Kachin"/>
    <s v="Momauk"/>
    <s v="Loi Je Lisu Camp"/>
    <m/>
    <m/>
    <m/>
    <n v="151"/>
    <n v="59"/>
    <n v="151"/>
    <n v="59"/>
    <n v="59"/>
    <n v="59"/>
    <n v="59"/>
    <m/>
    <m/>
    <m/>
    <m/>
    <m/>
    <n v="0"/>
    <n v="0"/>
    <n v="0"/>
    <n v="0"/>
    <n v="0"/>
    <n v="0"/>
    <n v="0"/>
    <n v="0"/>
    <n v="0"/>
    <n v="0"/>
    <n v="0"/>
    <n v="0"/>
    <n v="0"/>
    <n v="0"/>
    <x v="0"/>
    <n v="0"/>
    <s v="MMR001CMP070"/>
    <x v="0"/>
    <x v="0"/>
    <x v="2"/>
    <n v="0.31382978723404253"/>
    <s v="No"/>
    <m/>
  </r>
  <r>
    <n v="37.633333333333333"/>
    <d v="2012-09-28T00:00:00"/>
    <x v="0"/>
    <s v="Chipwe CM"/>
    <s v="Kachin"/>
    <s v="Chipwi"/>
    <s v="Lan Jaw "/>
    <m/>
    <m/>
    <m/>
    <n v="33"/>
    <n v="11"/>
    <n v="33"/>
    <n v="11"/>
    <n v="11"/>
    <n v="11"/>
    <n v="11"/>
    <m/>
    <m/>
    <m/>
    <m/>
    <m/>
    <n v="0"/>
    <n v="0"/>
    <n v="0"/>
    <n v="0"/>
    <n v="0"/>
    <n v="0"/>
    <n v="0"/>
    <n v="0"/>
    <n v="0"/>
    <n v="0"/>
    <n v="0"/>
    <n v="0"/>
    <n v="0"/>
    <n v="0"/>
    <x v="0"/>
    <n v="0"/>
    <s v="MMR001CMP045"/>
    <x v="0"/>
    <x v="0"/>
    <x v="3"/>
    <s v=""/>
    <s v="No"/>
    <m/>
  </r>
  <r>
    <n v="37.666666666666664"/>
    <d v="2012-09-27T00:00:00"/>
    <x v="0"/>
    <s v="Chipwe CM"/>
    <s v="Kachin"/>
    <s v="Chipwi"/>
    <s v="Hpare Hkyer - BP6"/>
    <m/>
    <m/>
    <m/>
    <n v="33"/>
    <n v="11"/>
    <n v="33"/>
    <n v="11"/>
    <n v="11"/>
    <n v="11"/>
    <n v="11"/>
    <m/>
    <m/>
    <m/>
    <m/>
    <m/>
    <n v="0"/>
    <n v="0"/>
    <n v="0"/>
    <n v="0"/>
    <n v="0"/>
    <n v="0"/>
    <n v="0"/>
    <n v="0"/>
    <n v="0"/>
    <n v="0"/>
    <n v="0"/>
    <n v="0"/>
    <n v="0"/>
    <n v="0"/>
    <x v="0"/>
    <n v="0"/>
    <s v="MMR001CMP043"/>
    <x v="0"/>
    <x v="0"/>
    <x v="3"/>
    <n v="7.1428571428571425E-2"/>
    <s v="No"/>
    <m/>
  </r>
  <r>
    <n v="37.700000000000003"/>
    <d v="2012-09-26T00:00:00"/>
    <x v="0"/>
    <s v="Chipwe CM"/>
    <s v="Kachin"/>
    <s v="Chipwi"/>
    <s v="Gant Gwin"/>
    <m/>
    <m/>
    <m/>
    <n v="33"/>
    <n v="11"/>
    <n v="33"/>
    <n v="11"/>
    <n v="11"/>
    <n v="11"/>
    <n v="11"/>
    <m/>
    <m/>
    <m/>
    <m/>
    <m/>
    <n v="0"/>
    <n v="0"/>
    <n v="0"/>
    <n v="0"/>
    <n v="0"/>
    <n v="0"/>
    <n v="0"/>
    <n v="0"/>
    <n v="0"/>
    <n v="0"/>
    <n v="0"/>
    <n v="0"/>
    <n v="0"/>
    <n v="0"/>
    <x v="0"/>
    <n v="0"/>
    <s v="MMR001CMP046"/>
    <x v="0"/>
    <x v="2"/>
    <x v="3"/>
    <s v=""/>
    <s v="No"/>
    <m/>
  </r>
  <r>
    <n v="37.733333333333334"/>
    <d v="2012-09-25T00:00:00"/>
    <x v="0"/>
    <s v="Chipwe CM"/>
    <s v="Kachin"/>
    <s v="Chipwi"/>
    <s v="Chipwi KBC camp"/>
    <m/>
    <m/>
    <m/>
    <n v="33"/>
    <n v="11"/>
    <n v="33"/>
    <n v="11"/>
    <n v="11"/>
    <n v="11"/>
    <n v="11"/>
    <m/>
    <m/>
    <m/>
    <m/>
    <m/>
    <n v="0"/>
    <n v="0"/>
    <n v="0"/>
    <n v="0"/>
    <n v="0"/>
    <n v="0"/>
    <n v="0"/>
    <n v="0"/>
    <n v="0"/>
    <n v="0"/>
    <n v="0"/>
    <n v="0"/>
    <n v="0"/>
    <n v="0"/>
    <x v="0"/>
    <n v="0"/>
    <s v="MMR001CMP042"/>
    <x v="0"/>
    <x v="0"/>
    <x v="3"/>
    <n v="9.3220338983050849E-2"/>
    <s v="No"/>
    <m/>
  </r>
  <r>
    <n v="38"/>
    <d v="2012-09-17T00:00:00"/>
    <x v="0"/>
    <s v="UNHCR"/>
    <s v="Kachin"/>
    <s v="Momauk"/>
    <s v="Man Bung Catholic compound"/>
    <m/>
    <m/>
    <m/>
    <n v="86"/>
    <n v="43"/>
    <n v="86"/>
    <n v="43"/>
    <n v="43"/>
    <n v="43"/>
    <n v="43"/>
    <m/>
    <m/>
    <m/>
    <m/>
    <m/>
    <n v="0"/>
    <n v="0"/>
    <n v="0"/>
    <n v="0"/>
    <n v="0"/>
    <n v="0"/>
    <n v="0"/>
    <n v="0"/>
    <n v="0"/>
    <n v="0"/>
    <n v="0"/>
    <n v="0"/>
    <n v="0"/>
    <n v="0"/>
    <x v="0"/>
    <n v="0"/>
    <s v="MMR001CMP062"/>
    <x v="0"/>
    <x v="0"/>
    <x v="0"/>
    <n v="0.16226415094339622"/>
    <s v="No"/>
    <m/>
  </r>
  <r>
    <n v="38"/>
    <d v="2012-09-17T00:00:00"/>
    <x v="0"/>
    <s v="UNHCR"/>
    <s v="Kachin"/>
    <s v="Momauk"/>
    <s v="Momauk Catholic Church (St. Patrick)"/>
    <m/>
    <m/>
    <m/>
    <n v="86"/>
    <n v="43"/>
    <n v="86"/>
    <n v="43"/>
    <n v="43"/>
    <n v="43"/>
    <n v="43"/>
    <m/>
    <m/>
    <m/>
    <m/>
    <m/>
    <n v="0"/>
    <n v="0"/>
    <n v="0"/>
    <n v="0"/>
    <n v="0"/>
    <n v="0"/>
    <n v="0"/>
    <n v="0"/>
    <n v="0"/>
    <n v="0"/>
    <n v="0"/>
    <n v="0"/>
    <n v="0"/>
    <n v="0"/>
    <x v="0"/>
    <n v="0"/>
    <s v="MMR001CMP057"/>
    <x v="0"/>
    <x v="2"/>
    <x v="0"/>
    <s v=""/>
    <s v="No"/>
    <m/>
  </r>
  <r>
    <n v="38.1"/>
    <d v="2012-09-14T00:00:00"/>
    <x v="0"/>
    <s v="UNHCR"/>
    <s v="Kachin"/>
    <s v="Waingmaw"/>
    <s v="Maina Catholic Church (St. Joseph)"/>
    <m/>
    <m/>
    <m/>
    <n v="94"/>
    <n v="48"/>
    <n v="94"/>
    <n v="48"/>
    <n v="48"/>
    <n v="48"/>
    <n v="48"/>
    <m/>
    <m/>
    <m/>
    <m/>
    <m/>
    <n v="0"/>
    <n v="0"/>
    <n v="0"/>
    <n v="0"/>
    <n v="0"/>
    <n v="0"/>
    <n v="0"/>
    <n v="0"/>
    <n v="0"/>
    <n v="0"/>
    <n v="0"/>
    <n v="0"/>
    <n v="0"/>
    <n v="0"/>
    <x v="0"/>
    <n v="0"/>
    <s v="MMR001CMP029"/>
    <x v="0"/>
    <x v="0"/>
    <x v="0"/>
    <n v="0.21145374449339208"/>
    <s v="No"/>
    <m/>
  </r>
  <r>
    <n v="38.1"/>
    <d v="2012-09-14T00:00:00"/>
    <x v="0"/>
    <s v="UNHCR"/>
    <s v="Kachin"/>
    <s v="Waingmaw"/>
    <s v="Waingmaw AG Church"/>
    <m/>
    <m/>
    <m/>
    <n v="14"/>
    <n v="8"/>
    <n v="14"/>
    <n v="8"/>
    <n v="8"/>
    <n v="8"/>
    <n v="8"/>
    <m/>
    <m/>
    <m/>
    <m/>
    <m/>
    <n v="0"/>
    <n v="0"/>
    <n v="0"/>
    <n v="0"/>
    <n v="0"/>
    <n v="0"/>
    <n v="0"/>
    <n v="0"/>
    <n v="0"/>
    <n v="0"/>
    <n v="0"/>
    <n v="0"/>
    <n v="0"/>
    <n v="0"/>
    <x v="0"/>
    <n v="0"/>
    <s v="MMR001CMP038"/>
    <x v="0"/>
    <x v="0"/>
    <x v="0"/>
    <n v="8.7912087912087919E-2"/>
    <s v="No"/>
    <m/>
  </r>
  <r>
    <n v="38.233333333333334"/>
    <d v="2012-09-10T00:00:00"/>
    <x v="0"/>
    <s v="UNHCR"/>
    <s v="Kachin"/>
    <s v="Myitkyina"/>
    <s v="Myay Myint Baptist Church"/>
    <m/>
    <m/>
    <m/>
    <n v="10"/>
    <n v="6"/>
    <n v="10"/>
    <n v="6"/>
    <n v="6"/>
    <n v="6"/>
    <n v="6"/>
    <m/>
    <m/>
    <m/>
    <m/>
    <m/>
    <n v="0"/>
    <n v="0"/>
    <n v="0"/>
    <n v="0"/>
    <n v="0"/>
    <n v="0"/>
    <n v="0"/>
    <n v="0"/>
    <n v="0"/>
    <n v="0"/>
    <n v="0"/>
    <n v="0"/>
    <n v="0"/>
    <n v="0"/>
    <x v="0"/>
    <n v="0"/>
    <s v="MMR001CMP017"/>
    <x v="0"/>
    <x v="2"/>
    <x v="0"/>
    <s v=""/>
    <s v="No"/>
    <m/>
  </r>
  <r>
    <n v="38.4"/>
    <d v="2012-09-05T00:00:00"/>
    <x v="0"/>
    <s v="UNHCR"/>
    <s v="Kachin"/>
    <s v="Momauk"/>
    <s v="Loi Je Baptist Church"/>
    <m/>
    <m/>
    <m/>
    <n v="40"/>
    <n v="17"/>
    <n v="40"/>
    <n v="17"/>
    <n v="17"/>
    <n v="17"/>
    <n v="17"/>
    <m/>
    <m/>
    <m/>
    <m/>
    <m/>
    <n v="0"/>
    <n v="0"/>
    <n v="0"/>
    <n v="0"/>
    <n v="0"/>
    <n v="0"/>
    <n v="0"/>
    <n v="0"/>
    <n v="0"/>
    <n v="0"/>
    <n v="0"/>
    <n v="0"/>
    <n v="0"/>
    <n v="0"/>
    <x v="0"/>
    <n v="0"/>
    <s v="MMR001CMP071"/>
    <x v="0"/>
    <x v="0"/>
    <x v="2"/>
    <n v="0.58620689655172409"/>
    <s v="No"/>
    <m/>
  </r>
  <r>
    <n v="38.4"/>
    <d v="2012-09-05T00:00:00"/>
    <x v="0"/>
    <s v="UNHCR"/>
    <s v="Kachin"/>
    <s v="Momauk"/>
    <s v="Loi Je Catholic Church"/>
    <m/>
    <m/>
    <m/>
    <n v="21"/>
    <n v="10"/>
    <n v="21"/>
    <n v="10"/>
    <n v="10"/>
    <n v="10"/>
    <n v="10"/>
    <m/>
    <m/>
    <m/>
    <m/>
    <m/>
    <n v="0"/>
    <n v="0"/>
    <n v="0"/>
    <n v="0"/>
    <n v="0"/>
    <n v="0"/>
    <n v="0"/>
    <n v="0"/>
    <n v="0"/>
    <n v="0"/>
    <n v="0"/>
    <n v="0"/>
    <n v="0"/>
    <n v="0"/>
    <x v="0"/>
    <n v="0"/>
    <s v="MMR001CMP069"/>
    <x v="0"/>
    <x v="0"/>
    <x v="2"/>
    <n v="0.14285714285714285"/>
    <s v="No"/>
    <m/>
  </r>
  <r>
    <n v="38.4"/>
    <d v="2012-09-05T00:00:00"/>
    <x v="0"/>
    <s v="UNHCR"/>
    <s v="Kachin"/>
    <s v="Momauk"/>
    <s v="Loi Je Lisu Camp"/>
    <m/>
    <m/>
    <m/>
    <n v="133"/>
    <n v="62"/>
    <n v="133"/>
    <n v="62"/>
    <n v="62"/>
    <n v="62"/>
    <n v="62"/>
    <m/>
    <m/>
    <m/>
    <m/>
    <m/>
    <n v="0"/>
    <n v="0"/>
    <n v="0"/>
    <n v="0"/>
    <n v="0"/>
    <n v="0"/>
    <n v="0"/>
    <n v="0"/>
    <n v="0"/>
    <n v="0"/>
    <n v="0"/>
    <n v="0"/>
    <n v="0"/>
    <n v="0"/>
    <x v="0"/>
    <n v="0"/>
    <s v="MMR001CMP070"/>
    <x v="0"/>
    <x v="0"/>
    <x v="2"/>
    <n v="0.32978723404255317"/>
    <s v="No"/>
    <m/>
  </r>
  <r>
    <n v="38.4"/>
    <d v="2012-09-05T00:00:00"/>
    <x v="0"/>
    <s v="UNHCR"/>
    <s v="Kachin"/>
    <s v="Momauk"/>
    <s v="Seng Ja "/>
    <m/>
    <m/>
    <m/>
    <n v="26"/>
    <n v="11"/>
    <n v="26"/>
    <n v="11"/>
    <n v="11"/>
    <n v="11"/>
    <n v="11"/>
    <m/>
    <m/>
    <m/>
    <m/>
    <m/>
    <n v="0"/>
    <n v="0"/>
    <n v="0"/>
    <n v="0"/>
    <n v="0"/>
    <n v="0"/>
    <n v="0"/>
    <n v="0"/>
    <n v="0"/>
    <n v="0"/>
    <n v="0"/>
    <n v="0"/>
    <n v="0"/>
    <n v="0"/>
    <x v="0"/>
    <n v="0"/>
    <s v="MMR001CMP073"/>
    <x v="0"/>
    <x v="0"/>
    <x v="2"/>
    <n v="0.24444444444444444"/>
    <s v="No"/>
    <m/>
  </r>
  <r>
    <n v="38.633333333333333"/>
    <d v="2012-08-29T00:00:00"/>
    <x v="0"/>
    <s v="UNHCR"/>
    <s v="Kachin"/>
    <s v="Momauk"/>
    <s v="Nyaung Na Pin "/>
    <m/>
    <m/>
    <m/>
    <n v="112"/>
    <n v="41"/>
    <n v="112"/>
    <n v="41"/>
    <n v="41"/>
    <n v="41"/>
    <n v="41"/>
    <m/>
    <m/>
    <m/>
    <m/>
    <m/>
    <n v="0"/>
    <n v="0"/>
    <n v="0"/>
    <n v="0"/>
    <n v="0"/>
    <n v="0"/>
    <n v="0"/>
    <n v="0"/>
    <n v="0"/>
    <n v="0"/>
    <n v="0"/>
    <n v="0"/>
    <n v="0"/>
    <n v="0"/>
    <x v="0"/>
    <n v="0"/>
    <s v="MMR001CMP072"/>
    <x v="0"/>
    <x v="0"/>
    <x v="2"/>
    <n v="0.82"/>
    <s v="No"/>
    <m/>
  </r>
  <r>
    <n v="38.700000000000003"/>
    <d v="2012-08-27T00:00:00"/>
    <x v="0"/>
    <s v="UNHCR"/>
    <s v="Kachin"/>
    <s v="Myitkyina"/>
    <s v="Jan Mai Kawng Baptist Church"/>
    <m/>
    <m/>
    <m/>
    <n v="7"/>
    <n v="4"/>
    <n v="7"/>
    <n v="3"/>
    <n v="3"/>
    <n v="3"/>
    <n v="3"/>
    <m/>
    <m/>
    <m/>
    <m/>
    <m/>
    <n v="0"/>
    <n v="0"/>
    <n v="0"/>
    <n v="0"/>
    <n v="0"/>
    <n v="0"/>
    <n v="0"/>
    <n v="0"/>
    <n v="0"/>
    <n v="0"/>
    <n v="0"/>
    <n v="0"/>
    <n v="0"/>
    <n v="0"/>
    <x v="0"/>
    <n v="0"/>
    <s v="MMR001CMP018"/>
    <x v="0"/>
    <x v="0"/>
    <x v="0"/>
    <n v="1.4778325123152709E-2"/>
    <s v="No"/>
    <m/>
  </r>
  <r>
    <n v="38.700000000000003"/>
    <d v="2012-08-27T00:00:00"/>
    <x v="0"/>
    <s v="UNHCR"/>
    <s v="Kachin"/>
    <s v="Myitkyina"/>
    <s v="Maliyang Baptist Church"/>
    <m/>
    <m/>
    <m/>
    <n v="2"/>
    <n v="1"/>
    <n v="2"/>
    <n v="1"/>
    <n v="1"/>
    <n v="1"/>
    <n v="1"/>
    <m/>
    <m/>
    <m/>
    <m/>
    <m/>
    <n v="0"/>
    <n v="0"/>
    <n v="0"/>
    <n v="0"/>
    <n v="0"/>
    <n v="0"/>
    <n v="0"/>
    <n v="0"/>
    <n v="0"/>
    <n v="0"/>
    <n v="0"/>
    <n v="0"/>
    <n v="0"/>
    <n v="0"/>
    <x v="0"/>
    <n v="0"/>
    <s v="MMR001CMP016"/>
    <x v="0"/>
    <x v="0"/>
    <x v="0"/>
    <n v="1.3888888888888888E-2"/>
    <s v="No"/>
    <m/>
  </r>
  <r>
    <n v="38.700000000000003"/>
    <d v="2012-08-27T00:00:00"/>
    <x v="0"/>
    <s v="UNHCR"/>
    <s v="Kachin"/>
    <s v="Myitkyina"/>
    <s v="Maw Hpawng Hka Nan Baptist Church"/>
    <m/>
    <m/>
    <m/>
    <n v="2"/>
    <n v="1"/>
    <n v="2"/>
    <n v="1"/>
    <n v="1"/>
    <n v="1"/>
    <n v="1"/>
    <m/>
    <m/>
    <m/>
    <m/>
    <m/>
    <n v="0"/>
    <n v="0"/>
    <n v="0"/>
    <n v="0"/>
    <n v="0"/>
    <n v="0"/>
    <n v="0"/>
    <n v="0"/>
    <n v="0"/>
    <n v="0"/>
    <n v="0"/>
    <n v="0"/>
    <n v="0"/>
    <n v="0"/>
    <x v="0"/>
    <n v="0"/>
    <s v="MMR001CMP020"/>
    <x v="0"/>
    <x v="0"/>
    <x v="0"/>
    <n v="4.5454545454545456E-2"/>
    <s v="No"/>
    <m/>
  </r>
  <r>
    <n v="38.700000000000003"/>
    <d v="2012-08-27T00:00:00"/>
    <x v="0"/>
    <s v="UNHCR"/>
    <s v="Kachin"/>
    <s v="Myitkyina"/>
    <s v="Maw Hpawng Lhaovo Baptist Church"/>
    <m/>
    <m/>
    <m/>
    <n v="10"/>
    <n v="5"/>
    <n v="10"/>
    <n v="5"/>
    <n v="5"/>
    <n v="5"/>
    <n v="5"/>
    <m/>
    <m/>
    <m/>
    <m/>
    <m/>
    <n v="0"/>
    <n v="0"/>
    <n v="0"/>
    <n v="0"/>
    <n v="0"/>
    <n v="0"/>
    <n v="0"/>
    <n v="0"/>
    <n v="0"/>
    <n v="0"/>
    <n v="0"/>
    <n v="0"/>
    <n v="0"/>
    <n v="0"/>
    <x v="0"/>
    <n v="0"/>
    <s v="MMR001CMP021"/>
    <x v="0"/>
    <x v="0"/>
    <x v="0"/>
    <n v="0.35714285714285715"/>
    <s v="No"/>
    <m/>
  </r>
  <r>
    <n v="38.700000000000003"/>
    <d v="2012-08-27T00:00:00"/>
    <x v="0"/>
    <s v="UNHCR"/>
    <s v="Kachin"/>
    <s v="Myitkyina"/>
    <s v="Wun Tho Buddhist Monastery"/>
    <m/>
    <m/>
    <m/>
    <n v="10"/>
    <n v="5"/>
    <n v="10"/>
    <n v="5"/>
    <n v="5"/>
    <n v="5"/>
    <n v="5"/>
    <m/>
    <m/>
    <m/>
    <m/>
    <m/>
    <n v="0"/>
    <n v="0"/>
    <n v="0"/>
    <n v="0"/>
    <n v="0"/>
    <n v="0"/>
    <n v="0"/>
    <n v="0"/>
    <n v="0"/>
    <n v="0"/>
    <n v="0"/>
    <n v="0"/>
    <n v="0"/>
    <n v="0"/>
    <x v="0"/>
    <n v="0"/>
    <s v="MMR001CMP022"/>
    <x v="0"/>
    <x v="0"/>
    <x v="0"/>
    <n v="0.7142857142857143"/>
    <s v="No"/>
    <m/>
  </r>
  <r>
    <n v="39.166666666666664"/>
    <d v="2012-08-13T00:00:00"/>
    <x v="0"/>
    <s v="UNHCR "/>
    <s v="Kachin"/>
    <s v="Bhamo"/>
    <s v="Robert Church"/>
    <m/>
    <m/>
    <m/>
    <n v="310"/>
    <n v="151"/>
    <n v="310"/>
    <n v="151"/>
    <n v="151"/>
    <n v="151"/>
    <n v="151"/>
    <m/>
    <m/>
    <m/>
    <m/>
    <m/>
    <n v="0"/>
    <n v="0"/>
    <n v="0"/>
    <n v="0"/>
    <n v="0"/>
    <n v="0"/>
    <n v="0"/>
    <n v="0"/>
    <n v="0"/>
    <n v="0"/>
    <n v="0"/>
    <n v="0"/>
    <n v="0"/>
    <n v="0"/>
    <x v="0"/>
    <n v="0"/>
    <s v="MMR001CMP047"/>
    <x v="0"/>
    <x v="0"/>
    <x v="0"/>
    <n v="0.23159509202453987"/>
    <s v="No"/>
    <m/>
  </r>
  <r>
    <n v="39.299999999999997"/>
    <d v="2012-08-09T00:00:00"/>
    <x v="0"/>
    <s v="UNHCR"/>
    <s v="Kachin"/>
    <s v="Myitkyina"/>
    <s v="Jan Mai Kawng Baptist Church"/>
    <m/>
    <m/>
    <m/>
    <n v="7"/>
    <n v="3"/>
    <n v="7"/>
    <n v="3"/>
    <n v="3"/>
    <n v="3"/>
    <n v="3"/>
    <m/>
    <m/>
    <m/>
    <m/>
    <m/>
    <n v="0"/>
    <n v="0"/>
    <n v="0"/>
    <n v="0"/>
    <n v="0"/>
    <n v="0"/>
    <n v="0"/>
    <n v="0"/>
    <n v="0"/>
    <n v="0"/>
    <n v="0"/>
    <n v="0"/>
    <n v="0"/>
    <n v="0"/>
    <x v="0"/>
    <n v="0"/>
    <s v="MMR001CMP018"/>
    <x v="0"/>
    <x v="0"/>
    <x v="0"/>
    <n v="1.4778325123152709E-2"/>
    <s v="No"/>
    <m/>
  </r>
  <r>
    <n v="39.299999999999997"/>
    <d v="2012-08-09T00:00:00"/>
    <x v="0"/>
    <s v="UNHCR"/>
    <s v="Kachin"/>
    <s v="Myitkyina"/>
    <s v="Maliyang Baptist Church"/>
    <m/>
    <m/>
    <m/>
    <n v="2"/>
    <n v="1"/>
    <n v="2"/>
    <n v="1"/>
    <n v="1"/>
    <n v="1"/>
    <n v="1"/>
    <m/>
    <m/>
    <m/>
    <m/>
    <m/>
    <n v="0"/>
    <n v="0"/>
    <n v="0"/>
    <n v="0"/>
    <n v="0"/>
    <n v="0"/>
    <n v="0"/>
    <n v="0"/>
    <n v="0"/>
    <n v="0"/>
    <n v="0"/>
    <n v="0"/>
    <n v="0"/>
    <n v="0"/>
    <x v="0"/>
    <n v="0"/>
    <s v="MMR001CMP016"/>
    <x v="0"/>
    <x v="0"/>
    <x v="0"/>
    <n v="1.3888888888888888E-2"/>
    <s v="No"/>
    <m/>
  </r>
  <r>
    <n v="39.299999999999997"/>
    <d v="2012-08-09T00:00:00"/>
    <x v="0"/>
    <s v="UNHCR"/>
    <s v="Kachin"/>
    <s v="Myitkyina"/>
    <s v="Maw Hpawng Hka Nan Baptist Church"/>
    <m/>
    <m/>
    <m/>
    <n v="2"/>
    <n v="1"/>
    <n v="2"/>
    <n v="1"/>
    <n v="1"/>
    <n v="1"/>
    <n v="1"/>
    <m/>
    <m/>
    <m/>
    <m/>
    <m/>
    <n v="0"/>
    <n v="0"/>
    <n v="0"/>
    <n v="0"/>
    <n v="0"/>
    <n v="0"/>
    <n v="0"/>
    <n v="0"/>
    <n v="0"/>
    <n v="0"/>
    <n v="0"/>
    <n v="0"/>
    <n v="0"/>
    <n v="0"/>
    <x v="0"/>
    <n v="0"/>
    <s v="MMR001CMP020"/>
    <x v="0"/>
    <x v="0"/>
    <x v="0"/>
    <n v="4.5454545454545456E-2"/>
    <s v="No"/>
    <m/>
  </r>
  <r>
    <n v="39.299999999999997"/>
    <d v="2012-08-09T00:00:00"/>
    <x v="0"/>
    <s v="UNHCR"/>
    <s v="Kachin"/>
    <s v="Myitkyina"/>
    <s v="Maw Hpawng Lhaovo Baptist Church"/>
    <m/>
    <m/>
    <m/>
    <n v="10"/>
    <n v="5"/>
    <n v="10"/>
    <n v="5"/>
    <n v="5"/>
    <n v="5"/>
    <n v="5"/>
    <m/>
    <m/>
    <m/>
    <m/>
    <m/>
    <n v="0"/>
    <n v="0"/>
    <n v="0"/>
    <n v="0"/>
    <n v="0"/>
    <n v="0"/>
    <n v="0"/>
    <n v="0"/>
    <n v="0"/>
    <n v="0"/>
    <n v="0"/>
    <n v="0"/>
    <n v="0"/>
    <n v="0"/>
    <x v="0"/>
    <n v="0"/>
    <s v="MMR001CMP021"/>
    <x v="0"/>
    <x v="0"/>
    <x v="0"/>
    <n v="0.35714285714285715"/>
    <s v="No"/>
    <m/>
  </r>
  <r>
    <n v="39.299999999999997"/>
    <d v="2012-08-09T00:00:00"/>
    <x v="0"/>
    <s v="UNHCR"/>
    <s v="Kachin"/>
    <s v="Myitkyina"/>
    <s v="Nan Kway St. John Catholic Church"/>
    <m/>
    <m/>
    <m/>
    <n v="42"/>
    <n v="20"/>
    <n v="42"/>
    <n v="20"/>
    <n v="20"/>
    <n v="20"/>
    <n v="20"/>
    <m/>
    <m/>
    <m/>
    <m/>
    <m/>
    <n v="0"/>
    <n v="0"/>
    <n v="0"/>
    <n v="0"/>
    <n v="0"/>
    <n v="0"/>
    <n v="0"/>
    <n v="0"/>
    <n v="0"/>
    <n v="0"/>
    <n v="0"/>
    <n v="0"/>
    <n v="0"/>
    <n v="0"/>
    <x v="0"/>
    <n v="0"/>
    <s v="MMR001CMP024"/>
    <x v="0"/>
    <x v="0"/>
    <x v="0"/>
    <n v="0.2857142857142857"/>
    <s v="No"/>
    <m/>
  </r>
  <r>
    <n v="39.299999999999997"/>
    <d v="2012-08-09T00:00:00"/>
    <x v="0"/>
    <s v="UNHCR"/>
    <s v="Kachin"/>
    <s v="Myitkyina"/>
    <s v="Wun Tho Buddhist Monastery"/>
    <m/>
    <m/>
    <m/>
    <n v="10"/>
    <n v="5"/>
    <n v="10"/>
    <n v="5"/>
    <n v="5"/>
    <n v="5"/>
    <n v="5"/>
    <m/>
    <m/>
    <m/>
    <m/>
    <m/>
    <n v="0"/>
    <n v="0"/>
    <n v="0"/>
    <n v="0"/>
    <n v="0"/>
    <n v="0"/>
    <n v="0"/>
    <n v="0"/>
    <n v="0"/>
    <n v="0"/>
    <n v="0"/>
    <n v="0"/>
    <n v="0"/>
    <n v="0"/>
    <x v="0"/>
    <n v="0"/>
    <s v="MMR001CMP022"/>
    <x v="0"/>
    <x v="0"/>
    <x v="0"/>
    <n v="0.7142857142857143"/>
    <s v="No"/>
    <m/>
  </r>
  <r>
    <n v="39.366666666666667"/>
    <d v="2012-08-07T00:00:00"/>
    <x v="0"/>
    <s v="UNHCR "/>
    <s v="Kachin"/>
    <s v="Mansi"/>
    <s v="Mansi Baptist Church"/>
    <m/>
    <m/>
    <m/>
    <n v="0"/>
    <n v="73"/>
    <n v="0"/>
    <n v="73"/>
    <n v="73"/>
    <n v="73"/>
    <n v="73"/>
    <m/>
    <m/>
    <m/>
    <m/>
    <m/>
    <n v="0"/>
    <n v="0"/>
    <n v="0"/>
    <n v="0"/>
    <n v="0"/>
    <n v="0"/>
    <n v="0"/>
    <n v="0"/>
    <n v="0"/>
    <n v="0"/>
    <n v="0"/>
    <n v="0"/>
    <n v="0"/>
    <n v="0"/>
    <x v="0"/>
    <n v="0"/>
    <s v="MMR001CMP066"/>
    <x v="0"/>
    <x v="0"/>
    <x v="0"/>
    <n v="0.33031674208144796"/>
    <s v="No"/>
    <m/>
  </r>
  <r>
    <n v="39.733333333333334"/>
    <d v="2012-07-27T00:00:00"/>
    <x v="0"/>
    <s v="UNHCR"/>
    <s v="Kachin"/>
    <s v="Mogaung"/>
    <s v="Kyun Taw Baptist Church "/>
    <m/>
    <m/>
    <m/>
    <n v="35"/>
    <n v="14"/>
    <n v="35"/>
    <n v="14"/>
    <n v="14"/>
    <n v="14"/>
    <n v="14"/>
    <m/>
    <m/>
    <m/>
    <m/>
    <m/>
    <n v="0"/>
    <n v="0"/>
    <n v="0"/>
    <n v="0"/>
    <n v="0"/>
    <n v="0"/>
    <n v="0"/>
    <n v="0"/>
    <n v="0"/>
    <n v="0"/>
    <n v="0"/>
    <n v="0"/>
    <n v="0"/>
    <n v="0"/>
    <x v="0"/>
    <n v="0"/>
    <s v="MMR001CMP078"/>
    <x v="0"/>
    <x v="0"/>
    <x v="0"/>
    <n v="0.875"/>
    <s v="No"/>
    <m/>
  </r>
  <r>
    <n v="39.733333333333334"/>
    <d v="2012-07-27T00:00:00"/>
    <x v="0"/>
    <s v="UNHCR"/>
    <s v="Kachin"/>
    <s v="Mohnyin"/>
    <s v="St. Patrick Catholic Church "/>
    <m/>
    <m/>
    <m/>
    <n v="0"/>
    <n v="8"/>
    <n v="0"/>
    <n v="8"/>
    <n v="8"/>
    <n v="8"/>
    <n v="8"/>
    <m/>
    <m/>
    <m/>
    <m/>
    <m/>
    <n v="0"/>
    <n v="0"/>
    <n v="0"/>
    <n v="0"/>
    <n v="0"/>
    <n v="0"/>
    <n v="0"/>
    <n v="0"/>
    <n v="0"/>
    <n v="0"/>
    <n v="0"/>
    <n v="0"/>
    <n v="0"/>
    <n v="0"/>
    <x v="0"/>
    <n v="0"/>
    <s v="MMR001CMP080"/>
    <x v="0"/>
    <x v="0"/>
    <x v="0"/>
    <n v="0.66666666666666663"/>
    <s v="No"/>
    <m/>
  </r>
  <r>
    <n v="39.766666666666666"/>
    <d v="2012-07-26T00:00:00"/>
    <x v="0"/>
    <s v="UNHCR"/>
    <s v="Kachin"/>
    <s v="Mogaung"/>
    <s v="Mang Hawng Baptist Church"/>
    <m/>
    <m/>
    <m/>
    <n v="31"/>
    <n v="15"/>
    <n v="31"/>
    <n v="15"/>
    <n v="16"/>
    <n v="16"/>
    <n v="16"/>
    <m/>
    <m/>
    <m/>
    <m/>
    <m/>
    <n v="0"/>
    <n v="0"/>
    <n v="0"/>
    <n v="0"/>
    <n v="0"/>
    <n v="0"/>
    <n v="0"/>
    <n v="0"/>
    <n v="0"/>
    <n v="0"/>
    <n v="0"/>
    <n v="0"/>
    <n v="0"/>
    <n v="0"/>
    <x v="0"/>
    <n v="0"/>
    <s v="MMR001CMP077"/>
    <x v="0"/>
    <x v="0"/>
    <x v="0"/>
    <n v="0.83333333333333337"/>
    <s v="No"/>
    <m/>
  </r>
  <r>
    <n v="39.766666666666666"/>
    <d v="2012-07-26T00:00:00"/>
    <x v="0"/>
    <s v="UNHCR"/>
    <s v="Kachin"/>
    <s v="Mogaung"/>
    <s v="Nat Gyi Kone Baptist Church "/>
    <m/>
    <m/>
    <m/>
    <n v="21"/>
    <n v="17"/>
    <n v="21"/>
    <n v="17"/>
    <n v="17"/>
    <n v="17"/>
    <n v="17"/>
    <m/>
    <m/>
    <m/>
    <m/>
    <m/>
    <n v="0"/>
    <n v="0"/>
    <n v="0"/>
    <n v="0"/>
    <n v="0"/>
    <n v="0"/>
    <n v="0"/>
    <n v="0"/>
    <n v="0"/>
    <n v="0"/>
    <n v="0"/>
    <n v="0"/>
    <n v="0"/>
    <n v="0"/>
    <x v="0"/>
    <n v="0"/>
    <s v="MMR001CMP079"/>
    <x v="0"/>
    <x v="0"/>
    <x v="0"/>
    <n v="1.2142857142857142"/>
    <s v="No"/>
    <m/>
  </r>
  <r>
    <n v="39.866666666666667"/>
    <d v="2012-07-23T00:00:00"/>
    <x v="0"/>
    <s v="UNHCR"/>
    <s v="Kachin"/>
    <s v="Myitkyina"/>
    <s v="Jan Mai Kawng Catholic Church"/>
    <m/>
    <m/>
    <m/>
    <n v="19"/>
    <n v="10"/>
    <n v="19"/>
    <n v="10"/>
    <n v="11"/>
    <n v="11"/>
    <n v="11"/>
    <m/>
    <m/>
    <m/>
    <m/>
    <m/>
    <n v="0"/>
    <n v="0"/>
    <n v="0"/>
    <n v="0"/>
    <n v="0"/>
    <n v="0"/>
    <n v="0"/>
    <n v="0"/>
    <n v="0"/>
    <n v="0"/>
    <n v="0"/>
    <n v="0"/>
    <n v="0"/>
    <n v="0"/>
    <x v="0"/>
    <n v="0"/>
    <s v="MMR001CMP019"/>
    <x v="0"/>
    <x v="0"/>
    <x v="0"/>
    <n v="9.1743119266055051E-2"/>
    <s v="No"/>
    <m/>
  </r>
  <r>
    <n v="39.866666666666667"/>
    <d v="2012-07-23T00:00:00"/>
    <x v="0"/>
    <s v="UNHCR"/>
    <s v="Kachin"/>
    <s v="Myitkyina"/>
    <s v="Maliyang Baptist Church"/>
    <m/>
    <m/>
    <m/>
    <n v="72"/>
    <n v="39"/>
    <n v="72"/>
    <n v="39"/>
    <n v="39"/>
    <n v="39"/>
    <n v="39"/>
    <m/>
    <m/>
    <m/>
    <m/>
    <m/>
    <n v="0"/>
    <n v="0"/>
    <n v="0"/>
    <n v="0"/>
    <n v="0"/>
    <n v="0"/>
    <n v="0"/>
    <n v="0"/>
    <n v="0"/>
    <n v="0"/>
    <n v="0"/>
    <n v="0"/>
    <n v="0"/>
    <n v="0"/>
    <x v="0"/>
    <n v="0"/>
    <s v="MMR001CMP016"/>
    <x v="0"/>
    <x v="0"/>
    <x v="0"/>
    <n v="0.54166666666666663"/>
    <s v="No"/>
    <m/>
  </r>
  <r>
    <n v="39.866666666666667"/>
    <d v="2012-07-23T00:00:00"/>
    <x v="0"/>
    <s v="UNHCR"/>
    <s v="Kachin"/>
    <s v="Myitkyina"/>
    <s v="Shatapru Thida Aye Baptist Church"/>
    <m/>
    <m/>
    <m/>
    <n v="30"/>
    <n v="12"/>
    <n v="30"/>
    <n v="12"/>
    <n v="14"/>
    <n v="14"/>
    <n v="14"/>
    <m/>
    <m/>
    <m/>
    <m/>
    <m/>
    <n v="0"/>
    <n v="0"/>
    <n v="0"/>
    <n v="0"/>
    <n v="0"/>
    <n v="0"/>
    <n v="0"/>
    <n v="0"/>
    <n v="0"/>
    <n v="0"/>
    <n v="0"/>
    <n v="0"/>
    <n v="0"/>
    <n v="0"/>
    <x v="0"/>
    <n v="0"/>
    <s v="MMR001CMP007"/>
    <x v="0"/>
    <x v="0"/>
    <x v="0"/>
    <n v="0.42857142857142855"/>
    <s v="No"/>
    <m/>
  </r>
  <r>
    <n v="39.866666666666667"/>
    <d v="2012-07-23T00:00:00"/>
    <x v="0"/>
    <s v="UNHCR"/>
    <s v="Kachin"/>
    <s v="Myitkyina"/>
    <s v="Tat Kone San Pya Baptist Church"/>
    <m/>
    <m/>
    <m/>
    <n v="24"/>
    <n v="8"/>
    <n v="24"/>
    <n v="8"/>
    <n v="13"/>
    <n v="13"/>
    <n v="13"/>
    <m/>
    <m/>
    <m/>
    <m/>
    <m/>
    <n v="0"/>
    <n v="0"/>
    <n v="0"/>
    <n v="0"/>
    <n v="0"/>
    <n v="0"/>
    <n v="0"/>
    <n v="0"/>
    <n v="0"/>
    <n v="0"/>
    <n v="0"/>
    <n v="0"/>
    <n v="0"/>
    <n v="0"/>
    <x v="0"/>
    <n v="0"/>
    <s v="MMR001CMP005"/>
    <x v="0"/>
    <x v="0"/>
    <x v="0"/>
    <n v="0.18181818181818182"/>
    <s v="No"/>
    <m/>
  </r>
  <r>
    <n v="40"/>
    <d v="2012-07-19T00:00:00"/>
    <x v="0"/>
    <s v="UNHCR"/>
    <s v="Kachin"/>
    <s v="Myitkyina"/>
    <s v="Kyun Pin Thar Baptist Church"/>
    <m/>
    <m/>
    <m/>
    <n v="6"/>
    <n v="4"/>
    <n v="6"/>
    <n v="4"/>
    <n v="4"/>
    <n v="4"/>
    <n v="4"/>
    <m/>
    <m/>
    <m/>
    <m/>
    <m/>
    <n v="0"/>
    <n v="0"/>
    <n v="0"/>
    <n v="0"/>
    <n v="0"/>
    <n v="0"/>
    <n v="0"/>
    <n v="0"/>
    <n v="0"/>
    <n v="0"/>
    <n v="0"/>
    <n v="0"/>
    <n v="0"/>
    <n v="0"/>
    <x v="0"/>
    <n v="0"/>
    <s v="MMR001CMP013"/>
    <x v="0"/>
    <x v="0"/>
    <x v="0"/>
    <n v="8.8888888888888892E-2"/>
    <s v="No"/>
    <m/>
  </r>
  <r>
    <n v="40"/>
    <d v="2012-07-19T00:00:00"/>
    <x v="0"/>
    <s v="UNHCR"/>
    <s v="Kachin"/>
    <s v="Myitkyina"/>
    <s v="Tat Kone COC Baptist - Tat Kone Htoi San"/>
    <m/>
    <m/>
    <m/>
    <n v="3"/>
    <n v="2"/>
    <n v="3"/>
    <n v="2"/>
    <n v="2"/>
    <n v="2"/>
    <n v="2"/>
    <m/>
    <m/>
    <m/>
    <m/>
    <m/>
    <n v="0"/>
    <n v="0"/>
    <n v="0"/>
    <n v="0"/>
    <n v="0"/>
    <n v="0"/>
    <n v="0"/>
    <n v="0"/>
    <n v="0"/>
    <n v="0"/>
    <n v="0"/>
    <n v="0"/>
    <n v="0"/>
    <n v="0"/>
    <x v="0"/>
    <n v="0"/>
    <s v="MMR001CMP023"/>
    <x v="0"/>
    <x v="0"/>
    <x v="0"/>
    <n v="2.9411764705882353E-2"/>
    <s v="No"/>
    <m/>
  </r>
  <r>
    <n v="40"/>
    <d v="2012-07-19T00:00:00"/>
    <x v="0"/>
    <s v="UNHCR"/>
    <s v="Kachin"/>
    <s v="Myitkyina"/>
    <s v="Wun Tho Buddhist Monastery"/>
    <m/>
    <m/>
    <m/>
    <n v="9"/>
    <n v="5"/>
    <n v="9"/>
    <n v="5"/>
    <n v="5"/>
    <n v="5"/>
    <n v="5"/>
    <m/>
    <m/>
    <m/>
    <m/>
    <m/>
    <n v="0"/>
    <n v="0"/>
    <n v="0"/>
    <n v="0"/>
    <n v="0"/>
    <n v="0"/>
    <n v="0"/>
    <n v="0"/>
    <n v="0"/>
    <n v="0"/>
    <n v="0"/>
    <n v="0"/>
    <n v="0"/>
    <n v="0"/>
    <x v="0"/>
    <n v="0"/>
    <s v="MMR001CMP022"/>
    <x v="0"/>
    <x v="0"/>
    <x v="0"/>
    <n v="0.7142857142857143"/>
    <s v="No"/>
    <m/>
  </r>
  <r>
    <n v="40.033333333333331"/>
    <d v="2012-07-18T00:00:00"/>
    <x v="0"/>
    <s v="UNHCR"/>
    <s v="Kachin"/>
    <s v="Mansi"/>
    <s v="Mung Ding Pa  (Boarder)"/>
    <m/>
    <m/>
    <m/>
    <n v="170"/>
    <n v="16"/>
    <n v="170"/>
    <n v="85"/>
    <n v="85"/>
    <n v="85"/>
    <n v="85"/>
    <m/>
    <m/>
    <m/>
    <m/>
    <m/>
    <n v="0"/>
    <n v="0"/>
    <n v="0"/>
    <n v="0"/>
    <n v="0"/>
    <n v="0"/>
    <n v="0"/>
    <n v="0"/>
    <n v="0"/>
    <n v="0"/>
    <n v="0"/>
    <n v="0"/>
    <n v="0"/>
    <n v="0"/>
    <x v="0"/>
    <n v="0"/>
    <s v="MMR001CMP203"/>
    <x v="0"/>
    <x v="2"/>
    <x v="1"/>
    <s v=""/>
    <s v="No"/>
    <m/>
  </r>
  <r>
    <n v="40.033333333333331"/>
    <d v="2012-07-18T00:00:00"/>
    <x v="0"/>
    <s v="UNHCR"/>
    <s v="Kachin"/>
    <s v="Mansi"/>
    <s v="Nam Lim Pa - Scattered IDPs in forest"/>
    <m/>
    <m/>
    <m/>
    <n v="206"/>
    <n v="78"/>
    <n v="206"/>
    <n v="103"/>
    <n v="103"/>
    <n v="103"/>
    <n v="103"/>
    <m/>
    <m/>
    <m/>
    <m/>
    <m/>
    <n v="0"/>
    <n v="0"/>
    <n v="0"/>
    <n v="0"/>
    <n v="0"/>
    <n v="0"/>
    <n v="0"/>
    <n v="0"/>
    <n v="0"/>
    <n v="0"/>
    <n v="0"/>
    <n v="0"/>
    <n v="0"/>
    <n v="0"/>
    <x v="0"/>
    <n v="0"/>
    <s v="MMR001CMP137"/>
    <x v="0"/>
    <x v="2"/>
    <x v="1"/>
    <s v=""/>
    <s v="No"/>
    <m/>
  </r>
  <r>
    <n v="40.06666666666667"/>
    <d v="2012-07-17T00:00:00"/>
    <x v="0"/>
    <s v="UNHCR"/>
    <s v="Kachin"/>
    <s v="Waingmaw"/>
    <s v="Border Post 8"/>
    <m/>
    <m/>
    <m/>
    <n v="19"/>
    <n v="19"/>
    <n v="19"/>
    <n v="19"/>
    <n v="19"/>
    <n v="19"/>
    <n v="19"/>
    <m/>
    <m/>
    <m/>
    <m/>
    <m/>
    <n v="0"/>
    <n v="0"/>
    <n v="0"/>
    <n v="0"/>
    <n v="0"/>
    <n v="0"/>
    <n v="0"/>
    <n v="0"/>
    <n v="0"/>
    <n v="0"/>
    <n v="0"/>
    <n v="0"/>
    <n v="0"/>
    <n v="0"/>
    <x v="0"/>
    <n v="0"/>
    <s v="MMR001CMP113"/>
    <x v="0"/>
    <x v="0"/>
    <x v="3"/>
    <n v="0.12258064516129032"/>
    <s v="No"/>
    <m/>
  </r>
  <r>
    <n v="40.06666666666667"/>
    <d v="2012-07-17T00:00:00"/>
    <x v="0"/>
    <s v="UNHCR"/>
    <s v="Kachin"/>
    <s v="Myitkyina"/>
    <s v="Du Kahtawng Qtr. 14"/>
    <m/>
    <m/>
    <m/>
    <n v="5"/>
    <n v="5"/>
    <n v="5"/>
    <n v="5"/>
    <n v="5"/>
    <n v="5"/>
    <n v="5"/>
    <m/>
    <m/>
    <m/>
    <m/>
    <m/>
    <n v="0"/>
    <n v="0"/>
    <n v="0"/>
    <n v="0"/>
    <n v="0"/>
    <n v="0"/>
    <n v="0"/>
    <n v="0"/>
    <n v="0"/>
    <n v="0"/>
    <n v="0"/>
    <n v="0"/>
    <n v="0"/>
    <n v="0"/>
    <x v="0"/>
    <n v="0"/>
    <s v="MMR001CMP012"/>
    <x v="0"/>
    <x v="0"/>
    <x v="0"/>
    <n v="0.83333333333333337"/>
    <s v="No"/>
    <m/>
  </r>
  <r>
    <n v="40.06666666666667"/>
    <d v="2012-07-17T00:00:00"/>
    <x v="0"/>
    <s v="UNHCR"/>
    <s v="Kachin"/>
    <s v="Myitkyina"/>
    <s v="Du Kahtawng Qtr. 4"/>
    <m/>
    <m/>
    <m/>
    <n v="6"/>
    <n v="6"/>
    <n v="6"/>
    <n v="6"/>
    <n v="6"/>
    <n v="6"/>
    <n v="6"/>
    <m/>
    <m/>
    <m/>
    <m/>
    <m/>
    <n v="0"/>
    <n v="0"/>
    <n v="0"/>
    <n v="0"/>
    <n v="0"/>
    <n v="0"/>
    <n v="0"/>
    <n v="0"/>
    <n v="0"/>
    <n v="0"/>
    <n v="0"/>
    <n v="0"/>
    <n v="0"/>
    <n v="0"/>
    <x v="0"/>
    <n v="0"/>
    <s v="MMR001CMP010"/>
    <x v="0"/>
    <x v="0"/>
    <x v="0"/>
    <n v="1"/>
    <s v="No"/>
    <m/>
  </r>
  <r>
    <n v="40.06666666666667"/>
    <d v="2012-07-17T00:00:00"/>
    <x v="0"/>
    <s v="UNHCR"/>
    <s v="Kachin"/>
    <s v="Myitkyina"/>
    <s v="Du Kahtawng Qtr. 5"/>
    <m/>
    <m/>
    <m/>
    <n v="6"/>
    <n v="6"/>
    <n v="6"/>
    <n v="6"/>
    <n v="6"/>
    <n v="6"/>
    <n v="6"/>
    <m/>
    <m/>
    <m/>
    <m/>
    <m/>
    <n v="0"/>
    <n v="0"/>
    <n v="0"/>
    <n v="0"/>
    <n v="0"/>
    <n v="0"/>
    <n v="0"/>
    <n v="0"/>
    <n v="0"/>
    <n v="0"/>
    <n v="0"/>
    <n v="0"/>
    <n v="0"/>
    <n v="0"/>
    <x v="0"/>
    <n v="0"/>
    <s v="MMR001CMP011"/>
    <x v="0"/>
    <x v="0"/>
    <x v="0"/>
    <n v="0.12"/>
    <s v="No"/>
    <m/>
  </r>
  <r>
    <n v="40.06666666666667"/>
    <d v="2012-07-17T00:00:00"/>
    <x v="0"/>
    <s v="UNHCR"/>
    <s v="Kachin"/>
    <s v="Momauk"/>
    <s v="Dum Bung "/>
    <m/>
    <m/>
    <m/>
    <n v="380"/>
    <n v="156"/>
    <n v="380"/>
    <n v="156"/>
    <n v="156"/>
    <n v="156"/>
    <n v="156"/>
    <m/>
    <m/>
    <m/>
    <m/>
    <m/>
    <n v="0"/>
    <n v="0"/>
    <n v="0"/>
    <n v="0"/>
    <n v="0"/>
    <n v="0"/>
    <n v="0"/>
    <n v="0"/>
    <n v="0"/>
    <n v="0"/>
    <n v="0"/>
    <n v="0"/>
    <n v="0"/>
    <n v="0"/>
    <x v="0"/>
    <n v="0"/>
    <s v="MMR001CMP123"/>
    <x v="0"/>
    <x v="0"/>
    <x v="4"/>
    <n v="1.3565217391304347"/>
    <s v="No"/>
    <m/>
  </r>
  <r>
    <n v="40.06666666666667"/>
    <d v="2012-07-17T00:00:00"/>
    <x v="0"/>
    <s v="UNHCR"/>
    <s v="Kachin"/>
    <s v="Momauk"/>
    <s v="Hpun Lum Yang "/>
    <m/>
    <m/>
    <m/>
    <n v="0"/>
    <n v="0"/>
    <n v="0"/>
    <n v="0"/>
    <n v="0"/>
    <m/>
    <m/>
    <m/>
    <m/>
    <m/>
    <m/>
    <m/>
    <n v="0"/>
    <n v="0"/>
    <n v="0"/>
    <n v="0"/>
    <n v="0"/>
    <n v="0"/>
    <n v="0"/>
    <n v="0"/>
    <n v="0"/>
    <n v="0"/>
    <n v="0"/>
    <n v="0"/>
    <n v="0"/>
    <n v="0"/>
    <x v="0"/>
    <n v="0"/>
    <s v="MMR001CMP122"/>
    <x v="0"/>
    <x v="0"/>
    <x v="4"/>
    <n v="0"/>
    <s v="No"/>
    <m/>
  </r>
  <r>
    <n v="40.06666666666667"/>
    <d v="2012-07-17T00:00:00"/>
    <x v="0"/>
    <s v="UNHCR"/>
    <s v="Kachin"/>
    <s v="Myitkyina"/>
    <s v="Jan Mai Kawng Baptist Church"/>
    <m/>
    <m/>
    <m/>
    <n v="21"/>
    <n v="21"/>
    <n v="21"/>
    <n v="21"/>
    <n v="21"/>
    <n v="21"/>
    <n v="21"/>
    <m/>
    <m/>
    <m/>
    <m/>
    <m/>
    <n v="0"/>
    <n v="0"/>
    <n v="0"/>
    <n v="0"/>
    <n v="0"/>
    <n v="0"/>
    <n v="0"/>
    <n v="0"/>
    <n v="0"/>
    <n v="0"/>
    <n v="0"/>
    <n v="0"/>
    <n v="0"/>
    <n v="0"/>
    <x v="0"/>
    <n v="0"/>
    <s v="MMR001CMP018"/>
    <x v="0"/>
    <x v="0"/>
    <x v="0"/>
    <n v="0.10344827586206896"/>
    <s v="No"/>
    <m/>
  </r>
  <r>
    <n v="40.06666666666667"/>
    <d v="2012-07-17T00:00:00"/>
    <x v="0"/>
    <s v="UNHCR"/>
    <s v="Kachin"/>
    <s v="Momauk"/>
    <s v="Loi Je Lisu Camp"/>
    <m/>
    <m/>
    <m/>
    <n v="0"/>
    <n v="0"/>
    <n v="0"/>
    <n v="0"/>
    <n v="0"/>
    <m/>
    <m/>
    <m/>
    <m/>
    <m/>
    <m/>
    <m/>
    <n v="0"/>
    <n v="0"/>
    <n v="0"/>
    <n v="0"/>
    <n v="0"/>
    <n v="0"/>
    <n v="0"/>
    <n v="0"/>
    <n v="0"/>
    <n v="0"/>
    <n v="0"/>
    <n v="0"/>
    <n v="0"/>
    <n v="0"/>
    <x v="0"/>
    <n v="0"/>
    <s v="MMR001CMP070"/>
    <x v="0"/>
    <x v="0"/>
    <x v="2"/>
    <n v="0"/>
    <s v="No"/>
    <m/>
  </r>
  <r>
    <n v="40.06666666666667"/>
    <d v="2012-07-17T00:00:00"/>
    <x v="0"/>
    <s v="UNHCR"/>
    <s v="Kachin"/>
    <s v="Mansi"/>
    <s v="Lung Kawk  ( Hka Hkye Zup)"/>
    <m/>
    <m/>
    <m/>
    <n v="0"/>
    <n v="0"/>
    <n v="0"/>
    <n v="0"/>
    <n v="0"/>
    <m/>
    <m/>
    <m/>
    <m/>
    <m/>
    <m/>
    <m/>
    <n v="0"/>
    <n v="0"/>
    <n v="0"/>
    <n v="0"/>
    <n v="0"/>
    <n v="0"/>
    <n v="0"/>
    <n v="0"/>
    <n v="0"/>
    <n v="0"/>
    <n v="0"/>
    <n v="0"/>
    <n v="0"/>
    <n v="0"/>
    <x v="0"/>
    <n v="0"/>
    <s v="MMR001CMP135"/>
    <x v="0"/>
    <x v="2"/>
    <x v="4"/>
    <s v=""/>
    <s v="No"/>
    <m/>
  </r>
  <r>
    <n v="40.06666666666667"/>
    <d v="2012-07-17T00:00:00"/>
    <x v="0"/>
    <s v="UNHCR"/>
    <s v="Kachin"/>
    <s v="Momauk"/>
    <s v="Mai Khat "/>
    <m/>
    <m/>
    <m/>
    <n v="0"/>
    <n v="0"/>
    <n v="0"/>
    <n v="0"/>
    <n v="0"/>
    <m/>
    <m/>
    <m/>
    <m/>
    <m/>
    <m/>
    <m/>
    <n v="0"/>
    <n v="0"/>
    <n v="0"/>
    <n v="0"/>
    <n v="0"/>
    <n v="0"/>
    <n v="0"/>
    <n v="0"/>
    <n v="0"/>
    <n v="0"/>
    <n v="0"/>
    <n v="0"/>
    <n v="0"/>
    <n v="0"/>
    <x v="0"/>
    <n v="0"/>
    <s v="MMR001CMP064"/>
    <x v="0"/>
    <x v="0"/>
    <x v="0"/>
    <n v="0"/>
    <s v="No"/>
    <m/>
  </r>
  <r>
    <n v="40.06666666666667"/>
    <d v="2012-07-17T00:00:00"/>
    <x v="0"/>
    <s v="UNHCR"/>
    <s v="Kachin"/>
    <s v="Momauk"/>
    <s v="Mai Khat "/>
    <m/>
    <m/>
    <m/>
    <n v="0"/>
    <n v="0"/>
    <n v="0"/>
    <n v="0"/>
    <n v="0"/>
    <m/>
    <m/>
    <m/>
    <m/>
    <m/>
    <m/>
    <m/>
    <n v="0"/>
    <n v="0"/>
    <n v="0"/>
    <n v="0"/>
    <n v="0"/>
    <n v="0"/>
    <n v="0"/>
    <n v="0"/>
    <n v="0"/>
    <n v="0"/>
    <n v="0"/>
    <n v="0"/>
    <n v="0"/>
    <n v="0"/>
    <x v="0"/>
    <n v="0"/>
    <s v="MMR001CMP064"/>
    <x v="0"/>
    <x v="0"/>
    <x v="0"/>
    <n v="0"/>
    <s v="No"/>
    <m/>
  </r>
  <r>
    <n v="40.06666666666667"/>
    <d v="2012-07-17T00:00:00"/>
    <x v="0"/>
    <s v="UNHCR"/>
    <s v="Kachin"/>
    <s v="Mansi"/>
    <s v="Man Wing Baptist Church"/>
    <m/>
    <m/>
    <m/>
    <n v="0"/>
    <n v="0"/>
    <n v="0"/>
    <n v="0"/>
    <n v="0"/>
    <m/>
    <m/>
    <m/>
    <m/>
    <m/>
    <m/>
    <m/>
    <n v="0"/>
    <n v="0"/>
    <n v="0"/>
    <n v="0"/>
    <n v="0"/>
    <n v="0"/>
    <n v="0"/>
    <n v="0"/>
    <n v="0"/>
    <n v="0"/>
    <n v="0"/>
    <n v="0"/>
    <n v="0"/>
    <n v="0"/>
    <x v="0"/>
    <n v="0"/>
    <s v="MMR001CMP133"/>
    <x v="0"/>
    <x v="0"/>
    <x v="0"/>
    <n v="0"/>
    <s v="No"/>
    <m/>
  </r>
  <r>
    <n v="40.06666666666667"/>
    <d v="2012-07-17T00:00:00"/>
    <x v="0"/>
    <s v="UNHCR"/>
    <s v="Kachin"/>
    <s v="Myitkyina"/>
    <s v="Maw Hpawng Hka Nan Baptist Church"/>
    <m/>
    <m/>
    <m/>
    <n v="0"/>
    <n v="0"/>
    <n v="0"/>
    <n v="0"/>
    <n v="0"/>
    <m/>
    <m/>
    <m/>
    <m/>
    <m/>
    <m/>
    <m/>
    <n v="0"/>
    <n v="0"/>
    <n v="0"/>
    <n v="0"/>
    <n v="0"/>
    <n v="0"/>
    <n v="0"/>
    <n v="0"/>
    <n v="0"/>
    <n v="0"/>
    <n v="0"/>
    <n v="0"/>
    <n v="0"/>
    <n v="0"/>
    <x v="0"/>
    <n v="0"/>
    <s v="MMR001CMP020"/>
    <x v="0"/>
    <x v="0"/>
    <x v="0"/>
    <n v="0"/>
    <s v="No"/>
    <m/>
  </r>
  <r>
    <n v="40.06666666666667"/>
    <d v="2012-07-17T00:00:00"/>
    <x v="0"/>
    <s v="UNHCR"/>
    <s v="Kachin"/>
    <s v="Myitkyina"/>
    <s v="Maw Hpawng Hka Nan Baptist Church"/>
    <m/>
    <m/>
    <m/>
    <n v="19"/>
    <n v="19"/>
    <n v="19"/>
    <n v="19"/>
    <n v="19"/>
    <n v="19"/>
    <n v="19"/>
    <m/>
    <m/>
    <m/>
    <m/>
    <m/>
    <n v="0"/>
    <n v="0"/>
    <n v="0"/>
    <n v="0"/>
    <n v="0"/>
    <n v="0"/>
    <n v="0"/>
    <n v="0"/>
    <n v="0"/>
    <n v="0"/>
    <n v="0"/>
    <n v="0"/>
    <n v="0"/>
    <n v="0"/>
    <x v="0"/>
    <n v="0"/>
    <s v="MMR001CMP020"/>
    <x v="0"/>
    <x v="0"/>
    <x v="0"/>
    <n v="0.86363636363636365"/>
    <s v="No"/>
    <m/>
  </r>
  <r>
    <n v="40.06666666666667"/>
    <d v="2012-07-17T00:00:00"/>
    <x v="0"/>
    <s v="UNHCR"/>
    <s v="Kachin"/>
    <s v="Waingmaw"/>
    <s v="Moke Lwe Village - Hkar Shi"/>
    <m/>
    <m/>
    <m/>
    <n v="0"/>
    <n v="0"/>
    <n v="0"/>
    <n v="0"/>
    <n v="0"/>
    <m/>
    <m/>
    <m/>
    <m/>
    <m/>
    <m/>
    <m/>
    <n v="0"/>
    <n v="0"/>
    <n v="0"/>
    <n v="0"/>
    <n v="0"/>
    <n v="0"/>
    <n v="0"/>
    <n v="0"/>
    <n v="0"/>
    <n v="0"/>
    <n v="0"/>
    <n v="0"/>
    <n v="0"/>
    <n v="0"/>
    <x v="0"/>
    <n v="0"/>
    <s v="MMR001CMP035"/>
    <x v="0"/>
    <x v="2"/>
    <x v="1"/>
    <s v=""/>
    <s v="No"/>
    <m/>
  </r>
  <r>
    <n v="40.06666666666667"/>
    <d v="2012-07-17T00:00:00"/>
    <x v="0"/>
    <s v="UNHCR"/>
    <s v="Kachin"/>
    <s v="Myitkyina"/>
    <s v="Nan Kway St. John Catholic Church"/>
    <m/>
    <m/>
    <m/>
    <n v="6"/>
    <n v="6"/>
    <n v="6"/>
    <n v="6"/>
    <n v="6"/>
    <n v="6"/>
    <n v="6"/>
    <m/>
    <m/>
    <m/>
    <m/>
    <m/>
    <n v="0"/>
    <n v="0"/>
    <n v="0"/>
    <n v="0"/>
    <n v="0"/>
    <n v="0"/>
    <n v="0"/>
    <n v="0"/>
    <n v="0"/>
    <n v="0"/>
    <n v="0"/>
    <n v="0"/>
    <n v="0"/>
    <n v="0"/>
    <x v="0"/>
    <n v="0"/>
    <s v="MMR001CMP024"/>
    <x v="0"/>
    <x v="0"/>
    <x v="0"/>
    <n v="8.5714285714285715E-2"/>
    <s v="No"/>
    <m/>
  </r>
  <r>
    <n v="40.06666666666667"/>
    <d v="2012-07-17T00:00:00"/>
    <x v="0"/>
    <s v="UNHCR"/>
    <s v="Kachin"/>
    <s v="Momauk"/>
    <s v="Pa Kahtawng "/>
    <m/>
    <m/>
    <m/>
    <n v="0"/>
    <n v="0"/>
    <n v="0"/>
    <n v="0"/>
    <n v="0"/>
    <m/>
    <m/>
    <m/>
    <m/>
    <m/>
    <m/>
    <m/>
    <n v="0"/>
    <n v="0"/>
    <n v="0"/>
    <n v="0"/>
    <n v="0"/>
    <n v="0"/>
    <n v="0"/>
    <n v="0"/>
    <n v="0"/>
    <n v="0"/>
    <n v="0"/>
    <n v="0"/>
    <n v="0"/>
    <n v="0"/>
    <x v="0"/>
    <n v="0"/>
    <s v="MMR001CMP126"/>
    <x v="0"/>
    <x v="0"/>
    <x v="4"/>
    <n v="0"/>
    <s v="No"/>
    <m/>
  </r>
  <r>
    <n v="40.06666666666667"/>
    <d v="2012-07-17T00:00:00"/>
    <x v="0"/>
    <s v="UNHCR"/>
    <s v="Kachin"/>
    <s v="Momauk"/>
    <s v="Pa Kahtawng "/>
    <m/>
    <m/>
    <m/>
    <n v="0"/>
    <n v="0"/>
    <n v="0"/>
    <n v="0"/>
    <n v="0"/>
    <m/>
    <m/>
    <m/>
    <m/>
    <m/>
    <m/>
    <m/>
    <n v="0"/>
    <n v="0"/>
    <n v="0"/>
    <n v="0"/>
    <n v="0"/>
    <n v="0"/>
    <n v="0"/>
    <n v="0"/>
    <n v="0"/>
    <n v="0"/>
    <n v="0"/>
    <n v="0"/>
    <n v="0"/>
    <n v="0"/>
    <x v="0"/>
    <n v="0"/>
    <s v="MMR001CMP126"/>
    <x v="0"/>
    <x v="0"/>
    <x v="4"/>
    <n v="0"/>
    <s v="No"/>
    <m/>
  </r>
  <r>
    <n v="40.06666666666667"/>
    <d v="2012-07-17T00:00:00"/>
    <x v="0"/>
    <s v="UNHCR"/>
    <s v="Kachin"/>
    <s v="Myitkyina"/>
    <s v="Shatapru Thida Aye Baptist Church"/>
    <m/>
    <m/>
    <m/>
    <n v="3"/>
    <n v="3"/>
    <n v="3"/>
    <n v="3"/>
    <n v="3"/>
    <n v="3"/>
    <n v="3"/>
    <m/>
    <m/>
    <m/>
    <m/>
    <m/>
    <n v="0"/>
    <n v="0"/>
    <n v="0"/>
    <n v="0"/>
    <n v="0"/>
    <n v="0"/>
    <n v="0"/>
    <n v="0"/>
    <n v="0"/>
    <n v="0"/>
    <n v="0"/>
    <n v="0"/>
    <n v="0"/>
    <n v="0"/>
    <x v="0"/>
    <n v="0"/>
    <s v="MMR001CMP007"/>
    <x v="0"/>
    <x v="0"/>
    <x v="0"/>
    <n v="0.10714285714285714"/>
    <s v="No"/>
    <m/>
  </r>
  <r>
    <n v="40.06666666666667"/>
    <d v="2012-07-17T00:00:00"/>
    <x v="0"/>
    <s v="UNHCR"/>
    <s v="Kachin"/>
    <s v="Myitkyina"/>
    <s v="Tat Kone Galile Baptist Church"/>
    <m/>
    <m/>
    <m/>
    <n v="7"/>
    <n v="7"/>
    <n v="7"/>
    <n v="7"/>
    <n v="7"/>
    <n v="7"/>
    <n v="7"/>
    <m/>
    <m/>
    <m/>
    <m/>
    <m/>
    <n v="0"/>
    <n v="0"/>
    <n v="0"/>
    <n v="0"/>
    <n v="0"/>
    <n v="0"/>
    <n v="0"/>
    <n v="0"/>
    <n v="0"/>
    <n v="0"/>
    <n v="0"/>
    <n v="0"/>
    <n v="0"/>
    <n v="0"/>
    <x v="0"/>
    <n v="0"/>
    <s v="MMR001CMP003"/>
    <x v="0"/>
    <x v="0"/>
    <x v="0"/>
    <n v="0.21875"/>
    <s v="No"/>
    <m/>
  </r>
  <r>
    <n v="40.1"/>
    <d v="2012-07-16T00:00:00"/>
    <x v="0"/>
    <s v="UNHCR"/>
    <s v="Kachin"/>
    <s v="Myitkyina"/>
    <s v="Kyun Pin Thar Baptist Church"/>
    <m/>
    <m/>
    <m/>
    <n v="33"/>
    <n v="33"/>
    <n v="33"/>
    <n v="33"/>
    <n v="33"/>
    <n v="33"/>
    <n v="33"/>
    <m/>
    <m/>
    <m/>
    <m/>
    <m/>
    <n v="0"/>
    <n v="0"/>
    <n v="0"/>
    <n v="0"/>
    <n v="0"/>
    <n v="0"/>
    <n v="0"/>
    <n v="0"/>
    <n v="0"/>
    <n v="0"/>
    <n v="0"/>
    <n v="0"/>
    <n v="0"/>
    <n v="0"/>
    <x v="0"/>
    <n v="0"/>
    <s v="MMR001CMP013"/>
    <x v="0"/>
    <x v="0"/>
    <x v="0"/>
    <n v="0.73333333333333328"/>
    <s v="No"/>
    <m/>
  </r>
  <r>
    <n v="40.1"/>
    <d v="2012-07-16T00:00:00"/>
    <x v="0"/>
    <s v="UNHCR"/>
    <s v="Kachin"/>
    <s v="Myitkyina"/>
    <s v="Le Kone Bethlehem Church"/>
    <m/>
    <m/>
    <m/>
    <n v="6"/>
    <n v="6"/>
    <n v="6"/>
    <n v="6"/>
    <n v="6"/>
    <n v="6"/>
    <n v="6"/>
    <m/>
    <m/>
    <m/>
    <m/>
    <m/>
    <n v="0"/>
    <n v="0"/>
    <n v="0"/>
    <n v="0"/>
    <n v="0"/>
    <n v="0"/>
    <n v="0"/>
    <n v="0"/>
    <n v="0"/>
    <n v="0"/>
    <n v="0"/>
    <n v="0"/>
    <n v="0"/>
    <n v="0"/>
    <x v="0"/>
    <n v="0"/>
    <s v="MMR001CMP015"/>
    <x v="0"/>
    <x v="0"/>
    <x v="0"/>
    <n v="5.5555555555555552E-2"/>
    <s v="No"/>
    <m/>
  </r>
  <r>
    <n v="40.1"/>
    <d v="2012-07-16T00:00:00"/>
    <x v="0"/>
    <s v="UNHCR"/>
    <s v="Kachin"/>
    <s v="Myitkyina"/>
    <s v="Le Kone Bethlehem Church"/>
    <m/>
    <m/>
    <m/>
    <n v="13"/>
    <n v="13"/>
    <n v="13"/>
    <n v="13"/>
    <n v="13"/>
    <n v="13"/>
    <n v="13"/>
    <m/>
    <m/>
    <m/>
    <m/>
    <m/>
    <n v="0"/>
    <n v="0"/>
    <n v="0"/>
    <n v="0"/>
    <n v="0"/>
    <n v="0"/>
    <n v="0"/>
    <n v="0"/>
    <n v="0"/>
    <n v="0"/>
    <n v="0"/>
    <n v="0"/>
    <n v="0"/>
    <n v="0"/>
    <x v="0"/>
    <n v="0"/>
    <s v="MMR001CMP015"/>
    <x v="0"/>
    <x v="0"/>
    <x v="0"/>
    <n v="0.12037037037037036"/>
    <s v="No"/>
    <m/>
  </r>
  <r>
    <n v="40.1"/>
    <d v="2012-07-16T00:00:00"/>
    <x v="0"/>
    <s v="UNHCR"/>
    <s v="Kachin"/>
    <s v="Myitkyina"/>
    <s v="Le Kone Ziun Baptist Church "/>
    <m/>
    <m/>
    <m/>
    <n v="50"/>
    <n v="50"/>
    <n v="50"/>
    <n v="50"/>
    <n v="50"/>
    <n v="50"/>
    <n v="50"/>
    <m/>
    <m/>
    <m/>
    <m/>
    <m/>
    <n v="0"/>
    <n v="0"/>
    <n v="0"/>
    <n v="0"/>
    <n v="0"/>
    <n v="0"/>
    <n v="0"/>
    <n v="0"/>
    <n v="0"/>
    <n v="0"/>
    <n v="0"/>
    <n v="0"/>
    <n v="0"/>
    <n v="0"/>
    <x v="0"/>
    <n v="0"/>
    <s v="MMR001CMP014"/>
    <x v="0"/>
    <x v="0"/>
    <x v="0"/>
    <n v="0.30674846625766872"/>
    <s v="No"/>
    <m/>
  </r>
  <r>
    <n v="40.1"/>
    <d v="2012-07-16T00:00:00"/>
    <x v="0"/>
    <s v="UNHCR"/>
    <s v="Kachin"/>
    <s v="Myitkyina"/>
    <s v="Maliyang Baptist Church"/>
    <m/>
    <m/>
    <m/>
    <n v="3"/>
    <n v="3"/>
    <n v="3"/>
    <n v="3"/>
    <n v="3"/>
    <n v="3"/>
    <n v="3"/>
    <m/>
    <m/>
    <m/>
    <m/>
    <m/>
    <n v="0"/>
    <n v="0"/>
    <n v="0"/>
    <n v="0"/>
    <n v="0"/>
    <n v="0"/>
    <n v="0"/>
    <n v="0"/>
    <n v="0"/>
    <n v="0"/>
    <n v="0"/>
    <n v="0"/>
    <n v="0"/>
    <n v="0"/>
    <x v="0"/>
    <n v="0"/>
    <s v="MMR001CMP016"/>
    <x v="0"/>
    <x v="0"/>
    <x v="0"/>
    <n v="4.1666666666666664E-2"/>
    <s v="No"/>
    <m/>
  </r>
  <r>
    <n v="40.1"/>
    <d v="2012-07-16T00:00:00"/>
    <x v="0"/>
    <s v="UNHCR"/>
    <s v="Kachin"/>
    <s v="Myitkyina"/>
    <s v="Njang Dung Baptist Church "/>
    <m/>
    <m/>
    <m/>
    <n v="25"/>
    <n v="25"/>
    <n v="25"/>
    <n v="25"/>
    <n v="25"/>
    <n v="25"/>
    <n v="25"/>
    <m/>
    <m/>
    <m/>
    <m/>
    <m/>
    <n v="0"/>
    <n v="0"/>
    <n v="0"/>
    <n v="0"/>
    <n v="0"/>
    <n v="0"/>
    <n v="0"/>
    <n v="0"/>
    <n v="0"/>
    <n v="0"/>
    <n v="0"/>
    <n v="0"/>
    <n v="0"/>
    <n v="0"/>
    <x v="0"/>
    <n v="0"/>
    <s v="MMR001CMP002"/>
    <x v="0"/>
    <x v="0"/>
    <x v="0"/>
    <n v="0.43859649122807015"/>
    <s v="No"/>
    <m/>
  </r>
  <r>
    <n v="40.200000000000003"/>
    <d v="2012-07-13T00:00:00"/>
    <x v="0"/>
    <s v="UNHCR"/>
    <s v="Kachin"/>
    <s v="Waingmaw"/>
    <s v="Hkat Cho "/>
    <m/>
    <m/>
    <m/>
    <n v="9"/>
    <n v="9"/>
    <n v="9"/>
    <n v="9"/>
    <n v="9"/>
    <n v="9"/>
    <n v="9"/>
    <m/>
    <m/>
    <m/>
    <m/>
    <m/>
    <n v="0"/>
    <n v="0"/>
    <n v="0"/>
    <n v="0"/>
    <n v="0"/>
    <n v="0"/>
    <n v="0"/>
    <n v="0"/>
    <n v="0"/>
    <n v="0"/>
    <n v="0"/>
    <n v="0"/>
    <n v="0"/>
    <n v="0"/>
    <x v="0"/>
    <n v="0"/>
    <s v="MMR001CMP028"/>
    <x v="0"/>
    <x v="0"/>
    <x v="0"/>
    <n v="8.1818181818181818E-2"/>
    <s v="No"/>
    <m/>
  </r>
  <r>
    <n v="40.200000000000003"/>
    <d v="2012-07-13T00:00:00"/>
    <x v="0"/>
    <s v="UNHCR"/>
    <s v="Kachin"/>
    <s v="Waingmaw"/>
    <s v="Maina Lawang Baptist Church"/>
    <m/>
    <m/>
    <m/>
    <n v="6"/>
    <n v="6"/>
    <n v="6"/>
    <n v="6"/>
    <n v="6"/>
    <n v="6"/>
    <n v="6"/>
    <m/>
    <m/>
    <m/>
    <m/>
    <m/>
    <n v="0"/>
    <n v="0"/>
    <n v="0"/>
    <n v="0"/>
    <n v="0"/>
    <n v="0"/>
    <n v="0"/>
    <n v="0"/>
    <n v="0"/>
    <n v="0"/>
    <n v="0"/>
    <n v="0"/>
    <n v="0"/>
    <n v="0"/>
    <x v="0"/>
    <n v="0"/>
    <s v="MMR001CMP039"/>
    <x v="0"/>
    <x v="0"/>
    <x v="0"/>
    <n v="0.125"/>
    <s v="No"/>
    <m/>
  </r>
  <r>
    <n v="40.200000000000003"/>
    <d v="2012-07-13T00:00:00"/>
    <x v="0"/>
    <s v="UNHCR"/>
    <s v="Kachin"/>
    <s v="Waingmaw"/>
    <s v="Qtr. 2 Lhaovo Baptist Church"/>
    <m/>
    <m/>
    <m/>
    <n v="13"/>
    <n v="13"/>
    <n v="13"/>
    <n v="13"/>
    <n v="13"/>
    <n v="13"/>
    <n v="13"/>
    <m/>
    <m/>
    <m/>
    <m/>
    <m/>
    <n v="0"/>
    <n v="0"/>
    <n v="0"/>
    <n v="0"/>
    <n v="0"/>
    <n v="0"/>
    <n v="0"/>
    <n v="0"/>
    <n v="0"/>
    <n v="0"/>
    <n v="0"/>
    <n v="0"/>
    <n v="0"/>
    <n v="0"/>
    <x v="0"/>
    <n v="0"/>
    <s v="MMR001CMP032"/>
    <x v="0"/>
    <x v="0"/>
    <x v="0"/>
    <n v="0.13829787234042554"/>
    <s v="No"/>
    <m/>
  </r>
  <r>
    <n v="40.200000000000003"/>
    <d v="2012-07-13T00:00:00"/>
    <x v="0"/>
    <s v="UNHCR"/>
    <s v="Kachin"/>
    <s v="Waingmaw"/>
    <s v="Qtr. 4 Monestry (Thargaya Thayett Taw)"/>
    <m/>
    <m/>
    <m/>
    <n v="3"/>
    <n v="3"/>
    <n v="3"/>
    <n v="3"/>
    <n v="3"/>
    <n v="3"/>
    <n v="3"/>
    <m/>
    <m/>
    <m/>
    <m/>
    <m/>
    <n v="0"/>
    <n v="0"/>
    <n v="0"/>
    <n v="0"/>
    <n v="0"/>
    <n v="0"/>
    <n v="0"/>
    <n v="0"/>
    <n v="0"/>
    <n v="0"/>
    <n v="0"/>
    <n v="0"/>
    <n v="0"/>
    <n v="0"/>
    <x v="0"/>
    <n v="0"/>
    <s v="MMR001CMP026"/>
    <x v="0"/>
    <x v="0"/>
    <x v="0"/>
    <n v="3.2967032967032968E-2"/>
    <s v="No"/>
    <m/>
  </r>
  <r>
    <n v="40.200000000000003"/>
    <d v="2012-07-13T00:00:00"/>
    <x v="0"/>
    <s v="UNHCR"/>
    <s v="Kachin"/>
    <s v="Waingmaw"/>
    <s v="Thargaya Lisu Baptist Church"/>
    <m/>
    <m/>
    <m/>
    <n v="8"/>
    <n v="8"/>
    <n v="8"/>
    <n v="8"/>
    <n v="8"/>
    <n v="8"/>
    <n v="8"/>
    <m/>
    <m/>
    <m/>
    <m/>
    <m/>
    <n v="0"/>
    <n v="0"/>
    <n v="0"/>
    <n v="0"/>
    <n v="0"/>
    <n v="0"/>
    <n v="0"/>
    <n v="0"/>
    <n v="0"/>
    <n v="0"/>
    <n v="0"/>
    <n v="0"/>
    <n v="0"/>
    <n v="0"/>
    <x v="0"/>
    <n v="0"/>
    <s v="MMR001CMP037"/>
    <x v="0"/>
    <x v="0"/>
    <x v="0"/>
    <n v="0.19047619047619047"/>
    <s v="No"/>
    <m/>
  </r>
  <r>
    <n v="40.200000000000003"/>
    <d v="2012-07-13T00:00:00"/>
    <x v="0"/>
    <s v="UNHCR"/>
    <s v="Kachin"/>
    <s v="Waingmaw"/>
    <s v="Waingmaw Baptist Zonal Office"/>
    <m/>
    <m/>
    <m/>
    <n v="2"/>
    <n v="2"/>
    <n v="2"/>
    <n v="2"/>
    <n v="2"/>
    <n v="2"/>
    <n v="2"/>
    <m/>
    <m/>
    <m/>
    <m/>
    <m/>
    <n v="0"/>
    <n v="0"/>
    <n v="0"/>
    <n v="0"/>
    <n v="0"/>
    <n v="0"/>
    <n v="0"/>
    <n v="0"/>
    <n v="0"/>
    <n v="0"/>
    <n v="0"/>
    <n v="0"/>
    <n v="0"/>
    <n v="0"/>
    <x v="0"/>
    <n v="0"/>
    <s v="MMR001CMP036"/>
    <x v="0"/>
    <x v="0"/>
    <x v="0"/>
    <s v=""/>
    <s v="No"/>
    <m/>
  </r>
  <r>
    <n v="40.299999999999997"/>
    <d v="2012-07-10T00:00:00"/>
    <x v="0"/>
    <s v="KMSS"/>
    <s v="Kachin"/>
    <s v="Waingmaw"/>
    <s v="Maga Yang "/>
    <m/>
    <m/>
    <m/>
    <n v="0"/>
    <n v="599"/>
    <n v="675"/>
    <n v="599"/>
    <n v="0"/>
    <m/>
    <m/>
    <m/>
    <m/>
    <m/>
    <m/>
    <m/>
    <n v="0"/>
    <n v="0"/>
    <n v="0"/>
    <n v="0"/>
    <n v="0"/>
    <n v="0"/>
    <n v="0"/>
    <n v="0"/>
    <n v="0"/>
    <n v="0"/>
    <n v="0"/>
    <n v="0"/>
    <n v="0"/>
    <n v="0"/>
    <x v="0"/>
    <n v="0"/>
    <s v="MMR001CMP119"/>
    <x v="0"/>
    <x v="0"/>
    <x v="4"/>
    <n v="0.98357963875205257"/>
    <s v="No"/>
    <m/>
  </r>
  <r>
    <n v="40.333333333333336"/>
    <d v="2012-07-09T00:00:00"/>
    <x v="0"/>
    <s v="UNHCR"/>
    <s v="Kachin"/>
    <s v="Waingmaw"/>
    <s v="Qtr. 2 Lhaovo Baptist Church"/>
    <m/>
    <m/>
    <m/>
    <n v="77"/>
    <n v="34"/>
    <n v="77"/>
    <n v="35"/>
    <n v="52"/>
    <n v="52"/>
    <n v="52"/>
    <m/>
    <m/>
    <m/>
    <m/>
    <m/>
    <n v="0"/>
    <n v="0"/>
    <n v="0"/>
    <n v="0"/>
    <n v="0"/>
    <n v="0"/>
    <n v="0"/>
    <n v="0"/>
    <n v="0"/>
    <n v="0"/>
    <n v="0"/>
    <n v="0"/>
    <n v="0"/>
    <n v="0"/>
    <x v="0"/>
    <n v="0"/>
    <s v="MMR001CMP032"/>
    <x v="0"/>
    <x v="0"/>
    <x v="0"/>
    <n v="0.37234042553191488"/>
    <s v="No"/>
    <m/>
  </r>
  <r>
    <n v="40.43333333333333"/>
    <d v="2012-07-06T00:00:00"/>
    <x v="0"/>
    <s v="UNHCR"/>
    <s v="Kachin"/>
    <s v="Waingmaw"/>
    <s v="Waingmaw AG Church"/>
    <m/>
    <m/>
    <m/>
    <n v="17"/>
    <n v="17"/>
    <n v="17"/>
    <n v="17"/>
    <n v="17"/>
    <n v="17"/>
    <n v="17"/>
    <m/>
    <m/>
    <m/>
    <m/>
    <m/>
    <n v="0"/>
    <n v="0"/>
    <n v="0"/>
    <n v="0"/>
    <n v="0"/>
    <n v="0"/>
    <n v="0"/>
    <n v="0"/>
    <n v="0"/>
    <n v="0"/>
    <n v="0"/>
    <n v="0"/>
    <n v="0"/>
    <n v="0"/>
    <x v="0"/>
    <n v="0"/>
    <s v="MMR001CMP038"/>
    <x v="0"/>
    <x v="0"/>
    <x v="0"/>
    <n v="0.18681318681318682"/>
    <s v="No"/>
    <m/>
  </r>
  <r>
    <n v="40.466666666666669"/>
    <d v="2012-07-05T00:00:00"/>
    <x v="0"/>
    <s v="UNHCR"/>
    <s v="Kachin"/>
    <s v="Bhamo"/>
    <s v="Ta Gun Taing Monastery (Shwe Kyi Na)"/>
    <m/>
    <m/>
    <m/>
    <n v="36"/>
    <n v="14"/>
    <n v="36"/>
    <n v="14"/>
    <n v="14"/>
    <n v="14"/>
    <n v="14"/>
    <m/>
    <m/>
    <m/>
    <m/>
    <m/>
    <n v="0"/>
    <n v="0"/>
    <n v="0"/>
    <n v="0"/>
    <n v="0"/>
    <n v="0"/>
    <n v="0"/>
    <n v="0"/>
    <n v="0"/>
    <n v="0"/>
    <n v="0"/>
    <n v="0"/>
    <n v="0"/>
    <n v="0"/>
    <x v="0"/>
    <n v="0"/>
    <s v="MMR001CMP055"/>
    <x v="0"/>
    <x v="0"/>
    <x v="0"/>
    <n v="0.56000000000000005"/>
    <s v="No"/>
    <m/>
  </r>
  <r>
    <n v="40.799999999999997"/>
    <d v="2012-06-25T00:00:00"/>
    <x v="0"/>
    <s v="UNHCR"/>
    <s v="Kachin"/>
    <s v="Momauk"/>
    <s v="Momauk Baptist Church"/>
    <m/>
    <m/>
    <m/>
    <n v="290"/>
    <n v="145"/>
    <n v="290"/>
    <n v="145"/>
    <n v="145"/>
    <n v="145"/>
    <n v="145"/>
    <m/>
    <m/>
    <m/>
    <m/>
    <m/>
    <n v="0"/>
    <n v="0"/>
    <n v="0"/>
    <n v="0"/>
    <n v="0"/>
    <n v="0"/>
    <n v="0"/>
    <n v="0"/>
    <n v="0"/>
    <n v="0"/>
    <n v="0"/>
    <n v="0"/>
    <n v="0"/>
    <n v="0"/>
    <x v="0"/>
    <n v="0"/>
    <s v="MMR001CMP056"/>
    <x v="0"/>
    <x v="0"/>
    <x v="0"/>
    <n v="0.70048309178743962"/>
    <s v="No"/>
    <m/>
  </r>
  <r>
    <n v="40.866666666666667"/>
    <d v="2012-06-23T00:00:00"/>
    <x v="0"/>
    <s v="UNHCR"/>
    <s v="Kachin"/>
    <s v="Momauk"/>
    <s v="Dum Bung "/>
    <m/>
    <m/>
    <m/>
    <n v="24"/>
    <n v="13"/>
    <n v="24"/>
    <n v="13"/>
    <n v="13"/>
    <n v="13"/>
    <n v="13"/>
    <m/>
    <m/>
    <m/>
    <m/>
    <m/>
    <n v="0"/>
    <n v="0"/>
    <n v="0"/>
    <n v="0"/>
    <n v="0"/>
    <n v="0"/>
    <n v="0"/>
    <n v="0"/>
    <n v="0"/>
    <n v="0"/>
    <n v="0"/>
    <n v="0"/>
    <n v="0"/>
    <n v="0"/>
    <x v="0"/>
    <n v="0"/>
    <s v="MMR001CMP123"/>
    <x v="0"/>
    <x v="0"/>
    <x v="4"/>
    <n v="0.11304347826086956"/>
    <s v="No"/>
    <m/>
  </r>
  <r>
    <n v="40.9"/>
    <d v="2012-06-22T00:00:00"/>
    <x v="0"/>
    <s v="UNHCR"/>
    <s v="Kachin"/>
    <s v="Momauk"/>
    <s v="Nhkawng Pa "/>
    <m/>
    <m/>
    <m/>
    <n v="140"/>
    <n v="70"/>
    <n v="140"/>
    <n v="70"/>
    <n v="70"/>
    <n v="70"/>
    <n v="70"/>
    <m/>
    <m/>
    <m/>
    <m/>
    <m/>
    <n v="0"/>
    <n v="0"/>
    <n v="0"/>
    <n v="0"/>
    <n v="0"/>
    <n v="0"/>
    <n v="0"/>
    <n v="0"/>
    <n v="0"/>
    <n v="0"/>
    <n v="0"/>
    <n v="0"/>
    <n v="0"/>
    <n v="0"/>
    <x v="0"/>
    <n v="0"/>
    <s v="MMR001CMP131"/>
    <x v="0"/>
    <x v="0"/>
    <x v="3"/>
    <n v="0.16990291262135923"/>
    <s v="No"/>
    <m/>
  </r>
  <r>
    <n v="40.966666666666669"/>
    <d v="2012-06-20T00:00:00"/>
    <x v="0"/>
    <s v="UNHCR"/>
    <s v="Kachin"/>
    <s v="Waingmaw"/>
    <s v="Waingmaw Baptist Zonal Office"/>
    <m/>
    <m/>
    <m/>
    <n v="141"/>
    <n v="81"/>
    <n v="148"/>
    <n v="84"/>
    <n v="78"/>
    <n v="78"/>
    <n v="78"/>
    <m/>
    <m/>
    <m/>
    <m/>
    <m/>
    <n v="0"/>
    <n v="0"/>
    <n v="0"/>
    <n v="0"/>
    <n v="0"/>
    <n v="0"/>
    <n v="0"/>
    <n v="0"/>
    <n v="0"/>
    <n v="0"/>
    <n v="0"/>
    <n v="0"/>
    <n v="0"/>
    <n v="0"/>
    <x v="0"/>
    <n v="0"/>
    <s v="MMR001CMP036"/>
    <x v="0"/>
    <x v="0"/>
    <x v="0"/>
    <s v=""/>
    <s v="No"/>
    <m/>
  </r>
  <r>
    <n v="41"/>
    <d v="2012-06-19T00:00:00"/>
    <x v="0"/>
    <s v="UNHCR"/>
    <s v="Kachin"/>
    <s v="Waingmaw"/>
    <s v="Maina KBC (Bawng Ring)"/>
    <m/>
    <m/>
    <m/>
    <n v="32"/>
    <n v="17"/>
    <n v="32"/>
    <n v="17"/>
    <n v="17"/>
    <n v="17"/>
    <n v="17"/>
    <m/>
    <m/>
    <m/>
    <m/>
    <m/>
    <n v="0"/>
    <n v="0"/>
    <n v="0"/>
    <n v="0"/>
    <n v="0"/>
    <n v="0"/>
    <n v="0"/>
    <n v="0"/>
    <n v="0"/>
    <n v="0"/>
    <n v="0"/>
    <n v="0"/>
    <n v="0"/>
    <n v="0"/>
    <x v="0"/>
    <n v="0"/>
    <s v="MMR001CMP040"/>
    <x v="0"/>
    <x v="0"/>
    <x v="0"/>
    <n v="3.9719626168224297E-2"/>
    <s v="No"/>
    <m/>
  </r>
  <r>
    <n v="41"/>
    <d v="2012-06-19T00:00:00"/>
    <x v="0"/>
    <s v="UNHCR"/>
    <s v="Kachin"/>
    <s v="Waingmaw"/>
    <s v="Thargaya Lisu Baptist Church"/>
    <m/>
    <m/>
    <m/>
    <n v="31"/>
    <n v="15"/>
    <n v="31"/>
    <n v="15"/>
    <n v="15"/>
    <n v="15"/>
    <n v="15"/>
    <m/>
    <m/>
    <m/>
    <m/>
    <m/>
    <n v="0"/>
    <n v="0"/>
    <n v="0"/>
    <n v="0"/>
    <n v="0"/>
    <n v="0"/>
    <n v="0"/>
    <n v="0"/>
    <n v="0"/>
    <n v="0"/>
    <n v="0"/>
    <n v="0"/>
    <n v="0"/>
    <n v="0"/>
    <x v="0"/>
    <n v="0"/>
    <s v="MMR001CMP037"/>
    <x v="0"/>
    <x v="0"/>
    <x v="0"/>
    <n v="0.35714285714285715"/>
    <s v="No"/>
    <m/>
  </r>
  <r>
    <n v="41"/>
    <d v="2012-06-19T00:00:00"/>
    <x v="0"/>
    <s v="UNHCR"/>
    <s v="Kachin"/>
    <s v="Waingmaw"/>
    <s v="Waingmaw AG Church"/>
    <m/>
    <m/>
    <m/>
    <n v="28"/>
    <n v="15"/>
    <n v="28"/>
    <n v="15"/>
    <n v="15"/>
    <n v="15"/>
    <n v="15"/>
    <m/>
    <m/>
    <m/>
    <m/>
    <m/>
    <n v="0"/>
    <n v="0"/>
    <n v="0"/>
    <n v="0"/>
    <n v="0"/>
    <n v="0"/>
    <n v="0"/>
    <n v="0"/>
    <n v="0"/>
    <n v="0"/>
    <n v="0"/>
    <n v="0"/>
    <n v="0"/>
    <n v="0"/>
    <x v="0"/>
    <n v="0"/>
    <s v="MMR001CMP038"/>
    <x v="0"/>
    <x v="0"/>
    <x v="0"/>
    <n v="0.16483516483516483"/>
    <s v="No"/>
    <m/>
  </r>
  <r>
    <n v="41.3"/>
    <d v="2012-06-10T00:00:00"/>
    <x v="0"/>
    <s v="UNHCR"/>
    <s v="Kachin"/>
    <s v="Chipwi"/>
    <s v="Lhaovao Baptist Church (LBC)"/>
    <m/>
    <m/>
    <m/>
    <n v="200"/>
    <n v="100"/>
    <n v="150"/>
    <n v="100"/>
    <n v="100"/>
    <n v="100"/>
    <n v="100"/>
    <m/>
    <m/>
    <m/>
    <m/>
    <m/>
    <n v="0"/>
    <n v="0"/>
    <n v="0"/>
    <n v="0"/>
    <n v="0"/>
    <n v="0"/>
    <n v="0"/>
    <n v="0"/>
    <n v="0"/>
    <n v="0"/>
    <n v="0"/>
    <n v="0"/>
    <n v="0"/>
    <n v="0"/>
    <x v="0"/>
    <n v="0"/>
    <s v="MMR001CMP195"/>
    <x v="0"/>
    <x v="0"/>
    <x v="3"/>
    <n v="0.69444444444444442"/>
    <s v="No"/>
    <m/>
  </r>
  <r>
    <n v="41.366666666666667"/>
    <d v="2012-06-08T00:00:00"/>
    <x v="0"/>
    <s v="UNHCR"/>
    <s v="Kachin"/>
    <s v="Bhamo"/>
    <s v="Nant Hlaing Church"/>
    <m/>
    <m/>
    <m/>
    <n v="12"/>
    <n v="6"/>
    <n v="12"/>
    <n v="6"/>
    <n v="6"/>
    <n v="6"/>
    <n v="6"/>
    <m/>
    <m/>
    <m/>
    <m/>
    <m/>
    <n v="0"/>
    <n v="0"/>
    <n v="0"/>
    <n v="0"/>
    <n v="0"/>
    <n v="0"/>
    <n v="0"/>
    <n v="0"/>
    <n v="0"/>
    <n v="0"/>
    <n v="0"/>
    <n v="0"/>
    <n v="0"/>
    <n v="0"/>
    <x v="0"/>
    <n v="0"/>
    <s v="MMR001CMP054"/>
    <x v="0"/>
    <x v="0"/>
    <x v="0"/>
    <n v="0.2608695652173913"/>
    <s v="No"/>
    <m/>
  </r>
  <r>
    <n v="41.43333333333333"/>
    <d v="2012-06-06T00:00:00"/>
    <x v="0"/>
    <s v="UNHCR "/>
    <s v="Kachin"/>
    <s v="Momauk"/>
    <s v="Hpun Lum Yang "/>
    <m/>
    <m/>
    <m/>
    <n v="0"/>
    <n v="200"/>
    <n v="0"/>
    <n v="0"/>
    <n v="0"/>
    <m/>
    <m/>
    <m/>
    <m/>
    <m/>
    <m/>
    <m/>
    <n v="0"/>
    <n v="0"/>
    <n v="0"/>
    <n v="0"/>
    <n v="0"/>
    <n v="0"/>
    <n v="0"/>
    <n v="0"/>
    <n v="0"/>
    <n v="0"/>
    <n v="0"/>
    <n v="0"/>
    <n v="0"/>
    <n v="0"/>
    <x v="0"/>
    <n v="0"/>
    <s v="MMR001CMP122"/>
    <x v="0"/>
    <x v="0"/>
    <x v="4"/>
    <n v="0"/>
    <s v="No"/>
    <m/>
  </r>
  <r>
    <n v="41.43333333333333"/>
    <d v="2012-06-06T00:00:00"/>
    <x v="0"/>
    <s v="UNHCR"/>
    <s v="Kachin"/>
    <s v="Momauk"/>
    <s v="Pa Kahtawng "/>
    <m/>
    <m/>
    <m/>
    <n v="144"/>
    <n v="76"/>
    <n v="143"/>
    <n v="76"/>
    <n v="78"/>
    <n v="78"/>
    <n v="78"/>
    <m/>
    <m/>
    <m/>
    <m/>
    <m/>
    <n v="0"/>
    <n v="0"/>
    <n v="0"/>
    <n v="0"/>
    <n v="0"/>
    <n v="0"/>
    <n v="0"/>
    <n v="0"/>
    <n v="0"/>
    <n v="0"/>
    <n v="0"/>
    <n v="0"/>
    <n v="0"/>
    <n v="0"/>
    <x v="0"/>
    <n v="0"/>
    <s v="MMR001CMP126"/>
    <x v="0"/>
    <x v="0"/>
    <x v="4"/>
    <n v="9.0476190476190474E-2"/>
    <s v="No"/>
    <m/>
  </r>
  <r>
    <n v="41.466666666666669"/>
    <d v="2012-06-05T00:00:00"/>
    <x v="0"/>
    <s v="UNHCR"/>
    <s v="Kachin"/>
    <s v="Momauk"/>
    <s v="Momauk Catholic Church (St. Patrick)"/>
    <m/>
    <m/>
    <m/>
    <n v="10"/>
    <n v="5"/>
    <n v="10"/>
    <n v="5"/>
    <n v="5"/>
    <n v="5"/>
    <n v="5"/>
    <m/>
    <m/>
    <m/>
    <m/>
    <m/>
    <n v="0"/>
    <n v="0"/>
    <n v="0"/>
    <n v="0"/>
    <n v="0"/>
    <n v="0"/>
    <n v="0"/>
    <n v="0"/>
    <n v="0"/>
    <n v="0"/>
    <n v="0"/>
    <n v="0"/>
    <n v="0"/>
    <n v="0"/>
    <x v="0"/>
    <n v="0"/>
    <s v="MMR001CMP057"/>
    <x v="0"/>
    <x v="2"/>
    <x v="0"/>
    <s v=""/>
    <s v="No"/>
    <m/>
  </r>
  <r>
    <n v="41.6"/>
    <d v="2012-06-01T00:00:00"/>
    <x v="0"/>
    <s v="UNHCR"/>
    <s v="Kachin"/>
    <s v="Myitkyina"/>
    <s v="Maw Hpawng Hka Nan Baptist Church"/>
    <m/>
    <m/>
    <m/>
    <n v="22"/>
    <n v="11"/>
    <n v="22"/>
    <n v="11"/>
    <n v="11"/>
    <n v="11"/>
    <n v="11"/>
    <m/>
    <m/>
    <m/>
    <m/>
    <m/>
    <n v="0"/>
    <n v="0"/>
    <n v="0"/>
    <n v="0"/>
    <n v="0"/>
    <n v="0"/>
    <n v="0"/>
    <n v="0"/>
    <n v="0"/>
    <n v="0"/>
    <n v="0"/>
    <n v="0"/>
    <n v="0"/>
    <n v="0"/>
    <x v="0"/>
    <n v="0"/>
    <s v="MMR001CMP020"/>
    <x v="0"/>
    <x v="0"/>
    <x v="0"/>
    <n v="0.5"/>
    <s v="No"/>
    <m/>
  </r>
  <r>
    <n v="41.6"/>
    <d v="2012-06-01T00:00:00"/>
    <x v="0"/>
    <s v="UNHCR"/>
    <s v="Kachin"/>
    <s v="Myitkyina"/>
    <s v="Maw Hpawng Lhaovo Baptist Church"/>
    <m/>
    <m/>
    <m/>
    <n v="35"/>
    <n v="17"/>
    <n v="35"/>
    <n v="17"/>
    <n v="17"/>
    <n v="17"/>
    <n v="17"/>
    <m/>
    <m/>
    <m/>
    <m/>
    <m/>
    <n v="0"/>
    <n v="0"/>
    <n v="0"/>
    <n v="0"/>
    <n v="0"/>
    <n v="0"/>
    <n v="0"/>
    <n v="0"/>
    <n v="0"/>
    <n v="0"/>
    <n v="0"/>
    <n v="0"/>
    <n v="0"/>
    <n v="0"/>
    <x v="0"/>
    <n v="0"/>
    <s v="MMR001CMP021"/>
    <x v="0"/>
    <x v="0"/>
    <x v="0"/>
    <n v="1.2142857142857142"/>
    <s v="No"/>
    <m/>
  </r>
  <r>
    <n v="41.633333333333333"/>
    <d v="2012-05-31T00:00:00"/>
    <x v="0"/>
    <s v="KBC"/>
    <s v="Kachin"/>
    <s v="Bhamo"/>
    <s v="Robert Church"/>
    <m/>
    <m/>
    <m/>
    <n v="0"/>
    <n v="20"/>
    <n v="0"/>
    <n v="0"/>
    <n v="0"/>
    <m/>
    <m/>
    <m/>
    <m/>
    <m/>
    <m/>
    <m/>
    <n v="0"/>
    <n v="0"/>
    <n v="0"/>
    <n v="0"/>
    <n v="0"/>
    <n v="0"/>
    <n v="0"/>
    <n v="0"/>
    <n v="0"/>
    <n v="0"/>
    <n v="0"/>
    <n v="0"/>
    <n v="0"/>
    <n v="0"/>
    <x v="0"/>
    <n v="0"/>
    <s v="MMR001CMP047"/>
    <x v="0"/>
    <x v="0"/>
    <x v="0"/>
    <n v="0"/>
    <s v="No"/>
    <m/>
  </r>
  <r>
    <n v="41.733333333333334"/>
    <d v="2012-05-28T00:00:00"/>
    <x v="0"/>
    <s v="UNHCR"/>
    <s v="Kachin"/>
    <s v="Waingmaw"/>
    <s v="Qtr. 3 Mu-yin  Baptist Church"/>
    <m/>
    <m/>
    <m/>
    <n v="0"/>
    <n v="11"/>
    <n v="0"/>
    <n v="0"/>
    <n v="0"/>
    <m/>
    <m/>
    <m/>
    <m/>
    <m/>
    <m/>
    <m/>
    <n v="0"/>
    <n v="0"/>
    <n v="0"/>
    <n v="0"/>
    <n v="0"/>
    <n v="0"/>
    <n v="0"/>
    <n v="0"/>
    <n v="0"/>
    <n v="0"/>
    <n v="0"/>
    <n v="0"/>
    <n v="0"/>
    <n v="0"/>
    <x v="0"/>
    <n v="0"/>
    <s v="MMR001CMP030"/>
    <x v="0"/>
    <x v="0"/>
    <x v="0"/>
    <n v="0"/>
    <s v="No"/>
    <m/>
  </r>
  <r>
    <n v="41.8"/>
    <d v="2012-05-26T00:00:00"/>
    <x v="0"/>
    <s v="KBC"/>
    <s v="Kachin"/>
    <s v="Shwegu"/>
    <s v="Lawk Awng Mare D. (Sinbo Area)"/>
    <m/>
    <m/>
    <m/>
    <n v="200"/>
    <n v="200"/>
    <n v="0"/>
    <n v="0"/>
    <n v="0"/>
    <m/>
    <m/>
    <m/>
    <m/>
    <m/>
    <m/>
    <m/>
    <n v="0"/>
    <n v="0"/>
    <n v="0"/>
    <n v="0"/>
    <n v="0"/>
    <n v="0"/>
    <n v="0"/>
    <n v="0"/>
    <n v="0"/>
    <n v="0"/>
    <n v="0"/>
    <n v="0"/>
    <n v="0"/>
    <n v="0"/>
    <x v="0"/>
    <n v="0"/>
    <s v="MMR001CMP147"/>
    <x v="0"/>
    <x v="0"/>
    <x v="0"/>
    <n v="0"/>
    <s v="No"/>
    <m/>
  </r>
  <r>
    <n v="41.833333333333336"/>
    <d v="2012-05-25T00:00:00"/>
    <x v="0"/>
    <s v="UNHCR"/>
    <s v="Kachin"/>
    <s v="Myitkyina"/>
    <s v="Shwe Zet Baptist Church"/>
    <m/>
    <m/>
    <m/>
    <n v="0"/>
    <n v="25"/>
    <n v="0"/>
    <n v="0"/>
    <n v="0"/>
    <m/>
    <m/>
    <m/>
    <m/>
    <m/>
    <m/>
    <m/>
    <n v="0"/>
    <n v="0"/>
    <n v="0"/>
    <n v="0"/>
    <n v="0"/>
    <n v="0"/>
    <n v="0"/>
    <n v="0"/>
    <n v="0"/>
    <n v="0"/>
    <n v="0"/>
    <n v="0"/>
    <n v="0"/>
    <n v="0"/>
    <x v="0"/>
    <n v="0"/>
    <s v="MMR001CMP009"/>
    <x v="0"/>
    <x v="0"/>
    <x v="0"/>
    <n v="0"/>
    <s v="No"/>
    <m/>
  </r>
  <r>
    <n v="41.9"/>
    <d v="2012-05-23T00:00:00"/>
    <x v="0"/>
    <s v="UNHCR"/>
    <s v="Kachin"/>
    <s v="Myitkyina"/>
    <s v="Jan Mai Kawng Baptist Church"/>
    <m/>
    <m/>
    <m/>
    <n v="22"/>
    <n v="15"/>
    <n v="22"/>
    <n v="15"/>
    <n v="15"/>
    <n v="15"/>
    <n v="15"/>
    <m/>
    <m/>
    <m/>
    <m/>
    <m/>
    <n v="0"/>
    <n v="0"/>
    <n v="0"/>
    <n v="0"/>
    <n v="0"/>
    <n v="0"/>
    <n v="0"/>
    <n v="0"/>
    <n v="0"/>
    <n v="0"/>
    <n v="0"/>
    <n v="0"/>
    <n v="0"/>
    <n v="0"/>
    <x v="0"/>
    <n v="0"/>
    <s v="MMR001CMP018"/>
    <x v="0"/>
    <x v="0"/>
    <x v="0"/>
    <n v="7.3891625615763554E-2"/>
    <s v="No"/>
    <m/>
  </r>
  <r>
    <n v="41.9"/>
    <d v="2012-05-23T00:00:00"/>
    <x v="0"/>
    <s v="UNHCR"/>
    <s v="Kachin"/>
    <s v="Myitkyina"/>
    <s v="Nan Kway St. John Catholic Church"/>
    <m/>
    <m/>
    <m/>
    <n v="58"/>
    <n v="29"/>
    <n v="58"/>
    <n v="29"/>
    <n v="29"/>
    <n v="29"/>
    <n v="29"/>
    <m/>
    <m/>
    <m/>
    <m/>
    <m/>
    <n v="0"/>
    <n v="0"/>
    <n v="0"/>
    <n v="0"/>
    <n v="0"/>
    <n v="0"/>
    <n v="0"/>
    <n v="0"/>
    <n v="0"/>
    <n v="0"/>
    <n v="0"/>
    <n v="0"/>
    <n v="0"/>
    <n v="0"/>
    <x v="0"/>
    <n v="0"/>
    <s v="MMR001CMP024"/>
    <x v="0"/>
    <x v="0"/>
    <x v="0"/>
    <n v="0.41428571428571431"/>
    <s v="No"/>
    <m/>
  </r>
  <r>
    <n v="41.9"/>
    <d v="2012-05-23T00:00:00"/>
    <x v="0"/>
    <s v="UNHCR"/>
    <s v="Kachin"/>
    <s v="Myitkyina"/>
    <s v="Tat Kone Baptist Church"/>
    <m/>
    <m/>
    <m/>
    <n v="54"/>
    <n v="29"/>
    <n v="54"/>
    <n v="29"/>
    <n v="29"/>
    <n v="29"/>
    <n v="29"/>
    <m/>
    <m/>
    <m/>
    <m/>
    <m/>
    <n v="0"/>
    <n v="0"/>
    <n v="0"/>
    <n v="0"/>
    <n v="0"/>
    <n v="0"/>
    <n v="0"/>
    <n v="0"/>
    <n v="0"/>
    <n v="0"/>
    <n v="0"/>
    <n v="0"/>
    <n v="0"/>
    <n v="0"/>
    <x v="0"/>
    <n v="0"/>
    <s v="MMR001CMP001"/>
    <x v="0"/>
    <x v="0"/>
    <x v="0"/>
    <n v="0.41428571428571431"/>
    <s v="No"/>
    <m/>
  </r>
  <r>
    <n v="41.966666666666669"/>
    <d v="2012-05-21T00:00:00"/>
    <x v="0"/>
    <s v="UNHCR"/>
    <s v="Kachin"/>
    <s v="Bhamo"/>
    <s v="AD-2000 Tharthana Compound"/>
    <m/>
    <m/>
    <m/>
    <n v="0"/>
    <n v="15"/>
    <n v="0"/>
    <n v="0"/>
    <n v="0"/>
    <m/>
    <m/>
    <m/>
    <m/>
    <m/>
    <m/>
    <m/>
    <n v="0"/>
    <n v="0"/>
    <n v="0"/>
    <n v="0"/>
    <n v="0"/>
    <n v="0"/>
    <n v="0"/>
    <n v="0"/>
    <n v="0"/>
    <n v="0"/>
    <n v="0"/>
    <n v="0"/>
    <n v="0"/>
    <n v="0"/>
    <x v="0"/>
    <n v="0"/>
    <s v="MMR001CMP050"/>
    <x v="0"/>
    <x v="0"/>
    <x v="0"/>
    <n v="0"/>
    <s v="No"/>
    <m/>
  </r>
  <r>
    <n v="42.166666666666664"/>
    <d v="2012-05-15T00:00:00"/>
    <x v="0"/>
    <s v="KBSS"/>
    <s v="Kachin"/>
    <s v="Bhamo"/>
    <s v="AD-2000 Tharthana Compound"/>
    <m/>
    <m/>
    <m/>
    <n v="90"/>
    <n v="0"/>
    <n v="0"/>
    <n v="0"/>
    <n v="0"/>
    <m/>
    <m/>
    <m/>
    <m/>
    <m/>
    <m/>
    <m/>
    <n v="0"/>
    <n v="0"/>
    <n v="0"/>
    <n v="0"/>
    <n v="0"/>
    <n v="0"/>
    <n v="0"/>
    <n v="0"/>
    <n v="0"/>
    <n v="0"/>
    <n v="0"/>
    <n v="0"/>
    <n v="0"/>
    <n v="0"/>
    <x v="0"/>
    <n v="0"/>
    <s v="MMR001CMP050"/>
    <x v="0"/>
    <x v="0"/>
    <x v="0"/>
    <n v="0"/>
    <s v="No"/>
    <m/>
  </r>
  <r>
    <n v="42.3"/>
    <d v="2012-05-11T00:00:00"/>
    <x v="0"/>
    <s v="KBSS"/>
    <s v="Kachin"/>
    <s v="Shwegu"/>
    <s v="Shwe Gu Baptist Church"/>
    <m/>
    <m/>
    <m/>
    <n v="38"/>
    <n v="23"/>
    <n v="38"/>
    <n v="23"/>
    <n v="23"/>
    <n v="23"/>
    <n v="23"/>
    <m/>
    <m/>
    <m/>
    <m/>
    <m/>
    <n v="0"/>
    <n v="0"/>
    <n v="0"/>
    <n v="0"/>
    <n v="0"/>
    <n v="0"/>
    <n v="0"/>
    <n v="0"/>
    <n v="0"/>
    <n v="0"/>
    <n v="0"/>
    <n v="0"/>
    <n v="0"/>
    <n v="0"/>
    <x v="0"/>
    <n v="0"/>
    <s v="MMR001CMP067"/>
    <x v="0"/>
    <x v="0"/>
    <x v="0"/>
    <n v="0.27710843373493976"/>
    <s v="No"/>
    <m/>
  </r>
  <r>
    <n v="42.3"/>
    <d v="2012-05-11T00:00:00"/>
    <x v="0"/>
    <s v="UNHCR"/>
    <s v="Kachin"/>
    <s v="Waingmaw"/>
    <s v="Maina Catholic Church (St. Joseph)"/>
    <m/>
    <m/>
    <m/>
    <n v="57"/>
    <n v="29"/>
    <n v="57"/>
    <n v="29"/>
    <n v="29"/>
    <n v="29"/>
    <n v="29"/>
    <m/>
    <m/>
    <m/>
    <m/>
    <m/>
    <n v="0"/>
    <n v="0"/>
    <n v="0"/>
    <n v="0"/>
    <n v="0"/>
    <n v="0"/>
    <n v="0"/>
    <n v="0"/>
    <n v="0"/>
    <n v="0"/>
    <n v="0"/>
    <n v="0"/>
    <n v="0"/>
    <n v="0"/>
    <x v="0"/>
    <n v="0"/>
    <s v="MMR001CMP029"/>
    <x v="0"/>
    <x v="0"/>
    <x v="0"/>
    <n v="0.1277533039647577"/>
    <s v="No"/>
    <m/>
  </r>
  <r>
    <n v="42.3"/>
    <d v="2012-05-11T00:00:00"/>
    <x v="0"/>
    <s v="UNHCR"/>
    <s v="Kachin"/>
    <s v="Waingmaw"/>
    <s v="Maina KBC (Bawng Ring)"/>
    <m/>
    <m/>
    <m/>
    <n v="50"/>
    <n v="25"/>
    <n v="50"/>
    <n v="24"/>
    <n v="13"/>
    <n v="13"/>
    <n v="13"/>
    <m/>
    <m/>
    <m/>
    <m/>
    <m/>
    <n v="0"/>
    <n v="0"/>
    <n v="0"/>
    <n v="0"/>
    <n v="0"/>
    <n v="0"/>
    <n v="0"/>
    <n v="0"/>
    <n v="0"/>
    <n v="0"/>
    <n v="0"/>
    <n v="0"/>
    <n v="0"/>
    <n v="0"/>
    <x v="0"/>
    <n v="0"/>
    <s v="MMR001CMP040"/>
    <x v="0"/>
    <x v="0"/>
    <x v="0"/>
    <n v="5.6074766355140186E-2"/>
    <s v="No"/>
    <m/>
  </r>
  <r>
    <n v="42.3"/>
    <d v="2012-05-11T00:00:00"/>
    <x v="0"/>
    <s v="KBSS"/>
    <s v="Kachin"/>
    <s v="Shwegu"/>
    <s v="Shwe Gu Catholic Church"/>
    <m/>
    <m/>
    <m/>
    <n v="37"/>
    <n v="22"/>
    <n v="37"/>
    <n v="22"/>
    <n v="22"/>
    <n v="22"/>
    <n v="22"/>
    <m/>
    <m/>
    <m/>
    <m/>
    <m/>
    <n v="0"/>
    <n v="0"/>
    <n v="0"/>
    <n v="0"/>
    <n v="0"/>
    <n v="0"/>
    <n v="0"/>
    <n v="0"/>
    <n v="0"/>
    <n v="0"/>
    <n v="0"/>
    <n v="0"/>
    <n v="0"/>
    <n v="0"/>
    <x v="0"/>
    <n v="0"/>
    <s v="MMR001CMP068"/>
    <x v="0"/>
    <x v="0"/>
    <x v="0"/>
    <n v="0.55000000000000004"/>
    <s v="No"/>
    <m/>
  </r>
  <r>
    <n v="42.366666666666667"/>
    <d v="2012-05-09T00:00:00"/>
    <x v="0"/>
    <s v="UNHCR"/>
    <s v="Kachin"/>
    <s v="Waingmaw"/>
    <s v="Waingmaw Baptist Zonal Office"/>
    <m/>
    <m/>
    <m/>
    <n v="161"/>
    <n v="83"/>
    <n v="161"/>
    <n v="83"/>
    <n v="83"/>
    <n v="83"/>
    <n v="83"/>
    <m/>
    <m/>
    <m/>
    <m/>
    <m/>
    <n v="0"/>
    <n v="0"/>
    <n v="0"/>
    <n v="0"/>
    <n v="0"/>
    <n v="0"/>
    <n v="0"/>
    <n v="0"/>
    <n v="0"/>
    <n v="0"/>
    <n v="0"/>
    <n v="0"/>
    <n v="0"/>
    <n v="0"/>
    <x v="0"/>
    <n v="0"/>
    <s v="MMR001CMP036"/>
    <x v="0"/>
    <x v="0"/>
    <x v="0"/>
    <s v=""/>
    <s v="No"/>
    <m/>
  </r>
  <r>
    <n v="42.56666666666667"/>
    <d v="2012-05-03T00:00:00"/>
    <x v="0"/>
    <s v="UNHCR"/>
    <s v="Kachin"/>
    <s v="Waingmaw"/>
    <s v="Maina AG Church"/>
    <m/>
    <m/>
    <m/>
    <n v="42"/>
    <n v="0"/>
    <n v="42"/>
    <n v="0"/>
    <n v="20"/>
    <n v="20"/>
    <n v="20"/>
    <m/>
    <m/>
    <m/>
    <m/>
    <m/>
    <n v="0"/>
    <n v="0"/>
    <n v="0"/>
    <n v="0"/>
    <n v="0"/>
    <n v="0"/>
    <n v="0"/>
    <n v="0"/>
    <n v="0"/>
    <n v="0"/>
    <n v="0"/>
    <n v="0"/>
    <n v="0"/>
    <n v="0"/>
    <x v="0"/>
    <n v="0"/>
    <s v="MMR001CMP031"/>
    <x v="0"/>
    <x v="0"/>
    <x v="0"/>
    <n v="0"/>
    <s v="No"/>
    <m/>
  </r>
  <r>
    <n v="42.56666666666667"/>
    <d v="2012-05-03T00:00:00"/>
    <x v="0"/>
    <s v="UNHCR"/>
    <s v="Kachin"/>
    <s v="Myitkyina"/>
    <s v="Myay Myint Baptist Church"/>
    <m/>
    <m/>
    <m/>
    <n v="0"/>
    <n v="0"/>
    <n v="0"/>
    <n v="0"/>
    <n v="5"/>
    <n v="5"/>
    <n v="5"/>
    <m/>
    <m/>
    <m/>
    <m/>
    <m/>
    <n v="0"/>
    <n v="0"/>
    <n v="0"/>
    <n v="0"/>
    <n v="0"/>
    <n v="0"/>
    <n v="0"/>
    <n v="0"/>
    <n v="0"/>
    <n v="0"/>
    <n v="0"/>
    <n v="0"/>
    <n v="0"/>
    <n v="0"/>
    <x v="0"/>
    <n v="0"/>
    <s v="MMR001CMP017"/>
    <x v="0"/>
    <x v="2"/>
    <x v="0"/>
    <s v=""/>
    <s v="No"/>
    <m/>
  </r>
  <r>
    <n v="42.56666666666667"/>
    <d v="2012-05-03T00:00:00"/>
    <x v="0"/>
    <s v="UNHCR"/>
    <s v="Kachin"/>
    <s v="Waingmaw"/>
    <s v="Qtr. 3 Mu-yin  Baptist Church"/>
    <m/>
    <m/>
    <m/>
    <n v="12"/>
    <n v="0"/>
    <n v="12"/>
    <n v="6"/>
    <n v="6"/>
    <n v="6"/>
    <n v="6"/>
    <m/>
    <m/>
    <m/>
    <m/>
    <m/>
    <n v="0"/>
    <n v="0"/>
    <n v="0"/>
    <n v="0"/>
    <n v="0"/>
    <n v="0"/>
    <n v="0"/>
    <n v="0"/>
    <n v="0"/>
    <n v="0"/>
    <n v="0"/>
    <n v="0"/>
    <n v="0"/>
    <n v="0"/>
    <x v="0"/>
    <n v="0"/>
    <s v="MMR001CMP030"/>
    <x v="0"/>
    <x v="0"/>
    <x v="0"/>
    <n v="0.19354838709677419"/>
    <s v="No"/>
    <m/>
  </r>
  <r>
    <n v="42.56666666666667"/>
    <d v="2012-05-03T00:00:00"/>
    <x v="0"/>
    <s v="UNHCR"/>
    <s v="Kachin"/>
    <s v="Waingmaw"/>
    <s v="Qtr. 4 Monestry (Thargaya Thayett Taw)"/>
    <m/>
    <m/>
    <m/>
    <n v="34"/>
    <n v="0"/>
    <n v="34"/>
    <n v="0"/>
    <n v="18"/>
    <n v="18"/>
    <n v="18"/>
    <m/>
    <m/>
    <m/>
    <m/>
    <m/>
    <n v="0"/>
    <n v="0"/>
    <n v="0"/>
    <n v="0"/>
    <n v="0"/>
    <n v="0"/>
    <n v="0"/>
    <n v="0"/>
    <n v="0"/>
    <n v="0"/>
    <n v="0"/>
    <n v="0"/>
    <n v="0"/>
    <n v="0"/>
    <x v="0"/>
    <n v="0"/>
    <s v="MMR001CMP026"/>
    <x v="0"/>
    <x v="0"/>
    <x v="0"/>
    <n v="0"/>
    <s v="No"/>
    <m/>
  </r>
  <r>
    <n v="42.633333333333333"/>
    <d v="2012-05-01T00:00:00"/>
    <x v="0"/>
    <s v="UNHCR"/>
    <s v="Kachin"/>
    <s v="Waingmaw"/>
    <s v="Qtr. 4 Monestry (Thargaya Thayett Taw)"/>
    <m/>
    <m/>
    <m/>
    <n v="52"/>
    <n v="0"/>
    <n v="52"/>
    <n v="0"/>
    <n v="24"/>
    <n v="24"/>
    <n v="24"/>
    <m/>
    <m/>
    <m/>
    <m/>
    <m/>
    <n v="0"/>
    <n v="0"/>
    <n v="0"/>
    <n v="0"/>
    <n v="0"/>
    <n v="0"/>
    <n v="0"/>
    <n v="0"/>
    <n v="0"/>
    <n v="0"/>
    <n v="0"/>
    <n v="0"/>
    <n v="0"/>
    <n v="0"/>
    <x v="0"/>
    <n v="0"/>
    <s v="MMR001CMP026"/>
    <x v="0"/>
    <x v="0"/>
    <x v="0"/>
    <n v="0"/>
    <s v="No"/>
    <m/>
  </r>
  <r>
    <n v="42.833333333333336"/>
    <d v="2012-04-25T00:00:00"/>
    <x v="0"/>
    <s v="UNHCR"/>
    <s v="Kachin"/>
    <s v="Momauk"/>
    <s v="Dum Bung "/>
    <m/>
    <m/>
    <m/>
    <n v="198"/>
    <n v="99"/>
    <n v="198"/>
    <n v="99"/>
    <n v="99"/>
    <n v="99"/>
    <n v="99"/>
    <m/>
    <m/>
    <m/>
    <m/>
    <m/>
    <n v="0"/>
    <n v="0"/>
    <n v="0"/>
    <n v="0"/>
    <n v="0"/>
    <n v="0"/>
    <n v="0"/>
    <n v="0"/>
    <n v="0"/>
    <n v="0"/>
    <n v="0"/>
    <n v="0"/>
    <n v="0"/>
    <n v="0"/>
    <x v="0"/>
    <n v="0"/>
    <s v="MMR001CMP123"/>
    <x v="0"/>
    <x v="0"/>
    <x v="4"/>
    <n v="0.86086956521739133"/>
    <s v="No"/>
    <m/>
  </r>
  <r>
    <n v="42.833333333333336"/>
    <d v="2012-04-25T00:00:00"/>
    <x v="0"/>
    <s v="UNHCR"/>
    <s v="Kachin"/>
    <s v="Myitkyina"/>
    <s v="Wun Tho Buddhist Monastery"/>
    <m/>
    <m/>
    <m/>
    <n v="39"/>
    <n v="19"/>
    <n v="78"/>
    <n v="19"/>
    <n v="0"/>
    <m/>
    <m/>
    <m/>
    <m/>
    <m/>
    <m/>
    <m/>
    <n v="0"/>
    <n v="0"/>
    <n v="0"/>
    <n v="0"/>
    <n v="0"/>
    <n v="0"/>
    <n v="0"/>
    <n v="0"/>
    <n v="0"/>
    <n v="0"/>
    <n v="0"/>
    <n v="0"/>
    <n v="0"/>
    <n v="0"/>
    <x v="0"/>
    <n v="0"/>
    <s v="MMR001CMP022"/>
    <x v="0"/>
    <x v="0"/>
    <x v="0"/>
    <n v="2.7142857142857144"/>
    <s v="No"/>
    <m/>
  </r>
  <r>
    <n v="42.93333333333333"/>
    <d v="2012-04-22T00:00:00"/>
    <x v="0"/>
    <s v="UNHCR"/>
    <s v="Kachin"/>
    <s v="Momauk"/>
    <s v="Je Gau  (+ WaRaPa )"/>
    <m/>
    <m/>
    <m/>
    <n v="846"/>
    <n v="423"/>
    <n v="846"/>
    <n v="423"/>
    <n v="423"/>
    <n v="423"/>
    <n v="423"/>
    <m/>
    <m/>
    <m/>
    <m/>
    <m/>
    <n v="0"/>
    <n v="0"/>
    <n v="0"/>
    <n v="0"/>
    <n v="0"/>
    <n v="0"/>
    <n v="0"/>
    <n v="0"/>
    <n v="0"/>
    <n v="0"/>
    <n v="0"/>
    <n v="0"/>
    <n v="0"/>
    <n v="0"/>
    <x v="0"/>
    <n v="0"/>
    <s v=""/>
    <x v="1"/>
    <x v="1"/>
    <x v="1"/>
    <s v=""/>
    <s v="No"/>
    <m/>
  </r>
  <r>
    <n v="43.266666666666666"/>
    <d v="2012-04-12T00:00:00"/>
    <x v="0"/>
    <s v="UNHCR"/>
    <s v="Kachin"/>
    <s v="Waingmaw"/>
    <s v="Post 6 Camp"/>
    <m/>
    <m/>
    <m/>
    <n v="123"/>
    <n v="95"/>
    <n v="123"/>
    <n v="95"/>
    <n v="95"/>
    <n v="95"/>
    <n v="95"/>
    <m/>
    <m/>
    <m/>
    <m/>
    <m/>
    <n v="0"/>
    <n v="0"/>
    <n v="0"/>
    <n v="0"/>
    <n v="0"/>
    <n v="0"/>
    <n v="0"/>
    <n v="0"/>
    <n v="0"/>
    <n v="0"/>
    <n v="0"/>
    <n v="0"/>
    <n v="0"/>
    <n v="0"/>
    <x v="0"/>
    <n v="0"/>
    <s v="MMR001CMP160"/>
    <x v="0"/>
    <x v="0"/>
    <x v="3"/>
    <n v="0.87962962962962965"/>
    <s v="No"/>
    <m/>
  </r>
  <r>
    <n v="43.333333333333336"/>
    <d v="2012-04-10T00:00:00"/>
    <x v="0"/>
    <s v="KBSS"/>
    <s v="Kachin"/>
    <s v="Shwegu"/>
    <s v="Shwe Gu Baptist Church"/>
    <m/>
    <m/>
    <m/>
    <n v="46"/>
    <n v="27"/>
    <n v="46"/>
    <n v="27"/>
    <n v="27"/>
    <n v="27"/>
    <n v="27"/>
    <m/>
    <m/>
    <m/>
    <m/>
    <m/>
    <n v="0"/>
    <n v="0"/>
    <n v="0"/>
    <n v="0"/>
    <n v="0"/>
    <n v="0"/>
    <n v="0"/>
    <n v="0"/>
    <n v="0"/>
    <n v="0"/>
    <n v="0"/>
    <n v="0"/>
    <n v="0"/>
    <n v="0"/>
    <x v="0"/>
    <n v="0"/>
    <s v="MMR001CMP067"/>
    <x v="0"/>
    <x v="0"/>
    <x v="0"/>
    <n v="0.3253012048192771"/>
    <s v="No"/>
    <m/>
  </r>
  <r>
    <n v="43.333333333333336"/>
    <d v="2012-04-10T00:00:00"/>
    <x v="0"/>
    <s v="KBSS"/>
    <s v="Kachin"/>
    <s v="Shwegu"/>
    <s v="Shwe Gu Catholic Church"/>
    <m/>
    <m/>
    <m/>
    <n v="43"/>
    <n v="25"/>
    <n v="43"/>
    <n v="25"/>
    <n v="25"/>
    <n v="25"/>
    <n v="25"/>
    <m/>
    <m/>
    <m/>
    <m/>
    <m/>
    <n v="0"/>
    <n v="0"/>
    <n v="0"/>
    <n v="0"/>
    <n v="0"/>
    <n v="0"/>
    <n v="0"/>
    <n v="0"/>
    <n v="0"/>
    <n v="0"/>
    <n v="0"/>
    <n v="0"/>
    <n v="0"/>
    <n v="0"/>
    <x v="0"/>
    <n v="0"/>
    <s v="MMR001CMP068"/>
    <x v="0"/>
    <x v="0"/>
    <x v="0"/>
    <n v="0.625"/>
    <s v="No"/>
    <m/>
  </r>
  <r>
    <n v="43.5"/>
    <d v="2012-04-05T00:00:00"/>
    <x v="0"/>
    <s v="UNHCR"/>
    <s v="Kachin"/>
    <s v="Momauk"/>
    <s v="Momauk Catholic Church (St. Patrick)"/>
    <m/>
    <m/>
    <m/>
    <n v="0"/>
    <n v="50"/>
    <n v="0"/>
    <n v="0"/>
    <n v="0"/>
    <m/>
    <m/>
    <m/>
    <m/>
    <m/>
    <m/>
    <m/>
    <n v="0"/>
    <n v="0"/>
    <n v="0"/>
    <n v="0"/>
    <n v="0"/>
    <n v="0"/>
    <n v="0"/>
    <n v="0"/>
    <n v="0"/>
    <n v="0"/>
    <n v="0"/>
    <n v="0"/>
    <n v="0"/>
    <n v="0"/>
    <x v="0"/>
    <n v="0"/>
    <s v="MMR001CMP057"/>
    <x v="0"/>
    <x v="2"/>
    <x v="0"/>
    <s v=""/>
    <s v="No"/>
    <m/>
  </r>
  <r>
    <n v="43.533333333333331"/>
    <d v="2012-04-04T00:00:00"/>
    <x v="0"/>
    <s v="UNHCR"/>
    <s v="Kachin"/>
    <s v="Mansi"/>
    <s v="Bum Tsit Pa "/>
    <m/>
    <m/>
    <m/>
    <n v="216"/>
    <n v="108"/>
    <n v="216"/>
    <n v="108"/>
    <n v="108"/>
    <n v="108"/>
    <n v="108"/>
    <m/>
    <m/>
    <m/>
    <m/>
    <m/>
    <n v="0"/>
    <n v="0"/>
    <n v="0"/>
    <n v="0"/>
    <n v="0"/>
    <n v="0"/>
    <n v="0"/>
    <n v="0"/>
    <n v="0"/>
    <n v="0"/>
    <n v="0"/>
    <n v="0"/>
    <n v="0"/>
    <n v="0"/>
    <x v="0"/>
    <n v="0"/>
    <s v="MMR001CMP129"/>
    <x v="0"/>
    <x v="0"/>
    <x v="4"/>
    <n v="0.62068965517241381"/>
    <s v="No"/>
    <m/>
  </r>
  <r>
    <n v="43.56666666666667"/>
    <d v="2012-04-03T00:00:00"/>
    <x v="0"/>
    <s v="UNHCR"/>
    <s v="Kachin"/>
    <s v="Mansi"/>
    <s v="Lana Zup Ja "/>
    <m/>
    <m/>
    <m/>
    <n v="510"/>
    <n v="0"/>
    <n v="510"/>
    <n v="255"/>
    <n v="255"/>
    <n v="255"/>
    <n v="255"/>
    <m/>
    <m/>
    <m/>
    <m/>
    <m/>
    <n v="0"/>
    <n v="0"/>
    <n v="0"/>
    <n v="0"/>
    <n v="0"/>
    <n v="0"/>
    <n v="0"/>
    <n v="0"/>
    <n v="0"/>
    <n v="0"/>
    <n v="0"/>
    <n v="0"/>
    <n v="0"/>
    <n v="0"/>
    <x v="0"/>
    <n v="0"/>
    <s v="MMR001CMP128"/>
    <x v="0"/>
    <x v="0"/>
    <x v="4"/>
    <n v="0.4713493530499076"/>
    <s v="No"/>
    <m/>
  </r>
  <r>
    <n v="43.733333333333334"/>
    <d v="2012-03-29T00:00:00"/>
    <x v="0"/>
    <s v="UNHCR"/>
    <s v="Kachin"/>
    <s v="Mansi"/>
    <s v="Bum Tsit Pa "/>
    <m/>
    <m/>
    <m/>
    <n v="66"/>
    <n v="66"/>
    <n v="0"/>
    <n v="0"/>
    <n v="0"/>
    <m/>
    <m/>
    <m/>
    <m/>
    <m/>
    <m/>
    <m/>
    <n v="0"/>
    <n v="0"/>
    <n v="0"/>
    <n v="0"/>
    <n v="0"/>
    <n v="0"/>
    <n v="0"/>
    <n v="0"/>
    <n v="0"/>
    <n v="0"/>
    <n v="0"/>
    <n v="0"/>
    <n v="0"/>
    <n v="0"/>
    <x v="0"/>
    <n v="0"/>
    <s v="MMR001CMP129"/>
    <x v="0"/>
    <x v="0"/>
    <x v="4"/>
    <n v="0"/>
    <s v="No"/>
    <m/>
  </r>
  <r>
    <n v="43.733333333333334"/>
    <d v="2012-03-29T00:00:00"/>
    <x v="0"/>
    <s v="UNHCR"/>
    <s v="Kachin"/>
    <s v="Momauk"/>
    <s v="Pa Kahtawng "/>
    <m/>
    <m/>
    <m/>
    <n v="0"/>
    <n v="50"/>
    <n v="0"/>
    <n v="0"/>
    <n v="0"/>
    <m/>
    <m/>
    <m/>
    <m/>
    <m/>
    <m/>
    <m/>
    <n v="0"/>
    <n v="0"/>
    <n v="0"/>
    <n v="0"/>
    <n v="0"/>
    <n v="0"/>
    <n v="0"/>
    <n v="0"/>
    <n v="0"/>
    <n v="0"/>
    <n v="0"/>
    <n v="0"/>
    <n v="0"/>
    <n v="0"/>
    <x v="0"/>
    <n v="0"/>
    <s v="MMR001CMP126"/>
    <x v="0"/>
    <x v="0"/>
    <x v="4"/>
    <n v="0"/>
    <s v="No"/>
    <m/>
  </r>
  <r>
    <n v="43.733333333333334"/>
    <d v="2012-03-29T00:00:00"/>
    <x v="0"/>
    <s v="UNHCR"/>
    <s v="Kachin"/>
    <s v="Momauk"/>
    <s v="Seng Ja "/>
    <m/>
    <m/>
    <m/>
    <n v="66"/>
    <n v="66"/>
    <n v="0"/>
    <n v="0"/>
    <n v="0"/>
    <m/>
    <m/>
    <m/>
    <m/>
    <m/>
    <m/>
    <m/>
    <n v="0"/>
    <n v="0"/>
    <n v="0"/>
    <n v="0"/>
    <n v="0"/>
    <n v="0"/>
    <n v="0"/>
    <n v="0"/>
    <n v="0"/>
    <n v="0"/>
    <n v="0"/>
    <n v="0"/>
    <n v="0"/>
    <n v="0"/>
    <x v="0"/>
    <n v="0"/>
    <s v="MMR001CMP073"/>
    <x v="0"/>
    <x v="0"/>
    <x v="2"/>
    <n v="0"/>
    <s v="No"/>
    <m/>
  </r>
  <r>
    <n v="43.766666666666666"/>
    <d v="2012-03-28T00:00:00"/>
    <x v="0"/>
    <s v="UNHCR"/>
    <s v="Kachin"/>
    <s v="Momauk"/>
    <s v="Mai Ja Yang Ung Lung "/>
    <m/>
    <m/>
    <m/>
    <n v="217"/>
    <n v="217"/>
    <n v="0"/>
    <n v="0"/>
    <n v="0"/>
    <m/>
    <m/>
    <m/>
    <m/>
    <m/>
    <m/>
    <m/>
    <n v="0"/>
    <n v="0"/>
    <n v="0"/>
    <n v="0"/>
    <n v="0"/>
    <n v="0"/>
    <n v="0"/>
    <n v="0"/>
    <n v="0"/>
    <n v="0"/>
    <n v="0"/>
    <n v="0"/>
    <n v="0"/>
    <n v="0"/>
    <x v="0"/>
    <n v="0"/>
    <s v=""/>
    <x v="1"/>
    <x v="1"/>
    <x v="1"/>
    <s v=""/>
    <s v="No"/>
    <m/>
  </r>
  <r>
    <n v="43.8"/>
    <d v="2012-03-27T00:00:00"/>
    <x v="0"/>
    <s v="UNHCR"/>
    <s v="Kachin"/>
    <s v="Momauk"/>
    <s v="Mai Ja Yang Gat Pa "/>
    <m/>
    <m/>
    <m/>
    <n v="52"/>
    <n v="52"/>
    <n v="0"/>
    <n v="0"/>
    <n v="0"/>
    <m/>
    <m/>
    <m/>
    <m/>
    <m/>
    <m/>
    <m/>
    <n v="0"/>
    <n v="0"/>
    <n v="0"/>
    <n v="0"/>
    <n v="0"/>
    <n v="0"/>
    <n v="0"/>
    <n v="0"/>
    <n v="0"/>
    <n v="0"/>
    <n v="0"/>
    <n v="0"/>
    <n v="0"/>
    <n v="0"/>
    <x v="0"/>
    <n v="0"/>
    <s v=""/>
    <x v="1"/>
    <x v="1"/>
    <x v="1"/>
    <s v=""/>
    <s v="No"/>
    <m/>
  </r>
  <r>
    <n v="43.8"/>
    <d v="2012-03-27T00:00:00"/>
    <x v="0"/>
    <s v="UNHCR"/>
    <s v="Kachin"/>
    <s v="Bhamo"/>
    <s v="AD-2000 Tharthana Compound"/>
    <m/>
    <m/>
    <m/>
    <n v="560"/>
    <n v="280"/>
    <n v="560"/>
    <n v="280"/>
    <n v="280"/>
    <n v="280"/>
    <n v="280"/>
    <m/>
    <m/>
    <m/>
    <m/>
    <m/>
    <n v="0"/>
    <n v="0"/>
    <n v="0"/>
    <n v="0"/>
    <n v="0"/>
    <n v="0"/>
    <n v="0"/>
    <n v="0"/>
    <n v="0"/>
    <n v="0"/>
    <n v="0"/>
    <n v="0"/>
    <n v="0"/>
    <n v="0"/>
    <x v="0"/>
    <n v="0"/>
    <s v="MMR001CMP050"/>
    <x v="0"/>
    <x v="0"/>
    <x v="0"/>
    <n v="0.93023255813953487"/>
    <s v="No"/>
    <m/>
  </r>
  <r>
    <n v="43.8"/>
    <d v="2012-03-27T00:00:00"/>
    <x v="0"/>
    <s v="UNHCR"/>
    <s v="Kachin"/>
    <s v="Waingmaw"/>
    <s v="Border Post 8"/>
    <m/>
    <m/>
    <m/>
    <n v="460"/>
    <n v="228"/>
    <n v="460"/>
    <n v="228"/>
    <n v="228"/>
    <n v="228"/>
    <n v="228"/>
    <m/>
    <m/>
    <m/>
    <m/>
    <m/>
    <n v="0"/>
    <n v="0"/>
    <n v="0"/>
    <n v="0"/>
    <n v="0"/>
    <n v="0"/>
    <n v="0"/>
    <n v="0"/>
    <n v="0"/>
    <n v="0"/>
    <n v="0"/>
    <n v="0"/>
    <n v="0"/>
    <n v="0"/>
    <x v="0"/>
    <n v="0"/>
    <s v="MMR001CMP113"/>
    <x v="0"/>
    <x v="0"/>
    <x v="3"/>
    <n v="1.4709677419354839"/>
    <s v="No"/>
    <m/>
  </r>
  <r>
    <n v="43.8"/>
    <d v="2012-03-27T00:00:00"/>
    <x v="0"/>
    <s v="UNHCR"/>
    <s v="Kachin"/>
    <s v="Waingmaw"/>
    <s v="Post 6 Camp"/>
    <m/>
    <m/>
    <m/>
    <n v="0"/>
    <n v="40"/>
    <n v="0"/>
    <n v="0"/>
    <n v="0"/>
    <m/>
    <m/>
    <m/>
    <m/>
    <m/>
    <m/>
    <m/>
    <n v="0"/>
    <n v="0"/>
    <n v="0"/>
    <n v="0"/>
    <n v="0"/>
    <n v="0"/>
    <n v="0"/>
    <n v="0"/>
    <n v="0"/>
    <n v="0"/>
    <n v="0"/>
    <n v="0"/>
    <n v="0"/>
    <n v="0"/>
    <x v="0"/>
    <n v="0"/>
    <s v="MMR001CMP160"/>
    <x v="0"/>
    <x v="0"/>
    <x v="3"/>
    <n v="0"/>
    <s v="No"/>
    <m/>
  </r>
  <r>
    <n v="43.8"/>
    <d v="2012-03-27T00:00:00"/>
    <x v="0"/>
    <s v="UNHCR"/>
    <s v="Kachin"/>
    <s v="Bhamo"/>
    <s v="Robert Church"/>
    <m/>
    <m/>
    <m/>
    <n v="1000"/>
    <n v="500"/>
    <n v="1000"/>
    <n v="500"/>
    <n v="500"/>
    <n v="500"/>
    <n v="500"/>
    <m/>
    <m/>
    <m/>
    <m/>
    <m/>
    <n v="0"/>
    <n v="0"/>
    <n v="0"/>
    <n v="0"/>
    <n v="0"/>
    <n v="0"/>
    <n v="0"/>
    <n v="0"/>
    <n v="0"/>
    <n v="0"/>
    <n v="0"/>
    <n v="0"/>
    <n v="0"/>
    <n v="0"/>
    <x v="0"/>
    <n v="0"/>
    <s v="MMR001CMP047"/>
    <x v="0"/>
    <x v="0"/>
    <x v="0"/>
    <n v="0.76687116564417179"/>
    <s v="No"/>
    <m/>
  </r>
  <r>
    <n v="43.833333333333336"/>
    <d v="2012-03-26T00:00:00"/>
    <x v="0"/>
    <s v="UNHCR"/>
    <s v="Kachin"/>
    <s v="Waingmaw"/>
    <s v="Border Post 8"/>
    <m/>
    <m/>
    <m/>
    <n v="460"/>
    <n v="250"/>
    <n v="460"/>
    <n v="230"/>
    <n v="0"/>
    <m/>
    <m/>
    <m/>
    <m/>
    <m/>
    <m/>
    <m/>
    <n v="0"/>
    <n v="0"/>
    <n v="0"/>
    <n v="0"/>
    <n v="0"/>
    <n v="0"/>
    <n v="0"/>
    <n v="0"/>
    <n v="0"/>
    <n v="0"/>
    <n v="0"/>
    <n v="0"/>
    <n v="0"/>
    <n v="0"/>
    <x v="0"/>
    <n v="0"/>
    <s v="MMR001CMP113"/>
    <x v="0"/>
    <x v="0"/>
    <x v="3"/>
    <n v="1.4838709677419355"/>
    <s v="No"/>
    <m/>
  </r>
  <r>
    <n v="43.833333333333336"/>
    <d v="2012-03-26T00:00:00"/>
    <x v="0"/>
    <s v="UNHCR"/>
    <s v="Kachin"/>
    <s v="Momauk"/>
    <s v="Momauk Catholic Church (St. Patrick)"/>
    <m/>
    <m/>
    <m/>
    <n v="49"/>
    <n v="49"/>
    <n v="0"/>
    <n v="0"/>
    <n v="49"/>
    <n v="49"/>
    <n v="49"/>
    <m/>
    <m/>
    <m/>
    <m/>
    <m/>
    <n v="0"/>
    <n v="0"/>
    <n v="0"/>
    <n v="0"/>
    <n v="0"/>
    <n v="0"/>
    <n v="0"/>
    <n v="0"/>
    <n v="0"/>
    <n v="0"/>
    <n v="0"/>
    <n v="0"/>
    <n v="0"/>
    <n v="0"/>
    <x v="0"/>
    <n v="0"/>
    <s v="MMR001CMP057"/>
    <x v="0"/>
    <x v="2"/>
    <x v="0"/>
    <s v=""/>
    <s v="No"/>
    <m/>
  </r>
  <r>
    <n v="44.466666666666669"/>
    <d v="2012-03-07T00:00:00"/>
    <x v="0"/>
    <s v="UNHCR"/>
    <s v="Kachin"/>
    <s v="Waingmaw"/>
    <s v="Qtr. 2 Lhaovo Baptist Church"/>
    <m/>
    <m/>
    <m/>
    <n v="12"/>
    <n v="8"/>
    <n v="12"/>
    <n v="8"/>
    <n v="8"/>
    <n v="8"/>
    <n v="8"/>
    <m/>
    <m/>
    <m/>
    <m/>
    <m/>
    <n v="0"/>
    <n v="0"/>
    <n v="0"/>
    <n v="0"/>
    <n v="0"/>
    <n v="0"/>
    <n v="0"/>
    <n v="0"/>
    <n v="0"/>
    <n v="0"/>
    <n v="0"/>
    <n v="0"/>
    <n v="0"/>
    <n v="0"/>
    <x v="0"/>
    <n v="0"/>
    <s v="MMR001CMP032"/>
    <x v="0"/>
    <x v="0"/>
    <x v="0"/>
    <n v="8.5106382978723402E-2"/>
    <s v="No"/>
    <m/>
  </r>
  <r>
    <n v="44.466666666666669"/>
    <d v="2012-03-07T00:00:00"/>
    <x v="0"/>
    <s v="UNHCR"/>
    <s v="Kachin"/>
    <s v="Waingmaw"/>
    <s v="Thargaya Lisu Baptist Church"/>
    <m/>
    <m/>
    <m/>
    <n v="38"/>
    <n v="18"/>
    <n v="38"/>
    <n v="17"/>
    <n v="18"/>
    <n v="18"/>
    <n v="18"/>
    <m/>
    <m/>
    <m/>
    <m/>
    <m/>
    <n v="0"/>
    <n v="0"/>
    <n v="0"/>
    <n v="0"/>
    <n v="0"/>
    <n v="0"/>
    <n v="0"/>
    <n v="0"/>
    <n v="0"/>
    <n v="0"/>
    <n v="0"/>
    <n v="0"/>
    <n v="0"/>
    <n v="0"/>
    <x v="0"/>
    <n v="0"/>
    <s v="MMR001CMP037"/>
    <x v="0"/>
    <x v="0"/>
    <x v="0"/>
    <n v="0.40476190476190477"/>
    <s v="No"/>
    <m/>
  </r>
  <r>
    <n v="44.766666666666666"/>
    <d v="2012-02-27T00:00:00"/>
    <x v="0"/>
    <s v="SC&amp;L Group"/>
    <s v="Kachin"/>
    <s v="Myitkyina"/>
    <s v="Wun Tho Buddhist Monastery"/>
    <m/>
    <m/>
    <m/>
    <n v="34"/>
    <n v="0"/>
    <n v="34"/>
    <n v="0"/>
    <n v="34"/>
    <n v="34"/>
    <n v="34"/>
    <m/>
    <m/>
    <m/>
    <m/>
    <m/>
    <n v="0"/>
    <n v="0"/>
    <n v="0"/>
    <n v="0"/>
    <n v="0"/>
    <n v="0"/>
    <n v="0"/>
    <n v="0"/>
    <n v="0"/>
    <n v="0"/>
    <n v="0"/>
    <n v="0"/>
    <n v="0"/>
    <n v="0"/>
    <x v="0"/>
    <n v="0"/>
    <s v="MMR001CMP022"/>
    <x v="0"/>
    <x v="0"/>
    <x v="0"/>
    <n v="0"/>
    <s v="No"/>
    <m/>
  </r>
  <r>
    <n v="44.8"/>
    <d v="2012-02-26T00:00:00"/>
    <x v="0"/>
    <s v="UNHCR"/>
    <s v="Kachin"/>
    <s v="Myitkyina"/>
    <s v="Pamati Kayan"/>
    <m/>
    <m/>
    <m/>
    <n v="25"/>
    <n v="18"/>
    <n v="25"/>
    <n v="18"/>
    <n v="18"/>
    <n v="18"/>
    <n v="18"/>
    <m/>
    <m/>
    <m/>
    <m/>
    <m/>
    <n v="0"/>
    <n v="0"/>
    <n v="0"/>
    <n v="0"/>
    <n v="0"/>
    <n v="0"/>
    <n v="0"/>
    <n v="0"/>
    <n v="0"/>
    <n v="0"/>
    <n v="0"/>
    <n v="0"/>
    <n v="0"/>
    <n v="0"/>
    <x v="0"/>
    <n v="0"/>
    <s v=""/>
    <x v="1"/>
    <x v="1"/>
    <x v="1"/>
    <s v=""/>
    <s v="No"/>
    <s v="Lone Zut"/>
  </r>
  <r>
    <n v="44.8"/>
    <d v="2012-02-26T00:00:00"/>
    <x v="0"/>
    <s v="SC&amp;L Group"/>
    <s v="Kachin"/>
    <s v="Myitkyina"/>
    <s v="Pan Ma Tee"/>
    <m/>
    <m/>
    <m/>
    <n v="25"/>
    <n v="0"/>
    <n v="25"/>
    <n v="0"/>
    <n v="10"/>
    <n v="10"/>
    <n v="10"/>
    <m/>
    <m/>
    <m/>
    <m/>
    <m/>
    <n v="0"/>
    <n v="0"/>
    <n v="0"/>
    <n v="0"/>
    <n v="0"/>
    <n v="0"/>
    <n v="0"/>
    <n v="0"/>
    <n v="0"/>
    <n v="0"/>
    <n v="0"/>
    <n v="0"/>
    <n v="0"/>
    <n v="0"/>
    <x v="0"/>
    <n v="0"/>
    <s v=""/>
    <x v="1"/>
    <x v="1"/>
    <x v="1"/>
    <s v=""/>
    <s v="No"/>
    <m/>
  </r>
  <r>
    <n v="45.43333333333333"/>
    <d v="2012-02-07T00:00:00"/>
    <x v="0"/>
    <s v="SC&amp;L Group"/>
    <s v="Kachin"/>
    <s v="Myitkyina"/>
    <s v="Maw Hpawng Hka Nan Baptist Church"/>
    <m/>
    <m/>
    <m/>
    <n v="38"/>
    <n v="18"/>
    <n v="38"/>
    <n v="18"/>
    <n v="18"/>
    <n v="18"/>
    <n v="18"/>
    <m/>
    <m/>
    <m/>
    <m/>
    <m/>
    <n v="0"/>
    <n v="0"/>
    <n v="0"/>
    <n v="0"/>
    <n v="0"/>
    <n v="0"/>
    <n v="0"/>
    <n v="0"/>
    <n v="0"/>
    <n v="0"/>
    <n v="0"/>
    <n v="0"/>
    <n v="0"/>
    <n v="0"/>
    <x v="0"/>
    <n v="0"/>
    <s v="MMR001CMP020"/>
    <x v="0"/>
    <x v="0"/>
    <x v="0"/>
    <n v="0.81818181818181823"/>
    <s v="No"/>
    <m/>
  </r>
  <r>
    <n v="45.466666666666669"/>
    <d v="2012-02-06T00:00:00"/>
    <x v="0"/>
    <s v="UNHCR"/>
    <s v="Kachin"/>
    <s v="Waingmaw"/>
    <s v="Qtr. 4 Monestry (Thargaya Thayett Taw)"/>
    <m/>
    <m/>
    <m/>
    <n v="0"/>
    <n v="0"/>
    <n v="0"/>
    <n v="0"/>
    <n v="13"/>
    <n v="13"/>
    <n v="13"/>
    <m/>
    <m/>
    <m/>
    <m/>
    <m/>
    <n v="0"/>
    <n v="0"/>
    <n v="0"/>
    <n v="0"/>
    <n v="0"/>
    <n v="0"/>
    <n v="0"/>
    <n v="0"/>
    <n v="0"/>
    <n v="0"/>
    <n v="0"/>
    <n v="0"/>
    <n v="0"/>
    <n v="0"/>
    <x v="0"/>
    <n v="0"/>
    <s v="MMR001CMP026"/>
    <x v="0"/>
    <x v="0"/>
    <x v="0"/>
    <n v="0"/>
    <s v="No"/>
    <m/>
  </r>
  <r>
    <n v="45.666666666666664"/>
    <d v="2012-01-31T00:00:00"/>
    <x v="0"/>
    <s v="UNHCR"/>
    <s v="Kachin"/>
    <s v="Waingmaw"/>
    <s v="Qtr. 4 Monestry (Thargaya Thayett Taw)"/>
    <m/>
    <m/>
    <m/>
    <n v="0"/>
    <n v="0"/>
    <n v="0"/>
    <n v="0"/>
    <n v="61"/>
    <n v="61"/>
    <n v="61"/>
    <m/>
    <m/>
    <m/>
    <m/>
    <m/>
    <n v="0"/>
    <n v="0"/>
    <n v="0"/>
    <n v="0"/>
    <n v="0"/>
    <n v="0"/>
    <n v="0"/>
    <n v="0"/>
    <n v="0"/>
    <n v="0"/>
    <n v="0"/>
    <n v="0"/>
    <n v="0"/>
    <n v="0"/>
    <x v="0"/>
    <n v="0"/>
    <s v="MMR001CMP026"/>
    <x v="0"/>
    <x v="0"/>
    <x v="0"/>
    <n v="0"/>
    <s v="No"/>
    <m/>
  </r>
  <r>
    <n v="46.06666666666667"/>
    <d v="2012-01-19T00:00:00"/>
    <x v="0"/>
    <s v="KBC"/>
    <s v="Kachin"/>
    <s v="Myitkyina"/>
    <s v="Jan Mai Kawng Baptist Church"/>
    <m/>
    <m/>
    <m/>
    <n v="0"/>
    <n v="0"/>
    <n v="0"/>
    <n v="0"/>
    <n v="118"/>
    <n v="118"/>
    <n v="118"/>
    <m/>
    <m/>
    <m/>
    <m/>
    <m/>
    <n v="0"/>
    <n v="0"/>
    <n v="0"/>
    <n v="0"/>
    <n v="0"/>
    <n v="0"/>
    <n v="0"/>
    <n v="0"/>
    <n v="0"/>
    <n v="0"/>
    <n v="0"/>
    <n v="0"/>
    <n v="0"/>
    <n v="0"/>
    <x v="0"/>
    <n v="0"/>
    <s v="MMR001CMP018"/>
    <x v="0"/>
    <x v="0"/>
    <x v="0"/>
    <n v="0"/>
    <s v="No"/>
    <m/>
  </r>
  <r>
    <n v="46.266666666666666"/>
    <d v="2012-01-13T00:00:00"/>
    <x v="0"/>
    <s v="KBC"/>
    <s v="Kachin"/>
    <m/>
    <s v="Kat Hmaw Zut Baptist Church"/>
    <m/>
    <m/>
    <m/>
    <n v="76"/>
    <n v="38"/>
    <n v="38"/>
    <n v="0"/>
    <n v="38"/>
    <n v="38"/>
    <n v="38"/>
    <m/>
    <m/>
    <m/>
    <m/>
    <m/>
    <n v="0"/>
    <n v="0"/>
    <n v="0"/>
    <n v="0"/>
    <n v="0"/>
    <n v="0"/>
    <n v="0"/>
    <n v="0"/>
    <n v="0"/>
    <n v="0"/>
    <n v="0"/>
    <n v="0"/>
    <n v="0"/>
    <n v="0"/>
    <x v="0"/>
    <n v="0"/>
    <s v=""/>
    <x v="1"/>
    <x v="1"/>
    <x v="1"/>
    <s v=""/>
    <s v="No"/>
    <m/>
  </r>
  <r>
    <n v="46.266666666666666"/>
    <d v="2012-01-13T00:00:00"/>
    <x v="0"/>
    <s v="KBC"/>
    <s v="Kachin"/>
    <m/>
    <s v="Le Pyin - Kar Gyi Winn"/>
    <m/>
    <m/>
    <m/>
    <n v="18"/>
    <n v="9"/>
    <n v="9"/>
    <n v="0"/>
    <n v="9"/>
    <n v="9"/>
    <n v="9"/>
    <m/>
    <m/>
    <m/>
    <m/>
    <m/>
    <n v="0"/>
    <n v="0"/>
    <n v="0"/>
    <n v="0"/>
    <n v="0"/>
    <n v="0"/>
    <n v="0"/>
    <n v="0"/>
    <n v="0"/>
    <n v="0"/>
    <n v="0"/>
    <n v="0"/>
    <n v="0"/>
    <n v="0"/>
    <x v="0"/>
    <n v="0"/>
    <s v=""/>
    <x v="1"/>
    <x v="1"/>
    <x v="1"/>
    <s v=""/>
    <s v="No"/>
    <s v="Lone Zut"/>
  </r>
  <r>
    <n v="46.266666666666666"/>
    <d v="2012-01-13T00:00:00"/>
    <x v="0"/>
    <s v="KBC"/>
    <s v="Kachin"/>
    <m/>
    <s v="Le Pyin Christian Church"/>
    <m/>
    <m/>
    <m/>
    <n v="10"/>
    <n v="5"/>
    <n v="5"/>
    <n v="0"/>
    <n v="5"/>
    <n v="5"/>
    <n v="5"/>
    <m/>
    <m/>
    <m/>
    <m/>
    <m/>
    <n v="0"/>
    <n v="0"/>
    <n v="0"/>
    <n v="0"/>
    <n v="0"/>
    <n v="0"/>
    <n v="0"/>
    <n v="0"/>
    <n v="0"/>
    <n v="0"/>
    <n v="0"/>
    <n v="0"/>
    <n v="0"/>
    <n v="0"/>
    <x v="0"/>
    <n v="0"/>
    <s v=""/>
    <x v="1"/>
    <x v="1"/>
    <x v="1"/>
    <s v=""/>
    <s v="No"/>
    <s v="CBP"/>
  </r>
  <r>
    <n v="46.266666666666666"/>
    <d v="2012-01-13T00:00:00"/>
    <x v="0"/>
    <s v="KBC"/>
    <s v="Kachin"/>
    <m/>
    <s v="Nant Yar Baptist Church"/>
    <m/>
    <m/>
    <m/>
    <n v="126"/>
    <n v="63"/>
    <n v="63"/>
    <n v="0"/>
    <n v="63"/>
    <n v="63"/>
    <n v="63"/>
    <m/>
    <m/>
    <m/>
    <m/>
    <m/>
    <n v="0"/>
    <n v="0"/>
    <n v="0"/>
    <n v="0"/>
    <n v="0"/>
    <n v="0"/>
    <n v="0"/>
    <n v="0"/>
    <n v="0"/>
    <n v="0"/>
    <n v="0"/>
    <n v="0"/>
    <n v="0"/>
    <n v="0"/>
    <x v="0"/>
    <n v="0"/>
    <s v=""/>
    <x v="1"/>
    <x v="1"/>
    <x v="1"/>
    <s v=""/>
    <s v="No"/>
    <s v="Emergency Aung Bar Li"/>
  </r>
  <r>
    <n v="46.266666666666666"/>
    <d v="2012-01-13T00:00:00"/>
    <x v="0"/>
    <s v="KBC"/>
    <s v="Kachin"/>
    <s v="Hpakant"/>
    <s v="5 Ward Baptist Church(lon Khin)"/>
    <m/>
    <m/>
    <m/>
    <n v="52"/>
    <n v="26"/>
    <n v="36"/>
    <n v="0"/>
    <n v="26"/>
    <n v="26"/>
    <n v="26"/>
    <m/>
    <m/>
    <m/>
    <m/>
    <m/>
    <n v="0"/>
    <n v="0"/>
    <n v="0"/>
    <n v="0"/>
    <n v="0"/>
    <n v="0"/>
    <n v="0"/>
    <n v="0"/>
    <n v="0"/>
    <n v="0"/>
    <n v="0"/>
    <n v="0"/>
    <n v="0"/>
    <n v="0"/>
    <x v="0"/>
    <n v="0"/>
    <s v="MMR001CMP179"/>
    <x v="0"/>
    <x v="0"/>
    <x v="0"/>
    <n v="0"/>
    <s v="No"/>
    <m/>
  </r>
  <r>
    <n v="46.266666666666666"/>
    <d v="2012-01-13T00:00:00"/>
    <x v="0"/>
    <s v="KBC"/>
    <s v="Kachin"/>
    <s v="Hpakant"/>
    <s v="5 Ward Baptist Church(lon Khin)"/>
    <m/>
    <m/>
    <m/>
    <n v="120"/>
    <n v="60"/>
    <n v="60"/>
    <n v="0"/>
    <n v="60"/>
    <n v="60"/>
    <n v="60"/>
    <m/>
    <m/>
    <m/>
    <m/>
    <m/>
    <n v="0"/>
    <n v="0"/>
    <n v="0"/>
    <n v="0"/>
    <n v="0"/>
    <n v="0"/>
    <n v="0"/>
    <n v="0"/>
    <n v="0"/>
    <n v="0"/>
    <n v="0"/>
    <n v="0"/>
    <n v="0"/>
    <n v="0"/>
    <x v="0"/>
    <n v="0"/>
    <s v="MMR001CMP179"/>
    <x v="0"/>
    <x v="0"/>
    <x v="0"/>
    <n v="0"/>
    <s v="No"/>
    <m/>
  </r>
  <r>
    <n v="46.266666666666666"/>
    <d v="2012-01-13T00:00:00"/>
    <x v="0"/>
    <s v="KBC"/>
    <s v="Kachin"/>
    <s v="Hpakant"/>
    <s v="5 Ward Baptist Church(lon Khin)"/>
    <m/>
    <m/>
    <m/>
    <n v="148"/>
    <n v="74"/>
    <n v="74"/>
    <n v="0"/>
    <n v="74"/>
    <n v="74"/>
    <n v="74"/>
    <m/>
    <m/>
    <m/>
    <m/>
    <m/>
    <n v="0"/>
    <n v="0"/>
    <n v="0"/>
    <n v="0"/>
    <n v="0"/>
    <n v="0"/>
    <n v="0"/>
    <n v="0"/>
    <n v="0"/>
    <n v="0"/>
    <n v="0"/>
    <n v="0"/>
    <n v="0"/>
    <n v="0"/>
    <x v="0"/>
    <n v="0"/>
    <s v="MMR001CMP179"/>
    <x v="0"/>
    <x v="0"/>
    <x v="0"/>
    <n v="0"/>
    <s v="No"/>
    <m/>
  </r>
  <r>
    <n v="46.266666666666666"/>
    <d v="2012-01-13T00:00:00"/>
    <x v="0"/>
    <s v="KBC"/>
    <s v="Kachin"/>
    <s v="Hpakant"/>
    <s v="Baptist Church, Hmaw Si Sar(Lon Khin)"/>
    <m/>
    <m/>
    <m/>
    <n v="70"/>
    <n v="35"/>
    <n v="35"/>
    <n v="0"/>
    <n v="35"/>
    <n v="35"/>
    <n v="35"/>
    <m/>
    <m/>
    <m/>
    <m/>
    <m/>
    <n v="0"/>
    <n v="0"/>
    <n v="0"/>
    <n v="0"/>
    <n v="0"/>
    <n v="0"/>
    <n v="0"/>
    <n v="0"/>
    <n v="0"/>
    <n v="0"/>
    <n v="0"/>
    <n v="0"/>
    <n v="0"/>
    <n v="0"/>
    <x v="0"/>
    <n v="0"/>
    <s v="MMR001CMP169"/>
    <x v="0"/>
    <x v="0"/>
    <x v="0"/>
    <n v="0"/>
    <s v="No"/>
    <m/>
  </r>
  <r>
    <n v="46.266666666666666"/>
    <d v="2012-01-13T00:00:00"/>
    <x v="0"/>
    <s v="KBC"/>
    <s v="Kachin"/>
    <s v="Hpakant"/>
    <s v="Hlaing Naung Baptist"/>
    <m/>
    <m/>
    <m/>
    <n v="10"/>
    <n v="5"/>
    <n v="5"/>
    <n v="0"/>
    <n v="5"/>
    <n v="5"/>
    <n v="5"/>
    <m/>
    <m/>
    <m/>
    <m/>
    <m/>
    <n v="0"/>
    <n v="0"/>
    <n v="0"/>
    <n v="0"/>
    <n v="0"/>
    <n v="0"/>
    <n v="0"/>
    <n v="0"/>
    <n v="0"/>
    <n v="0"/>
    <n v="0"/>
    <n v="0"/>
    <n v="0"/>
    <n v="0"/>
    <x v="0"/>
    <n v="0"/>
    <s v="MMR001CMP148"/>
    <x v="0"/>
    <x v="0"/>
    <x v="0"/>
    <n v="0"/>
    <s v="No"/>
    <m/>
  </r>
  <r>
    <n v="46.266666666666666"/>
    <d v="2012-01-13T00:00:00"/>
    <x v="0"/>
    <s v="UNHCR"/>
    <s v="Kachin"/>
    <s v="Waingmaw"/>
    <s v="Maina Lawang Baptist Church"/>
    <m/>
    <m/>
    <m/>
    <n v="35"/>
    <n v="17"/>
    <n v="35"/>
    <n v="17"/>
    <n v="17"/>
    <n v="17"/>
    <n v="17"/>
    <m/>
    <m/>
    <m/>
    <m/>
    <m/>
    <n v="0"/>
    <n v="0"/>
    <n v="0"/>
    <n v="0"/>
    <n v="0"/>
    <n v="0"/>
    <n v="0"/>
    <n v="0"/>
    <n v="0"/>
    <n v="0"/>
    <n v="0"/>
    <n v="0"/>
    <n v="0"/>
    <n v="0"/>
    <x v="0"/>
    <n v="0"/>
    <s v="MMR001CMP039"/>
    <x v="0"/>
    <x v="0"/>
    <x v="0"/>
    <n v="0.35416666666666669"/>
    <s v="No"/>
    <m/>
  </r>
  <r>
    <n v="46.266666666666666"/>
    <d v="2012-01-13T00:00:00"/>
    <x v="0"/>
    <s v="KBC"/>
    <s v="Kachin"/>
    <s v="Hpakant"/>
    <s v="Maw Si Zar, Thiriyardanar Sein, Damma Compound, Lone Khin"/>
    <m/>
    <m/>
    <m/>
    <n v="224"/>
    <n v="112"/>
    <n v="112"/>
    <n v="0"/>
    <n v="112"/>
    <n v="112"/>
    <n v="112"/>
    <m/>
    <m/>
    <m/>
    <m/>
    <m/>
    <n v="0"/>
    <n v="0"/>
    <n v="0"/>
    <n v="0"/>
    <n v="0"/>
    <n v="0"/>
    <n v="0"/>
    <n v="0"/>
    <n v="0"/>
    <n v="0"/>
    <n v="0"/>
    <n v="0"/>
    <n v="0"/>
    <n v="0"/>
    <x v="0"/>
    <n v="0"/>
    <s v="MMR001CMP106"/>
    <x v="0"/>
    <x v="2"/>
    <x v="1"/>
    <s v=""/>
    <s v="No"/>
    <m/>
  </r>
  <r>
    <n v="46.266666666666666"/>
    <d v="2012-01-13T00:00:00"/>
    <x v="0"/>
    <s v="KBC"/>
    <s v="Kachin"/>
    <s v="Hpakant"/>
    <s v="Maw Wan, Kachin Baptist Church"/>
    <m/>
    <m/>
    <m/>
    <n v="34"/>
    <n v="17"/>
    <n v="17"/>
    <n v="0"/>
    <n v="17"/>
    <n v="17"/>
    <n v="17"/>
    <m/>
    <m/>
    <m/>
    <m/>
    <m/>
    <n v="0"/>
    <n v="0"/>
    <n v="0"/>
    <n v="0"/>
    <n v="0"/>
    <n v="0"/>
    <n v="0"/>
    <n v="0"/>
    <n v="0"/>
    <n v="0"/>
    <n v="0"/>
    <n v="0"/>
    <n v="0"/>
    <n v="0"/>
    <x v="0"/>
    <n v="0"/>
    <s v="MMR001CMP085"/>
    <x v="0"/>
    <x v="2"/>
    <x v="1"/>
    <s v=""/>
    <s v="No"/>
    <m/>
  </r>
  <r>
    <n v="46.266666666666666"/>
    <d v="2012-01-13T00:00:00"/>
    <x v="0"/>
    <s v="KBC"/>
    <s v="Kachin"/>
    <s v="Hpakant"/>
    <s v="Nga Pyaw Taw Baptist Nursery School "/>
    <m/>
    <m/>
    <m/>
    <n v="112"/>
    <n v="56"/>
    <n v="56"/>
    <n v="0"/>
    <n v="56"/>
    <n v="56"/>
    <n v="56"/>
    <m/>
    <m/>
    <m/>
    <m/>
    <m/>
    <n v="0"/>
    <n v="0"/>
    <n v="0"/>
    <n v="0"/>
    <n v="0"/>
    <n v="0"/>
    <n v="0"/>
    <n v="0"/>
    <n v="0"/>
    <n v="0"/>
    <n v="0"/>
    <n v="0"/>
    <n v="0"/>
    <n v="0"/>
    <x v="0"/>
    <n v="0"/>
    <s v="MMR001CMP082"/>
    <x v="0"/>
    <x v="2"/>
    <x v="1"/>
    <s v=""/>
    <s v="No"/>
    <m/>
  </r>
  <r>
    <n v="46.333333333333336"/>
    <d v="2012-01-11T00:00:00"/>
    <x v="0"/>
    <s v="KBC"/>
    <s v="Kachin"/>
    <s v="Waingmaw"/>
    <s v="Shing Jai"/>
    <m/>
    <m/>
    <m/>
    <n v="536"/>
    <n v="268"/>
    <n v="536"/>
    <n v="268"/>
    <n v="268"/>
    <n v="268"/>
    <n v="268"/>
    <m/>
    <m/>
    <m/>
    <m/>
    <m/>
    <n v="0"/>
    <n v="0"/>
    <n v="0"/>
    <n v="0"/>
    <n v="0"/>
    <n v="0"/>
    <n v="0"/>
    <n v="0"/>
    <n v="0"/>
    <n v="0"/>
    <n v="0"/>
    <n v="0"/>
    <n v="0"/>
    <n v="0"/>
    <x v="0"/>
    <n v="0"/>
    <s v="MMR001CMP041"/>
    <x v="0"/>
    <x v="0"/>
    <x v="3"/>
    <n v="1.558139534883721"/>
    <s v="No"/>
    <m/>
  </r>
  <r>
    <n v="46.466666666666669"/>
    <d v="2012-01-07T00:00:00"/>
    <x v="0"/>
    <s v="KMSS"/>
    <s v="Kachin"/>
    <s v="Myitkyina"/>
    <s v="Jan Mai Kawng Baptist Church"/>
    <m/>
    <m/>
    <m/>
    <n v="32"/>
    <n v="16"/>
    <n v="32"/>
    <n v="16"/>
    <n v="16"/>
    <n v="16"/>
    <n v="16"/>
    <m/>
    <m/>
    <m/>
    <m/>
    <m/>
    <n v="0"/>
    <n v="0"/>
    <n v="0"/>
    <n v="0"/>
    <n v="0"/>
    <n v="0"/>
    <n v="0"/>
    <n v="0"/>
    <n v="0"/>
    <n v="0"/>
    <n v="0"/>
    <n v="0"/>
    <n v="0"/>
    <n v="0"/>
    <x v="0"/>
    <n v="0"/>
    <s v="MMR001CMP018"/>
    <x v="0"/>
    <x v="0"/>
    <x v="0"/>
    <n v="7.8817733990147784E-2"/>
    <s v="No"/>
    <m/>
  </r>
  <r>
    <n v="46.466666666666669"/>
    <d v="2012-01-07T00:00:00"/>
    <x v="0"/>
    <s v="KMSS"/>
    <s v="Kachin"/>
    <s v="Waingmaw"/>
    <s v="Maina Catholic Church (St. Joseph)"/>
    <m/>
    <m/>
    <m/>
    <n v="50"/>
    <n v="25"/>
    <n v="50"/>
    <n v="25"/>
    <n v="27"/>
    <n v="27"/>
    <n v="27"/>
    <m/>
    <m/>
    <m/>
    <m/>
    <m/>
    <n v="0"/>
    <n v="0"/>
    <n v="0"/>
    <n v="0"/>
    <n v="0"/>
    <n v="0"/>
    <n v="0"/>
    <n v="0"/>
    <n v="0"/>
    <n v="0"/>
    <n v="0"/>
    <n v="0"/>
    <n v="0"/>
    <n v="0"/>
    <x v="0"/>
    <n v="0"/>
    <s v="MMR001CMP029"/>
    <x v="0"/>
    <x v="0"/>
    <x v="0"/>
    <n v="0.11013215859030837"/>
    <s v="No"/>
    <m/>
  </r>
  <r>
    <n v="46.5"/>
    <d v="2012-01-06T00:00:00"/>
    <x v="0"/>
    <s v="KMSS"/>
    <s v="Kachin"/>
    <s v="Myitkyina"/>
    <s v="Jan Mai Kawng Catholic Church"/>
    <m/>
    <m/>
    <m/>
    <n v="0"/>
    <n v="0"/>
    <n v="0"/>
    <n v="0"/>
    <n v="9"/>
    <n v="9"/>
    <n v="9"/>
    <m/>
    <m/>
    <m/>
    <m/>
    <m/>
    <n v="0"/>
    <n v="0"/>
    <n v="0"/>
    <n v="0"/>
    <n v="0"/>
    <n v="0"/>
    <n v="0"/>
    <n v="0"/>
    <n v="0"/>
    <n v="0"/>
    <n v="0"/>
    <n v="0"/>
    <n v="0"/>
    <n v="0"/>
    <x v="0"/>
    <n v="0"/>
    <s v="MMR001CMP019"/>
    <x v="0"/>
    <x v="0"/>
    <x v="0"/>
    <n v="0"/>
    <s v="No"/>
    <m/>
  </r>
  <r>
    <n v="46.5"/>
    <d v="2012-01-06T00:00:00"/>
    <x v="0"/>
    <s v="UNHCR"/>
    <s v="Kachin"/>
    <s v="Waingmaw"/>
    <s v="Thargaya Lisu Baptist Church"/>
    <m/>
    <m/>
    <m/>
    <n v="29"/>
    <n v="0"/>
    <n v="29"/>
    <n v="15"/>
    <n v="15"/>
    <n v="15"/>
    <n v="15"/>
    <m/>
    <m/>
    <m/>
    <m/>
    <m/>
    <n v="0"/>
    <n v="0"/>
    <n v="0"/>
    <n v="0"/>
    <n v="0"/>
    <n v="0"/>
    <n v="0"/>
    <n v="0"/>
    <n v="0"/>
    <n v="0"/>
    <n v="0"/>
    <n v="0"/>
    <n v="0"/>
    <n v="0"/>
    <x v="0"/>
    <n v="0"/>
    <s v="MMR001CMP037"/>
    <x v="0"/>
    <x v="0"/>
    <x v="0"/>
    <n v="0.35714285714285715"/>
    <s v="No"/>
    <m/>
  </r>
  <r>
    <n v="46.5"/>
    <d v="2012-01-06T00:00:00"/>
    <x v="0"/>
    <s v="UNHCR"/>
    <s v="Kachin"/>
    <s v="Waingmaw"/>
    <s v="Thargaya Lisu Baptist Church"/>
    <m/>
    <m/>
    <m/>
    <n v="59"/>
    <n v="30"/>
    <n v="59"/>
    <n v="30"/>
    <n v="30"/>
    <n v="30"/>
    <n v="30"/>
    <m/>
    <m/>
    <m/>
    <m/>
    <m/>
    <n v="0"/>
    <n v="0"/>
    <n v="0"/>
    <n v="0"/>
    <n v="0"/>
    <n v="0"/>
    <n v="0"/>
    <n v="0"/>
    <n v="0"/>
    <n v="0"/>
    <n v="0"/>
    <n v="0"/>
    <n v="0"/>
    <n v="0"/>
    <x v="0"/>
    <n v="0"/>
    <s v="MMR001CMP037"/>
    <x v="0"/>
    <x v="0"/>
    <x v="0"/>
    <n v="0.7142857142857143"/>
    <s v="No"/>
    <m/>
  </r>
  <r>
    <n v="46.5"/>
    <d v="2012-01-06T00:00:00"/>
    <x v="0"/>
    <s v="UNHCR"/>
    <s v="Kachin"/>
    <s v="Waingmaw"/>
    <s v="Waingmaw AG Church"/>
    <m/>
    <m/>
    <m/>
    <n v="29"/>
    <n v="14"/>
    <n v="29"/>
    <n v="14"/>
    <n v="14"/>
    <n v="14"/>
    <n v="14"/>
    <m/>
    <m/>
    <m/>
    <m/>
    <m/>
    <n v="0"/>
    <n v="0"/>
    <n v="0"/>
    <n v="0"/>
    <n v="0"/>
    <n v="0"/>
    <n v="0"/>
    <n v="0"/>
    <n v="0"/>
    <n v="0"/>
    <n v="0"/>
    <n v="0"/>
    <n v="0"/>
    <n v="0"/>
    <x v="0"/>
    <n v="0"/>
    <s v="MMR001CMP038"/>
    <x v="0"/>
    <x v="0"/>
    <x v="0"/>
    <n v="0.15384615384615385"/>
    <s v="No"/>
    <m/>
  </r>
  <r>
    <n v="46.533333333333331"/>
    <d v="2012-01-05T00:00:00"/>
    <x v="0"/>
    <s v="KBC"/>
    <s v="Kachin"/>
    <s v="Waingmaw"/>
    <s v="Maina Lawang Baptist Church"/>
    <m/>
    <m/>
    <m/>
    <n v="52"/>
    <n v="29"/>
    <n v="52"/>
    <n v="29"/>
    <n v="29"/>
    <n v="29"/>
    <n v="29"/>
    <m/>
    <m/>
    <m/>
    <m/>
    <m/>
    <n v="0"/>
    <n v="0"/>
    <n v="0"/>
    <n v="0"/>
    <n v="0"/>
    <n v="0"/>
    <n v="0"/>
    <n v="0"/>
    <n v="0"/>
    <n v="0"/>
    <n v="0"/>
    <n v="0"/>
    <n v="0"/>
    <n v="0"/>
    <x v="0"/>
    <n v="0"/>
    <s v="MMR001CMP039"/>
    <x v="0"/>
    <x v="0"/>
    <x v="0"/>
    <n v="0.60416666666666663"/>
    <s v="No"/>
    <m/>
  </r>
  <r>
    <n v="46.6"/>
    <d v="2012-01-03T00:00:00"/>
    <x v="0"/>
    <s v="KMSS"/>
    <s v="Kachin"/>
    <s v="Myitkyina"/>
    <s v="Tat Kone Emanuel Church"/>
    <m/>
    <m/>
    <m/>
    <n v="0"/>
    <n v="0"/>
    <n v="0"/>
    <n v="0"/>
    <n v="8"/>
    <n v="8"/>
    <n v="8"/>
    <m/>
    <m/>
    <m/>
    <m/>
    <m/>
    <n v="0"/>
    <n v="0"/>
    <n v="0"/>
    <n v="0"/>
    <n v="0"/>
    <n v="0"/>
    <n v="0"/>
    <n v="0"/>
    <n v="0"/>
    <n v="0"/>
    <n v="0"/>
    <n v="0"/>
    <n v="0"/>
    <n v="0"/>
    <x v="0"/>
    <n v="0"/>
    <s v="MMR001CMP004"/>
    <x v="0"/>
    <x v="0"/>
    <x v="0"/>
    <n v="0"/>
    <s v="No"/>
    <m/>
  </r>
  <r>
    <n v="46.7"/>
    <d v="2011-12-31T00:00:00"/>
    <x v="0"/>
    <s v="KMSS"/>
    <s v="Kachin"/>
    <s v="Waingmaw"/>
    <s v="Maina Catholic Church (St. Joseph)"/>
    <m/>
    <m/>
    <m/>
    <n v="46"/>
    <n v="27"/>
    <n v="47"/>
    <n v="27"/>
    <n v="27"/>
    <n v="27"/>
    <n v="27"/>
    <m/>
    <m/>
    <m/>
    <m/>
    <m/>
    <n v="0"/>
    <n v="0"/>
    <n v="0"/>
    <n v="0"/>
    <n v="0"/>
    <n v="0"/>
    <n v="0"/>
    <n v="0"/>
    <n v="0"/>
    <n v="0"/>
    <n v="0"/>
    <n v="0"/>
    <n v="0"/>
    <n v="0"/>
    <x v="0"/>
    <n v="0"/>
    <s v="MMR001CMP029"/>
    <x v="0"/>
    <x v="0"/>
    <x v="0"/>
    <n v="0.11894273127753303"/>
    <s v="No"/>
    <m/>
  </r>
  <r>
    <n v="46.733333333333334"/>
    <d v="2011-12-30T00:00:00"/>
    <x v="0"/>
    <s v="KBC"/>
    <s v="Kachin"/>
    <s v="Myitkyina"/>
    <s v="Jan Mai Kawng Baptist Church"/>
    <m/>
    <m/>
    <m/>
    <n v="56"/>
    <n v="29"/>
    <n v="56"/>
    <n v="29"/>
    <n v="29"/>
    <n v="29"/>
    <n v="29"/>
    <m/>
    <m/>
    <m/>
    <m/>
    <m/>
    <n v="0"/>
    <n v="0"/>
    <n v="0"/>
    <n v="0"/>
    <n v="0"/>
    <n v="0"/>
    <n v="0"/>
    <n v="0"/>
    <n v="0"/>
    <n v="0"/>
    <n v="0"/>
    <n v="0"/>
    <n v="0"/>
    <n v="0"/>
    <x v="0"/>
    <n v="0"/>
    <s v="MMR001CMP018"/>
    <x v="0"/>
    <x v="0"/>
    <x v="0"/>
    <n v="0.14285714285714285"/>
    <s v="No"/>
    <m/>
  </r>
  <r>
    <n v="46.8"/>
    <d v="2011-12-28T00:00:00"/>
    <x v="0"/>
    <s v="Shan Community"/>
    <s v="Kachin"/>
    <s v="Waingmaw"/>
    <s v="Hkat Cho "/>
    <m/>
    <m/>
    <m/>
    <n v="31"/>
    <n v="19"/>
    <n v="31"/>
    <n v="19"/>
    <n v="19"/>
    <n v="19"/>
    <n v="19"/>
    <m/>
    <m/>
    <m/>
    <m/>
    <m/>
    <n v="0"/>
    <n v="0"/>
    <n v="0"/>
    <n v="0"/>
    <n v="0"/>
    <n v="0"/>
    <n v="0"/>
    <n v="0"/>
    <n v="0"/>
    <n v="0"/>
    <n v="0"/>
    <n v="0"/>
    <n v="0"/>
    <n v="0"/>
    <x v="0"/>
    <n v="0"/>
    <s v="MMR001CMP028"/>
    <x v="0"/>
    <x v="0"/>
    <x v="0"/>
    <n v="0.17272727272727273"/>
    <s v="No"/>
    <m/>
  </r>
  <r>
    <n v="46.866666666666667"/>
    <d v="2011-12-26T00:00:00"/>
    <x v="0"/>
    <s v="KBC"/>
    <s v="Kachin"/>
    <s v="Waingmaw"/>
    <s v="Qtr. 2 Myoma Baptist Church"/>
    <m/>
    <m/>
    <m/>
    <n v="54"/>
    <n v="33"/>
    <n v="54"/>
    <n v="33"/>
    <n v="33"/>
    <n v="33"/>
    <n v="33"/>
    <m/>
    <m/>
    <m/>
    <m/>
    <m/>
    <n v="0"/>
    <n v="0"/>
    <n v="0"/>
    <n v="0"/>
    <n v="0"/>
    <n v="0"/>
    <n v="0"/>
    <n v="0"/>
    <n v="0"/>
    <n v="0"/>
    <n v="0"/>
    <n v="0"/>
    <n v="0"/>
    <n v="0"/>
    <x v="0"/>
    <n v="0"/>
    <s v="MMR001CMP025"/>
    <x v="0"/>
    <x v="0"/>
    <x v="0"/>
    <n v="0.50769230769230766"/>
    <s v="No"/>
    <m/>
  </r>
  <r>
    <n v="47"/>
    <d v="2011-12-22T00:00:00"/>
    <x v="0"/>
    <s v="UNHCR"/>
    <s v="Kachin"/>
    <s v="Waingmaw"/>
    <s v="Qtr. 2 Lhaovo Baptist Church"/>
    <m/>
    <m/>
    <m/>
    <n v="0"/>
    <n v="0"/>
    <n v="0"/>
    <n v="0"/>
    <n v="4"/>
    <n v="4"/>
    <n v="4"/>
    <m/>
    <m/>
    <m/>
    <m/>
    <m/>
    <n v="0"/>
    <n v="0"/>
    <n v="0"/>
    <n v="0"/>
    <n v="0"/>
    <n v="0"/>
    <n v="0"/>
    <n v="0"/>
    <n v="0"/>
    <n v="0"/>
    <n v="0"/>
    <n v="0"/>
    <n v="0"/>
    <n v="0"/>
    <x v="0"/>
    <n v="0"/>
    <s v="MMR001CMP032"/>
    <x v="0"/>
    <x v="0"/>
    <x v="0"/>
    <n v="0"/>
    <s v="No"/>
    <m/>
  </r>
  <r>
    <n v="47.3"/>
    <d v="2011-12-13T00:00:00"/>
    <x v="0"/>
    <s v="IRRC"/>
    <s v="Kachin"/>
    <s v="Momauk"/>
    <s v="Hpun Lum Yang "/>
    <m/>
    <m/>
    <m/>
    <n v="250"/>
    <n v="125"/>
    <n v="250"/>
    <n v="125"/>
    <n v="125"/>
    <n v="125"/>
    <n v="125"/>
    <m/>
    <m/>
    <m/>
    <m/>
    <m/>
    <n v="0"/>
    <n v="0"/>
    <n v="0"/>
    <n v="0"/>
    <n v="0"/>
    <n v="0"/>
    <n v="0"/>
    <n v="0"/>
    <n v="0"/>
    <n v="0"/>
    <n v="0"/>
    <n v="0"/>
    <n v="0"/>
    <n v="0"/>
    <x v="0"/>
    <n v="0"/>
    <s v="MMR001CMP122"/>
    <x v="0"/>
    <x v="0"/>
    <x v="4"/>
    <n v="0.2039151712887439"/>
    <s v="No"/>
    <m/>
  </r>
  <r>
    <n v="47.3"/>
    <d v="2011-12-13T00:00:00"/>
    <x v="0"/>
    <s v="IRRC"/>
    <s v="Kachin"/>
    <s v="Momauk"/>
    <s v="Je Yang Hka "/>
    <m/>
    <m/>
    <m/>
    <n v="250"/>
    <n v="125"/>
    <n v="250"/>
    <n v="125"/>
    <n v="125"/>
    <n v="125"/>
    <n v="125"/>
    <m/>
    <m/>
    <m/>
    <m/>
    <m/>
    <n v="0"/>
    <n v="0"/>
    <n v="0"/>
    <n v="0"/>
    <n v="0"/>
    <n v="0"/>
    <n v="0"/>
    <n v="0"/>
    <n v="0"/>
    <n v="0"/>
    <n v="0"/>
    <n v="0"/>
    <n v="0"/>
    <n v="0"/>
    <x v="0"/>
    <n v="0"/>
    <s v="MMR001CMP121"/>
    <x v="0"/>
    <x v="0"/>
    <x v="4"/>
    <n v="7.3877068557919617E-2"/>
    <s v="No"/>
    <m/>
  </r>
  <r>
    <n v="47.3"/>
    <d v="2011-12-13T00:00:00"/>
    <x v="0"/>
    <s v="IRRC"/>
    <s v="Kachin"/>
    <s v="Waingmaw"/>
    <s v="Maga Yang "/>
    <m/>
    <m/>
    <m/>
    <n v="250"/>
    <n v="125"/>
    <n v="250"/>
    <n v="125"/>
    <n v="125"/>
    <n v="125"/>
    <n v="125"/>
    <m/>
    <m/>
    <m/>
    <m/>
    <m/>
    <n v="0"/>
    <n v="0"/>
    <n v="0"/>
    <n v="0"/>
    <n v="0"/>
    <n v="0"/>
    <n v="0"/>
    <n v="0"/>
    <n v="0"/>
    <n v="0"/>
    <n v="0"/>
    <n v="0"/>
    <n v="0"/>
    <n v="0"/>
    <x v="0"/>
    <n v="0"/>
    <s v="MMR001CMP119"/>
    <x v="0"/>
    <x v="0"/>
    <x v="4"/>
    <n v="0.20525451559934318"/>
    <s v="No"/>
    <m/>
  </r>
  <r>
    <n v="47.3"/>
    <d v="2011-12-13T00:00:00"/>
    <x v="0"/>
    <s v="IRRC"/>
    <s v="Kachin"/>
    <s v="Waingmaw"/>
    <s v="Zai Awng - Mung Ga Zup"/>
    <m/>
    <m/>
    <m/>
    <n v="250"/>
    <n v="125"/>
    <n v="250"/>
    <n v="125"/>
    <n v="125"/>
    <n v="125"/>
    <n v="125"/>
    <m/>
    <m/>
    <m/>
    <m/>
    <m/>
    <n v="0"/>
    <n v="0"/>
    <n v="0"/>
    <n v="0"/>
    <n v="0"/>
    <n v="0"/>
    <n v="0"/>
    <n v="0"/>
    <n v="0"/>
    <n v="0"/>
    <n v="0"/>
    <n v="0"/>
    <n v="0"/>
    <n v="0"/>
    <x v="0"/>
    <n v="0"/>
    <s v="MMR001CMP111"/>
    <x v="0"/>
    <x v="0"/>
    <x v="4"/>
    <n v="0.18382352941176472"/>
    <s v="No"/>
    <m/>
  </r>
  <r>
    <n v="47.366666666666667"/>
    <d v="2011-12-11T00:00:00"/>
    <x v="0"/>
    <s v="Shan Community"/>
    <s v="Kachin"/>
    <s v="Myitkyina"/>
    <s v="Shan Ywar Monestary Camp"/>
    <m/>
    <m/>
    <m/>
    <n v="88"/>
    <n v="49"/>
    <n v="88"/>
    <n v="49"/>
    <n v="49"/>
    <n v="49"/>
    <n v="49"/>
    <m/>
    <m/>
    <m/>
    <m/>
    <m/>
    <n v="0"/>
    <n v="0"/>
    <n v="0"/>
    <n v="0"/>
    <n v="0"/>
    <n v="0"/>
    <n v="0"/>
    <n v="0"/>
    <n v="0"/>
    <n v="0"/>
    <n v="0"/>
    <n v="0"/>
    <n v="0"/>
    <n v="0"/>
    <x v="0"/>
    <n v="0"/>
    <s v=""/>
    <x v="1"/>
    <x v="1"/>
    <x v="1"/>
    <s v=""/>
    <s v="No"/>
    <m/>
  </r>
  <r>
    <n v="47.366666666666667"/>
    <d v="2011-12-11T00:00:00"/>
    <x v="0"/>
    <s v="KBC"/>
    <s v="Kachin"/>
    <s v="Myitkyina"/>
    <s v="Man Hkring Baptist Church"/>
    <m/>
    <m/>
    <m/>
    <n v="6"/>
    <n v="4"/>
    <n v="6"/>
    <n v="4"/>
    <n v="4"/>
    <n v="4"/>
    <n v="4"/>
    <m/>
    <m/>
    <m/>
    <m/>
    <m/>
    <n v="0"/>
    <n v="0"/>
    <n v="0"/>
    <n v="0"/>
    <n v="0"/>
    <n v="0"/>
    <n v="0"/>
    <n v="0"/>
    <n v="0"/>
    <n v="0"/>
    <n v="0"/>
    <n v="0"/>
    <n v="0"/>
    <n v="0"/>
    <x v="0"/>
    <n v="0"/>
    <s v="MMR001CMP008"/>
    <x v="0"/>
    <x v="0"/>
    <x v="0"/>
    <n v="4.1666666666666664E-2"/>
    <s v="No"/>
    <m/>
  </r>
  <r>
    <n v="47.366666666666667"/>
    <d v="2011-12-11T00:00:00"/>
    <x v="0"/>
    <s v="KBC"/>
    <s v="Kachin"/>
    <s v="Myitkyina"/>
    <s v="Shatapru Sut Ngai Tawng"/>
    <m/>
    <m/>
    <m/>
    <n v="2"/>
    <n v="2"/>
    <n v="2"/>
    <n v="2"/>
    <n v="2"/>
    <n v="2"/>
    <n v="2"/>
    <m/>
    <m/>
    <m/>
    <m/>
    <m/>
    <n v="0"/>
    <n v="0"/>
    <n v="0"/>
    <n v="0"/>
    <n v="0"/>
    <n v="0"/>
    <n v="0"/>
    <n v="0"/>
    <n v="0"/>
    <n v="0"/>
    <n v="0"/>
    <n v="0"/>
    <n v="0"/>
    <n v="0"/>
    <x v="0"/>
    <n v="0"/>
    <s v="MMR001CMP006"/>
    <x v="0"/>
    <x v="0"/>
    <x v="0"/>
    <n v="2.1052631578947368E-2"/>
    <s v="No"/>
    <m/>
  </r>
  <r>
    <n v="47.366666666666667"/>
    <d v="2011-12-11T00:00:00"/>
    <x v="0"/>
    <s v="KBC"/>
    <s v="Kachin"/>
    <s v="Myitkyina"/>
    <s v="Tat Kone San Pya Baptist Church"/>
    <m/>
    <m/>
    <m/>
    <n v="3"/>
    <n v="2"/>
    <n v="3"/>
    <n v="2"/>
    <n v="2"/>
    <n v="2"/>
    <n v="2"/>
    <m/>
    <m/>
    <m/>
    <m/>
    <m/>
    <n v="0"/>
    <n v="0"/>
    <n v="0"/>
    <n v="0"/>
    <n v="0"/>
    <n v="0"/>
    <n v="0"/>
    <n v="0"/>
    <n v="0"/>
    <n v="0"/>
    <n v="0"/>
    <n v="0"/>
    <n v="0"/>
    <n v="0"/>
    <x v="0"/>
    <n v="0"/>
    <s v="MMR001CMP005"/>
    <x v="0"/>
    <x v="0"/>
    <x v="0"/>
    <n v="4.5454545454545456E-2"/>
    <s v="No"/>
    <m/>
  </r>
  <r>
    <n v="47.43333333333333"/>
    <d v="2011-12-09T00:00:00"/>
    <x v="0"/>
    <s v="KBC"/>
    <s v="Kachin"/>
    <s v="Myitkyina"/>
    <s v="Le Kone Bethlehem Church"/>
    <m/>
    <m/>
    <m/>
    <n v="13"/>
    <n v="6"/>
    <n v="13"/>
    <n v="6"/>
    <n v="6"/>
    <n v="6"/>
    <n v="6"/>
    <m/>
    <m/>
    <m/>
    <m/>
    <m/>
    <n v="0"/>
    <n v="0"/>
    <n v="0"/>
    <n v="0"/>
    <n v="0"/>
    <n v="0"/>
    <n v="0"/>
    <n v="0"/>
    <n v="0"/>
    <n v="0"/>
    <n v="0"/>
    <n v="0"/>
    <n v="0"/>
    <n v="0"/>
    <x v="0"/>
    <n v="0"/>
    <s v="MMR001CMP015"/>
    <x v="0"/>
    <x v="0"/>
    <x v="0"/>
    <n v="5.5555555555555552E-2"/>
    <s v="No"/>
    <m/>
  </r>
  <r>
    <n v="47.56666666666667"/>
    <d v="2011-12-05T00:00:00"/>
    <x v="0"/>
    <s v="KMSS"/>
    <s v="Kachin"/>
    <s v="Myitkyina"/>
    <s v="Jan Mai Kawng Baptist Church"/>
    <m/>
    <m/>
    <m/>
    <n v="80"/>
    <n v="45"/>
    <n v="80"/>
    <n v="45"/>
    <n v="45"/>
    <n v="45"/>
    <n v="45"/>
    <m/>
    <m/>
    <m/>
    <m/>
    <m/>
    <n v="0"/>
    <n v="0"/>
    <n v="0"/>
    <n v="0"/>
    <n v="0"/>
    <n v="0"/>
    <n v="0"/>
    <n v="0"/>
    <n v="0"/>
    <n v="0"/>
    <n v="0"/>
    <n v="0"/>
    <n v="0"/>
    <n v="0"/>
    <x v="0"/>
    <n v="0"/>
    <s v="MMR001CMP018"/>
    <x v="0"/>
    <x v="0"/>
    <x v="0"/>
    <n v="0.22167487684729065"/>
    <s v="No"/>
    <m/>
  </r>
  <r>
    <n v="47.6"/>
    <d v="2011-12-04T00:00:00"/>
    <x v="0"/>
    <s v="KBC"/>
    <s v="Kachin"/>
    <s v="Myitkyina"/>
    <s v="Shwe Zet Baptist Church"/>
    <m/>
    <m/>
    <m/>
    <n v="52"/>
    <n v="27"/>
    <n v="52"/>
    <n v="27"/>
    <n v="27"/>
    <n v="27"/>
    <n v="27"/>
    <m/>
    <m/>
    <m/>
    <m/>
    <m/>
    <n v="0"/>
    <n v="0"/>
    <n v="0"/>
    <n v="0"/>
    <n v="0"/>
    <n v="0"/>
    <n v="0"/>
    <n v="0"/>
    <n v="0"/>
    <n v="0"/>
    <n v="0"/>
    <n v="0"/>
    <n v="0"/>
    <n v="0"/>
    <x v="0"/>
    <n v="0"/>
    <s v="MMR001CMP009"/>
    <x v="0"/>
    <x v="0"/>
    <x v="0"/>
    <n v="0.3"/>
    <s v="No"/>
    <m/>
  </r>
  <r>
    <n v="48.133333333333333"/>
    <d v="2011-11-18T00:00:00"/>
    <x v="0"/>
    <s v="UNHCR"/>
    <s v="Kachin"/>
    <s v="Myitkyina"/>
    <s v="Bomb Blast Victims"/>
    <m/>
    <m/>
    <m/>
    <n v="24"/>
    <n v="3"/>
    <n v="24"/>
    <n v="3"/>
    <n v="3"/>
    <n v="3"/>
    <n v="3"/>
    <m/>
    <m/>
    <m/>
    <m/>
    <m/>
    <n v="0"/>
    <n v="0"/>
    <n v="0"/>
    <n v="0"/>
    <n v="0"/>
    <n v="0"/>
    <n v="0"/>
    <n v="0"/>
    <n v="0"/>
    <n v="0"/>
    <n v="0"/>
    <n v="0"/>
    <n v="0"/>
    <n v="0"/>
    <x v="0"/>
    <n v="0"/>
    <s v=""/>
    <x v="1"/>
    <x v="1"/>
    <x v="1"/>
    <s v=""/>
    <s v="No"/>
    <m/>
  </r>
  <r>
    <n v="48.133333333333333"/>
    <d v="2011-11-18T00:00:00"/>
    <x v="0"/>
    <s v="UNHCR"/>
    <s v="Kachin"/>
    <s v="Myitkyina"/>
    <s v="Wun Tho Buddhist Monastery"/>
    <m/>
    <m/>
    <m/>
    <n v="175"/>
    <n v="0"/>
    <n v="175"/>
    <n v="0"/>
    <n v="0"/>
    <m/>
    <m/>
    <m/>
    <m/>
    <m/>
    <m/>
    <m/>
    <n v="0"/>
    <n v="0"/>
    <n v="0"/>
    <n v="0"/>
    <n v="0"/>
    <n v="0"/>
    <n v="0"/>
    <n v="0"/>
    <n v="0"/>
    <n v="0"/>
    <n v="0"/>
    <n v="0"/>
    <n v="0"/>
    <n v="0"/>
    <x v="0"/>
    <n v="0"/>
    <s v="MMR001CMP022"/>
    <x v="0"/>
    <x v="0"/>
    <x v="0"/>
    <n v="0"/>
    <s v="No"/>
    <m/>
  </r>
  <r>
    <n v="48.2"/>
    <d v="2011-11-16T00:00:00"/>
    <x v="0"/>
    <s v="KBC"/>
    <s v="Kachin"/>
    <s v="Myitkyina"/>
    <s v="Njang Dung Baptist Church "/>
    <m/>
    <m/>
    <m/>
    <n v="92"/>
    <n v="53"/>
    <n v="92"/>
    <n v="53"/>
    <n v="53"/>
    <n v="53"/>
    <n v="53"/>
    <m/>
    <m/>
    <m/>
    <m/>
    <m/>
    <n v="0"/>
    <n v="0"/>
    <n v="0"/>
    <n v="0"/>
    <n v="0"/>
    <n v="0"/>
    <n v="0"/>
    <n v="0"/>
    <n v="0"/>
    <n v="0"/>
    <n v="0"/>
    <n v="0"/>
    <n v="0"/>
    <n v="0"/>
    <x v="0"/>
    <n v="0"/>
    <s v="MMR001CMP002"/>
    <x v="0"/>
    <x v="0"/>
    <x v="0"/>
    <n v="0.92982456140350878"/>
    <s v="No"/>
    <m/>
  </r>
  <r>
    <n v="48.2"/>
    <d v="2011-11-16T00:00:00"/>
    <x v="0"/>
    <s v="KBC"/>
    <s v="Kachin"/>
    <s v="Myitkyina"/>
    <s v="Tat Kone Galile Baptist Church"/>
    <m/>
    <m/>
    <m/>
    <n v="53"/>
    <n v="31"/>
    <n v="53"/>
    <n v="31"/>
    <n v="31"/>
    <n v="31"/>
    <n v="31"/>
    <m/>
    <m/>
    <m/>
    <m/>
    <m/>
    <n v="0"/>
    <n v="0"/>
    <n v="0"/>
    <n v="0"/>
    <n v="0"/>
    <n v="0"/>
    <n v="0"/>
    <n v="0"/>
    <n v="0"/>
    <n v="0"/>
    <n v="0"/>
    <n v="0"/>
    <n v="0"/>
    <n v="0"/>
    <x v="0"/>
    <n v="0"/>
    <s v="MMR001CMP003"/>
    <x v="0"/>
    <x v="0"/>
    <x v="0"/>
    <n v="0.96875"/>
    <s v="No"/>
    <m/>
  </r>
  <r>
    <n v="48.2"/>
    <d v="2011-11-16T00:00:00"/>
    <x v="0"/>
    <s v="KBC"/>
    <s v="Kachin"/>
    <s v="Myitkyina"/>
    <s v="Shwe Zet Baptist Church"/>
    <m/>
    <m/>
    <m/>
    <n v="63"/>
    <n v="30"/>
    <n v="63"/>
    <n v="30"/>
    <n v="30"/>
    <n v="30"/>
    <n v="30"/>
    <m/>
    <m/>
    <m/>
    <m/>
    <m/>
    <n v="0"/>
    <n v="0"/>
    <n v="0"/>
    <n v="0"/>
    <n v="0"/>
    <n v="0"/>
    <n v="0"/>
    <n v="0"/>
    <n v="0"/>
    <n v="0"/>
    <n v="0"/>
    <n v="0"/>
    <n v="0"/>
    <n v="0"/>
    <x v="0"/>
    <n v="0"/>
    <s v="MMR001CMP009"/>
    <x v="0"/>
    <x v="0"/>
    <x v="0"/>
    <n v="0.33333333333333331"/>
    <s v="No"/>
    <m/>
  </r>
  <r>
    <n v="48.233333333333334"/>
    <d v="2011-11-15T00:00:00"/>
    <x v="0"/>
    <s v="KBC"/>
    <s v="Kachin"/>
    <s v="Myitkyina"/>
    <s v="Tat Kone San Pya Baptist Church"/>
    <m/>
    <m/>
    <m/>
    <n v="30"/>
    <n v="17"/>
    <n v="30"/>
    <n v="17"/>
    <n v="17"/>
    <n v="17"/>
    <n v="17"/>
    <m/>
    <m/>
    <m/>
    <m/>
    <m/>
    <n v="0"/>
    <n v="0"/>
    <n v="0"/>
    <n v="0"/>
    <n v="0"/>
    <n v="0"/>
    <n v="0"/>
    <n v="0"/>
    <n v="0"/>
    <n v="0"/>
    <n v="0"/>
    <n v="0"/>
    <n v="0"/>
    <n v="0"/>
    <x v="0"/>
    <n v="0"/>
    <s v="MMR001CMP005"/>
    <x v="0"/>
    <x v="0"/>
    <x v="0"/>
    <n v="0.38636363636363635"/>
    <s v="No"/>
    <m/>
  </r>
  <r>
    <n v="48.266666666666666"/>
    <d v="2011-11-14T00:00:00"/>
    <x v="0"/>
    <s v="KBC"/>
    <s v="Kachin"/>
    <s v="Myitkyina"/>
    <s v="Kyun Pin Thar Baptist Church"/>
    <m/>
    <m/>
    <m/>
    <n v="47"/>
    <n v="28"/>
    <n v="47"/>
    <n v="28"/>
    <n v="28"/>
    <n v="28"/>
    <n v="28"/>
    <m/>
    <m/>
    <m/>
    <m/>
    <m/>
    <n v="0"/>
    <n v="0"/>
    <n v="0"/>
    <n v="0"/>
    <n v="0"/>
    <n v="0"/>
    <n v="0"/>
    <n v="0"/>
    <n v="0"/>
    <n v="0"/>
    <n v="0"/>
    <n v="0"/>
    <n v="0"/>
    <n v="0"/>
    <x v="0"/>
    <n v="0"/>
    <s v="MMR001CMP013"/>
    <x v="0"/>
    <x v="0"/>
    <x v="0"/>
    <n v="0.62222222222222223"/>
    <s v="No"/>
    <m/>
  </r>
  <r>
    <n v="48.266666666666666"/>
    <d v="2011-11-14T00:00:00"/>
    <x v="0"/>
    <s v="KBC"/>
    <s v="Kachin"/>
    <s v="Myitkyina"/>
    <s v="Le Kone Bethlehem Church"/>
    <m/>
    <m/>
    <m/>
    <n v="52"/>
    <n v="25"/>
    <n v="52"/>
    <n v="25"/>
    <n v="25"/>
    <n v="25"/>
    <n v="25"/>
    <m/>
    <m/>
    <m/>
    <m/>
    <m/>
    <n v="0"/>
    <n v="0"/>
    <n v="0"/>
    <n v="0"/>
    <n v="0"/>
    <n v="0"/>
    <n v="0"/>
    <n v="0"/>
    <n v="0"/>
    <n v="0"/>
    <n v="0"/>
    <n v="0"/>
    <n v="0"/>
    <n v="0"/>
    <x v="0"/>
    <n v="0"/>
    <s v="MMR001CMP015"/>
    <x v="0"/>
    <x v="0"/>
    <x v="0"/>
    <n v="0.23148148148148148"/>
    <s v="No"/>
    <m/>
  </r>
  <r>
    <n v="48.266666666666666"/>
    <d v="2011-11-14T00:00:00"/>
    <x v="0"/>
    <s v="KBC"/>
    <s v="Kachin"/>
    <s v="Myitkyina"/>
    <s v="Maliyang Baptist Church"/>
    <m/>
    <m/>
    <m/>
    <n v="57"/>
    <n v="30"/>
    <n v="57"/>
    <n v="30"/>
    <n v="30"/>
    <n v="30"/>
    <n v="30"/>
    <m/>
    <m/>
    <m/>
    <m/>
    <m/>
    <n v="0"/>
    <n v="0"/>
    <n v="0"/>
    <n v="0"/>
    <n v="0"/>
    <n v="0"/>
    <n v="0"/>
    <n v="0"/>
    <n v="0"/>
    <n v="0"/>
    <n v="0"/>
    <n v="0"/>
    <n v="0"/>
    <n v="0"/>
    <x v="0"/>
    <n v="0"/>
    <s v="MMR001CMP016"/>
    <x v="0"/>
    <x v="0"/>
    <x v="0"/>
    <n v="0.41666666666666669"/>
    <s v="No"/>
    <m/>
  </r>
  <r>
    <n v="48.6"/>
    <d v="2011-11-04T00:00:00"/>
    <x v="0"/>
    <s v="KBC"/>
    <s v="Kachin"/>
    <s v="Myitkyina"/>
    <s v="Jan Mai Kawng Baptist Church"/>
    <m/>
    <m/>
    <m/>
    <n v="208"/>
    <n v="102"/>
    <n v="208"/>
    <n v="102"/>
    <n v="102"/>
    <n v="102"/>
    <n v="102"/>
    <m/>
    <m/>
    <m/>
    <m/>
    <m/>
    <n v="0"/>
    <n v="0"/>
    <n v="0"/>
    <n v="0"/>
    <n v="0"/>
    <n v="0"/>
    <n v="0"/>
    <n v="0"/>
    <n v="0"/>
    <n v="0"/>
    <n v="0"/>
    <n v="0"/>
    <n v="0"/>
    <n v="0"/>
    <x v="0"/>
    <n v="0"/>
    <s v="MMR001CMP018"/>
    <x v="0"/>
    <x v="0"/>
    <x v="0"/>
    <n v="0.50246305418719217"/>
    <s v="No"/>
    <m/>
  </r>
  <r>
    <n v="48.6"/>
    <d v="2011-11-04T00:00:00"/>
    <x v="0"/>
    <s v="KBC"/>
    <s v="Kachin"/>
    <s v="Myitkyina"/>
    <s v="Myay Myint Baptist Church"/>
    <m/>
    <m/>
    <m/>
    <n v="10"/>
    <n v="6"/>
    <n v="10"/>
    <n v="6"/>
    <n v="6"/>
    <n v="6"/>
    <n v="6"/>
    <m/>
    <m/>
    <m/>
    <m/>
    <m/>
    <n v="0"/>
    <n v="0"/>
    <n v="0"/>
    <n v="0"/>
    <n v="0"/>
    <n v="0"/>
    <n v="0"/>
    <n v="0"/>
    <n v="0"/>
    <n v="0"/>
    <n v="0"/>
    <n v="0"/>
    <n v="0"/>
    <n v="0"/>
    <x v="0"/>
    <n v="0"/>
    <s v="MMR001CMP017"/>
    <x v="0"/>
    <x v="2"/>
    <x v="0"/>
    <s v=""/>
    <s v="No"/>
    <m/>
  </r>
  <r>
    <n v="48.633333333333333"/>
    <d v="2011-11-03T00:00:00"/>
    <x v="0"/>
    <s v="KMSS"/>
    <s v="Kachin"/>
    <s v="Myitkyina"/>
    <s v="Jan Mai Kawng Baptist Church"/>
    <m/>
    <m/>
    <m/>
    <n v="106"/>
    <n v="52"/>
    <n v="106"/>
    <n v="52"/>
    <n v="52"/>
    <n v="52"/>
    <n v="52"/>
    <m/>
    <m/>
    <m/>
    <m/>
    <m/>
    <n v="0"/>
    <n v="0"/>
    <n v="0"/>
    <n v="0"/>
    <n v="0"/>
    <n v="0"/>
    <n v="0"/>
    <n v="0"/>
    <n v="0"/>
    <n v="0"/>
    <n v="0"/>
    <n v="0"/>
    <n v="0"/>
    <n v="0"/>
    <x v="0"/>
    <n v="0"/>
    <s v="MMR001CMP018"/>
    <x v="0"/>
    <x v="0"/>
    <x v="0"/>
    <n v="0.25615763546798032"/>
    <s v="No"/>
    <m/>
  </r>
  <r>
    <n v="48.633333333333333"/>
    <d v="2011-11-03T00:00:00"/>
    <x v="0"/>
    <s v="KBC"/>
    <s v="Kachin"/>
    <s v="Myitkyina"/>
    <s v="Le Kone Ziun Baptist Church "/>
    <m/>
    <m/>
    <m/>
    <n v="116"/>
    <n v="49"/>
    <n v="116"/>
    <n v="49"/>
    <n v="49"/>
    <n v="49"/>
    <n v="49"/>
    <m/>
    <m/>
    <m/>
    <m/>
    <m/>
    <n v="0"/>
    <n v="0"/>
    <n v="0"/>
    <n v="0"/>
    <n v="0"/>
    <n v="0"/>
    <n v="0"/>
    <n v="0"/>
    <n v="0"/>
    <n v="0"/>
    <n v="0"/>
    <n v="0"/>
    <n v="0"/>
    <n v="0"/>
    <x v="0"/>
    <n v="0"/>
    <s v="MMR001CMP014"/>
    <x v="0"/>
    <x v="0"/>
    <x v="0"/>
    <n v="0.30061349693251532"/>
    <s v="No"/>
    <m/>
  </r>
  <r>
    <n v="48.633333333333333"/>
    <d v="2011-11-03T00:00:00"/>
    <x v="0"/>
    <s v="KBC"/>
    <s v="Kachin"/>
    <s v="Myitkyina"/>
    <s v="Tat Kone Baptist Church"/>
    <m/>
    <m/>
    <m/>
    <n v="73"/>
    <n v="34"/>
    <n v="73"/>
    <n v="34"/>
    <n v="34"/>
    <n v="34"/>
    <n v="34"/>
    <m/>
    <m/>
    <m/>
    <m/>
    <m/>
    <n v="0"/>
    <n v="0"/>
    <n v="0"/>
    <n v="0"/>
    <n v="0"/>
    <n v="0"/>
    <n v="0"/>
    <n v="0"/>
    <n v="0"/>
    <n v="0"/>
    <n v="0"/>
    <n v="0"/>
    <n v="0"/>
    <n v="0"/>
    <x v="0"/>
    <n v="0"/>
    <s v="MMR001CMP001"/>
    <x v="0"/>
    <x v="0"/>
    <x v="0"/>
    <n v="0.48571428571428571"/>
    <s v="No"/>
    <m/>
  </r>
  <r>
    <n v="48.633333333333333"/>
    <d v="2011-11-03T00:00:00"/>
    <x v="0"/>
    <s v="KMSS"/>
    <s v="Kachin"/>
    <s v="Myitkyina"/>
    <s v="Tat Kone Emanuel Church"/>
    <m/>
    <m/>
    <m/>
    <n v="18"/>
    <n v="8"/>
    <n v="18"/>
    <n v="8"/>
    <n v="8"/>
    <n v="8"/>
    <n v="8"/>
    <m/>
    <m/>
    <m/>
    <m/>
    <m/>
    <n v="0"/>
    <n v="0"/>
    <n v="0"/>
    <n v="0"/>
    <n v="0"/>
    <n v="0"/>
    <n v="0"/>
    <n v="0"/>
    <n v="0"/>
    <n v="0"/>
    <n v="0"/>
    <n v="0"/>
    <n v="0"/>
    <n v="0"/>
    <x v="0"/>
    <n v="0"/>
    <s v="MMR001CMP004"/>
    <x v="0"/>
    <x v="0"/>
    <x v="0"/>
    <n v="0.66666666666666663"/>
    <s v="No"/>
    <m/>
  </r>
  <r>
    <n v="48.633333333333333"/>
    <d v="2011-11-03T00:00:00"/>
    <x v="0"/>
    <s v="KMSS"/>
    <s v="Kachin"/>
    <s v="Myitkyina"/>
    <s v="Shwe Zet Baptist Church"/>
    <m/>
    <m/>
    <m/>
    <n v="18"/>
    <n v="8"/>
    <n v="18"/>
    <n v="8"/>
    <n v="8"/>
    <n v="8"/>
    <n v="8"/>
    <m/>
    <m/>
    <m/>
    <m/>
    <m/>
    <n v="0"/>
    <n v="0"/>
    <n v="0"/>
    <n v="0"/>
    <n v="0"/>
    <n v="0"/>
    <n v="0"/>
    <n v="0"/>
    <n v="0"/>
    <n v="0"/>
    <n v="0"/>
    <n v="0"/>
    <n v="0"/>
    <n v="0"/>
    <x v="0"/>
    <n v="0"/>
    <s v="MMR001CMP009"/>
    <x v="0"/>
    <x v="0"/>
    <x v="0"/>
    <n v="8.8888888888888892E-2"/>
    <s v="No"/>
    <m/>
  </r>
  <r>
    <n v="48.666666666666664"/>
    <d v="2011-11-02T00:00:00"/>
    <x v="0"/>
    <s v="KBC"/>
    <s v="Kachin"/>
    <s v="Myitkyina"/>
    <s v="Du Kahtawng Qtr. 14"/>
    <m/>
    <m/>
    <m/>
    <n v="0"/>
    <n v="5"/>
    <n v="0"/>
    <n v="5"/>
    <n v="5"/>
    <n v="5"/>
    <n v="5"/>
    <m/>
    <m/>
    <m/>
    <m/>
    <m/>
    <n v="0"/>
    <n v="0"/>
    <n v="0"/>
    <n v="0"/>
    <n v="0"/>
    <n v="0"/>
    <n v="0"/>
    <n v="0"/>
    <n v="0"/>
    <n v="0"/>
    <n v="0"/>
    <n v="0"/>
    <n v="0"/>
    <n v="0"/>
    <x v="0"/>
    <n v="0"/>
    <s v="MMR001CMP012"/>
    <x v="0"/>
    <x v="0"/>
    <x v="0"/>
    <n v="0.83333333333333337"/>
    <s v="No"/>
    <m/>
  </r>
  <r>
    <n v="48.666666666666664"/>
    <d v="2011-11-02T00:00:00"/>
    <x v="0"/>
    <s v="KBC"/>
    <s v="Kachin"/>
    <s v="Myitkyina"/>
    <s v="Du Kahtawng Qtr. 4"/>
    <m/>
    <m/>
    <m/>
    <n v="0"/>
    <n v="6"/>
    <n v="0"/>
    <n v="6"/>
    <n v="6"/>
    <n v="6"/>
    <n v="6"/>
    <m/>
    <m/>
    <m/>
    <m/>
    <m/>
    <n v="0"/>
    <n v="0"/>
    <n v="0"/>
    <n v="0"/>
    <n v="0"/>
    <n v="0"/>
    <n v="0"/>
    <n v="0"/>
    <n v="0"/>
    <n v="0"/>
    <n v="0"/>
    <n v="0"/>
    <n v="0"/>
    <n v="0"/>
    <x v="0"/>
    <n v="0"/>
    <s v="MMR001CMP010"/>
    <x v="0"/>
    <x v="0"/>
    <x v="0"/>
    <n v="1"/>
    <s v="No"/>
    <m/>
  </r>
  <r>
    <n v="48.666666666666664"/>
    <d v="2011-11-02T00:00:00"/>
    <x v="0"/>
    <s v="KBC"/>
    <s v="Kachin"/>
    <s v="Myitkyina"/>
    <s v="Du Kahtawng Qtr. 5"/>
    <m/>
    <m/>
    <m/>
    <n v="39"/>
    <n v="8"/>
    <n v="39"/>
    <n v="8"/>
    <n v="8"/>
    <n v="8"/>
    <n v="8"/>
    <m/>
    <m/>
    <m/>
    <m/>
    <m/>
    <n v="0"/>
    <n v="0"/>
    <n v="0"/>
    <n v="0"/>
    <n v="0"/>
    <n v="0"/>
    <n v="0"/>
    <n v="0"/>
    <n v="0"/>
    <n v="0"/>
    <n v="0"/>
    <n v="0"/>
    <n v="0"/>
    <n v="0"/>
    <x v="0"/>
    <n v="0"/>
    <s v="MMR001CMP011"/>
    <x v="0"/>
    <x v="0"/>
    <x v="0"/>
    <n v="0.16"/>
    <s v="No"/>
    <m/>
  </r>
  <r>
    <n v="48.666666666666664"/>
    <d v="2011-11-02T00:00:00"/>
    <x v="0"/>
    <s v="KBC"/>
    <s v="Kachin"/>
    <s v="Myitkyina"/>
    <s v="Man Hkring Baptist Church"/>
    <m/>
    <m/>
    <m/>
    <n v="112"/>
    <n v="68"/>
    <n v="112"/>
    <n v="68"/>
    <n v="68"/>
    <n v="68"/>
    <n v="68"/>
    <m/>
    <m/>
    <m/>
    <m/>
    <m/>
    <n v="0"/>
    <n v="0"/>
    <n v="0"/>
    <n v="0"/>
    <n v="0"/>
    <n v="0"/>
    <n v="0"/>
    <n v="0"/>
    <n v="0"/>
    <n v="0"/>
    <n v="0"/>
    <n v="0"/>
    <n v="0"/>
    <n v="0"/>
    <x v="0"/>
    <n v="0"/>
    <s v="MMR001CMP008"/>
    <x v="0"/>
    <x v="0"/>
    <x v="0"/>
    <n v="0.70833333333333337"/>
    <s v="No"/>
    <m/>
  </r>
  <r>
    <n v="48.666666666666664"/>
    <d v="2011-11-02T00:00:00"/>
    <x v="0"/>
    <s v="KBC"/>
    <s v="Kachin"/>
    <s v="Myitkyina"/>
    <s v="Shatapru Sut Ngai Tawng"/>
    <m/>
    <m/>
    <m/>
    <n v="219"/>
    <n v="117"/>
    <n v="219"/>
    <n v="117"/>
    <n v="117"/>
    <n v="117"/>
    <n v="117"/>
    <m/>
    <m/>
    <m/>
    <m/>
    <m/>
    <n v="0"/>
    <n v="0"/>
    <n v="0"/>
    <n v="0"/>
    <n v="0"/>
    <n v="0"/>
    <n v="0"/>
    <n v="0"/>
    <n v="0"/>
    <n v="0"/>
    <n v="0"/>
    <n v="0"/>
    <n v="0"/>
    <n v="0"/>
    <x v="0"/>
    <n v="0"/>
    <s v="MMR001CMP006"/>
    <x v="0"/>
    <x v="0"/>
    <x v="0"/>
    <n v="1.2315789473684211"/>
    <s v="No"/>
    <m/>
  </r>
  <r>
    <n v="48.666666666666664"/>
    <d v="2011-11-02T00:00:00"/>
    <x v="0"/>
    <s v="KBC"/>
    <s v="Kachin"/>
    <s v="Myitkyina"/>
    <s v="Shatapru Thida Aye Baptist Church"/>
    <m/>
    <m/>
    <m/>
    <n v="2"/>
    <n v="1"/>
    <n v="2"/>
    <n v="1"/>
    <n v="1"/>
    <n v="1"/>
    <n v="1"/>
    <m/>
    <m/>
    <m/>
    <m/>
    <m/>
    <n v="0"/>
    <n v="0"/>
    <n v="0"/>
    <n v="0"/>
    <n v="0"/>
    <n v="0"/>
    <n v="0"/>
    <n v="0"/>
    <n v="0"/>
    <n v="0"/>
    <n v="0"/>
    <n v="0"/>
    <n v="0"/>
    <n v="0"/>
    <x v="0"/>
    <n v="0"/>
    <s v="MMR001CMP007"/>
    <x v="0"/>
    <x v="0"/>
    <x v="0"/>
    <n v="3.5714285714285712E-2"/>
    <s v="N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4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1"/>
        <item h="1" x="0"/>
        <item t="default"/>
      </items>
    </pivotField>
    <pivotField showAll="0"/>
    <pivotField showAll="0" defaultSubtotal="0"/>
    <pivotField showAl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891">
      <pivotArea field="0" type="button" dataOnly="0" labelOnly="1" outline="0" axis="axisPage" fieldPosition="0"/>
    </format>
    <format dxfId="890">
      <pivotArea dataOnly="0" labelOnly="1" outline="0" fieldPosition="0">
        <references count="1">
          <reference field="0" count="0"/>
        </references>
      </pivotArea>
    </format>
    <format dxfId="889">
      <pivotArea type="all" dataOnly="0" outline="0" fieldPosition="0"/>
    </format>
    <format dxfId="888">
      <pivotArea type="all" dataOnly="0" outline="0" fieldPosition="0"/>
    </format>
    <format dxfId="887">
      <pivotArea collapsedLevelsAreSubtotals="1" fieldPosition="0">
        <references count="1">
          <reference field="21" count="4">
            <x v="0"/>
            <x v="1"/>
            <x v="2"/>
            <x v="3"/>
          </reference>
        </references>
      </pivotArea>
    </format>
    <format dxfId="886">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4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904">
      <pivotArea type="all" dataOnly="0" outline="0" fieldPosition="0"/>
    </format>
    <format dxfId="903">
      <pivotArea field="1" type="button" dataOnly="0" labelOnly="1" outline="0" axis="axisPage" fieldPosition="0"/>
    </format>
    <format dxfId="902">
      <pivotArea grandRow="1" outline="0" collapsedLevelsAreSubtotals="1" fieldPosition="0"/>
    </format>
    <format dxfId="901">
      <pivotArea dataOnly="0" labelOnly="1" grandRow="1" outline="0" fieldPosition="0"/>
    </format>
    <format dxfId="900">
      <pivotArea outline="0" collapsedLevelsAreSubtotals="1" fieldPosition="0"/>
    </format>
    <format dxfId="899">
      <pivotArea dataOnly="0" labelOnly="1" fieldPosition="0">
        <references count="1">
          <reference field="0" count="0"/>
        </references>
      </pivotArea>
    </format>
    <format dxfId="898">
      <pivotArea dataOnly="0" labelOnly="1" grandRow="1" outline="0" fieldPosition="0"/>
    </format>
    <format dxfId="897">
      <pivotArea type="topRight" dataOnly="0" labelOnly="1" outline="0" fieldPosition="0"/>
    </format>
    <format dxfId="896">
      <pivotArea type="all" dataOnly="0" outline="0" fieldPosition="0"/>
    </format>
    <format dxfId="895">
      <pivotArea dataOnly="0" labelOnly="1" outline="0" fieldPosition="0">
        <references count="1">
          <reference field="1" count="0"/>
        </references>
      </pivotArea>
    </format>
    <format dxfId="894">
      <pivotArea type="all" dataOnly="0" outline="0" fieldPosition="0"/>
    </format>
    <format dxfId="893">
      <pivotArea collapsedLevelsAreSubtotals="1" fieldPosition="0">
        <references count="1">
          <reference field="0" count="0"/>
        </references>
      </pivotArea>
    </format>
    <format dxfId="892">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4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5"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4">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t="grand">
      <x/>
    </i>
  </rowItems>
  <colItems count="1">
    <i/>
  </colItems>
  <pageFields count="1">
    <pageField fld="1" hier="-1"/>
  </pageFields>
  <dataFields count="1">
    <dataField name="Population" fld="17" baseField="5" baseItem="22"/>
  </dataFields>
  <formats count="5">
    <format dxfId="909">
      <pivotArea type="all" dataOnly="0" outline="0" fieldPosition="0"/>
    </format>
    <format dxfId="908">
      <pivotArea field="1" type="button" dataOnly="0" labelOnly="1" outline="0" axis="axisPage" fieldPosition="0"/>
    </format>
    <format dxfId="907">
      <pivotArea dataOnly="0" labelOnly="1" outline="0" fieldPosition="0">
        <references count="1">
          <reference field="4294967294" count="1">
            <x v="0"/>
          </reference>
        </references>
      </pivotArea>
    </format>
    <format dxfId="906">
      <pivotArea grandRow="1" outline="0" collapsedLevelsAreSubtotals="1" fieldPosition="0"/>
    </format>
    <format dxfId="905">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4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34" firstHeaderRow="0" firstDataRow="1" firstDataCol="1" rowPageCount="3" colPageCount="1"/>
  <pivotFields count="42">
    <pivotField axis="axisRow" multipleItemSelectionAllowed="1" showAll="0">
      <items count="3">
        <item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25">
    <i>
      <x/>
    </i>
    <i r="1">
      <x/>
    </i>
    <i r="1">
      <x v="1"/>
    </i>
    <i r="1">
      <x v="2"/>
    </i>
    <i r="1">
      <x v="3"/>
    </i>
    <i r="1">
      <x v="5"/>
    </i>
    <i r="1">
      <x v="6"/>
    </i>
    <i r="1">
      <x v="7"/>
    </i>
    <i r="1">
      <x v="8"/>
    </i>
    <i r="1">
      <x v="9"/>
    </i>
    <i r="1">
      <x v="10"/>
    </i>
    <i r="1">
      <x v="11"/>
    </i>
    <i>
      <x v="1"/>
    </i>
    <i r="1">
      <x/>
    </i>
    <i r="1">
      <x v="1"/>
    </i>
    <i r="1">
      <x v="2"/>
    </i>
    <i r="1">
      <x v="4"/>
    </i>
    <i r="1">
      <x v="5"/>
    </i>
    <i r="1">
      <x v="6"/>
    </i>
    <i r="1">
      <x v="7"/>
    </i>
    <i r="1">
      <x v="8"/>
    </i>
    <i r="1">
      <x v="9"/>
    </i>
    <i r="1">
      <x v="10"/>
    </i>
    <i r="1">
      <x v="1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929">
      <pivotArea type="all" dataOnly="0" outline="0" fieldPosition="0"/>
    </format>
    <format dxfId="928">
      <pivotArea field="1" type="button" dataOnly="0" labelOnly="1" outline="0" axis="axisPage" fieldPosition="0"/>
    </format>
    <format dxfId="927">
      <pivotArea dataOnly="0" labelOnly="1" outline="0" fieldPosition="0">
        <references count="1">
          <reference field="4294967294" count="2">
            <x v="0"/>
            <x v="1"/>
          </reference>
        </references>
      </pivotArea>
    </format>
    <format dxfId="926">
      <pivotArea grandRow="1" outline="0" collapsedLevelsAreSubtotals="1" fieldPosition="0"/>
    </format>
    <format dxfId="925">
      <pivotArea dataOnly="0" labelOnly="1" grandRow="1" outline="0" fieldPosition="0"/>
    </format>
    <format dxfId="924">
      <pivotArea outline="0" collapsedLevelsAreSubtotals="1" fieldPosition="0"/>
    </format>
    <format dxfId="923">
      <pivotArea dataOnly="0" labelOnly="1" fieldPosition="0">
        <references count="1">
          <reference field="0" count="0"/>
        </references>
      </pivotArea>
    </format>
    <format dxfId="922">
      <pivotArea dataOnly="0" labelOnly="1" grandRow="1" outline="0" fieldPosition="0"/>
    </format>
    <format dxfId="921">
      <pivotArea outline="0" collapsedLevelsAreSubtotals="1" fieldPosition="0">
        <references count="1">
          <reference field="4294967294" count="1" selected="0">
            <x v="1"/>
          </reference>
        </references>
      </pivotArea>
    </format>
    <format dxfId="920">
      <pivotArea dataOnly="0" labelOnly="1" outline="0" fieldPosition="0">
        <references count="1">
          <reference field="4294967294" count="1">
            <x v="1"/>
          </reference>
        </references>
      </pivotArea>
    </format>
    <format dxfId="919">
      <pivotArea type="all" dataOnly="0" outline="0" fieldPosition="0"/>
    </format>
    <format dxfId="918">
      <pivotArea field="1" type="button" dataOnly="0" labelOnly="1" outline="0" axis="axisPage" fieldPosition="0"/>
    </format>
    <format dxfId="917">
      <pivotArea dataOnly="0" labelOnly="1" outline="0" fieldPosition="0">
        <references count="1">
          <reference field="1" count="0"/>
        </references>
      </pivotArea>
    </format>
    <format dxfId="916">
      <pivotArea field="5" type="button" dataOnly="0" labelOnly="1" outline="0" axis="axisPage" fieldPosition="1"/>
    </format>
    <format dxfId="915">
      <pivotArea dataOnly="0" labelOnly="1" outline="0" fieldPosition="0">
        <references count="1">
          <reference field="5" count="0"/>
        </references>
      </pivotArea>
    </format>
    <format dxfId="914">
      <pivotArea field="1" type="button" dataOnly="0" labelOnly="1" outline="0" axis="axisPage" fieldPosition="0"/>
    </format>
    <format dxfId="913">
      <pivotArea dataOnly="0" labelOnly="1" outline="0" fieldPosition="0">
        <references count="1">
          <reference field="1" count="0"/>
        </references>
      </pivotArea>
    </format>
    <format dxfId="912">
      <pivotArea field="5" type="button" dataOnly="0" labelOnly="1" outline="0" axis="axisPage" fieldPosition="1"/>
    </format>
    <format dxfId="911">
      <pivotArea dataOnly="0" labelOnly="1" outline="0" fieldPosition="0">
        <references count="1">
          <reference field="5" count="0"/>
        </references>
      </pivotArea>
    </format>
    <format dxfId="910">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4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1"/>
        <item h="1" x="0"/>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2"/>
        <item x="0"/>
        <item x="1"/>
        <item x="4"/>
        <item x="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950">
      <pivotArea type="all" dataOnly="0" outline="0" fieldPosition="0"/>
    </format>
    <format dxfId="949">
      <pivotArea grandRow="1" outline="0" collapsedLevelsAreSubtotals="1" fieldPosition="0"/>
    </format>
    <format dxfId="948">
      <pivotArea dataOnly="0" labelOnly="1" grandRow="1" outline="0" fieldPosition="0"/>
    </format>
    <format dxfId="947">
      <pivotArea outline="0" collapsedLevelsAreSubtotals="1" fieldPosition="0"/>
    </format>
    <format dxfId="946">
      <pivotArea dataOnly="0" labelOnly="1" fieldPosition="0">
        <references count="1">
          <reference field="0" count="0"/>
        </references>
      </pivotArea>
    </format>
    <format dxfId="945">
      <pivotArea dataOnly="0" labelOnly="1" grandRow="1" outline="0" fieldPosition="0"/>
    </format>
    <format dxfId="944">
      <pivotArea outline="0" fieldPosition="0">
        <references count="1">
          <reference field="4294967294" count="1">
            <x v="2"/>
          </reference>
        </references>
      </pivotArea>
    </format>
    <format dxfId="943">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942">
      <pivotArea collapsedLevelsAreSubtotals="1" fieldPosition="0">
        <references count="3">
          <reference field="4294967294" count="1" selected="0">
            <x v="2"/>
          </reference>
          <reference field="1" count="1" selected="0">
            <x v="0"/>
          </reference>
          <reference field="19" count="1">
            <x v="1"/>
          </reference>
        </references>
      </pivotArea>
    </format>
    <format dxfId="941">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940">
      <pivotArea collapsedLevelsAreSubtotals="1" fieldPosition="0">
        <references count="2">
          <reference field="4294967294" count="1" selected="0">
            <x v="2"/>
          </reference>
          <reference field="1" count="1">
            <x v="1"/>
          </reference>
        </references>
      </pivotArea>
    </format>
    <format dxfId="939">
      <pivotArea field="1" grandRow="1" outline="0" collapsedLevelsAreSubtotals="1" axis="axisRow" fieldPosition="0">
        <references count="1">
          <reference field="4294967294" count="1" selected="0">
            <x v="2"/>
          </reference>
        </references>
      </pivotArea>
    </format>
    <format dxfId="938">
      <pivotArea field="0" type="button" dataOnly="0" labelOnly="1" outline="0" axis="axisPage" fieldPosition="0"/>
    </format>
    <format dxfId="937">
      <pivotArea dataOnly="0" labelOnly="1" outline="0" fieldPosition="0">
        <references count="1">
          <reference field="0" count="0"/>
        </references>
      </pivotArea>
    </format>
    <format dxfId="936">
      <pivotArea field="0" type="button" dataOnly="0" labelOnly="1" outline="0" axis="axisPage" fieldPosition="0"/>
    </format>
    <format dxfId="935">
      <pivotArea dataOnly="0" labelOnly="1" outline="0" fieldPosition="0">
        <references count="1">
          <reference field="0" count="0"/>
        </references>
      </pivotArea>
    </format>
    <format dxfId="934">
      <pivotArea collapsedLevelsAreSubtotals="1" fieldPosition="0">
        <references count="1">
          <reference field="1" count="1">
            <x v="0"/>
          </reference>
        </references>
      </pivotArea>
    </format>
    <format dxfId="933">
      <pivotArea field="1" type="button" dataOnly="0" labelOnly="1" outline="0" axis="axisRow" fieldPosition="0"/>
    </format>
    <format dxfId="932">
      <pivotArea dataOnly="0" labelOnly="1" fieldPosition="0">
        <references count="1">
          <reference field="1" count="1">
            <x v="0"/>
          </reference>
        </references>
      </pivotArea>
    </format>
    <format dxfId="931">
      <pivotArea dataOnly="0" labelOnly="1" outline="0" fieldPosition="0">
        <references count="1">
          <reference field="4294967294" count="3">
            <x v="0"/>
            <x v="1"/>
            <x v="2"/>
          </reference>
        </references>
      </pivotArea>
    </format>
    <format dxfId="9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4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1"/>
        <item h="1" x="0"/>
        <item t="default"/>
      </items>
    </pivotField>
    <pivotField showAll="0"/>
    <pivotField showAll="0" defaultSubtotal="0"/>
    <pivotField showAll="0"/>
    <pivotField showAll="0" defaultSubtotal="0"/>
    <pivotField showAll="0" defaultSubtotal="0">
      <items count="21">
        <item x="1"/>
        <item x="4"/>
        <item x="0"/>
        <item x="18"/>
        <item x="14"/>
        <item x="13"/>
        <item x="7"/>
        <item x="15"/>
        <item x="2"/>
        <item x="16"/>
        <item x="12"/>
        <item x="8"/>
        <item x="5"/>
        <item x="10"/>
        <item x="6"/>
        <item x="17"/>
        <item x="19"/>
        <item x="11"/>
        <item x="9"/>
        <item x="20"/>
        <item x="3"/>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4"/>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952">
      <pivotArea outline="0" collapsedLevelsAreSubtotals="1" fieldPosition="0"/>
    </format>
    <format dxfId="9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40"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196" firstHeaderRow="0" firstDataRow="1" firstDataCol="7" rowPageCount="2" colPageCount="1"/>
  <pivotFields count="42">
    <pivotField axis="axisPage" compact="0" outline="0" multipleItemSelectionAllowed="1" showAll="0">
      <items count="3">
        <item x="1"/>
        <item h="1" x="0"/>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2">
        <item x="1"/>
        <item x="4"/>
        <item x="0"/>
        <item x="18"/>
        <item x="14"/>
        <item x="13"/>
        <item x="7"/>
        <item x="15"/>
        <item x="2"/>
        <item x="16"/>
        <item x="12"/>
        <item x="8"/>
        <item x="5"/>
        <item x="10"/>
        <item x="6"/>
        <item x="17"/>
        <item x="19"/>
        <item x="11"/>
        <item x="9"/>
        <item x="20"/>
        <item x="3"/>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1"/>
        <item x="2"/>
        <item x="4"/>
        <item x="3"/>
      </items>
    </pivotField>
    <pivotField compact="0" outline="0" showAll="0" defaultSubtotal="0">
      <items count="4">
        <item x="3"/>
        <item x="1"/>
        <item x="2"/>
        <item x="0"/>
      </items>
    </pivotField>
    <pivotField compact="0" outline="0" showAll="0" defaultSubtotal="0"/>
    <pivotField compact="0" outline="0" showAll="0" defaultSubtotal="0"/>
    <pivotField axis="axisRow" compact="0" outline="0" showAll="0" defaultSubtotal="0">
      <items count="6">
        <item x="1"/>
        <item x="3"/>
        <item x="2"/>
        <item x="4"/>
        <item n=" " x="0"/>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2">
        <item x="3"/>
        <item x="8"/>
        <item x="0"/>
        <item x="10"/>
        <item x="5"/>
        <item x="11"/>
        <item x="4"/>
        <item x="1"/>
        <item x="6"/>
        <item x="9"/>
        <item x="7"/>
        <item x="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189">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20"/>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8"/>
      <x/>
      <x/>
      <x/>
    </i>
    <i r="2">
      <x v="222"/>
      <x v="231"/>
      <x/>
      <x/>
      <x/>
    </i>
    <i t="default" r="1">
      <x v="2"/>
    </i>
    <i r="1">
      <x v="5"/>
      <x v="56"/>
      <x v="73"/>
      <x/>
      <x v="4"/>
      <x/>
    </i>
    <i t="default" r="1">
      <x v="5"/>
    </i>
    <i r="1">
      <x v="8"/>
      <x v="18"/>
      <x v="121"/>
      <x/>
      <x v="1"/>
      <x v="1"/>
    </i>
    <i r="2">
      <x v="38"/>
      <x v="166"/>
      <x v="1"/>
      <x v="4"/>
      <x/>
    </i>
    <i r="2">
      <x v="60"/>
      <x v="120"/>
      <x/>
      <x v="1"/>
      <x v="1"/>
    </i>
    <i r="2">
      <x v="82"/>
      <x v="186"/>
      <x/>
      <x/>
      <x/>
    </i>
    <i r="2">
      <x v="90"/>
      <x v="124"/>
      <x/>
      <x/>
      <x/>
    </i>
    <i r="2">
      <x v="91"/>
      <x v="123"/>
      <x/>
      <x v="1"/>
      <x/>
    </i>
    <i r="2">
      <x v="92"/>
      <x v="125"/>
      <x v="1"/>
      <x v="4"/>
      <x/>
    </i>
    <i r="2">
      <x v="98"/>
      <x v="65"/>
      <x/>
      <x/>
      <x/>
    </i>
    <i r="2">
      <x v="209"/>
      <x v="218"/>
      <x/>
      <x v="1"/>
      <x/>
    </i>
    <i r="2">
      <x v="212"/>
      <x v="221"/>
      <x/>
      <x v="1"/>
      <x v="1"/>
    </i>
    <i r="2">
      <x v="216"/>
      <x v="226"/>
      <x/>
      <x v="1"/>
      <x/>
    </i>
    <i r="2">
      <x v="220"/>
      <x v="229"/>
      <x/>
      <x/>
      <x/>
    </i>
    <i t="default" r="1">
      <x v="8"/>
    </i>
    <i r="1">
      <x v="10"/>
      <x v="55"/>
      <x v="76"/>
      <x/>
      <x/>
      <x/>
    </i>
    <i r="2">
      <x v="97"/>
      <x v="75"/>
      <x/>
      <x/>
      <x/>
    </i>
    <i r="2">
      <x v="149"/>
      <x v="77"/>
      <x/>
      <x/>
      <x/>
    </i>
    <i r="2">
      <x v="233"/>
      <x v="236"/>
      <x v="1"/>
      <x v="4"/>
      <x/>
    </i>
    <i r="2">
      <x v="234"/>
      <x v="237"/>
      <x v="1"/>
      <x v="4"/>
      <x/>
    </i>
    <i r="2">
      <x v="235"/>
      <x v="238"/>
      <x/>
      <x v="2"/>
      <x/>
    </i>
    <i t="default" r="1">
      <x v="10"/>
    </i>
    <i r="1">
      <x v="11"/>
      <x v="152"/>
      <x v="133"/>
      <x/>
      <x/>
      <x/>
    </i>
    <i r="2">
      <x v="183"/>
      <x v="78"/>
      <x/>
      <x v="2"/>
      <x/>
    </i>
    <i r="2">
      <x v="223"/>
      <x v="232"/>
      <x v="1"/>
      <x v="4"/>
      <x/>
    </i>
    <i r="2">
      <x v="224"/>
      <x v="233"/>
      <x v="1"/>
      <x v="4"/>
      <x/>
    </i>
    <i t="default" r="1">
      <x v="11"/>
    </i>
    <i r="1">
      <x v="12"/>
      <x v="27"/>
      <x v="118"/>
      <x/>
      <x v="2"/>
      <x v="1"/>
    </i>
    <i r="2">
      <x v="38"/>
      <x v="167"/>
      <x v="1"/>
      <x v="4"/>
      <x/>
    </i>
    <i r="2">
      <x v="42"/>
      <x v="117"/>
      <x/>
      <x v="2"/>
      <x v="1"/>
    </i>
    <i r="2">
      <x v="48"/>
      <x v="116"/>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6"/>
      <x v="58"/>
      <x/>
      <x v="3"/>
      <x/>
    </i>
    <i r="2">
      <x v="158"/>
      <x v="71"/>
      <x/>
      <x/>
      <x/>
    </i>
    <i r="2">
      <x v="160"/>
      <x v="119"/>
      <x/>
      <x v="1"/>
      <x v="1"/>
    </i>
    <i r="2">
      <x v="164"/>
      <x v="64"/>
      <x v="1"/>
      <x v="4"/>
      <x/>
    </i>
    <i r="2">
      <x v="175"/>
      <x v="72"/>
      <x/>
      <x/>
      <x/>
    </i>
    <i r="2">
      <x v="188"/>
      <x v="59"/>
      <x v="1"/>
      <x v="4"/>
      <x/>
    </i>
    <i r="2">
      <x v="238"/>
      <x v="241"/>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2"/>
      <x v="1"/>
      <x v="4"/>
      <x/>
    </i>
    <i r="2">
      <x v="231"/>
      <x v="235"/>
      <x/>
      <x/>
      <x/>
    </i>
    <i t="default" r="1">
      <x v="17"/>
    </i>
    <i r="1">
      <x v="18"/>
      <x v="38"/>
      <x v="169"/>
      <x v="1"/>
      <x v="4"/>
      <x/>
    </i>
    <i r="2">
      <x v="61"/>
      <x v="130"/>
      <x v="1"/>
      <x v="4"/>
      <x v="1"/>
    </i>
    <i r="2">
      <x v="179"/>
      <x v="66"/>
      <x/>
      <x/>
      <x/>
    </i>
    <i r="2">
      <x v="180"/>
      <x v="67"/>
      <x/>
      <x v="1"/>
      <x/>
    </i>
    <i t="default" r="1">
      <x v="18"/>
    </i>
    <i r="1">
      <x v="19"/>
      <x v="185"/>
      <x v="175"/>
      <x/>
      <x v="4"/>
      <x/>
    </i>
    <i r="2">
      <x v="236"/>
      <x v="239"/>
      <x/>
      <x v="4"/>
      <x/>
    </i>
    <i r="2">
      <x v="237"/>
      <x v="240"/>
      <x/>
      <x v="4"/>
      <x/>
    </i>
    <i t="default" r="1">
      <x v="19"/>
    </i>
    <i r="1">
      <x v="20"/>
      <x v="17"/>
      <x v="108"/>
      <x/>
      <x v="2"/>
      <x v="1"/>
    </i>
    <i r="2">
      <x v="33"/>
      <x v="27"/>
      <x/>
      <x v="3"/>
      <x/>
    </i>
    <i r="2">
      <x v="34"/>
      <x v="110"/>
      <x/>
      <x/>
      <x v="1"/>
    </i>
    <i r="2">
      <x v="44"/>
      <x v="176"/>
      <x v="2"/>
      <x v="4"/>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198"/>
      <x v="35"/>
      <x v="2"/>
      <x/>
      <x/>
    </i>
    <i r="2">
      <x v="201"/>
      <x v="111"/>
      <x/>
      <x v="2"/>
      <x v="1"/>
    </i>
    <i r="2">
      <x v="228"/>
      <x v="115"/>
      <x/>
      <x/>
      <x v="1"/>
    </i>
    <i r="2">
      <x v="230"/>
      <x v="107"/>
      <x/>
      <x/>
      <x v="1"/>
    </i>
    <i t="default" r="1">
      <x v="20"/>
    </i>
    <i t="default">
      <x/>
    </i>
    <i>
      <x v="1"/>
      <x v="3"/>
      <x v="148"/>
      <x v="213"/>
      <x v="1"/>
      <x v="4"/>
      <x v="1"/>
    </i>
    <i r="2">
      <x v="232"/>
      <x v="234"/>
      <x/>
      <x/>
      <x/>
    </i>
    <i t="default" r="1">
      <x v="3"/>
    </i>
    <i r="1">
      <x v="6"/>
      <x v="51"/>
      <x v="203"/>
      <x/>
      <x/>
      <x/>
    </i>
    <i r="2">
      <x v="52"/>
      <x v="204"/>
      <x/>
      <x/>
      <x/>
    </i>
    <i r="2">
      <x v="53"/>
      <x v="205"/>
      <x/>
      <x v="5"/>
      <x/>
    </i>
    <i r="2">
      <x v="116"/>
      <x v="206"/>
      <x/>
      <x/>
      <x/>
    </i>
    <i r="2">
      <x v="123"/>
      <x v="196"/>
      <x/>
      <x/>
      <x/>
    </i>
    <i r="2">
      <x v="137"/>
      <x v="197"/>
      <x/>
      <x/>
      <x/>
    </i>
    <i r="2">
      <x v="208"/>
      <x v="208"/>
      <x/>
      <x/>
      <x/>
    </i>
    <i r="2">
      <x v="221"/>
      <x v="230"/>
      <x/>
      <x v="5"/>
      <x/>
    </i>
    <i r="2">
      <x v="239"/>
      <x v="242"/>
      <x/>
      <x v="4"/>
      <x/>
    </i>
    <i t="default" r="1">
      <x v="6"/>
    </i>
    <i r="1">
      <x v="9"/>
      <x v="95"/>
      <x v="198"/>
      <x/>
      <x/>
      <x/>
    </i>
    <i r="2">
      <x v="96"/>
      <x v="214"/>
      <x/>
      <x v="5"/>
      <x/>
    </i>
    <i t="default" r="1">
      <x v="9"/>
    </i>
    <i r="1">
      <x v="13"/>
      <x v="39"/>
      <x v="199"/>
      <x v="1"/>
      <x v="4"/>
      <x/>
    </i>
    <i r="2">
      <x v="40"/>
      <x v="209"/>
      <x v="1"/>
      <x v="4"/>
      <x v="1"/>
    </i>
    <i r="2">
      <x v="119"/>
      <x v="201"/>
      <x/>
      <x/>
      <x v="1"/>
    </i>
    <i r="2">
      <x v="120"/>
      <x v="195"/>
      <x v="1"/>
      <x v="4"/>
      <x v="1"/>
    </i>
    <i r="2">
      <x v="135"/>
      <x v="212"/>
      <x/>
      <x/>
      <x v="1"/>
    </i>
    <i r="2">
      <x v="136"/>
      <x v="200"/>
      <x v="1"/>
      <x v="4"/>
      <x/>
    </i>
    <i r="2">
      <x v="214"/>
      <x v="223"/>
      <x/>
      <x/>
      <x/>
    </i>
    <i r="2">
      <x v="217"/>
      <x v="227"/>
      <x/>
      <x v="5"/>
      <x/>
    </i>
    <i t="default" r="1">
      <x v="13"/>
    </i>
    <i r="1">
      <x v="15"/>
      <x v="130"/>
      <x v="194"/>
      <x/>
      <x/>
      <x/>
    </i>
    <i r="2">
      <x v="131"/>
      <x v="191"/>
      <x/>
      <x/>
      <x/>
    </i>
    <i r="2">
      <x v="132"/>
      <x v="193"/>
      <x/>
      <x v="5"/>
      <x/>
    </i>
    <i r="2">
      <x v="215"/>
      <x v="224"/>
      <x/>
      <x/>
      <x/>
    </i>
    <i r="2">
      <x v="219"/>
      <x v="225"/>
      <x/>
      <x/>
      <x/>
    </i>
    <i t="default" r="1">
      <x v="15"/>
    </i>
    <i r="1">
      <x v="16"/>
      <x v="142"/>
      <x v="202"/>
      <x/>
      <x/>
      <x/>
    </i>
    <i r="2">
      <x v="143"/>
      <x v="215"/>
      <x v="1"/>
      <x v="4"/>
      <x/>
    </i>
    <i t="default" r="1">
      <x v="16"/>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33">
    <format dxfId="885">
      <pivotArea outline="0" collapsedLevelsAreSubtotals="1" fieldPosition="0"/>
    </format>
    <format dxfId="884">
      <pivotArea dataOnly="0" labelOnly="1" outline="0" fieldPosition="0">
        <references count="1">
          <reference field="4294967294" count="2">
            <x v="0"/>
            <x v="1"/>
          </reference>
        </references>
      </pivotArea>
    </format>
    <format dxfId="883">
      <pivotArea grandRow="1" outline="0" collapsedLevelsAreSubtotals="1" fieldPosition="0"/>
    </format>
    <format dxfId="882">
      <pivotArea dataOnly="0" labelOnly="1" grandRow="1" outline="0" fieldPosition="0"/>
    </format>
    <format dxfId="881">
      <pivotArea grandRow="1" outline="0" collapsedLevelsAreSubtotals="1" fieldPosition="0"/>
    </format>
    <format dxfId="880">
      <pivotArea dataOnly="0" labelOnly="1" grandRow="1" outline="0" fieldPosition="0"/>
    </format>
    <format dxfId="879">
      <pivotArea field="21" type="button" dataOnly="0" labelOnly="1" outline="0" axis="axisRow" fieldPosition="4"/>
    </format>
    <format dxfId="878">
      <pivotArea field="25" type="button" dataOnly="0" labelOnly="1" outline="0" axis="axisRow" fieldPosition="5"/>
    </format>
    <format dxfId="877">
      <pivotArea field="25" type="button" dataOnly="0" labelOnly="1" outline="0" axis="axisRow" fieldPosition="5"/>
    </format>
    <format dxfId="876">
      <pivotArea field="1" type="button" dataOnly="0" labelOnly="1" outline="0" axis="axisRow" fieldPosition="0"/>
    </format>
    <format dxfId="875">
      <pivotArea field="5" type="button" dataOnly="0" labelOnly="1" outline="0" axis="axisRow" fieldPosition="1"/>
    </format>
    <format dxfId="874">
      <pivotArea field="11" type="button" dataOnly="0" labelOnly="1" outline="0" axis="axisRow" fieldPosition="2"/>
    </format>
    <format dxfId="873">
      <pivotArea field="12" type="button" dataOnly="0" labelOnly="1" outline="0" axis="axisRow" fieldPosition="3"/>
    </format>
    <format dxfId="872">
      <pivotArea field="21" type="button" dataOnly="0" labelOnly="1" outline="0" axis="axisRow" fieldPosition="4"/>
    </format>
    <format dxfId="871">
      <pivotArea field="22" type="button" dataOnly="0" labelOnly="1" outline="0"/>
    </format>
    <format dxfId="870">
      <pivotArea dataOnly="0" labelOnly="1" outline="0" fieldPosition="0">
        <references count="1">
          <reference field="4294967294" count="2">
            <x v="0"/>
            <x v="1"/>
          </reference>
        </references>
      </pivotArea>
    </format>
    <format dxfId="869">
      <pivotArea field="1" type="button" dataOnly="0" labelOnly="1" outline="0" axis="axisRow" fieldPosition="0"/>
    </format>
    <format dxfId="868">
      <pivotArea field="5" type="button" dataOnly="0" labelOnly="1" outline="0" axis="axisRow" fieldPosition="1"/>
    </format>
    <format dxfId="867">
      <pivotArea field="11" type="button" dataOnly="0" labelOnly="1" outline="0" axis="axisRow" fieldPosition="2"/>
    </format>
    <format dxfId="866">
      <pivotArea field="12" type="button" dataOnly="0" labelOnly="1" outline="0" axis="axisRow" fieldPosition="3"/>
    </format>
    <format dxfId="865">
      <pivotArea field="21" type="button" dataOnly="0" labelOnly="1" outline="0" axis="axisRow" fieldPosition="4"/>
    </format>
    <format dxfId="864">
      <pivotArea field="22" type="button" dataOnly="0" labelOnly="1" outline="0"/>
    </format>
    <format dxfId="863">
      <pivotArea dataOnly="0" labelOnly="1" outline="0" fieldPosition="0">
        <references count="1">
          <reference field="4294967294" count="2">
            <x v="0"/>
            <x v="1"/>
          </reference>
        </references>
      </pivotArea>
    </format>
    <format dxfId="862">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861">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860">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859">
      <pivotArea field="1" type="button" dataOnly="0" labelOnly="1" outline="0" axis="axisRow" fieldPosition="0"/>
    </format>
    <format dxfId="858">
      <pivotArea field="5" type="button" dataOnly="0" labelOnly="1" outline="0" axis="axisRow" fieldPosition="1"/>
    </format>
    <format dxfId="857">
      <pivotArea field="11" type="button" dataOnly="0" labelOnly="1" outline="0" axis="axisRow" fieldPosition="2"/>
    </format>
    <format dxfId="856">
      <pivotArea field="12" type="button" dataOnly="0" labelOnly="1" outline="0" axis="axisRow" fieldPosition="3"/>
    </format>
    <format dxfId="855">
      <pivotArea field="19" type="button" dataOnly="0" labelOnly="1" outline="0" axis="axisRow" fieldPosition="6"/>
    </format>
    <format dxfId="854">
      <pivotArea dataOnly="0" labelOnly="1" outline="0" fieldPosition="0">
        <references count="1">
          <reference field="4294967294" count="2">
            <x v="0"/>
            <x v="1"/>
          </reference>
        </references>
      </pivotArea>
    </format>
    <format dxfId="853">
      <pivotArea type="all" dataOnly="0" outline="0" fieldPosition="0"/>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40"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44" firstHeaderRow="0" firstDataRow="1" firstDataCol="6" rowPageCount="1" colPageCount="1"/>
  <pivotFields count="42">
    <pivotField axis="axisPage" compact="0" outline="0" multipleItemSelectionAllowed="1" showAll="0" defaultSubtotal="0">
      <items count="2">
        <item h="1"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1"/>
        <item x="162"/>
        <item x="163"/>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2"/>
        <item x="203"/>
        <item x="204"/>
        <item x="205"/>
        <item x="206"/>
        <item x="207"/>
        <item x="208"/>
        <item x="209"/>
        <item x="210"/>
        <item x="211"/>
        <item x="212"/>
        <item x="213"/>
        <item x="214"/>
        <item x="215"/>
        <item x="216"/>
        <item x="217"/>
        <item x="219"/>
        <item x="220"/>
        <item x="221"/>
        <item x="222"/>
        <item x="223"/>
        <item x="224"/>
        <item x="225"/>
        <item x="226"/>
        <item x="227"/>
        <item x="228"/>
        <item x="229"/>
        <item x="230"/>
        <item x="231"/>
        <item x="232"/>
        <item x="233"/>
        <item x="234"/>
        <item x="235"/>
        <item x="236"/>
        <item x="238"/>
        <item x="239"/>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name="CpPcode"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95"/>
        <item x="226"/>
        <item x="205"/>
        <item x="19"/>
        <item x="53"/>
        <item x="106"/>
        <item x="47"/>
        <item x="104"/>
        <item x="151"/>
        <item x="155"/>
        <item x="153"/>
        <item x="150"/>
        <item x="137"/>
        <item x="140"/>
        <item x="158"/>
        <item x="110"/>
        <item x="45"/>
        <item x="157"/>
        <item x="136"/>
        <item x="164"/>
        <item x="59"/>
        <item x="61"/>
        <item x="62"/>
        <item x="131"/>
        <item x="142"/>
        <item x="242"/>
        <item x="46"/>
        <item x="138"/>
        <item x="154"/>
        <item x="156"/>
        <item x="171"/>
        <item x="111"/>
        <item x="165"/>
        <item x="32"/>
        <item x="33"/>
        <item x="144"/>
        <item x="152"/>
        <item x="166"/>
        <item x="145"/>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axis="axisRow" compact="0" outline="0" showAll="0" defaultSubtotal="0">
      <items count="190">
        <item x="59"/>
        <item x="156"/>
        <item x="15"/>
        <item x="182"/>
        <item x="181"/>
        <item x="186"/>
        <item x="94"/>
        <item x="34"/>
        <item x="141"/>
        <item x="188"/>
        <item x="98"/>
        <item x="60"/>
        <item x="26"/>
        <item x="5"/>
        <item x="99"/>
        <item x="126"/>
        <item x="8"/>
        <item x="133"/>
        <item x="97"/>
        <item x="4"/>
        <item x="9"/>
        <item x="18"/>
        <item x="158"/>
        <item x="2"/>
        <item x="112"/>
        <item x="1"/>
        <item x="100"/>
        <item x="0"/>
        <item x="134"/>
        <item x="167"/>
        <item x="10"/>
        <item x="25"/>
        <item x="31"/>
        <item x="165"/>
        <item x="109"/>
        <item x="49"/>
        <item x="92"/>
        <item x="136"/>
        <item x="91"/>
        <item x="90"/>
        <item x="125"/>
        <item x="108"/>
        <item x="43"/>
        <item x="75"/>
        <item x="169"/>
        <item x="28"/>
        <item x="157"/>
        <item x="115"/>
        <item x="37"/>
        <item x="3"/>
        <item x="177"/>
        <item x="61"/>
        <item x="185"/>
        <item x="7"/>
        <item x="82"/>
        <item x="95"/>
        <item x="96"/>
        <item x="93"/>
        <item x="29"/>
        <item x="132"/>
        <item x="81"/>
        <item x="78"/>
        <item x="44"/>
        <item x="104"/>
        <item x="138"/>
        <item x="89"/>
        <item x="105"/>
        <item x="143"/>
        <item x="30"/>
        <item x="40"/>
        <item x="116"/>
        <item x="174"/>
        <item x="41"/>
        <item x="21"/>
        <item x="175"/>
        <item x="20"/>
        <item x="19"/>
        <item x="171"/>
        <item x="172"/>
        <item x="173"/>
        <item x="144"/>
        <item x="129"/>
        <item x="162"/>
        <item x="57"/>
        <item x="184"/>
        <item x="128"/>
        <item x="23"/>
        <item x="48"/>
        <item x="117"/>
        <item x="56"/>
        <item x="70"/>
        <item x="77"/>
        <item x="178"/>
        <item x="170"/>
        <item x="163"/>
        <item x="79"/>
        <item x="166"/>
        <item x="103"/>
        <item x="74"/>
        <item x="176"/>
        <item x="150"/>
        <item x="155"/>
        <item x="71"/>
        <item x="146"/>
        <item x="73"/>
        <item x="154"/>
        <item x="72"/>
        <item x="180"/>
        <item x="153"/>
        <item x="152"/>
        <item x="179"/>
        <item x="68"/>
        <item x="22"/>
        <item x="38"/>
        <item x="183"/>
        <item x="88"/>
        <item x="52"/>
        <item x="39"/>
        <item x="42"/>
        <item x="168"/>
        <item x="36"/>
        <item x="86"/>
        <item x="85"/>
        <item x="137"/>
        <item x="65"/>
        <item x="67"/>
        <item x="87"/>
        <item x="83"/>
        <item x="84"/>
        <item x="51"/>
        <item x="14"/>
        <item x="13"/>
        <item x="55"/>
        <item x="142"/>
        <item x="119"/>
        <item x="121"/>
        <item x="122"/>
        <item x="118"/>
        <item x="120"/>
        <item x="130"/>
        <item x="161"/>
        <item x="80"/>
        <item x="69"/>
        <item x="64"/>
        <item x="53"/>
        <item x="62"/>
        <item x="145"/>
        <item x="63"/>
        <item x="148"/>
        <item x="147"/>
        <item x="187"/>
        <item x="101"/>
        <item x="24"/>
        <item x="124"/>
        <item x="189"/>
        <item x="11"/>
        <item x="45"/>
        <item x="113"/>
        <item x="114"/>
        <item x="12"/>
        <item x="46"/>
        <item x="47"/>
        <item x="151"/>
        <item x="164"/>
        <item x="107"/>
        <item x="33"/>
        <item x="32"/>
        <item x="123"/>
        <item x="50"/>
        <item x="111"/>
        <item x="110"/>
        <item x="106"/>
        <item x="135"/>
        <item x="54"/>
        <item x="35"/>
        <item x="6"/>
        <item x="27"/>
        <item x="102"/>
        <item x="76"/>
        <item x="16"/>
        <item x="58"/>
        <item x="149"/>
        <item x="160"/>
        <item x="131"/>
        <item x="66"/>
        <item x="127"/>
        <item x="139"/>
        <item x="159"/>
        <item x="17"/>
        <item x="14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2"/>
        <item x="0"/>
        <item h="1" x="1"/>
        <item h="1" x="4"/>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1"/>
        <item x="3"/>
        <item x="2"/>
        <item x="4"/>
        <item x="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41">
    <i>
      <x v="1"/>
      <x v="150"/>
      <x v="25"/>
      <x/>
      <x v="1"/>
      <x/>
    </i>
    <i>
      <x v="2"/>
      <x v="139"/>
      <x v="23"/>
      <x/>
      <x v="1"/>
      <x v="2"/>
    </i>
    <i>
      <x v="3"/>
      <x v="49"/>
      <x v="49"/>
      <x/>
      <x v="1"/>
      <x v="1"/>
    </i>
    <i>
      <x v="4"/>
      <x v="147"/>
      <x v="19"/>
      <x/>
      <x v="1"/>
      <x v="3"/>
    </i>
    <i>
      <x v="5"/>
      <x v="160"/>
      <x v="13"/>
      <x/>
      <x v="1"/>
      <x v="3"/>
    </i>
    <i>
      <x v="7"/>
      <x v="164"/>
      <x v="53"/>
      <x/>
      <x v="1"/>
      <x/>
    </i>
    <i>
      <x v="13"/>
      <x v="140"/>
      <x v="20"/>
      <x/>
      <x v="1"/>
      <x/>
    </i>
    <i>
      <x v="17"/>
      <x v="108"/>
      <x v="159"/>
      <x v="1"/>
      <x v="1"/>
      <x v="2"/>
    </i>
    <i>
      <x v="18"/>
      <x v="121"/>
      <x v="131"/>
      <x v="1"/>
      <x v="1"/>
      <x v="1"/>
    </i>
    <i>
      <x v="19"/>
      <x v="194"/>
      <x v="130"/>
      <x v="1"/>
      <x v="1"/>
      <x v="1"/>
    </i>
    <i>
      <x v="20"/>
      <x v="105"/>
      <x v="2"/>
      <x/>
      <x v="1"/>
      <x v="3"/>
    </i>
    <i>
      <x v="22"/>
      <x v="41"/>
      <x v="179"/>
      <x/>
      <x v="1"/>
      <x v="3"/>
    </i>
    <i>
      <x v="24"/>
      <x v="145"/>
      <x v="21"/>
      <x/>
      <x v="1"/>
      <x v="3"/>
    </i>
    <i>
      <x v="25"/>
      <x v="11"/>
      <x v="76"/>
      <x/>
      <x v="1"/>
      <x/>
    </i>
    <i>
      <x v="26"/>
      <x v="9"/>
      <x v="75"/>
      <x/>
      <x v="1"/>
      <x/>
    </i>
    <i>
      <x v="27"/>
      <x v="10"/>
      <x v="73"/>
      <x/>
      <x v="1"/>
      <x/>
    </i>
    <i>
      <x v="28"/>
      <x v="118"/>
      <x v="112"/>
      <x v="1"/>
      <x v="1"/>
      <x v="2"/>
    </i>
    <i>
      <x v="34"/>
      <x v="27"/>
      <x v="86"/>
      <x/>
      <x v="1"/>
      <x v="3"/>
    </i>
    <i>
      <x v="35"/>
      <x v="110"/>
      <x v="152"/>
      <x v="1"/>
      <x v="1"/>
      <x/>
    </i>
    <i>
      <x v="36"/>
      <x v="131"/>
      <x v="31"/>
      <x/>
      <x v="1"/>
      <x/>
    </i>
    <i>
      <x v="37"/>
      <x v="161"/>
      <x v="12"/>
      <x/>
      <x v="1"/>
      <x v="3"/>
    </i>
    <i>
      <x v="42"/>
      <x v="197"/>
      <x v="7"/>
      <x/>
      <x v="1"/>
      <x/>
    </i>
    <i>
      <x v="43"/>
      <x v="42"/>
      <x v="174"/>
      <x v="1"/>
      <x v="1"/>
      <x/>
    </i>
    <i>
      <x v="44"/>
      <x v="117"/>
      <x v="120"/>
      <x v="1"/>
      <x v="1"/>
      <x v="2"/>
    </i>
    <i>
      <x v="45"/>
      <x v="51"/>
      <x v="48"/>
      <x/>
      <x v="1"/>
      <x/>
    </i>
    <i>
      <x v="46"/>
      <x v="176"/>
      <x v="113"/>
      <x v="1"/>
      <x/>
      <x v="4"/>
    </i>
    <i>
      <x v="49"/>
      <x v="17"/>
      <x v="69"/>
      <x/>
      <x v="1"/>
      <x/>
    </i>
    <i>
      <x v="50"/>
      <x v="18"/>
      <x v="72"/>
      <x/>
      <x v="1"/>
      <x v="2"/>
    </i>
    <i>
      <x v="51"/>
      <x v="116"/>
      <x v="118"/>
      <x v="1"/>
      <x v="1"/>
      <x v="2"/>
    </i>
    <i>
      <x v="54"/>
      <x v="211"/>
      <x v="156"/>
      <x/>
      <x v="1"/>
      <x/>
    </i>
    <i>
      <x v="55"/>
      <x v="212"/>
      <x v="160"/>
      <x/>
      <x v="1"/>
      <x/>
    </i>
    <i>
      <x v="56"/>
      <x v="213"/>
      <x v="161"/>
      <x/>
      <x v="1"/>
      <x v="5"/>
    </i>
    <i>
      <x v="57"/>
      <x v="12"/>
      <x v="87"/>
      <x/>
      <x v="1"/>
      <x/>
    </i>
    <i>
      <x v="58"/>
      <x v="76"/>
      <x v="35"/>
      <x/>
      <x v="1"/>
      <x/>
    </i>
    <i>
      <x v="59"/>
      <x v="73"/>
      <x v="168"/>
      <x/>
      <x v="1"/>
      <x v="4"/>
    </i>
    <i>
      <x v="63"/>
      <x v="120"/>
      <x v="132"/>
      <x v="1"/>
      <x v="1"/>
      <x v="1"/>
    </i>
    <i>
      <x v="66"/>
      <x v="14"/>
      <x v="89"/>
      <x/>
      <x v="1"/>
      <x/>
    </i>
    <i>
      <x v="67"/>
      <x v="13"/>
      <x v="83"/>
      <x/>
      <x v="1"/>
      <x/>
    </i>
    <i>
      <x v="68"/>
      <x v="165"/>
      <x v="180"/>
      <x/>
      <x v="1"/>
      <x v="3"/>
    </i>
    <i>
      <x v="69"/>
      <x v="152"/>
      <x/>
      <x/>
      <x v="1"/>
      <x v="3"/>
    </i>
    <i>
      <x v="70"/>
      <x v="138"/>
      <x v="11"/>
      <x/>
      <x v="1"/>
      <x v="3"/>
    </i>
    <i>
      <x v="71"/>
      <x v="48"/>
      <x v="51"/>
      <x/>
      <x v="1"/>
      <x v="3"/>
    </i>
    <i>
      <x v="72"/>
      <x v="70"/>
      <x v="145"/>
      <x/>
      <x v="1"/>
      <x/>
    </i>
    <i>
      <x v="73"/>
      <x v="68"/>
      <x v="147"/>
      <x/>
      <x v="1"/>
      <x v="1"/>
    </i>
    <i>
      <x v="74"/>
      <x v="69"/>
      <x v="143"/>
      <x/>
      <x v="1"/>
      <x/>
    </i>
    <i>
      <x v="78"/>
      <x v="26"/>
      <x v="111"/>
      <x/>
      <x v="1"/>
      <x/>
    </i>
    <i>
      <x v="79"/>
      <x v="114"/>
      <x v="142"/>
      <x v="1"/>
      <x v="1"/>
      <x v="2"/>
    </i>
    <i>
      <x v="81"/>
      <x v="30"/>
      <x v="102"/>
      <x/>
      <x v="1"/>
      <x v="3"/>
    </i>
    <i>
      <x v="82"/>
      <x v="28"/>
      <x v="106"/>
      <x/>
      <x v="1"/>
      <x v="2"/>
    </i>
    <i>
      <x v="83"/>
      <x v="39"/>
      <x v="104"/>
      <x/>
      <x v="1"/>
      <x/>
    </i>
    <i>
      <x v="84"/>
      <x v="38"/>
      <x v="98"/>
      <x/>
      <x v="1"/>
      <x/>
    </i>
    <i>
      <x v="85"/>
      <x v="186"/>
      <x v="43"/>
      <x/>
      <x v="1"/>
      <x/>
    </i>
    <i>
      <x v="86"/>
      <x v="191"/>
      <x v="178"/>
      <x/>
      <x v="1"/>
      <x v="1"/>
    </i>
    <i>
      <x v="87"/>
      <x v="15"/>
      <x v="91"/>
      <x/>
      <x v="1"/>
      <x/>
    </i>
    <i>
      <x v="88"/>
      <x v="61"/>
      <x v="61"/>
      <x/>
      <x v="1"/>
      <x v="1"/>
    </i>
    <i>
      <x v="89"/>
      <x v="7"/>
      <x v="95"/>
      <x/>
      <x v="1"/>
      <x/>
    </i>
    <i>
      <x v="94"/>
      <x v="124"/>
      <x v="127"/>
      <x/>
      <x v="1"/>
      <x/>
    </i>
    <i>
      <x v="95"/>
      <x v="198"/>
      <x v="128"/>
      <x/>
      <x v="1"/>
      <x/>
    </i>
    <i>
      <x v="96"/>
      <x v="123"/>
      <x v="122"/>
      <x/>
      <x v="1"/>
      <x v="1"/>
    </i>
    <i>
      <x v="97"/>
      <x v="196"/>
      <x v="121"/>
      <x/>
      <x v="1"/>
      <x v="1"/>
    </i>
    <i>
      <x v="101"/>
      <x v="206"/>
      <x v="39"/>
      <x/>
      <x v="1"/>
      <x/>
    </i>
    <i>
      <x v="102"/>
      <x v="222"/>
      <x v="38"/>
      <x/>
      <x v="1"/>
      <x v="5"/>
    </i>
    <i>
      <x v="103"/>
      <x v="75"/>
      <x v="36"/>
      <x/>
      <x v="1"/>
      <x/>
    </i>
    <i>
      <x v="104"/>
      <x v="65"/>
      <x v="57"/>
      <x/>
      <x v="1"/>
      <x/>
    </i>
    <i>
      <x v="113"/>
      <x v="19"/>
      <x v="55"/>
      <x/>
      <x v="1"/>
      <x v="3"/>
    </i>
    <i>
      <x v="114"/>
      <x v="20"/>
      <x v="56"/>
      <x/>
      <x v="1"/>
      <x v="3"/>
    </i>
    <i>
      <x v="119"/>
      <x v="87"/>
      <x v="14"/>
      <x/>
      <x v="1"/>
      <x v="3"/>
    </i>
    <i>
      <x v="122"/>
      <x v="214"/>
      <x v="151"/>
      <x/>
      <x v="1"/>
      <x/>
    </i>
    <i>
      <x v="123"/>
      <x v="55"/>
      <x v="63"/>
      <x/>
      <x v="1"/>
      <x/>
    </i>
    <i>
      <x v="125"/>
      <x v="209"/>
      <x v="171"/>
      <x v="1"/>
      <x v="1"/>
      <x/>
    </i>
    <i>
      <x v="129"/>
      <x v="204"/>
      <x v="170"/>
      <x/>
      <x v="1"/>
      <x/>
    </i>
    <i>
      <x v="130"/>
      <x v="230"/>
      <x v="175"/>
      <x/>
      <x v="1"/>
      <x v="5"/>
    </i>
    <i>
      <x v="133"/>
      <x v="226"/>
      <x v="157"/>
      <x/>
      <x v="1"/>
      <x/>
    </i>
    <i>
      <x v="134"/>
      <x v="229"/>
      <x v="158"/>
      <x/>
      <x v="1"/>
      <x v="5"/>
    </i>
    <i>
      <x v="135"/>
      <x v="50"/>
      <x v="47"/>
      <x/>
      <x v="1"/>
      <x v="3"/>
    </i>
    <i>
      <x v="139"/>
      <x v="202"/>
      <x v="137"/>
      <x/>
      <x v="1"/>
      <x/>
    </i>
    <i>
      <x v="140"/>
      <x v="199"/>
      <x v="134"/>
      <x/>
      <x v="1"/>
      <x/>
    </i>
    <i>
      <x v="141"/>
      <x v="227"/>
      <x v="138"/>
      <x/>
      <x v="1"/>
      <x/>
    </i>
    <i>
      <x v="142"/>
      <x v="201"/>
      <x v="135"/>
      <x/>
      <x v="1"/>
      <x v="5"/>
    </i>
    <i>
      <x v="145"/>
      <x v="220"/>
      <x v="175"/>
      <x v="1"/>
      <x v="1"/>
      <x/>
    </i>
    <i>
      <x v="147"/>
      <x v="205"/>
      <x v="153"/>
      <x/>
      <x v="1"/>
      <x/>
    </i>
    <i>
      <x v="151"/>
      <x v="162"/>
      <x v="15"/>
      <x/>
      <x v="1"/>
      <x v="3"/>
    </i>
    <i>
      <x v="152"/>
      <x v="210"/>
      <x v="85"/>
      <x/>
      <x v="1"/>
      <x/>
    </i>
    <i>
      <x v="154"/>
      <x v="228"/>
      <x v="139"/>
      <x/>
      <x v="1"/>
      <x/>
    </i>
    <i>
      <x v="155"/>
      <x v="23"/>
      <x v="183"/>
      <x/>
      <x v="1"/>
      <x v="2"/>
    </i>
    <i>
      <x v="156"/>
      <x v="53"/>
      <x v="59"/>
      <x/>
      <x v="1"/>
      <x v="1"/>
    </i>
    <i>
      <x v="157"/>
      <x v="99"/>
      <x v="17"/>
      <x/>
      <x v="1"/>
      <x v="2"/>
    </i>
    <i>
      <x v="160"/>
      <x v="77"/>
      <x v="37"/>
      <x/>
      <x v="1"/>
      <x/>
    </i>
    <i>
      <x v="162"/>
      <x v="32"/>
      <x v="64"/>
      <x/>
      <x v="1"/>
      <x v="3"/>
    </i>
    <i>
      <x v="163"/>
      <x v="133"/>
      <x v="28"/>
      <x/>
      <x v="1"/>
      <x/>
    </i>
    <i>
      <x v="166"/>
      <x v="122"/>
      <x v="133"/>
      <x v="1"/>
      <x v="1"/>
      <x v="1"/>
    </i>
    <i>
      <x v="167"/>
      <x v="58"/>
      <x v="67"/>
      <x/>
      <x v="1"/>
      <x v="3"/>
    </i>
    <i>
      <x v="168"/>
      <x v="1"/>
      <x v="80"/>
      <x/>
      <x v="1"/>
      <x/>
    </i>
    <i>
      <x v="169"/>
      <x v="71"/>
      <x v="146"/>
      <x/>
      <x v="1"/>
      <x/>
    </i>
    <i>
      <x v="170"/>
      <x v="136"/>
      <x v="103"/>
      <x/>
      <x v="1"/>
      <x v="2"/>
    </i>
    <i>
      <x v="171"/>
      <x v="119"/>
      <x v="149"/>
      <x v="1"/>
      <x v="1"/>
      <x v="1"/>
    </i>
    <i>
      <x v="172"/>
      <x v="178"/>
      <x v="181"/>
      <x/>
      <x v="1"/>
      <x v="2"/>
    </i>
    <i>
      <x v="174"/>
      <x v="163"/>
      <x v="53"/>
      <x/>
      <x v="1"/>
      <x/>
    </i>
    <i>
      <x v="176"/>
      <x v="135"/>
      <x v="162"/>
      <x v="1"/>
      <x v="1"/>
      <x v="2"/>
    </i>
    <i>
      <x v="177"/>
      <x v="31"/>
      <x v="109"/>
      <x/>
      <x v="1"/>
      <x v="3"/>
    </i>
    <i>
      <x v="178"/>
      <x v="24"/>
      <x v="108"/>
      <x/>
      <x v="1"/>
      <x/>
    </i>
    <i>
      <x v="179"/>
      <x v="29"/>
      <x v="105"/>
      <x/>
      <x v="1"/>
      <x v="3"/>
    </i>
    <i>
      <x v="180"/>
      <x v="25"/>
      <x v="101"/>
      <x/>
      <x v="1"/>
      <x v="3"/>
    </i>
    <i>
      <x v="181"/>
      <x v="153"/>
      <x v="1"/>
      <x/>
      <x v="1"/>
      <x v="3"/>
    </i>
    <i>
      <x v="182"/>
      <x v="46"/>
      <x v="46"/>
      <x/>
      <x v="1"/>
      <x/>
    </i>
    <i>
      <x v="184"/>
      <x v="154"/>
      <x v="22"/>
      <x/>
      <x v="1"/>
      <x/>
    </i>
    <i>
      <x v="186"/>
      <x v="193"/>
      <x v="182"/>
      <x/>
      <x v="1"/>
      <x v="2"/>
    </i>
    <i>
      <x v="187"/>
      <x v="72"/>
      <x v="140"/>
      <x/>
      <x v="1"/>
      <x/>
    </i>
    <i>
      <x v="188"/>
      <x v="5"/>
      <x v="82"/>
      <x/>
      <x v="1"/>
      <x/>
    </i>
    <i>
      <x v="189"/>
      <x v="6"/>
      <x v="94"/>
      <x/>
      <x v="1"/>
      <x v="3"/>
    </i>
    <i>
      <x v="190"/>
      <x v="40"/>
      <x v="163"/>
      <x/>
      <x v="1"/>
      <x/>
    </i>
    <i>
      <x v="191"/>
      <x v="66"/>
      <x v="33"/>
      <x/>
      <x v="1"/>
      <x/>
    </i>
    <i>
      <x v="192"/>
      <x v="67"/>
      <x v="33"/>
      <x/>
      <x v="1"/>
      <x v="1"/>
    </i>
    <i>
      <x v="193"/>
      <x v="8"/>
      <x v="96"/>
      <x/>
      <x v="1"/>
      <x/>
    </i>
    <i>
      <x v="195"/>
      <x v="78"/>
      <x v="29"/>
      <x/>
      <x v="1"/>
      <x v="2"/>
    </i>
    <i>
      <x v="197"/>
      <x v="175"/>
      <x v="119"/>
      <x/>
      <x v="1"/>
      <x v="4"/>
    </i>
    <i>
      <x v="198"/>
      <x v="54"/>
      <x v="44"/>
      <x/>
      <x v="1"/>
      <x v="3"/>
    </i>
    <i>
      <x v="201"/>
      <x/>
      <x v="77"/>
      <x/>
      <x v="1"/>
      <x/>
    </i>
    <i>
      <x v="202"/>
      <x v="3"/>
      <x v="79"/>
      <x/>
      <x v="1"/>
      <x v="3"/>
    </i>
    <i>
      <x v="203"/>
      <x v="2"/>
      <x v="71"/>
      <x/>
      <x v="1"/>
      <x/>
    </i>
    <i>
      <x v="204"/>
      <x v="4"/>
      <x v="74"/>
      <x/>
      <x v="1"/>
      <x/>
    </i>
    <i>
      <x v="205"/>
      <x v="36"/>
      <x v="99"/>
      <x/>
      <x v="1"/>
      <x v="3"/>
    </i>
    <i>
      <x v="210"/>
      <x v="37"/>
      <x v="110"/>
      <x/>
      <x v="1"/>
      <x v="3"/>
    </i>
    <i>
      <x v="211"/>
      <x v="35"/>
      <x v="107"/>
      <x/>
      <x/>
      <x/>
    </i>
    <i>
      <x v="213"/>
      <x v="155"/>
      <x v="3"/>
      <x/>
      <x v="1"/>
      <x/>
    </i>
    <i>
      <x v="214"/>
      <x v="111"/>
      <x v="114"/>
      <x v="1"/>
      <x v="1"/>
      <x v="2"/>
    </i>
    <i>
      <x v="217"/>
      <x v="21"/>
      <x v="84"/>
      <x/>
      <x v="1"/>
      <x v="3"/>
    </i>
    <i>
      <x v="218"/>
      <x v="52"/>
      <x v="52"/>
      <x/>
      <x v="1"/>
      <x v="3"/>
    </i>
    <i>
      <x v="219"/>
      <x v="101"/>
      <x v="5"/>
      <x/>
      <x v="1"/>
      <x/>
    </i>
    <i>
      <x v="221"/>
      <x v="216"/>
      <x v="154"/>
      <x/>
      <x v="1"/>
      <x/>
    </i>
    <i>
      <x v="222"/>
      <x v="231"/>
      <x v="175"/>
      <x/>
      <x v="1"/>
      <x/>
    </i>
    <i>
      <x v="228"/>
      <x v="115"/>
      <x v="148"/>
      <x v="1"/>
      <x v="1"/>
      <x/>
    </i>
    <i>
      <x v="229"/>
      <x v="22"/>
      <x v="78"/>
      <x/>
      <x v="1"/>
      <x v="3"/>
    </i>
    <i>
      <x v="230"/>
      <x v="107"/>
      <x v="150"/>
      <x v="1"/>
      <x v="1"/>
      <x/>
    </i>
    <i>
      <x v="231"/>
      <x v="235"/>
      <x v="184"/>
      <x/>
      <x v="1"/>
      <x/>
    </i>
    <i>
      <x v="232"/>
      <x v="234"/>
      <x v="185"/>
      <x/>
      <x v="1"/>
      <x/>
    </i>
    <i>
      <x v="235"/>
      <x v="238"/>
      <x v="175"/>
      <x/>
      <x v="1"/>
      <x v="2"/>
    </i>
    <i>
      <x v="236"/>
      <x v="239"/>
      <x v="186"/>
      <x/>
      <x v="1"/>
      <x v="4"/>
    </i>
    <i>
      <x v="237"/>
      <x v="240"/>
      <x v="187"/>
      <x/>
      <x v="1"/>
      <x v="4"/>
    </i>
    <i>
      <x v="238"/>
      <x v="241"/>
      <x v="188"/>
      <x/>
      <x/>
      <x v="4"/>
    </i>
    <i>
      <x v="239"/>
      <x v="242"/>
      <x v="189"/>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2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1" firstHeaderRow="1" firstDataRow="1" firstDataCol="4" rowPageCount="1" colPageCount="1"/>
  <pivotFields count="23">
    <pivotField compact="0" outline="0" showAll="0" defaultSubtotal="0"/>
    <pivotField axis="axisRow" compact="0" outline="0" showAll="0" defaultSubtotal="0">
      <items count="16">
        <item h="1" x="1"/>
        <item h="1" x="8"/>
        <item h="1" x="6"/>
        <item h="1" x="12"/>
        <item h="1" x="13"/>
        <item h="1" x="4"/>
        <item h="1" x="9"/>
        <item h="1" x="2"/>
        <item h="1" x="14"/>
        <item x="5"/>
        <item h="1" x="15"/>
        <item h="1" x="7"/>
        <item h="1" x="0"/>
        <item h="1" x="10"/>
        <item h="1" x="11"/>
        <item h="1" x="3"/>
      </items>
    </pivotField>
    <pivotField compact="0" outline="0" showAll="0" defaultSubtotal="0"/>
    <pivotField compact="0" outline="0" showAll="0" defaultSubtotal="0"/>
    <pivotField axis="axisRow" compact="0" outline="0" showAll="0" defaultSubtotal="0">
      <items count="17">
        <item x="1"/>
        <item x="4"/>
        <item x="0"/>
        <item x="8"/>
        <item x="3"/>
        <item x="7"/>
        <item x="9"/>
        <item x="14"/>
        <item x="6"/>
        <item x="10"/>
        <item x="5"/>
        <item x="11"/>
        <item x="13"/>
        <item x="15"/>
        <item x="2"/>
        <item x="16"/>
        <item x="12"/>
      </items>
    </pivotField>
    <pivotField axis="axisRow" compact="0" outline="0" showAll="0" defaultSubtotal="0">
      <items count="138">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7"/>
        <item x="58"/>
        <item x="59"/>
        <item x="60"/>
        <item x="62"/>
        <item x="63"/>
        <item x="64"/>
        <item x="65"/>
        <item x="66"/>
        <item x="67"/>
        <item x="69"/>
        <item x="70"/>
        <item x="71"/>
        <item x="72"/>
        <item x="76"/>
        <item x="77"/>
        <item x="78"/>
        <item x="80"/>
        <item x="81"/>
        <item x="82"/>
        <item x="84"/>
        <item x="86"/>
        <item x="87"/>
        <item x="88"/>
        <item x="89"/>
        <item x="90"/>
        <item x="91"/>
        <item x="92"/>
        <item x="93"/>
        <item x="94"/>
        <item x="95"/>
        <item x="96"/>
        <item x="97"/>
        <item x="98"/>
        <item x="100"/>
        <item x="101"/>
        <item x="102"/>
        <item x="103"/>
        <item x="104"/>
        <item x="105"/>
        <item x="106"/>
        <item x="107"/>
        <item x="108"/>
        <item x="109"/>
        <item x="110"/>
        <item x="111"/>
        <item x="112"/>
        <item x="113"/>
        <item x="114"/>
        <item x="115"/>
        <item x="116"/>
        <item x="117"/>
        <item x="118"/>
        <item x="119"/>
        <item x="121"/>
        <item x="122"/>
        <item x="123"/>
        <item x="124"/>
        <item x="125"/>
        <item x="126"/>
        <item x="127"/>
        <item x="128"/>
        <item x="129"/>
        <item x="130"/>
        <item x="131"/>
        <item x="132"/>
        <item x="133"/>
        <item x="134"/>
        <item x="137"/>
        <item x="56"/>
        <item x="68"/>
        <item x="74"/>
        <item x="75"/>
        <item x="79"/>
        <item x="85"/>
        <item x="136"/>
        <item x="99"/>
        <item x="120"/>
        <item x="135"/>
        <item x="73"/>
        <item x="61"/>
        <item x="83"/>
        <item x="2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36">
        <item x="109"/>
        <item x="119"/>
        <item x="95"/>
        <item x="122"/>
        <item x="121"/>
        <item x="123"/>
        <item x="112"/>
        <item x="55"/>
        <item x="116"/>
        <item x="14"/>
        <item x="15"/>
        <item x="13"/>
        <item x="30"/>
        <item x="35"/>
        <item x="34"/>
        <item x="53"/>
        <item x="23"/>
        <item x="24"/>
        <item x="65"/>
        <item x="66"/>
        <item x="131"/>
        <item x="86"/>
        <item x="104"/>
        <item x="106"/>
        <item x="44"/>
        <item x="17"/>
        <item x="48"/>
        <item x="105"/>
        <item x="47"/>
        <item x="103"/>
        <item x="90"/>
        <item x="127"/>
        <item x="124"/>
        <item x="126"/>
        <item x="50"/>
        <item x="49"/>
        <item x="113"/>
        <item x="11"/>
        <item x="108"/>
        <item x="39"/>
        <item x="1"/>
        <item x="76"/>
        <item x="22"/>
        <item x="132"/>
        <item x="87"/>
        <item x="118"/>
        <item x="69"/>
        <item x="70"/>
        <item x="59"/>
        <item x="94"/>
        <item x="54"/>
        <item x="46"/>
        <item x="63"/>
        <item x="114"/>
        <item x="115"/>
        <item x="41"/>
        <item x="42"/>
        <item x="40"/>
        <item x="96"/>
        <item x="111"/>
        <item x="62"/>
        <item x="31"/>
        <item x="89"/>
        <item x="117"/>
        <item x="92"/>
        <item x="67"/>
        <item x="64"/>
        <item x="88"/>
        <item x="133"/>
        <item x="10"/>
        <item x="7"/>
        <item x="18"/>
        <item x="130"/>
        <item x="45"/>
        <item x="25"/>
        <item x="21"/>
        <item x="16"/>
        <item x="98"/>
        <item x="33"/>
        <item x="8"/>
        <item x="93"/>
        <item x="58"/>
        <item x="57"/>
        <item x="43"/>
        <item x="91"/>
        <item x="102"/>
        <item x="97"/>
        <item x="38"/>
        <item x="5"/>
        <item x="12"/>
        <item x="2"/>
        <item x="0"/>
        <item x="37"/>
        <item x="107"/>
        <item x="110"/>
        <item x="129"/>
        <item x="128"/>
        <item x="6"/>
        <item x="3"/>
        <item x="19"/>
        <item x="82"/>
        <item x="101"/>
        <item x="4"/>
        <item x="36"/>
        <item x="32"/>
        <item x="72"/>
        <item x="81"/>
        <item x="100"/>
        <item x="51"/>
        <item x="52"/>
        <item x="125"/>
        <item x="9"/>
        <item x="78"/>
        <item x="77"/>
        <item x="71"/>
        <item x="80"/>
        <item x="60"/>
        <item x="20"/>
        <item x="84"/>
        <item x="26"/>
        <item x="28"/>
        <item x="29"/>
        <item x="56"/>
        <item x="68"/>
        <item x="74"/>
        <item x="75"/>
        <item x="79"/>
        <item x="85"/>
        <item x="135"/>
        <item x="73"/>
        <item x="99"/>
        <item x="120"/>
        <item x="134"/>
        <item x="61"/>
        <item x="83"/>
        <item x="27"/>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18">
    <i>
      <x v="9"/>
      <x/>
      <x v="22"/>
      <x v="42"/>
    </i>
    <i r="2">
      <x v="38"/>
      <x v="39"/>
    </i>
    <i r="2">
      <x v="90"/>
      <x v="101"/>
    </i>
    <i r="2">
      <x v="97"/>
      <x v="38"/>
    </i>
    <i r="2">
      <x v="121"/>
      <x v="43"/>
    </i>
    <i r="1">
      <x v="3"/>
      <x v="27"/>
      <x v="120"/>
    </i>
    <i r="2">
      <x v="28"/>
      <x v="121"/>
    </i>
    <i r="1">
      <x v="4"/>
      <x v="55"/>
      <x v="82"/>
    </i>
    <i r="2">
      <x v="60"/>
      <x v="52"/>
    </i>
    <i r="1">
      <x v="8"/>
      <x v="53"/>
      <x v="50"/>
    </i>
    <i r="2">
      <x v="65"/>
      <x v="46"/>
    </i>
    <i r="2">
      <x v="84"/>
      <x v="49"/>
    </i>
    <i r="1">
      <x v="9"/>
      <x v="126"/>
      <x v="124"/>
    </i>
    <i r="2">
      <x v="127"/>
      <x v="125"/>
    </i>
    <i r="1">
      <x v="11"/>
      <x v="128"/>
      <x v="126"/>
    </i>
    <i r="2">
      <x v="129"/>
      <x v="127"/>
    </i>
    <i r="1">
      <x v="13"/>
      <x v="103"/>
      <x v="53"/>
    </i>
    <i r="1">
      <x v="14"/>
      <x v="119"/>
      <x v="72"/>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26"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7">
  <location ref="H83:I100" firstHeaderRow="1" firstDataRow="1" firstDataCol="1" rowPageCount="1" colPageCount="1"/>
  <pivotFields count="23">
    <pivotField showAll="0" defaultSubtotal="0"/>
    <pivotField axis="axisRow" showAll="0">
      <items count="17">
        <item x="4"/>
        <item x="0"/>
        <item x="10"/>
        <item x="7"/>
        <item x="2"/>
        <item x="8"/>
        <item x="5"/>
        <item x="6"/>
        <item x="14"/>
        <item x="15"/>
        <item x="11"/>
        <item x="1"/>
        <item x="3"/>
        <item x="13"/>
        <item x="12"/>
        <item x="9"/>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19">
      <pivotArea type="all" dataOnly="0" outline="0" fieldPosition="0"/>
    </format>
  </formats>
  <chartFormats count="1">
    <chartFormat chart="6"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2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83:B100" firstHeaderRow="1" firstDataRow="1" firstDataCol="1" rowPageCount="1" colPageCount="1"/>
  <pivotFields count="23">
    <pivotField showAll="0" defaultSubtotal="0"/>
    <pivotField axis="axisRow" showAll="0">
      <items count="17">
        <item x="4"/>
        <item x="0"/>
        <item x="10"/>
        <item x="7"/>
        <item x="2"/>
        <item x="8"/>
        <item x="5"/>
        <item x="6"/>
        <item x="14"/>
        <item x="15"/>
        <item x="11"/>
        <item x="1"/>
        <item x="3"/>
        <item x="13"/>
        <item x="12"/>
        <item x="9"/>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0">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26"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19" firstHeaderRow="0" firstDataRow="1" firstDataCol="1" rowPageCount="1" colPageCount="1"/>
  <pivotFields count="23">
    <pivotField showAll="0" defaultSubtotal="0"/>
    <pivotField axis="axisRow" showAll="0" sortType="ascending">
      <items count="17">
        <item h="1" x="1"/>
        <item x="8"/>
        <item x="6"/>
        <item h="1" x="12"/>
        <item h="1" x="13"/>
        <item x="4"/>
        <item h="1" x="9"/>
        <item x="2"/>
        <item x="14"/>
        <item x="5"/>
        <item x="15"/>
        <item x="7"/>
        <item x="0"/>
        <item x="10"/>
        <item x="11"/>
        <item h="1" x="3"/>
        <item t="default"/>
      </items>
    </pivotField>
    <pivotField showAll="0" defaultSubtotal="0"/>
    <pivotField axis="axisPage" multipleItemSelectionAllowed="1" showAll="0">
      <items count="3">
        <item x="0"/>
        <item x="1"/>
        <item t="default"/>
      </items>
    </pivotField>
    <pivotField showAll="0" sortType="ascending">
      <items count="18">
        <item x="1"/>
        <item x="4"/>
        <item x="0"/>
        <item x="12"/>
        <item x="8"/>
        <item x="3"/>
        <item x="7"/>
        <item x="9"/>
        <item x="14"/>
        <item x="6"/>
        <item x="10"/>
        <item x="5"/>
        <item x="11"/>
        <item x="13"/>
        <item x="16"/>
        <item x="15"/>
        <item x="2"/>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1"/>
    </i>
    <i>
      <x v="2"/>
    </i>
    <i>
      <x v="5"/>
    </i>
    <i>
      <x v="7"/>
    </i>
    <i>
      <x v="8"/>
    </i>
    <i>
      <x v="9"/>
    </i>
    <i>
      <x v="10"/>
    </i>
    <i>
      <x v="11"/>
    </i>
    <i>
      <x v="12"/>
    </i>
    <i>
      <x v="13"/>
    </i>
    <i>
      <x v="14"/>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792">
      <pivotArea field="4" type="button" dataOnly="0" labelOnly="1" outline="0"/>
    </format>
    <format dxfId="791">
      <pivotArea field="4" type="button" dataOnly="0" labelOnly="1" outline="0"/>
    </format>
    <format dxfId="790">
      <pivotArea outline="0" collapsedLevelsAreSubtotals="1" fieldPosition="0"/>
    </format>
    <format dxfId="789">
      <pivotArea field="3" type="button" dataOnly="0" labelOnly="1" outline="0" axis="axisPage" fieldPosition="0"/>
    </format>
    <format dxfId="788">
      <pivotArea dataOnly="0" labelOnly="1" outline="0" fieldPosition="0">
        <references count="1">
          <reference field="3" count="0"/>
        </references>
      </pivotArea>
    </format>
    <format dxfId="787">
      <pivotArea field="3" type="button" dataOnly="0" labelOnly="1" outline="0" axis="axisPage" fieldPosition="0"/>
    </format>
    <format dxfId="786">
      <pivotArea dataOnly="0" labelOnly="1" outline="0" fieldPosition="0">
        <references count="1">
          <reference field="3" count="0"/>
        </references>
      </pivotArea>
    </format>
    <format dxfId="785">
      <pivotArea type="all" dataOnly="0" outline="0" fieldPosition="0"/>
    </format>
    <format dxfId="784">
      <pivotArea field="1" type="button" dataOnly="0" labelOnly="1" outline="0" axis="axisRow" fieldPosition="0"/>
    </format>
    <format dxfId="783">
      <pivotArea collapsedLevelsAreSubtotals="1" fieldPosition="0">
        <references count="1">
          <reference field="1" count="0"/>
        </references>
      </pivotArea>
    </format>
    <format dxfId="782">
      <pivotArea dataOnly="0" labelOnly="1" fieldPosition="0">
        <references count="1">
          <reference field="1" count="0"/>
        </references>
      </pivotArea>
    </format>
    <format dxfId="781">
      <pivotArea grandRow="1" outline="0" collapsedLevelsAreSubtotals="1" fieldPosition="0"/>
    </format>
    <format dxfId="78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26"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1"/>
        <item h="1" x="4"/>
        <item h="1" x="0"/>
        <item h="1" x="12"/>
        <item h="1" x="8"/>
        <item h="1" x="3"/>
        <item h="1" x="7"/>
        <item h="1" x="9"/>
        <item h="1" x="14"/>
        <item h="1" x="6"/>
        <item h="1" x="10"/>
        <item h="1" x="5"/>
        <item h="1" x="11"/>
        <item h="1" x="13"/>
        <item h="1" x="16"/>
        <item h="1" x="15"/>
        <item h="1" x="2"/>
        <item t="default"/>
      </items>
    </pivotField>
    <pivotField axis="axisRow" showAll="0" defaultSubtotal="0">
      <items count="138">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2"/>
        <item x="63"/>
        <item x="64"/>
        <item x="65"/>
        <item x="66"/>
        <item x="67"/>
        <item x="68"/>
        <item x="69"/>
        <item x="70"/>
        <item x="71"/>
        <item x="72"/>
        <item x="74"/>
        <item x="75"/>
        <item x="76"/>
        <item x="77"/>
        <item x="78"/>
        <item x="79"/>
        <item x="80"/>
        <item x="81"/>
        <item x="82"/>
        <item x="84"/>
        <item x="85"/>
        <item x="86"/>
        <item x="87"/>
        <item x="88"/>
        <item x="89"/>
        <item x="90"/>
        <item x="91"/>
        <item x="92"/>
        <item x="93"/>
        <item x="94"/>
        <item x="95"/>
        <item x="96"/>
        <item x="97"/>
        <item x="98"/>
        <item x="100"/>
        <item x="101"/>
        <item x="102"/>
        <item x="103"/>
        <item x="104"/>
        <item x="105"/>
        <item x="106"/>
        <item x="107"/>
        <item x="108"/>
        <item x="109"/>
        <item x="110"/>
        <item x="111"/>
        <item x="112"/>
        <item x="113"/>
        <item x="114"/>
        <item x="115"/>
        <item x="116"/>
        <item x="117"/>
        <item x="118"/>
        <item x="119"/>
        <item x="121"/>
        <item x="122"/>
        <item x="123"/>
        <item x="124"/>
        <item x="125"/>
        <item x="126"/>
        <item x="127"/>
        <item x="128"/>
        <item x="129"/>
        <item x="130"/>
        <item x="131"/>
        <item x="132"/>
        <item x="133"/>
        <item x="134"/>
        <item x="136"/>
        <item x="137"/>
        <item x="99"/>
        <item x="120"/>
        <item x="135"/>
        <item x="73"/>
        <item x="61"/>
        <item x="83"/>
        <item x="2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810">
      <pivotArea field="4" type="button" dataOnly="0" labelOnly="1" outline="0" axis="axisPage" fieldPosition="1"/>
    </format>
    <format dxfId="809">
      <pivotArea field="4" type="button" dataOnly="0" labelOnly="1" outline="0" axis="axisPage" fieldPosition="1"/>
    </format>
    <format dxfId="808">
      <pivotArea collapsedLevelsAreSubtotals="1" fieldPosition="0">
        <references count="2">
          <reference field="4294967294" count="1" selected="0">
            <x v="0"/>
          </reference>
          <reference field="5" count="11">
            <x v="1"/>
            <x v="4"/>
            <x v="22"/>
            <x v="38"/>
            <x v="73"/>
            <x v="83"/>
            <x v="96"/>
            <x v="103"/>
            <x v="113"/>
            <x v="119"/>
            <x v="127"/>
          </reference>
        </references>
      </pivotArea>
    </format>
    <format dxfId="807">
      <pivotArea outline="0" fieldPosition="0">
        <references count="1">
          <reference field="4294967294" count="1">
            <x v="0"/>
          </reference>
        </references>
      </pivotArea>
    </format>
    <format dxfId="806">
      <pivotArea field="3" type="button" dataOnly="0" labelOnly="1" outline="0" axis="axisPage" fieldPosition="0"/>
    </format>
    <format dxfId="805">
      <pivotArea dataOnly="0" labelOnly="1" outline="0" fieldPosition="0">
        <references count="1">
          <reference field="3" count="0"/>
        </references>
      </pivotArea>
    </format>
    <format dxfId="804">
      <pivotArea field="4" type="button" dataOnly="0" labelOnly="1" outline="0" axis="axisPage" fieldPosition="1"/>
    </format>
    <format dxfId="803">
      <pivotArea dataOnly="0" labelOnly="1" outline="0" fieldPosition="0">
        <references count="1">
          <reference field="4" count="0"/>
        </references>
      </pivotArea>
    </format>
    <format dxfId="802">
      <pivotArea field="19" type="button" dataOnly="0" labelOnly="1" outline="0" axis="axisPage" fieldPosition="2"/>
    </format>
    <format dxfId="801">
      <pivotArea dataOnly="0" labelOnly="1" outline="0" fieldPosition="0">
        <references count="1">
          <reference field="19" count="0"/>
        </references>
      </pivotArea>
    </format>
    <format dxfId="800">
      <pivotArea field="3" type="button" dataOnly="0" labelOnly="1" outline="0" axis="axisPage" fieldPosition="0"/>
    </format>
    <format dxfId="799">
      <pivotArea dataOnly="0" labelOnly="1" outline="0" fieldPosition="0">
        <references count="1">
          <reference field="3" count="0"/>
        </references>
      </pivotArea>
    </format>
    <format dxfId="798">
      <pivotArea field="4" type="button" dataOnly="0" labelOnly="1" outline="0" axis="axisPage" fieldPosition="1"/>
    </format>
    <format dxfId="797">
      <pivotArea dataOnly="0" labelOnly="1" outline="0" fieldPosition="0">
        <references count="1">
          <reference field="4" count="0"/>
        </references>
      </pivotArea>
    </format>
    <format dxfId="796">
      <pivotArea field="19" type="button" dataOnly="0" labelOnly="1" outline="0" axis="axisPage" fieldPosition="2"/>
    </format>
    <format dxfId="795">
      <pivotArea dataOnly="0" labelOnly="1" outline="0" fieldPosition="0">
        <references count="1">
          <reference field="19" count="0"/>
        </references>
      </pivotArea>
    </format>
    <format dxfId="794">
      <pivotArea type="all" dataOnly="0" outline="0" fieldPosition="0"/>
    </format>
    <format dxfId="79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3" cacheId="26"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E7:F19" firstHeaderRow="1" firstDataRow="1" firstDataCol="1" rowPageCount="1" colPageCount="1"/>
  <pivotFields count="23">
    <pivotField showAll="0" defaultSubtotal="0"/>
    <pivotField axis="axisRow" showAll="0" sortType="ascending">
      <items count="17">
        <item h="1" x="1"/>
        <item x="8"/>
        <item x="6"/>
        <item h="1" x="12"/>
        <item h="1" x="13"/>
        <item x="4"/>
        <item h="1" x="9"/>
        <item x="2"/>
        <item x="14"/>
        <item x="5"/>
        <item x="15"/>
        <item x="7"/>
        <item x="0"/>
        <item x="10"/>
        <item x="11"/>
        <item h="1" x="3"/>
        <item t="default"/>
      </items>
    </pivotField>
    <pivotField showAll="0" defaultSubtotal="0"/>
    <pivotField axis="axisPage" multipleItemSelectionAllowed="1" showAll="0">
      <items count="3">
        <item x="0"/>
        <item x="1"/>
        <item t="default"/>
      </items>
    </pivotField>
    <pivotField showAll="0" sortType="ascending">
      <items count="18">
        <item x="1"/>
        <item h="1" x="4"/>
        <item h="1" x="0"/>
        <item h="1" x="12"/>
        <item h="1" x="8"/>
        <item x="3"/>
        <item x="7"/>
        <item x="9"/>
        <item x="14"/>
        <item x="6"/>
        <item h="1" x="10"/>
        <item x="5"/>
        <item x="11"/>
        <item x="13"/>
        <item h="1" x="16"/>
        <item x="15"/>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1"/>
    </i>
    <i>
      <x v="2"/>
    </i>
    <i>
      <x v="5"/>
    </i>
    <i>
      <x v="7"/>
    </i>
    <i>
      <x v="8"/>
    </i>
    <i>
      <x v="9"/>
    </i>
    <i>
      <x v="10"/>
    </i>
    <i>
      <x v="11"/>
    </i>
    <i>
      <x v="12"/>
    </i>
    <i>
      <x v="13"/>
    </i>
    <i>
      <x v="14"/>
    </i>
    <i t="grand">
      <x/>
    </i>
  </rowItems>
  <colItems count="1">
    <i/>
  </colItems>
  <pageFields count="1">
    <pageField fld="3" hier="-1"/>
  </pageFields>
  <dataFields count="1">
    <dataField name="Sum of HH Covered" fld="15" baseField="0" baseItem="0"/>
  </dataFields>
  <formats count="8">
    <format dxfId="818">
      <pivotArea field="4" type="button" dataOnly="0" labelOnly="1" outline="0"/>
    </format>
    <format dxfId="817">
      <pivotArea field="4" type="button" dataOnly="0" labelOnly="1" outline="0"/>
    </format>
    <format dxfId="816">
      <pivotArea outline="0" collapsedLevelsAreSubtotals="1" fieldPosition="0"/>
    </format>
    <format dxfId="815">
      <pivotArea type="all" dataOnly="0" outline="0" fieldPosition="0"/>
    </format>
    <format dxfId="814">
      <pivotArea field="1" type="button" dataOnly="0" labelOnly="1" outline="0" axis="axisRow" fieldPosition="0"/>
    </format>
    <format dxfId="813">
      <pivotArea dataOnly="0" labelOnly="1" outline="0" axis="axisValues" fieldPosition="0"/>
    </format>
    <format dxfId="812">
      <pivotArea collapsedLevelsAreSubtotals="1" fieldPosition="0">
        <references count="1">
          <reference field="1" count="0"/>
        </references>
      </pivotArea>
    </format>
    <format dxfId="811">
      <pivotArea dataOnly="0" labelOnly="1" fieldPosition="0">
        <references count="1">
          <reference field="1" count="0"/>
        </references>
      </pivotArea>
    </format>
  </formats>
  <chartFormats count="1">
    <chartFormat chart="4" format="4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4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73" firstHeaderRow="0" firstDataRow="1" firstDataCol="1" rowPageCount="2" colPageCount="1"/>
  <pivotFields count="42">
    <pivotField axis="axisPage" multipleItemSelectionAllowed="1" showAll="0">
      <items count="3">
        <item h="1" x="0"/>
        <item x="1"/>
        <item t="default"/>
      </items>
    </pivotField>
    <pivotField showAll="0"/>
    <pivotField showAll="0"/>
    <pivotField showAll="0"/>
    <pivotField showAll="0"/>
    <pivotField axis="axisRow" showAll="0" sortType="descending">
      <items count="22">
        <item x="1"/>
        <item x="4"/>
        <item x="0"/>
        <item x="18"/>
        <item x="14"/>
        <item x="13"/>
        <item x="7"/>
        <item x="15"/>
        <item x="2"/>
        <item x="16"/>
        <item x="12"/>
        <item x="8"/>
        <item x="5"/>
        <item x="10"/>
        <item x="6"/>
        <item x="17"/>
        <item x="19"/>
        <item x="11"/>
        <item x="9"/>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41">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1"/>
        <item x="162"/>
        <item x="163"/>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2"/>
        <item x="203"/>
        <item x="204"/>
        <item x="205"/>
        <item x="206"/>
        <item x="207"/>
        <item x="208"/>
        <item x="209"/>
        <item x="210"/>
        <item x="211"/>
        <item x="212"/>
        <item x="213"/>
        <item x="214"/>
        <item x="215"/>
        <item x="216"/>
        <item x="217"/>
        <item x="219"/>
        <item x="220"/>
        <item x="221"/>
        <item x="222"/>
        <item x="223"/>
        <item x="224"/>
        <item x="225"/>
        <item x="226"/>
        <item x="227"/>
        <item x="228"/>
        <item x="229"/>
        <item x="230"/>
        <item x="231"/>
        <item x="232"/>
        <item x="233"/>
        <item x="234"/>
        <item x="235"/>
        <item x="236"/>
        <item x="238"/>
        <item x="239"/>
        <item x="40"/>
        <item x="129"/>
        <item x="130"/>
        <item x="173"/>
        <item x="64"/>
        <item x="184"/>
        <item x="218"/>
        <item x="237"/>
        <item x="80"/>
        <item x="160"/>
        <item x="200"/>
        <item x="201"/>
        <item x="81"/>
        <item x="174"/>
        <item x="198"/>
        <item x="24"/>
        <item x="175"/>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2"/>
        <item x="0"/>
        <item h="1" x="1"/>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2">
        <item x="3"/>
        <item x="8"/>
        <item x="0"/>
        <item x="10"/>
        <item x="5"/>
        <item x="11"/>
        <item x="4"/>
        <item x="1"/>
        <item x="6"/>
        <item x="9"/>
        <item x="7"/>
        <item x="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69">
    <i>
      <x/>
    </i>
    <i r="1">
      <x/>
    </i>
    <i r="2">
      <x v="183"/>
    </i>
    <i r="2">
      <x v="3"/>
    </i>
    <i r="2">
      <x v="175"/>
    </i>
    <i r="2">
      <x v="72"/>
    </i>
    <i r="2">
      <x v="157"/>
    </i>
    <i r="2">
      <x v="45"/>
    </i>
    <i r="2">
      <x v="136"/>
    </i>
    <i r="2">
      <x v="7"/>
    </i>
    <i r="2">
      <x v="219"/>
    </i>
    <i r="2">
      <x v="199"/>
    </i>
    <i>
      <x v="1"/>
    </i>
    <i r="1">
      <x v="1"/>
    </i>
    <i r="2">
      <x v="43"/>
    </i>
    <i r="2">
      <x v="69"/>
    </i>
    <i r="2">
      <x v="173"/>
    </i>
    <i r="2">
      <x v="187"/>
    </i>
    <i r="2">
      <x v="22"/>
    </i>
    <i>
      <x v="2"/>
    </i>
    <i r="1">
      <x v="2"/>
    </i>
    <i r="2">
      <x v="42"/>
    </i>
    <i r="2">
      <x v="2"/>
    </i>
    <i r="2">
      <x v="1"/>
    </i>
    <i r="2">
      <x v="214"/>
    </i>
    <i r="2">
      <x v="4"/>
    </i>
    <i r="2">
      <x v="13"/>
    </i>
    <i r="2">
      <x v="36"/>
    </i>
    <i r="2">
      <x v="220"/>
    </i>
    <i r="2">
      <x v="5"/>
    </i>
    <i r="2">
      <x v="185"/>
    </i>
    <i r="2">
      <x v="152"/>
    </i>
    <i r="2">
      <x v="182"/>
    </i>
    <i r="2">
      <x v="120"/>
    </i>
    <i r="2">
      <x v="158"/>
    </i>
    <i r="2">
      <x v="37"/>
    </i>
    <i r="2">
      <x v="24"/>
    </i>
    <i r="2">
      <x v="71"/>
    </i>
    <i r="2">
      <x v="20"/>
    </i>
    <i r="2">
      <x v="70"/>
    </i>
    <i r="2">
      <x v="55"/>
    </i>
    <i>
      <x v="3"/>
    </i>
    <i r="1">
      <x v="3"/>
    </i>
    <i r="2">
      <x v="232"/>
    </i>
    <i>
      <x v="5"/>
    </i>
    <i r="1">
      <x v="19"/>
    </i>
    <i r="2">
      <x v="236"/>
    </i>
    <i r="2">
      <x v="198"/>
    </i>
    <i r="2">
      <x v="237"/>
    </i>
    <i r="1">
      <x v="18"/>
    </i>
    <i r="2">
      <x v="192"/>
    </i>
    <i r="2">
      <x v="193"/>
    </i>
    <i r="1">
      <x v="13"/>
    </i>
    <i r="2">
      <x v="134"/>
    </i>
    <i r="2">
      <x v="126"/>
    </i>
    <i r="2">
      <x v="146"/>
    </i>
    <i r="2">
      <x v="135"/>
    </i>
    <i r="1">
      <x v="9"/>
    </i>
    <i r="2">
      <x v="103"/>
    </i>
    <i r="2">
      <x v="102"/>
    </i>
    <i r="1">
      <x v="17"/>
    </i>
    <i r="2">
      <x v="231"/>
    </i>
    <i r="1">
      <x v="10"/>
    </i>
    <i r="2">
      <x v="235"/>
    </i>
    <i r="2">
      <x v="104"/>
    </i>
    <i r="2">
      <x v="59"/>
    </i>
    <i r="2">
      <x v="161"/>
    </i>
    <i r="1">
      <x v="11"/>
    </i>
    <i r="2">
      <x v="196"/>
    </i>
    <i r="2">
      <x v="164"/>
    </i>
    <i r="1">
      <x v="5"/>
    </i>
    <i r="2">
      <x v="60"/>
    </i>
    <i r="1">
      <x v="16"/>
    </i>
    <i r="2">
      <x v="153"/>
    </i>
    <i>
      <x v="6"/>
    </i>
    <i r="1">
      <x v="6"/>
    </i>
    <i r="2">
      <x v="239"/>
    </i>
    <i r="2">
      <x v="222"/>
    </i>
    <i r="2">
      <x v="130"/>
    </i>
    <i r="2">
      <x v="148"/>
    </i>
    <i r="2">
      <x v="131"/>
    </i>
    <i r="2">
      <x v="123"/>
    </i>
    <i r="2">
      <x v="56"/>
    </i>
    <i r="2">
      <x v="57"/>
    </i>
    <i r="2">
      <x v="54"/>
    </i>
    <i>
      <x v="7"/>
    </i>
    <i r="1">
      <x v="8"/>
    </i>
    <i r="2">
      <x v="97"/>
    </i>
    <i r="2">
      <x v="86"/>
    </i>
    <i r="2">
      <x v="105"/>
    </i>
    <i r="2">
      <x v="98"/>
    </i>
    <i r="2">
      <x v="96"/>
    </i>
    <i r="2">
      <x v="19"/>
    </i>
    <i r="2">
      <x v="87"/>
    </i>
    <i r="2">
      <x v="64"/>
    </i>
    <i r="2">
      <x v="95"/>
    </i>
    <i r="2">
      <x v="18"/>
    </i>
    <i>
      <x v="8"/>
    </i>
    <i r="1">
      <x v="12"/>
    </i>
    <i r="2">
      <x v="51"/>
    </i>
    <i r="2">
      <x v="172"/>
    </i>
    <i r="2">
      <x v="89"/>
    </i>
    <i r="2">
      <x v="75"/>
    </i>
    <i r="2">
      <x v="188"/>
    </i>
    <i r="2">
      <x v="170"/>
    </i>
    <i r="2">
      <x v="74"/>
    </i>
    <i r="2">
      <x v="167"/>
    </i>
    <i r="2">
      <x v="168"/>
    </i>
    <i r="2">
      <x v="44"/>
    </i>
    <i r="2">
      <x v="28"/>
    </i>
    <i r="2">
      <x v="73"/>
    </i>
    <i r="2">
      <x v="124"/>
    </i>
    <i>
      <x v="9"/>
    </i>
    <i r="1">
      <x v="14"/>
    </i>
    <i r="2">
      <x v="67"/>
    </i>
    <i r="2">
      <x v="88"/>
    </i>
    <i r="2">
      <x v="27"/>
    </i>
    <i r="2">
      <x v="49"/>
    </i>
    <i r="2">
      <x v="58"/>
    </i>
    <i r="2">
      <x v="194"/>
    </i>
    <i r="2">
      <x v="68"/>
    </i>
    <i r="2">
      <x v="189"/>
    </i>
    <i r="2">
      <x v="50"/>
    </i>
    <i r="2">
      <x v="190"/>
    </i>
    <i r="2">
      <x v="171"/>
    </i>
    <i r="2">
      <x v="90"/>
    </i>
    <i r="2">
      <x v="204"/>
    </i>
    <i r="2">
      <x v="205"/>
    </i>
    <i r="2">
      <x v="202"/>
    </i>
    <i r="2">
      <x v="169"/>
    </i>
    <i r="2">
      <x v="156"/>
    </i>
    <i r="2">
      <x v="25"/>
    </i>
    <i r="2">
      <x v="229"/>
    </i>
    <i r="2">
      <x v="26"/>
    </i>
    <i r="2">
      <x v="218"/>
    </i>
    <i r="2">
      <x v="203"/>
    </i>
    <i r="2">
      <x v="114"/>
    </i>
    <i r="2">
      <x v="115"/>
    </i>
    <i>
      <x v="10"/>
    </i>
    <i r="1">
      <x v="15"/>
    </i>
    <i r="2">
      <x v="155"/>
    </i>
    <i r="2">
      <x v="143"/>
    </i>
    <i r="2">
      <x v="141"/>
    </i>
    <i r="2">
      <x v="142"/>
    </i>
    <i r="2">
      <x v="140"/>
    </i>
    <i>
      <x v="11"/>
    </i>
    <i r="1">
      <x v="20"/>
    </i>
    <i r="2">
      <x v="215"/>
    </i>
    <i r="2">
      <x v="228"/>
    </i>
    <i r="2">
      <x v="177"/>
    </i>
    <i r="2">
      <x v="230"/>
    </i>
    <i r="2">
      <x v="211"/>
    </i>
    <i r="2">
      <x v="35"/>
    </i>
    <i r="2">
      <x v="82"/>
    </i>
    <i r="2">
      <x v="179"/>
    </i>
    <i r="2">
      <x v="83"/>
    </i>
    <i r="2">
      <x v="85"/>
    </i>
    <i r="2">
      <x v="34"/>
    </i>
    <i r="2">
      <x v="80"/>
    </i>
    <i r="2">
      <x v="191"/>
    </i>
    <i r="2">
      <x v="163"/>
    </i>
    <i r="2">
      <x v="206"/>
    </i>
    <i r="2">
      <x v="180"/>
    </i>
    <i r="2">
      <x v="84"/>
    </i>
    <i r="2">
      <x v="181"/>
    </i>
    <i r="2">
      <x v="17"/>
    </i>
    <i r="2">
      <x v="79"/>
    </i>
    <i r="2">
      <x v="178"/>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96">
    <format dxfId="466">
      <pivotArea outline="0" collapsedLevelsAreSubtotals="1" fieldPosition="0">
        <references count="1">
          <reference field="4294967294" count="1" selected="0">
            <x v="3"/>
          </reference>
        </references>
      </pivotArea>
    </format>
    <format dxfId="465">
      <pivotArea outline="0" collapsedLevelsAreSubtotals="1" fieldPosition="0">
        <references count="1">
          <reference field="4294967294" count="1" selected="0">
            <x v="0"/>
          </reference>
        </references>
      </pivotArea>
    </format>
    <format dxfId="464">
      <pivotArea outline="0" fieldPosition="0">
        <references count="1">
          <reference field="4294967294" count="1">
            <x v="4"/>
          </reference>
        </references>
      </pivotArea>
    </format>
    <format dxfId="463">
      <pivotArea outline="0" fieldPosition="0">
        <references count="1">
          <reference field="4294967294" count="1">
            <x v="3"/>
          </reference>
        </references>
      </pivotArea>
    </format>
    <format dxfId="462">
      <pivotArea outline="0" collapsedLevelsAreSubtotals="1" fieldPosition="0">
        <references count="1">
          <reference field="4294967294" count="2" selected="0">
            <x v="1"/>
            <x v="2"/>
          </reference>
        </references>
      </pivotArea>
    </format>
    <format dxfId="461">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460">
      <pivotArea dataOnly="0" labelOnly="1" fieldPosition="0">
        <references count="1">
          <reference field="11" count="16">
            <x v="3"/>
            <x v="33"/>
            <x v="43"/>
            <x v="51"/>
            <x v="64"/>
            <x v="89"/>
            <x v="96"/>
            <x v="97"/>
            <x v="98"/>
            <x v="124"/>
            <x v="155"/>
            <x v="172"/>
            <x v="177"/>
            <x v="183"/>
            <x v="214"/>
            <x v="215"/>
          </reference>
        </references>
      </pivotArea>
    </format>
    <format dxfId="459">
      <pivotArea type="all" dataOnly="0" outline="0" fieldPosition="0"/>
    </format>
    <format dxfId="458">
      <pivotArea collapsedLevelsAreSubtotals="1" fieldPosition="0">
        <references count="1">
          <reference field="38" count="1">
            <x v="0"/>
          </reference>
        </references>
      </pivotArea>
    </format>
    <format dxfId="457">
      <pivotArea collapsedLevelsAreSubtotals="1" fieldPosition="0">
        <references count="2">
          <reference field="5" count="1">
            <x v="0"/>
          </reference>
          <reference field="38" count="1" selected="0">
            <x v="0"/>
          </reference>
        </references>
      </pivotArea>
    </format>
    <format dxfId="456">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455">
      <pivotArea dataOnly="0" labelOnly="1" fieldPosition="0">
        <references count="1">
          <reference field="38" count="1">
            <x v="0"/>
          </reference>
        </references>
      </pivotArea>
    </format>
    <format dxfId="454">
      <pivotArea dataOnly="0" labelOnly="1" fieldPosition="0">
        <references count="2">
          <reference field="5" count="1">
            <x v="0"/>
          </reference>
          <reference field="38" count="1" selected="0">
            <x v="0"/>
          </reference>
        </references>
      </pivotArea>
    </format>
    <format dxfId="453">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452">
      <pivotArea collapsedLevelsAreSubtotals="1" fieldPosition="0">
        <references count="1">
          <reference field="38" count="1">
            <x v="1"/>
          </reference>
        </references>
      </pivotArea>
    </format>
    <format dxfId="451">
      <pivotArea collapsedLevelsAreSubtotals="1" fieldPosition="0">
        <references count="2">
          <reference field="5" count="1">
            <x v="1"/>
          </reference>
          <reference field="38" count="1" selected="0">
            <x v="1"/>
          </reference>
        </references>
      </pivotArea>
    </format>
    <format dxfId="450">
      <pivotArea collapsedLevelsAreSubtotals="1" fieldPosition="0">
        <references count="3">
          <reference field="5" count="1" selected="0">
            <x v="1"/>
          </reference>
          <reference field="11" count="5">
            <x v="22"/>
            <x v="43"/>
            <x v="69"/>
            <x v="173"/>
            <x v="187"/>
          </reference>
          <reference field="38" count="1" selected="0">
            <x v="1"/>
          </reference>
        </references>
      </pivotArea>
    </format>
    <format dxfId="449">
      <pivotArea dataOnly="0" labelOnly="1" fieldPosition="0">
        <references count="1">
          <reference field="38" count="1">
            <x v="1"/>
          </reference>
        </references>
      </pivotArea>
    </format>
    <format dxfId="448">
      <pivotArea dataOnly="0" labelOnly="1" fieldPosition="0">
        <references count="2">
          <reference field="5" count="1">
            <x v="1"/>
          </reference>
          <reference field="38" count="1" selected="0">
            <x v="1"/>
          </reference>
        </references>
      </pivotArea>
    </format>
    <format dxfId="447">
      <pivotArea dataOnly="0" labelOnly="1" fieldPosition="0">
        <references count="3">
          <reference field="5" count="1" selected="0">
            <x v="1"/>
          </reference>
          <reference field="11" count="5">
            <x v="22"/>
            <x v="43"/>
            <x v="69"/>
            <x v="173"/>
            <x v="187"/>
          </reference>
          <reference field="38" count="1" selected="0">
            <x v="1"/>
          </reference>
        </references>
      </pivotArea>
    </format>
    <format dxfId="446">
      <pivotArea collapsedLevelsAreSubtotals="1" fieldPosition="0">
        <references count="1">
          <reference field="38" count="1">
            <x v="2"/>
          </reference>
        </references>
      </pivotArea>
    </format>
    <format dxfId="445">
      <pivotArea collapsedLevelsAreSubtotals="1" fieldPosition="0">
        <references count="2">
          <reference field="5" count="1">
            <x v="2"/>
          </reference>
          <reference field="38" count="1" selected="0">
            <x v="2"/>
          </reference>
        </references>
      </pivotArea>
    </format>
    <format dxfId="444">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443">
      <pivotArea dataOnly="0" labelOnly="1" fieldPosition="0">
        <references count="1">
          <reference field="38" count="1">
            <x v="2"/>
          </reference>
        </references>
      </pivotArea>
    </format>
    <format dxfId="442">
      <pivotArea dataOnly="0" labelOnly="1" fieldPosition="0">
        <references count="2">
          <reference field="5" count="1">
            <x v="2"/>
          </reference>
          <reference field="38" count="1" selected="0">
            <x v="2"/>
          </reference>
        </references>
      </pivotArea>
    </format>
    <format dxfId="441">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440">
      <pivotArea collapsedLevelsAreSubtotals="1" fieldPosition="0">
        <references count="1">
          <reference field="38" count="1">
            <x v="3"/>
          </reference>
        </references>
      </pivotArea>
    </format>
    <format dxfId="439">
      <pivotArea collapsedLevelsAreSubtotals="1" fieldPosition="0">
        <references count="2">
          <reference field="5" count="1">
            <x v="3"/>
          </reference>
          <reference field="38" count="1" selected="0">
            <x v="3"/>
          </reference>
        </references>
      </pivotArea>
    </format>
    <format dxfId="438">
      <pivotArea collapsedLevelsAreSubtotals="1" fieldPosition="0">
        <references count="3">
          <reference field="5" count="1" selected="0">
            <x v="3"/>
          </reference>
          <reference field="11" count="1">
            <x v="232"/>
          </reference>
          <reference field="38" count="1" selected="0">
            <x v="3"/>
          </reference>
        </references>
      </pivotArea>
    </format>
    <format dxfId="437">
      <pivotArea dataOnly="0" labelOnly="1" fieldPosition="0">
        <references count="1">
          <reference field="38" count="1">
            <x v="3"/>
          </reference>
        </references>
      </pivotArea>
    </format>
    <format dxfId="436">
      <pivotArea dataOnly="0" labelOnly="1" fieldPosition="0">
        <references count="2">
          <reference field="5" count="1">
            <x v="3"/>
          </reference>
          <reference field="38" count="1" selected="0">
            <x v="3"/>
          </reference>
        </references>
      </pivotArea>
    </format>
    <format dxfId="435">
      <pivotArea dataOnly="0" labelOnly="1" fieldPosition="0">
        <references count="3">
          <reference field="5" count="1" selected="0">
            <x v="3"/>
          </reference>
          <reference field="11" count="1">
            <x v="232"/>
          </reference>
          <reference field="38" count="1" selected="0">
            <x v="3"/>
          </reference>
        </references>
      </pivotArea>
    </format>
    <format dxfId="434">
      <pivotArea collapsedLevelsAreSubtotals="1" fieldPosition="0">
        <references count="1">
          <reference field="38" count="1">
            <x v="5"/>
          </reference>
        </references>
      </pivotArea>
    </format>
    <format dxfId="433">
      <pivotArea collapsedLevelsAreSubtotals="1" fieldPosition="0">
        <references count="2">
          <reference field="5" count="1">
            <x v="13"/>
          </reference>
          <reference field="38" count="1" selected="0">
            <x v="5"/>
          </reference>
        </references>
      </pivotArea>
    </format>
    <format dxfId="432">
      <pivotArea collapsedLevelsAreSubtotals="1" fieldPosition="0">
        <references count="3">
          <reference field="5" count="1" selected="0">
            <x v="13"/>
          </reference>
          <reference field="11" count="4">
            <x v="126"/>
            <x v="134"/>
            <x v="135"/>
            <x v="146"/>
          </reference>
          <reference field="38" count="1" selected="0">
            <x v="5"/>
          </reference>
        </references>
      </pivotArea>
    </format>
    <format dxfId="431">
      <pivotArea collapsedLevelsAreSubtotals="1" fieldPosition="0">
        <references count="2">
          <reference field="5" count="1">
            <x v="18"/>
          </reference>
          <reference field="38" count="1" selected="0">
            <x v="5"/>
          </reference>
        </references>
      </pivotArea>
    </format>
    <format dxfId="430">
      <pivotArea collapsedLevelsAreSubtotals="1" fieldPosition="0">
        <references count="3">
          <reference field="5" count="1" selected="0">
            <x v="18"/>
          </reference>
          <reference field="11" count="2">
            <x v="192"/>
            <x v="193"/>
          </reference>
          <reference field="38" count="1" selected="0">
            <x v="5"/>
          </reference>
        </references>
      </pivotArea>
    </format>
    <format dxfId="429">
      <pivotArea collapsedLevelsAreSubtotals="1" fieldPosition="0">
        <references count="2">
          <reference field="5" count="1">
            <x v="9"/>
          </reference>
          <reference field="38" count="1" selected="0">
            <x v="5"/>
          </reference>
        </references>
      </pivotArea>
    </format>
    <format dxfId="428">
      <pivotArea collapsedLevelsAreSubtotals="1" fieldPosition="0">
        <references count="3">
          <reference field="5" count="1" selected="0">
            <x v="9"/>
          </reference>
          <reference field="11" count="2">
            <x v="102"/>
            <x v="103"/>
          </reference>
          <reference field="38" count="1" selected="0">
            <x v="5"/>
          </reference>
        </references>
      </pivotArea>
    </format>
    <format dxfId="427">
      <pivotArea collapsedLevelsAreSubtotals="1" fieldPosition="0">
        <references count="2">
          <reference field="5" count="1">
            <x v="17"/>
          </reference>
          <reference field="38" count="1" selected="0">
            <x v="5"/>
          </reference>
        </references>
      </pivotArea>
    </format>
    <format dxfId="426">
      <pivotArea collapsedLevelsAreSubtotals="1" fieldPosition="0">
        <references count="3">
          <reference field="5" count="1" selected="0">
            <x v="17"/>
          </reference>
          <reference field="11" count="1">
            <x v="231"/>
          </reference>
          <reference field="38" count="1" selected="0">
            <x v="5"/>
          </reference>
        </references>
      </pivotArea>
    </format>
    <format dxfId="425">
      <pivotArea collapsedLevelsAreSubtotals="1" fieldPosition="0">
        <references count="2">
          <reference field="5" count="1">
            <x v="10"/>
          </reference>
          <reference field="38" count="1" selected="0">
            <x v="5"/>
          </reference>
        </references>
      </pivotArea>
    </format>
    <format dxfId="424">
      <pivotArea collapsedLevelsAreSubtotals="1" fieldPosition="0">
        <references count="3">
          <reference field="5" count="1" selected="0">
            <x v="10"/>
          </reference>
          <reference field="11" count="3">
            <x v="59"/>
            <x v="104"/>
            <x v="161"/>
          </reference>
          <reference field="38" count="1" selected="0">
            <x v="5"/>
          </reference>
        </references>
      </pivotArea>
    </format>
    <format dxfId="423">
      <pivotArea collapsedLevelsAreSubtotals="1" fieldPosition="0">
        <references count="2">
          <reference field="5" count="1">
            <x v="11"/>
          </reference>
          <reference field="38" count="1" selected="0">
            <x v="5"/>
          </reference>
        </references>
      </pivotArea>
    </format>
    <format dxfId="422">
      <pivotArea collapsedLevelsAreSubtotals="1" fieldPosition="0">
        <references count="3">
          <reference field="5" count="1" selected="0">
            <x v="11"/>
          </reference>
          <reference field="11" count="2">
            <x v="164"/>
            <x v="196"/>
          </reference>
          <reference field="38" count="1" selected="0">
            <x v="5"/>
          </reference>
        </references>
      </pivotArea>
    </format>
    <format dxfId="421">
      <pivotArea collapsedLevelsAreSubtotals="1" fieldPosition="0">
        <references count="2">
          <reference field="5" count="1">
            <x v="16"/>
          </reference>
          <reference field="38" count="1" selected="0">
            <x v="5"/>
          </reference>
        </references>
      </pivotArea>
    </format>
    <format dxfId="420">
      <pivotArea collapsedLevelsAreSubtotals="1" fieldPosition="0">
        <references count="3">
          <reference field="5" count="1" selected="0">
            <x v="16"/>
          </reference>
          <reference field="11" count="1">
            <x v="153"/>
          </reference>
          <reference field="38" count="1" selected="0">
            <x v="5"/>
          </reference>
        </references>
      </pivotArea>
    </format>
    <format dxfId="419">
      <pivotArea collapsedLevelsAreSubtotals="1" fieldPosition="0">
        <references count="2">
          <reference field="5" count="1">
            <x v="5"/>
          </reference>
          <reference field="38" count="1" selected="0">
            <x v="5"/>
          </reference>
        </references>
      </pivotArea>
    </format>
    <format dxfId="418">
      <pivotArea collapsedLevelsAreSubtotals="1" fieldPosition="0">
        <references count="3">
          <reference field="5" count="1" selected="0">
            <x v="5"/>
          </reference>
          <reference field="11" count="1">
            <x v="60"/>
          </reference>
          <reference field="38" count="1" selected="0">
            <x v="5"/>
          </reference>
        </references>
      </pivotArea>
    </format>
    <format dxfId="417">
      <pivotArea collapsedLevelsAreSubtotals="1" fieldPosition="0">
        <references count="2">
          <reference field="5" count="1">
            <x v="19"/>
          </reference>
          <reference field="38" count="1" selected="0">
            <x v="5"/>
          </reference>
        </references>
      </pivotArea>
    </format>
    <format dxfId="416">
      <pivotArea collapsedLevelsAreSubtotals="1" fieldPosition="0">
        <references count="3">
          <reference field="5" count="1" selected="0">
            <x v="19"/>
          </reference>
          <reference field="11" count="1">
            <x v="198"/>
          </reference>
          <reference field="38" count="1" selected="0">
            <x v="5"/>
          </reference>
        </references>
      </pivotArea>
    </format>
    <format dxfId="415">
      <pivotArea dataOnly="0" labelOnly="1" fieldPosition="0">
        <references count="1">
          <reference field="38" count="1">
            <x v="5"/>
          </reference>
        </references>
      </pivotArea>
    </format>
    <format dxfId="414">
      <pivotArea dataOnly="0" labelOnly="1" fieldPosition="0">
        <references count="2">
          <reference field="5" count="9">
            <x v="5"/>
            <x v="9"/>
            <x v="10"/>
            <x v="11"/>
            <x v="13"/>
            <x v="16"/>
            <x v="17"/>
            <x v="18"/>
            <x v="19"/>
          </reference>
          <reference field="38" count="1" selected="0">
            <x v="5"/>
          </reference>
        </references>
      </pivotArea>
    </format>
    <format dxfId="413">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412">
      <pivotArea collapsedLevelsAreSubtotals="1" fieldPosition="0">
        <references count="1">
          <reference field="38" count="1">
            <x v="6"/>
          </reference>
        </references>
      </pivotArea>
    </format>
    <format dxfId="411">
      <pivotArea collapsedLevelsAreSubtotals="1" fieldPosition="0">
        <references count="2">
          <reference field="5" count="1">
            <x v="6"/>
          </reference>
          <reference field="38" count="1" selected="0">
            <x v="6"/>
          </reference>
        </references>
      </pivotArea>
    </format>
    <format dxfId="410">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409">
      <pivotArea dataOnly="0" labelOnly="1" fieldPosition="0">
        <references count="1">
          <reference field="38" count="1">
            <x v="6"/>
          </reference>
        </references>
      </pivotArea>
    </format>
    <format dxfId="408">
      <pivotArea dataOnly="0" labelOnly="1" fieldPosition="0">
        <references count="2">
          <reference field="5" count="1">
            <x v="6"/>
          </reference>
          <reference field="38" count="1" selected="0">
            <x v="6"/>
          </reference>
        </references>
      </pivotArea>
    </format>
    <format dxfId="407">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406">
      <pivotArea collapsedLevelsAreSubtotals="1" fieldPosition="0">
        <references count="1">
          <reference field="38" count="1">
            <x v="7"/>
          </reference>
        </references>
      </pivotArea>
    </format>
    <format dxfId="405">
      <pivotArea collapsedLevelsAreSubtotals="1" fieldPosition="0">
        <references count="2">
          <reference field="5" count="1">
            <x v="8"/>
          </reference>
          <reference field="38" count="1" selected="0">
            <x v="7"/>
          </reference>
        </references>
      </pivotArea>
    </format>
    <format dxfId="404">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403">
      <pivotArea dataOnly="0" labelOnly="1" fieldPosition="0">
        <references count="1">
          <reference field="38" count="1">
            <x v="7"/>
          </reference>
        </references>
      </pivotArea>
    </format>
    <format dxfId="402">
      <pivotArea dataOnly="0" labelOnly="1" fieldPosition="0">
        <references count="2">
          <reference field="5" count="1">
            <x v="8"/>
          </reference>
          <reference field="38" count="1" selected="0">
            <x v="7"/>
          </reference>
        </references>
      </pivotArea>
    </format>
    <format dxfId="401">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400">
      <pivotArea collapsedLevelsAreSubtotals="1" fieldPosition="0">
        <references count="1">
          <reference field="38" count="1">
            <x v="8"/>
          </reference>
        </references>
      </pivotArea>
    </format>
    <format dxfId="399">
      <pivotArea collapsedLevelsAreSubtotals="1" fieldPosition="0">
        <references count="2">
          <reference field="5" count="1">
            <x v="12"/>
          </reference>
          <reference field="38" count="1" selected="0">
            <x v="8"/>
          </reference>
        </references>
      </pivotArea>
    </format>
    <format dxfId="398">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397">
      <pivotArea dataOnly="0" labelOnly="1" fieldPosition="0">
        <references count="1">
          <reference field="38" count="1">
            <x v="8"/>
          </reference>
        </references>
      </pivotArea>
    </format>
    <format dxfId="396">
      <pivotArea dataOnly="0" labelOnly="1" fieldPosition="0">
        <references count="2">
          <reference field="5" count="1">
            <x v="12"/>
          </reference>
          <reference field="38" count="1" selected="0">
            <x v="8"/>
          </reference>
        </references>
      </pivotArea>
    </format>
    <format dxfId="395">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394">
      <pivotArea collapsedLevelsAreSubtotals="1" fieldPosition="0">
        <references count="1">
          <reference field="38" count="1">
            <x v="9"/>
          </reference>
        </references>
      </pivotArea>
    </format>
    <format dxfId="393">
      <pivotArea collapsedLevelsAreSubtotals="1" fieldPosition="0">
        <references count="2">
          <reference field="5" count="1">
            <x v="14"/>
          </reference>
          <reference field="38" count="1" selected="0">
            <x v="9"/>
          </reference>
        </references>
      </pivotArea>
    </format>
    <format dxfId="392">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391">
      <pivotArea dataOnly="0" labelOnly="1" fieldPosition="0">
        <references count="1">
          <reference field="38" count="1">
            <x v="9"/>
          </reference>
        </references>
      </pivotArea>
    </format>
    <format dxfId="390">
      <pivotArea dataOnly="0" labelOnly="1" fieldPosition="0">
        <references count="2">
          <reference field="5" count="1">
            <x v="14"/>
          </reference>
          <reference field="38" count="1" selected="0">
            <x v="9"/>
          </reference>
        </references>
      </pivotArea>
    </format>
    <format dxfId="389">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388">
      <pivotArea collapsedLevelsAreSubtotals="1" fieldPosition="0">
        <references count="1">
          <reference field="38" count="1">
            <x v="10"/>
          </reference>
        </references>
      </pivotArea>
    </format>
    <format dxfId="387">
      <pivotArea collapsedLevelsAreSubtotals="1" fieldPosition="0">
        <references count="2">
          <reference field="5" count="1">
            <x v="15"/>
          </reference>
          <reference field="38" count="1" selected="0">
            <x v="10"/>
          </reference>
        </references>
      </pivotArea>
    </format>
    <format dxfId="386">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385">
      <pivotArea dataOnly="0" labelOnly="1" fieldPosition="0">
        <references count="1">
          <reference field="38" count="1">
            <x v="10"/>
          </reference>
        </references>
      </pivotArea>
    </format>
    <format dxfId="384">
      <pivotArea dataOnly="0" labelOnly="1" fieldPosition="0">
        <references count="2">
          <reference field="5" count="1">
            <x v="15"/>
          </reference>
          <reference field="38" count="1" selected="0">
            <x v="10"/>
          </reference>
        </references>
      </pivotArea>
    </format>
    <format dxfId="383">
      <pivotArea dataOnly="0" labelOnly="1" fieldPosition="0">
        <references count="3">
          <reference field="5" count="1" selected="0">
            <x v="15"/>
          </reference>
          <reference field="11" count="5">
            <x v="140"/>
            <x v="141"/>
            <x v="142"/>
            <x v="143"/>
            <x v="155"/>
          </reference>
          <reference field="38" count="1" selected="0">
            <x v="10"/>
          </reference>
        </references>
      </pivotArea>
    </format>
    <format dxfId="382">
      <pivotArea collapsedLevelsAreSubtotals="1" fieldPosition="0">
        <references count="1">
          <reference field="38" count="1">
            <x v="11"/>
          </reference>
        </references>
      </pivotArea>
    </format>
    <format dxfId="381">
      <pivotArea collapsedLevelsAreSubtotals="1" fieldPosition="0">
        <references count="2">
          <reference field="5" count="1">
            <x v="20"/>
          </reference>
          <reference field="38" count="1" selected="0">
            <x v="11"/>
          </reference>
        </references>
      </pivotArea>
    </format>
    <format dxfId="380">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379">
      <pivotArea dataOnly="0" labelOnly="1" fieldPosition="0">
        <references count="1">
          <reference field="38" count="1">
            <x v="11"/>
          </reference>
        </references>
      </pivotArea>
    </format>
    <format dxfId="378">
      <pivotArea dataOnly="0" labelOnly="1" fieldPosition="0">
        <references count="2">
          <reference field="5" count="1">
            <x v="20"/>
          </reference>
          <reference field="38" count="1" selected="0">
            <x v="11"/>
          </reference>
        </references>
      </pivotArea>
    </format>
    <format dxfId="377">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376">
      <pivotArea outline="0" collapsedLevelsAreSubtotals="1" fieldPosition="0">
        <references count="1">
          <reference field="4294967294" count="1" selected="0">
            <x v="0"/>
          </reference>
        </references>
      </pivotArea>
    </format>
    <format dxfId="375">
      <pivotArea dataOnly="0" labelOnly="1" outline="0" fieldPosition="0">
        <references count="1">
          <reference field="4294967294" count="1">
            <x v="0"/>
          </reference>
        </references>
      </pivotArea>
    </format>
    <format dxfId="374">
      <pivotArea outline="0" collapsedLevelsAreSubtotals="1" fieldPosition="0">
        <references count="1">
          <reference field="4294967294" count="1" selected="0">
            <x v="2"/>
          </reference>
        </references>
      </pivotArea>
    </format>
    <format dxfId="373">
      <pivotArea dataOnly="0" labelOnly="1" outline="0" fieldPosition="0">
        <references count="1">
          <reference field="4294967294" count="1">
            <x v="2"/>
          </reference>
        </references>
      </pivotArea>
    </format>
    <format dxfId="372">
      <pivotArea outline="0" collapsedLevelsAreSubtotals="1" fieldPosition="0">
        <references count="1">
          <reference field="4294967294" count="1" selected="0">
            <x v="4"/>
          </reference>
        </references>
      </pivotArea>
    </format>
    <format dxfId="371">
      <pivotArea dataOnly="0" labelOnly="1"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26"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2"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1"/>
        <item x="4"/>
        <item x="0"/>
        <item x="8"/>
        <item x="3"/>
        <item x="7"/>
        <item x="9"/>
        <item x="14"/>
        <item x="6"/>
        <item x="10"/>
        <item x="5"/>
        <item x="11"/>
        <item x="13"/>
        <item x="15"/>
        <item x="2"/>
        <item x="16"/>
        <item x="12"/>
      </items>
    </pivotField>
    <pivotField axis="axisRow" compact="0" outline="0" showAll="0" defaultSubtotal="0">
      <items count="138">
        <item x="0"/>
        <item x="1"/>
        <item x="2"/>
        <item x="5"/>
        <item x="7"/>
        <item x="10"/>
        <item x="11"/>
        <item x="12"/>
        <item x="13"/>
        <item x="14"/>
        <item x="15"/>
        <item x="16"/>
        <item x="17"/>
        <item x="18"/>
        <item x="19"/>
        <item x="20"/>
        <item x="21"/>
        <item x="22"/>
        <item x="23"/>
        <item x="24"/>
        <item x="25"/>
        <item x="28"/>
        <item x="29"/>
        <item x="30"/>
        <item x="31"/>
        <item x="32"/>
        <item x="33"/>
        <item x="34"/>
        <item x="35"/>
        <item x="36"/>
        <item x="37"/>
        <item x="39"/>
        <item x="40"/>
        <item x="41"/>
        <item x="42"/>
        <item x="43"/>
        <item x="44"/>
        <item x="45"/>
        <item x="47"/>
        <item x="48"/>
        <item x="49"/>
        <item x="50"/>
        <item x="53"/>
        <item x="54"/>
        <item x="55"/>
        <item x="57"/>
        <item x="58"/>
        <item x="59"/>
        <item x="60"/>
        <item x="62"/>
        <item x="63"/>
        <item x="64"/>
        <item x="65"/>
        <item x="66"/>
        <item x="67"/>
        <item x="69"/>
        <item x="70"/>
        <item x="71"/>
        <item x="72"/>
        <item x="77"/>
        <item x="78"/>
        <item x="80"/>
        <item x="81"/>
        <item x="82"/>
        <item x="84"/>
        <item x="86"/>
        <item x="87"/>
        <item x="88"/>
        <item x="89"/>
        <item x="91"/>
        <item x="92"/>
        <item x="93"/>
        <item x="94"/>
        <item x="95"/>
        <item x="96"/>
        <item x="97"/>
        <item x="98"/>
        <item x="101"/>
        <item x="102"/>
        <item x="103"/>
        <item x="104"/>
        <item x="105"/>
        <item x="106"/>
        <item x="107"/>
        <item x="108"/>
        <item x="109"/>
        <item x="110"/>
        <item x="111"/>
        <item x="112"/>
        <item x="113"/>
        <item x="114"/>
        <item x="115"/>
        <item x="116"/>
        <item x="117"/>
        <item x="118"/>
        <item x="119"/>
        <item x="121"/>
        <item x="122"/>
        <item x="123"/>
        <item x="124"/>
        <item x="126"/>
        <item x="127"/>
        <item x="129"/>
        <item x="130"/>
        <item x="131"/>
        <item x="132"/>
        <item x="133"/>
        <item x="134"/>
        <item x="51"/>
        <item x="125"/>
        <item x="8"/>
        <item x="90"/>
        <item x="76"/>
        <item x="46"/>
        <item x="6"/>
        <item x="4"/>
        <item x="128"/>
        <item x="137"/>
        <item x="100"/>
        <item x="52"/>
        <item x="26"/>
        <item x="9"/>
        <item x="3"/>
        <item x="38"/>
        <item x="56"/>
        <item x="68"/>
        <item x="74"/>
        <item x="75"/>
        <item x="79"/>
        <item x="85"/>
        <item x="136"/>
        <item x="99"/>
        <item x="120"/>
        <item x="135"/>
        <item x="73"/>
        <item x="61"/>
        <item x="83"/>
        <item x="2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36">
        <item x="109"/>
        <item x="119"/>
        <item x="95"/>
        <item x="122"/>
        <item x="121"/>
        <item x="123"/>
        <item x="112"/>
        <item x="55"/>
        <item x="116"/>
        <item x="14"/>
        <item x="15"/>
        <item x="13"/>
        <item x="30"/>
        <item x="35"/>
        <item x="34"/>
        <item x="53"/>
        <item x="23"/>
        <item x="24"/>
        <item x="65"/>
        <item x="66"/>
        <item x="131"/>
        <item x="86"/>
        <item x="104"/>
        <item x="106"/>
        <item x="44"/>
        <item x="17"/>
        <item x="48"/>
        <item x="105"/>
        <item x="47"/>
        <item x="103"/>
        <item x="127"/>
        <item x="124"/>
        <item x="126"/>
        <item x="50"/>
        <item x="49"/>
        <item x="113"/>
        <item x="11"/>
        <item x="108"/>
        <item x="39"/>
        <item x="1"/>
        <item x="22"/>
        <item x="132"/>
        <item x="87"/>
        <item x="118"/>
        <item x="69"/>
        <item x="70"/>
        <item x="59"/>
        <item x="94"/>
        <item x="54"/>
        <item x="63"/>
        <item x="114"/>
        <item x="115"/>
        <item x="41"/>
        <item x="42"/>
        <item x="40"/>
        <item x="96"/>
        <item x="111"/>
        <item x="62"/>
        <item x="31"/>
        <item x="89"/>
        <item x="117"/>
        <item x="92"/>
        <item x="67"/>
        <item x="64"/>
        <item x="88"/>
        <item x="133"/>
        <item x="10"/>
        <item x="7"/>
        <item x="18"/>
        <item x="130"/>
        <item x="45"/>
        <item x="25"/>
        <item x="21"/>
        <item x="16"/>
        <item x="98"/>
        <item x="33"/>
        <item x="93"/>
        <item x="58"/>
        <item x="57"/>
        <item x="43"/>
        <item x="91"/>
        <item x="102"/>
        <item x="97"/>
        <item x="5"/>
        <item x="12"/>
        <item x="2"/>
        <item x="0"/>
        <item x="37"/>
        <item x="107"/>
        <item x="110"/>
        <item x="129"/>
        <item x="19"/>
        <item x="82"/>
        <item x="101"/>
        <item x="36"/>
        <item x="32"/>
        <item x="72"/>
        <item x="81"/>
        <item x="78"/>
        <item x="77"/>
        <item x="71"/>
        <item x="80"/>
        <item x="60"/>
        <item x="20"/>
        <item x="84"/>
        <item x="28"/>
        <item x="29"/>
        <item x="51"/>
        <item x="125"/>
        <item x="8"/>
        <item x="90"/>
        <item x="76"/>
        <item x="46"/>
        <item x="6"/>
        <item x="4"/>
        <item x="128"/>
        <item x="100"/>
        <item x="52"/>
        <item x="26"/>
        <item x="9"/>
        <item x="3"/>
        <item x="38"/>
        <item x="56"/>
        <item x="68"/>
        <item x="74"/>
        <item x="75"/>
        <item x="79"/>
        <item x="85"/>
        <item x="135"/>
        <item x="73"/>
        <item x="99"/>
        <item x="120"/>
        <item x="134"/>
        <item x="61"/>
        <item x="83"/>
        <item x="27"/>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29">
    <i>
      <x/>
      <x v="37"/>
      <x v="84"/>
    </i>
    <i r="1">
      <x v="38"/>
      <x v="31"/>
    </i>
    <i r="1">
      <x v="39"/>
      <x v="1"/>
    </i>
    <i r="1">
      <x v="40"/>
      <x v="17"/>
    </i>
    <i r="1">
      <x v="41"/>
      <x v="106"/>
    </i>
    <i r="1">
      <x v="42"/>
      <x v="66"/>
    </i>
    <i r="1">
      <x v="43"/>
      <x v="94"/>
    </i>
    <i r="1">
      <x v="93"/>
      <x v="77"/>
    </i>
    <i r="1">
      <x v="111"/>
      <x v="112"/>
    </i>
    <i r="1">
      <x v="114"/>
      <x v="115"/>
    </i>
    <i>
      <x v="1"/>
      <x v="36"/>
      <x v="6"/>
    </i>
    <i r="1">
      <x v="94"/>
      <x v="29"/>
    </i>
    <i r="1">
      <x v="116"/>
      <x v="118"/>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x v="3"/>
      <x v="101"/>
      <x v="61"/>
    </i>
    <i r="1">
      <x v="105"/>
      <x v="21"/>
    </i>
    <i r="1">
      <x v="106"/>
      <x v="22"/>
    </i>
    <i r="1">
      <x v="118"/>
      <x v="120"/>
    </i>
    <i r="1">
      <x v="123"/>
      <x v="125"/>
    </i>
    <i r="1">
      <x v="128"/>
      <x v="130"/>
    </i>
    <i r="1">
      <x v="129"/>
      <x v="134"/>
    </i>
    <i>
      <x v="4"/>
      <x v="49"/>
      <x v="50"/>
    </i>
    <i r="1">
      <x v="75"/>
      <x v="26"/>
    </i>
    <i r="1">
      <x v="77"/>
      <x v="46"/>
    </i>
    <i r="1">
      <x v="78"/>
      <x v="45"/>
    </i>
    <i r="1">
      <x v="107"/>
      <x v="108"/>
    </i>
    <i r="1">
      <x v="109"/>
      <x v="110"/>
    </i>
    <i r="1">
      <x v="117"/>
      <x v="119"/>
    </i>
    <i r="1">
      <x v="119"/>
      <x v="121"/>
    </i>
    <i>
      <x v="5"/>
      <x v="102"/>
      <x v="48"/>
    </i>
    <i r="1">
      <x v="103"/>
      <x v="15"/>
    </i>
    <i r="1">
      <x v="133"/>
      <x v="135"/>
    </i>
    <i>
      <x v="6"/>
      <x v="57"/>
      <x v="49"/>
    </i>
    <i r="1">
      <x v="58"/>
      <x v="24"/>
    </i>
    <i r="1">
      <x v="59"/>
      <x v="68"/>
    </i>
    <i>
      <x v="7"/>
      <x v="60"/>
      <x v="93"/>
    </i>
    <i r="1">
      <x v="80"/>
      <x v="69"/>
    </i>
    <i>
      <x v="8"/>
      <x v="44"/>
      <x v="55"/>
    </i>
    <i r="1">
      <x v="47"/>
      <x v="72"/>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x v="12"/>
      <x v="104"/>
      <x v="64"/>
    </i>
    <i>
      <x v="13"/>
      <x v="50"/>
      <x v="90"/>
    </i>
    <i r="1">
      <x v="51"/>
      <x v="91"/>
    </i>
    <i>
      <x v="14"/>
      <x v="22"/>
      <x v="80"/>
    </i>
    <i r="1">
      <x v="23"/>
      <x v="82"/>
    </i>
    <i r="1">
      <x v="24"/>
      <x v="36"/>
    </i>
    <i r="1">
      <x v="25"/>
      <x v="12"/>
    </i>
    <i r="1">
      <x v="26"/>
      <x v="39"/>
    </i>
    <i r="1">
      <x v="27"/>
      <x v="81"/>
    </i>
    <i r="1">
      <x v="28"/>
      <x v="38"/>
    </i>
    <i r="1">
      <x v="29"/>
      <x v="79"/>
    </i>
    <i r="1">
      <x v="30"/>
      <x v="101"/>
    </i>
    <i r="1">
      <x v="31"/>
      <x v="99"/>
    </i>
    <i r="1">
      <x v="32"/>
      <x v="100"/>
    </i>
    <i r="1">
      <x v="33"/>
      <x v="41"/>
    </i>
    <i r="1">
      <x v="34"/>
      <x v="40"/>
    </i>
    <i r="1">
      <x v="35"/>
      <x v="89"/>
    </i>
    <i r="1">
      <x v="67"/>
      <x v="4"/>
    </i>
    <i r="1">
      <x v="68"/>
      <x v="13"/>
    </i>
    <i r="1">
      <x v="69"/>
      <x v="104"/>
    </i>
    <i r="1">
      <x v="70"/>
      <x v="37"/>
    </i>
    <i r="1">
      <x v="81"/>
      <x v="78"/>
    </i>
    <i r="1">
      <x v="110"/>
      <x v="111"/>
    </i>
    <i r="1">
      <x v="130"/>
      <x v="131"/>
    </i>
    <i r="1">
      <x v="132"/>
      <x v="133"/>
    </i>
    <i>
      <x v="15"/>
      <x/>
      <x v="117"/>
    </i>
    <i>
      <x v="16"/>
      <x v="134"/>
      <x v="136"/>
    </i>
    <i t="grand">
      <x/>
    </i>
  </rowItems>
  <colItems count="1">
    <i/>
  </colItems>
  <pageFields count="1">
    <pageField fld="19" hier="-1"/>
  </pageFields>
  <dataFields count="1">
    <dataField name="Sum of Coverage" fld="20" baseField="0" baseItem="2420248" numFmtId="9"/>
  </dataFields>
  <formats count="313">
    <format dxfId="779">
      <pivotArea outline="0" collapsedLevelsAreSubtotals="1" fieldPosition="0"/>
    </format>
    <format dxfId="778">
      <pivotArea dataOnly="0" labelOnly="1" outline="0" axis="axisValues" fieldPosition="0"/>
    </format>
    <format dxfId="777">
      <pivotArea field="19" type="button" dataOnly="0" labelOnly="1" outline="0" axis="axisPage" fieldPosition="0"/>
    </format>
    <format dxfId="776">
      <pivotArea dataOnly="0" labelOnly="1" outline="0" fieldPosition="0">
        <references count="1">
          <reference field="19" count="0"/>
        </references>
      </pivotArea>
    </format>
    <format dxfId="775">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774">
      <pivotArea dataOnly="0" labelOnly="1" outline="0" fieldPosition="0">
        <references count="1">
          <reference field="4" count="1">
            <x v="0"/>
          </reference>
        </references>
      </pivotArea>
    </format>
    <format dxfId="773">
      <pivotArea dataOnly="0" labelOnly="1" outline="0" fieldPosition="0">
        <references count="2">
          <reference field="4" count="1" selected="0">
            <x v="0"/>
          </reference>
          <reference field="18" count="10">
            <x v="37"/>
            <x v="38"/>
            <x v="39"/>
            <x v="40"/>
            <x v="41"/>
            <x v="42"/>
            <x v="43"/>
            <x v="93"/>
            <x v="111"/>
            <x v="114"/>
          </reference>
        </references>
      </pivotArea>
    </format>
    <format dxfId="772">
      <pivotArea dataOnly="0" labelOnly="1" outline="0" fieldPosition="0">
        <references count="3">
          <reference field="4" count="1" selected="0">
            <x v="0"/>
          </reference>
          <reference field="5" count="1">
            <x v="84"/>
          </reference>
          <reference field="18" count="1" selected="0">
            <x v="37"/>
          </reference>
        </references>
      </pivotArea>
    </format>
    <format dxfId="771">
      <pivotArea dataOnly="0" labelOnly="1" outline="0" fieldPosition="0">
        <references count="3">
          <reference field="4" count="1" selected="0">
            <x v="0"/>
          </reference>
          <reference field="5" count="1">
            <x v="31"/>
          </reference>
          <reference field="18" count="1" selected="0">
            <x v="38"/>
          </reference>
        </references>
      </pivotArea>
    </format>
    <format dxfId="770">
      <pivotArea dataOnly="0" labelOnly="1" outline="0" fieldPosition="0">
        <references count="3">
          <reference field="4" count="1" selected="0">
            <x v="0"/>
          </reference>
          <reference field="5" count="1">
            <x v="1"/>
          </reference>
          <reference field="18" count="1" selected="0">
            <x v="39"/>
          </reference>
        </references>
      </pivotArea>
    </format>
    <format dxfId="769">
      <pivotArea dataOnly="0" labelOnly="1" outline="0" fieldPosition="0">
        <references count="3">
          <reference field="4" count="1" selected="0">
            <x v="0"/>
          </reference>
          <reference field="5" count="1">
            <x v="17"/>
          </reference>
          <reference field="18" count="1" selected="0">
            <x v="40"/>
          </reference>
        </references>
      </pivotArea>
    </format>
    <format dxfId="768">
      <pivotArea dataOnly="0" labelOnly="1" outline="0" fieldPosition="0">
        <references count="3">
          <reference field="4" count="1" selected="0">
            <x v="0"/>
          </reference>
          <reference field="5" count="1">
            <x v="106"/>
          </reference>
          <reference field="18" count="1" selected="0">
            <x v="41"/>
          </reference>
        </references>
      </pivotArea>
    </format>
    <format dxfId="767">
      <pivotArea dataOnly="0" labelOnly="1" outline="0" fieldPosition="0">
        <references count="3">
          <reference field="4" count="1" selected="0">
            <x v="0"/>
          </reference>
          <reference field="5" count="1">
            <x v="66"/>
          </reference>
          <reference field="18" count="1" selected="0">
            <x v="42"/>
          </reference>
        </references>
      </pivotArea>
    </format>
    <format dxfId="766">
      <pivotArea dataOnly="0" labelOnly="1" outline="0" fieldPosition="0">
        <references count="3">
          <reference field="4" count="1" selected="0">
            <x v="0"/>
          </reference>
          <reference field="5" count="1">
            <x v="94"/>
          </reference>
          <reference field="18" count="1" selected="0">
            <x v="43"/>
          </reference>
        </references>
      </pivotArea>
    </format>
    <format dxfId="765">
      <pivotArea dataOnly="0" labelOnly="1" outline="0" fieldPosition="0">
        <references count="3">
          <reference field="4" count="1" selected="0">
            <x v="0"/>
          </reference>
          <reference field="5" count="1">
            <x v="77"/>
          </reference>
          <reference field="18" count="1" selected="0">
            <x v="93"/>
          </reference>
        </references>
      </pivotArea>
    </format>
    <format dxfId="764">
      <pivotArea dataOnly="0" labelOnly="1" outline="0" fieldPosition="0">
        <references count="3">
          <reference field="4" count="1" selected="0">
            <x v="0"/>
          </reference>
          <reference field="5" count="1">
            <x v="112"/>
          </reference>
          <reference field="18" count="1" selected="0">
            <x v="111"/>
          </reference>
        </references>
      </pivotArea>
    </format>
    <format dxfId="763">
      <pivotArea dataOnly="0" labelOnly="1" outline="0" fieldPosition="0">
        <references count="3">
          <reference field="4" count="1" selected="0">
            <x v="0"/>
          </reference>
          <reference field="5" count="1">
            <x v="115"/>
          </reference>
          <reference field="18" count="1" selected="0">
            <x v="114"/>
          </reference>
        </references>
      </pivotArea>
    </format>
    <format dxfId="762">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761">
      <pivotArea dataOnly="0" labelOnly="1" outline="0" fieldPosition="0">
        <references count="1">
          <reference field="4" count="1">
            <x v="1"/>
          </reference>
        </references>
      </pivotArea>
    </format>
    <format dxfId="760">
      <pivotArea dataOnly="0" labelOnly="1" outline="0" fieldPosition="0">
        <references count="2">
          <reference field="4" count="1" selected="0">
            <x v="1"/>
          </reference>
          <reference field="18" count="3">
            <x v="36"/>
            <x v="94"/>
            <x v="116"/>
          </reference>
        </references>
      </pivotArea>
    </format>
    <format dxfId="759">
      <pivotArea dataOnly="0" labelOnly="1" outline="0" fieldPosition="0">
        <references count="3">
          <reference field="4" count="1" selected="0">
            <x v="1"/>
          </reference>
          <reference field="5" count="1">
            <x v="6"/>
          </reference>
          <reference field="18" count="1" selected="0">
            <x v="36"/>
          </reference>
        </references>
      </pivotArea>
    </format>
    <format dxfId="758">
      <pivotArea dataOnly="0" labelOnly="1" outline="0" fieldPosition="0">
        <references count="3">
          <reference field="4" count="1" selected="0">
            <x v="1"/>
          </reference>
          <reference field="5" count="1">
            <x v="29"/>
          </reference>
          <reference field="18" count="1" selected="0">
            <x v="94"/>
          </reference>
        </references>
      </pivotArea>
    </format>
    <format dxfId="757">
      <pivotArea dataOnly="0" labelOnly="1" outline="0" fieldPosition="0">
        <references count="3">
          <reference field="4" count="1" selected="0">
            <x v="1"/>
          </reference>
          <reference field="5" count="1">
            <x v="118"/>
          </reference>
          <reference field="18" count="1" selected="0">
            <x v="116"/>
          </reference>
        </references>
      </pivotArea>
    </format>
    <format dxfId="756">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755">
      <pivotArea dataOnly="0" labelOnly="1" outline="0" fieldPosition="0">
        <references count="1">
          <reference field="4" count="1">
            <x v="2"/>
          </reference>
        </references>
      </pivotArea>
    </format>
    <format dxfId="754">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753">
      <pivotArea dataOnly="0" labelOnly="1" outline="0" fieldPosition="0">
        <references count="3">
          <reference field="4" count="1" selected="0">
            <x v="2"/>
          </reference>
          <reference field="5" count="2">
            <x v="103"/>
            <x v="117"/>
          </reference>
          <reference field="18" count="1" selected="0">
            <x v="0"/>
          </reference>
        </references>
      </pivotArea>
    </format>
    <format dxfId="752">
      <pivotArea dataOnly="0" labelOnly="1" outline="0" fieldPosition="0">
        <references count="3">
          <reference field="4" count="1" selected="0">
            <x v="2"/>
          </reference>
          <reference field="5" count="1">
            <x v="54"/>
          </reference>
          <reference field="18" count="1" selected="0">
            <x v="62"/>
          </reference>
        </references>
      </pivotArea>
    </format>
    <format dxfId="751">
      <pivotArea dataOnly="0" labelOnly="1" outline="0" fieldPosition="0">
        <references count="3">
          <reference field="4" count="1" selected="0">
            <x v="2"/>
          </reference>
          <reference field="5" count="1">
            <x v="67"/>
          </reference>
          <reference field="18" count="1" selected="0">
            <x v="64"/>
          </reference>
        </references>
      </pivotArea>
    </format>
    <format dxfId="750">
      <pivotArea dataOnly="0" labelOnly="1" outline="0" fieldPosition="0">
        <references count="3">
          <reference field="4" count="1" selected="0">
            <x v="2"/>
          </reference>
          <reference field="5" count="1">
            <x v="107"/>
          </reference>
          <reference field="18" count="1" selected="0">
            <x v="65"/>
          </reference>
        </references>
      </pivotArea>
    </format>
    <format dxfId="749">
      <pivotArea dataOnly="0" labelOnly="1" outline="0" fieldPosition="0">
        <references count="3">
          <reference field="4" count="1" selected="0">
            <x v="2"/>
          </reference>
          <reference field="5" count="1">
            <x v="5"/>
          </reference>
          <reference field="18" count="1" selected="0">
            <x v="66"/>
          </reference>
        </references>
      </pivotArea>
    </format>
    <format dxfId="748">
      <pivotArea dataOnly="0" labelOnly="1" outline="0" fieldPosition="0">
        <references count="3">
          <reference field="4" count="1" selected="0">
            <x v="2"/>
          </reference>
          <reference field="5" count="1">
            <x v="3"/>
          </reference>
          <reference field="18" count="1" selected="0">
            <x v="83"/>
          </reference>
        </references>
      </pivotArea>
    </format>
    <format dxfId="747">
      <pivotArea dataOnly="0" labelOnly="1" outline="0" fieldPosition="0">
        <references count="3">
          <reference field="4" count="1" selected="0">
            <x v="2"/>
          </reference>
          <reference field="5" count="1">
            <x v="7"/>
          </reference>
          <reference field="18" count="1" selected="0">
            <x v="84"/>
          </reference>
        </references>
      </pivotArea>
    </format>
    <format dxfId="746">
      <pivotArea dataOnly="0" labelOnly="1" outline="0" fieldPosition="0">
        <references count="3">
          <reference field="4" count="1" selected="0">
            <x v="2"/>
          </reference>
          <reference field="5" count="1">
            <x v="2"/>
          </reference>
          <reference field="18" count="1" selected="0">
            <x v="85"/>
          </reference>
        </references>
      </pivotArea>
    </format>
    <format dxfId="745">
      <pivotArea dataOnly="0" labelOnly="1" outline="0" fieldPosition="0">
        <references count="3">
          <reference field="4" count="1" selected="0">
            <x v="2"/>
          </reference>
          <reference field="5" count="1">
            <x v="0"/>
          </reference>
          <reference field="18" count="1" selected="0">
            <x v="86"/>
          </reference>
        </references>
      </pivotArea>
    </format>
    <format dxfId="744">
      <pivotArea dataOnly="0" labelOnly="1" outline="0" fieldPosition="0">
        <references count="3">
          <reference field="4" count="1" selected="0">
            <x v="2"/>
          </reference>
          <reference field="5" count="1">
            <x v="30"/>
          </reference>
          <reference field="18" count="1" selected="0">
            <x v="87"/>
          </reference>
        </references>
      </pivotArea>
    </format>
    <format dxfId="743">
      <pivotArea dataOnly="0" labelOnly="1" outline="0" fieldPosition="0">
        <references count="3">
          <reference field="4" count="1" selected="0">
            <x v="2"/>
          </reference>
          <reference field="5" count="1">
            <x v="83"/>
          </reference>
          <reference field="18" count="1" selected="0">
            <x v="88"/>
          </reference>
        </references>
      </pivotArea>
    </format>
    <format dxfId="742">
      <pivotArea dataOnly="0" labelOnly="1" outline="0" fieldPosition="0">
        <references count="3">
          <reference field="4" count="1" selected="0">
            <x v="2"/>
          </reference>
          <reference field="5" count="1">
            <x v="86"/>
          </reference>
          <reference field="18" count="1" selected="0">
            <x v="89"/>
          </reference>
        </references>
      </pivotArea>
    </format>
    <format dxfId="741">
      <pivotArea dataOnly="0" labelOnly="1" outline="0" fieldPosition="0">
        <references count="3">
          <reference field="4" count="1" selected="0">
            <x v="2"/>
          </reference>
          <reference field="5" count="1">
            <x v="102"/>
          </reference>
          <reference field="18" count="1" selected="0">
            <x v="90"/>
          </reference>
        </references>
      </pivotArea>
    </format>
    <format dxfId="740">
      <pivotArea dataOnly="0" labelOnly="1" outline="0" fieldPosition="0">
        <references count="3">
          <reference field="4" count="1" selected="0">
            <x v="2"/>
          </reference>
          <reference field="5" count="1">
            <x v="14"/>
          </reference>
          <reference field="18" count="1" selected="0">
            <x v="91"/>
          </reference>
        </references>
      </pivotArea>
    </format>
    <format dxfId="739">
      <pivotArea dataOnly="0" labelOnly="1" outline="0" fieldPosition="0">
        <references count="3">
          <reference field="4" count="1" selected="0">
            <x v="2"/>
          </reference>
          <reference field="5" count="1">
            <x v="63"/>
          </reference>
          <reference field="18" count="1" selected="0">
            <x v="92"/>
          </reference>
        </references>
      </pivotArea>
    </format>
    <format dxfId="738">
      <pivotArea dataOnly="0" labelOnly="1" outline="0" fieldPosition="0">
        <references count="3">
          <reference field="4" count="1" selected="0">
            <x v="2"/>
          </reference>
          <reference field="5" count="1">
            <x v="114"/>
          </reference>
          <reference field="18" count="1" selected="0">
            <x v="113"/>
          </reference>
        </references>
      </pivotArea>
    </format>
    <format dxfId="737">
      <pivotArea dataOnly="0" labelOnly="1" outline="0" fieldPosition="0">
        <references count="3">
          <reference field="4" count="1" selected="0">
            <x v="2"/>
          </reference>
          <reference field="5" count="1">
            <x v="122"/>
          </reference>
          <reference field="18" count="1" selected="0">
            <x v="120"/>
          </reference>
        </references>
      </pivotArea>
    </format>
    <format dxfId="736">
      <pivotArea dataOnly="0" labelOnly="1" outline="0" fieldPosition="0">
        <references count="3">
          <reference field="4" count="1" selected="0">
            <x v="2"/>
          </reference>
          <reference field="5" count="1">
            <x v="123"/>
          </reference>
          <reference field="18" count="1" selected="0">
            <x v="121"/>
          </reference>
        </references>
      </pivotArea>
    </format>
    <format dxfId="735">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734">
      <pivotArea dataOnly="0" labelOnly="1" outline="0" fieldPosition="0">
        <references count="1">
          <reference field="4" count="1">
            <x v="3"/>
          </reference>
        </references>
      </pivotArea>
    </format>
    <format dxfId="733">
      <pivotArea dataOnly="0" labelOnly="1" outline="0" fieldPosition="0">
        <references count="2">
          <reference field="4" count="1" selected="0">
            <x v="3"/>
          </reference>
          <reference field="18" count="7">
            <x v="101"/>
            <x v="105"/>
            <x v="106"/>
            <x v="118"/>
            <x v="123"/>
            <x v="128"/>
            <x v="129"/>
          </reference>
        </references>
      </pivotArea>
    </format>
    <format dxfId="732">
      <pivotArea dataOnly="0" labelOnly="1" outline="0" fieldPosition="0">
        <references count="3">
          <reference field="4" count="1" selected="0">
            <x v="3"/>
          </reference>
          <reference field="5" count="1">
            <x v="61"/>
          </reference>
          <reference field="18" count="1" selected="0">
            <x v="101"/>
          </reference>
        </references>
      </pivotArea>
    </format>
    <format dxfId="731">
      <pivotArea dataOnly="0" labelOnly="1" outline="0" fieldPosition="0">
        <references count="3">
          <reference field="4" count="1" selected="0">
            <x v="3"/>
          </reference>
          <reference field="5" count="1">
            <x v="21"/>
          </reference>
          <reference field="18" count="1" selected="0">
            <x v="105"/>
          </reference>
        </references>
      </pivotArea>
    </format>
    <format dxfId="730">
      <pivotArea dataOnly="0" labelOnly="1" outline="0" fieldPosition="0">
        <references count="3">
          <reference field="4" count="1" selected="0">
            <x v="3"/>
          </reference>
          <reference field="5" count="1">
            <x v="22"/>
          </reference>
          <reference field="18" count="1" selected="0">
            <x v="106"/>
          </reference>
        </references>
      </pivotArea>
    </format>
    <format dxfId="729">
      <pivotArea dataOnly="0" labelOnly="1" outline="0" fieldPosition="0">
        <references count="3">
          <reference field="4" count="1" selected="0">
            <x v="3"/>
          </reference>
          <reference field="5" count="1">
            <x v="120"/>
          </reference>
          <reference field="18" count="1" selected="0">
            <x v="118"/>
          </reference>
        </references>
      </pivotArea>
    </format>
    <format dxfId="728">
      <pivotArea dataOnly="0" labelOnly="1" outline="0" fieldPosition="0">
        <references count="3">
          <reference field="4" count="1" selected="0">
            <x v="3"/>
          </reference>
          <reference field="5" count="1">
            <x v="125"/>
          </reference>
          <reference field="18" count="1" selected="0">
            <x v="123"/>
          </reference>
        </references>
      </pivotArea>
    </format>
    <format dxfId="727">
      <pivotArea dataOnly="0" labelOnly="1" outline="0" fieldPosition="0">
        <references count="3">
          <reference field="4" count="1" selected="0">
            <x v="3"/>
          </reference>
          <reference field="5" count="1">
            <x v="130"/>
          </reference>
          <reference field="18" count="1" selected="0">
            <x v="128"/>
          </reference>
        </references>
      </pivotArea>
    </format>
    <format dxfId="726">
      <pivotArea dataOnly="0" labelOnly="1" outline="0" fieldPosition="0">
        <references count="3">
          <reference field="4" count="1" selected="0">
            <x v="3"/>
          </reference>
          <reference field="5" count="1">
            <x v="134"/>
          </reference>
          <reference field="18" count="1" selected="0">
            <x v="129"/>
          </reference>
        </references>
      </pivotArea>
    </format>
    <format dxfId="725">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724">
      <pivotArea dataOnly="0" labelOnly="1" outline="0" fieldPosition="0">
        <references count="1">
          <reference field="4" count="1">
            <x v="4"/>
          </reference>
        </references>
      </pivotArea>
    </format>
    <format dxfId="723">
      <pivotArea dataOnly="0" labelOnly="1" outline="0" fieldPosition="0">
        <references count="2">
          <reference field="4" count="1" selected="0">
            <x v="4"/>
          </reference>
          <reference field="18" count="9">
            <x v="49"/>
            <x v="75"/>
            <x v="77"/>
            <x v="78"/>
            <x v="79"/>
            <x v="107"/>
            <x v="109"/>
            <x v="117"/>
            <x v="119"/>
          </reference>
        </references>
      </pivotArea>
    </format>
    <format dxfId="722">
      <pivotArea dataOnly="0" labelOnly="1" outline="0" fieldPosition="0">
        <references count="3">
          <reference field="4" count="1" selected="0">
            <x v="4"/>
          </reference>
          <reference field="5" count="1">
            <x v="50"/>
          </reference>
          <reference field="18" count="1" selected="0">
            <x v="49"/>
          </reference>
        </references>
      </pivotArea>
    </format>
    <format dxfId="721">
      <pivotArea dataOnly="0" labelOnly="1" outline="0" fieldPosition="0">
        <references count="3">
          <reference field="4" count="1" selected="0">
            <x v="4"/>
          </reference>
          <reference field="5" count="1">
            <x v="26"/>
          </reference>
          <reference field="18" count="1" selected="0">
            <x v="75"/>
          </reference>
        </references>
      </pivotArea>
    </format>
    <format dxfId="720">
      <pivotArea dataOnly="0" labelOnly="1" outline="0" fieldPosition="0">
        <references count="3">
          <reference field="4" count="1" selected="0">
            <x v="4"/>
          </reference>
          <reference field="5" count="1">
            <x v="46"/>
          </reference>
          <reference field="18" count="1" selected="0">
            <x v="77"/>
          </reference>
        </references>
      </pivotArea>
    </format>
    <format dxfId="719">
      <pivotArea dataOnly="0" labelOnly="1" outline="0" fieldPosition="0">
        <references count="3">
          <reference field="4" count="1" selected="0">
            <x v="4"/>
          </reference>
          <reference field="5" count="1">
            <x v="45"/>
          </reference>
          <reference field="18" count="1" selected="0">
            <x v="78"/>
          </reference>
        </references>
      </pivotArea>
    </format>
    <format dxfId="718">
      <pivotArea dataOnly="0" labelOnly="1" outline="0" fieldPosition="0">
        <references count="3">
          <reference field="4" count="1" selected="0">
            <x v="4"/>
          </reference>
          <reference field="5" count="1">
            <x v="35"/>
          </reference>
          <reference field="18" count="1" selected="0">
            <x v="79"/>
          </reference>
        </references>
      </pivotArea>
    </format>
    <format dxfId="717">
      <pivotArea dataOnly="0" labelOnly="1" outline="0" fieldPosition="0">
        <references count="3">
          <reference field="4" count="1" selected="0">
            <x v="4"/>
          </reference>
          <reference field="5" count="1">
            <x v="108"/>
          </reference>
          <reference field="18" count="1" selected="0">
            <x v="107"/>
          </reference>
        </references>
      </pivotArea>
    </format>
    <format dxfId="716">
      <pivotArea dataOnly="0" labelOnly="1" outline="0" fieldPosition="0">
        <references count="3">
          <reference field="4" count="1" selected="0">
            <x v="4"/>
          </reference>
          <reference field="5" count="1">
            <x v="110"/>
          </reference>
          <reference field="18" count="1" selected="0">
            <x v="109"/>
          </reference>
        </references>
      </pivotArea>
    </format>
    <format dxfId="715">
      <pivotArea dataOnly="0" labelOnly="1" outline="0" fieldPosition="0">
        <references count="3">
          <reference field="4" count="1" selected="0">
            <x v="4"/>
          </reference>
          <reference field="5" count="1">
            <x v="119"/>
          </reference>
          <reference field="18" count="1" selected="0">
            <x v="117"/>
          </reference>
        </references>
      </pivotArea>
    </format>
    <format dxfId="714">
      <pivotArea dataOnly="0" labelOnly="1" outline="0" fieldPosition="0">
        <references count="3">
          <reference field="4" count="1" selected="0">
            <x v="4"/>
          </reference>
          <reference field="5" count="1">
            <x v="121"/>
          </reference>
          <reference field="18" count="1" selected="0">
            <x v="119"/>
          </reference>
        </references>
      </pivotArea>
    </format>
    <format dxfId="713">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712">
      <pivotArea dataOnly="0" labelOnly="1" outline="0" fieldPosition="0">
        <references count="1">
          <reference field="4" count="1">
            <x v="5"/>
          </reference>
        </references>
      </pivotArea>
    </format>
    <format dxfId="711">
      <pivotArea dataOnly="0" labelOnly="1" outline="0" fieldPosition="0">
        <references count="2">
          <reference field="4" count="1" selected="0">
            <x v="5"/>
          </reference>
          <reference field="18" count="3">
            <x v="102"/>
            <x v="103"/>
            <x v="133"/>
          </reference>
        </references>
      </pivotArea>
    </format>
    <format dxfId="710">
      <pivotArea dataOnly="0" labelOnly="1" outline="0" fieldPosition="0">
        <references count="3">
          <reference field="4" count="1" selected="0">
            <x v="5"/>
          </reference>
          <reference field="5" count="1">
            <x v="48"/>
          </reference>
          <reference field="18" count="1" selected="0">
            <x v="102"/>
          </reference>
        </references>
      </pivotArea>
    </format>
    <format dxfId="709">
      <pivotArea dataOnly="0" labelOnly="1" outline="0" fieldPosition="0">
        <references count="3">
          <reference field="4" count="1" selected="0">
            <x v="5"/>
          </reference>
          <reference field="5" count="1">
            <x v="15"/>
          </reference>
          <reference field="18" count="1" selected="0">
            <x v="103"/>
          </reference>
        </references>
      </pivotArea>
    </format>
    <format dxfId="708">
      <pivotArea dataOnly="0" labelOnly="1" outline="0" fieldPosition="0">
        <references count="3">
          <reference field="4" count="1" selected="0">
            <x v="5"/>
          </reference>
          <reference field="5" count="1">
            <x v="135"/>
          </reference>
          <reference field="18" count="1" selected="0">
            <x v="133"/>
          </reference>
        </references>
      </pivotArea>
    </format>
    <format dxfId="707">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706">
      <pivotArea dataOnly="0" labelOnly="1" outline="0" fieldPosition="0">
        <references count="1">
          <reference field="4" count="1">
            <x v="6"/>
          </reference>
        </references>
      </pivotArea>
    </format>
    <format dxfId="705">
      <pivotArea dataOnly="0" labelOnly="1" outline="0" fieldPosition="0">
        <references count="2">
          <reference field="4" count="1" selected="0">
            <x v="6"/>
          </reference>
          <reference field="18" count="3">
            <x v="57"/>
            <x v="58"/>
            <x v="59"/>
          </reference>
        </references>
      </pivotArea>
    </format>
    <format dxfId="704">
      <pivotArea dataOnly="0" labelOnly="1" outline="0" fieldPosition="0">
        <references count="3">
          <reference field="4" count="1" selected="0">
            <x v="6"/>
          </reference>
          <reference field="5" count="1">
            <x v="49"/>
          </reference>
          <reference field="18" count="1" selected="0">
            <x v="57"/>
          </reference>
        </references>
      </pivotArea>
    </format>
    <format dxfId="703">
      <pivotArea dataOnly="0" labelOnly="1" outline="0" fieldPosition="0">
        <references count="3">
          <reference field="4" count="1" selected="0">
            <x v="6"/>
          </reference>
          <reference field="5" count="1">
            <x v="24"/>
          </reference>
          <reference field="18" count="1" selected="0">
            <x v="58"/>
          </reference>
        </references>
      </pivotArea>
    </format>
    <format dxfId="702">
      <pivotArea dataOnly="0" labelOnly="1" outline="0" fieldPosition="0">
        <references count="3">
          <reference field="4" count="1" selected="0">
            <x v="6"/>
          </reference>
          <reference field="5" count="1">
            <x v="68"/>
          </reference>
          <reference field="18" count="1" selected="0">
            <x v="59"/>
          </reference>
        </references>
      </pivotArea>
    </format>
    <format dxfId="701">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700">
      <pivotArea dataOnly="0" labelOnly="1" outline="0" fieldPosition="0">
        <references count="1">
          <reference field="4" count="1">
            <x v="7"/>
          </reference>
        </references>
      </pivotArea>
    </format>
    <format dxfId="699">
      <pivotArea dataOnly="0" labelOnly="1" outline="0" fieldPosition="0">
        <references count="2">
          <reference field="4" count="1" selected="0">
            <x v="7"/>
          </reference>
          <reference field="18" count="2">
            <x v="60"/>
            <x v="80"/>
          </reference>
        </references>
      </pivotArea>
    </format>
    <format dxfId="698">
      <pivotArea dataOnly="0" labelOnly="1" outline="0" fieldPosition="0">
        <references count="3">
          <reference field="4" count="1" selected="0">
            <x v="7"/>
          </reference>
          <reference field="5" count="1">
            <x v="93"/>
          </reference>
          <reference field="18" count="1" selected="0">
            <x v="60"/>
          </reference>
        </references>
      </pivotArea>
    </format>
    <format dxfId="697">
      <pivotArea dataOnly="0" labelOnly="1" outline="0" fieldPosition="0">
        <references count="3">
          <reference field="4" count="1" selected="0">
            <x v="7"/>
          </reference>
          <reference field="5" count="1">
            <x v="69"/>
          </reference>
          <reference field="18" count="1" selected="0">
            <x v="80"/>
          </reference>
        </references>
      </pivotArea>
    </format>
    <format dxfId="696">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695">
      <pivotArea dataOnly="0" labelOnly="1" outline="0" fieldPosition="0">
        <references count="1">
          <reference field="4" count="1">
            <x v="8"/>
          </reference>
        </references>
      </pivotArea>
    </format>
    <format dxfId="694">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693">
      <pivotArea dataOnly="0" labelOnly="1" outline="0" fieldPosition="0">
        <references count="3">
          <reference field="4" count="1" selected="0">
            <x v="8"/>
          </reference>
          <reference field="5" count="1">
            <x v="55"/>
          </reference>
          <reference field="18" count="1" selected="0">
            <x v="44"/>
          </reference>
        </references>
      </pivotArea>
    </format>
    <format dxfId="692">
      <pivotArea dataOnly="0" labelOnly="1" outline="0" fieldPosition="0">
        <references count="3">
          <reference field="4" count="1" selected="0">
            <x v="8"/>
          </reference>
          <reference field="5" count="1">
            <x v="47"/>
          </reference>
          <reference field="18" count="1" selected="0">
            <x v="46"/>
          </reference>
        </references>
      </pivotArea>
    </format>
    <format dxfId="691">
      <pivotArea dataOnly="0" labelOnly="1" outline="0" fieldPosition="0">
        <references count="3">
          <reference field="4" count="1" selected="0">
            <x v="8"/>
          </reference>
          <reference field="5" count="1">
            <x v="72"/>
          </reference>
          <reference field="18" count="1" selected="0">
            <x v="47"/>
          </reference>
        </references>
      </pivotArea>
    </format>
    <format dxfId="690">
      <pivotArea dataOnly="0" labelOnly="1" outline="0" fieldPosition="0">
        <references count="3">
          <reference field="4" count="1" selected="0">
            <x v="8"/>
          </reference>
          <reference field="5" count="1">
            <x v="43"/>
          </reference>
          <reference field="18" count="1" selected="0">
            <x v="48"/>
          </reference>
        </references>
      </pivotArea>
    </format>
    <format dxfId="689">
      <pivotArea dataOnly="0" labelOnly="1" outline="0" fieldPosition="0">
        <references count="3">
          <reference field="4" count="1" selected="0">
            <x v="8"/>
          </reference>
          <reference field="5" count="1">
            <x v="33"/>
          </reference>
          <reference field="18" count="1" selected="0">
            <x v="52"/>
          </reference>
        </references>
      </pivotArea>
    </format>
    <format dxfId="688">
      <pivotArea dataOnly="0" labelOnly="1" outline="0" fieldPosition="0">
        <references count="3">
          <reference field="4" count="1" selected="0">
            <x v="8"/>
          </reference>
          <reference field="5" count="1">
            <x v="34"/>
          </reference>
          <reference field="18" count="1" selected="0">
            <x v="53"/>
          </reference>
        </references>
      </pivotArea>
    </format>
    <format dxfId="687">
      <pivotArea dataOnly="0" labelOnly="1" outline="0" fieldPosition="0">
        <references count="3">
          <reference field="4" count="1" selected="0">
            <x v="8"/>
          </reference>
          <reference field="5" count="1">
            <x v="32"/>
          </reference>
          <reference field="18" count="1" selected="0">
            <x v="54"/>
          </reference>
        </references>
      </pivotArea>
    </format>
    <format dxfId="686">
      <pivotArea dataOnly="0" labelOnly="1" outline="0" fieldPosition="0">
        <references count="3">
          <reference field="4" count="1" selected="0">
            <x v="8"/>
          </reference>
          <reference field="5" count="1">
            <x v="74"/>
          </reference>
          <reference field="18" count="1" selected="0">
            <x v="55"/>
          </reference>
        </references>
      </pivotArea>
    </format>
    <format dxfId="685">
      <pivotArea dataOnly="0" labelOnly="1" outline="0" fieldPosition="0">
        <references count="3">
          <reference field="4" count="1" selected="0">
            <x v="8"/>
          </reference>
          <reference field="5" count="1">
            <x v="87"/>
          </reference>
          <reference field="18" count="1" selected="0">
            <x v="56"/>
          </reference>
        </references>
      </pivotArea>
    </format>
    <format dxfId="684">
      <pivotArea dataOnly="0" labelOnly="1" outline="0" fieldPosition="0">
        <references count="3">
          <reference field="4" count="1" selected="0">
            <x v="8"/>
          </reference>
          <reference field="5" count="1">
            <x v="20"/>
          </reference>
          <reference field="18" count="1" selected="0">
            <x v="71"/>
          </reference>
        </references>
      </pivotArea>
    </format>
    <format dxfId="683">
      <pivotArea dataOnly="0" labelOnly="1" outline="0" fieldPosition="0">
        <references count="3">
          <reference field="4" count="1" selected="0">
            <x v="8"/>
          </reference>
          <reference field="5" count="1">
            <x v="16"/>
          </reference>
          <reference field="18" count="1" selected="0">
            <x v="72"/>
          </reference>
        </references>
      </pivotArea>
    </format>
    <format dxfId="682">
      <pivotArea dataOnly="0" labelOnly="1" outline="0" fieldPosition="0">
        <references count="3">
          <reference field="4" count="1" selected="0">
            <x v="8"/>
          </reference>
          <reference field="5" count="1">
            <x v="11"/>
          </reference>
          <reference field="18" count="1" selected="0">
            <x v="73"/>
          </reference>
        </references>
      </pivotArea>
    </format>
    <format dxfId="681">
      <pivotArea dataOnly="0" labelOnly="1" outline="0" fieldPosition="0">
        <references count="3">
          <reference field="4" count="1" selected="0">
            <x v="8"/>
          </reference>
          <reference field="5" count="1">
            <x v="76"/>
          </reference>
          <reference field="18" count="1" selected="0">
            <x v="74"/>
          </reference>
        </references>
      </pivotArea>
    </format>
    <format dxfId="680">
      <pivotArea dataOnly="0" labelOnly="1" outline="0" fieldPosition="0">
        <references count="3">
          <reference field="4" count="1" selected="0">
            <x v="8"/>
          </reference>
          <reference field="5" count="1">
            <x v="71"/>
          </reference>
          <reference field="18" count="1" selected="0">
            <x v="76"/>
          </reference>
        </references>
      </pivotArea>
    </format>
    <format dxfId="679">
      <pivotArea dataOnly="0" labelOnly="1" outline="0" fieldPosition="0">
        <references count="3">
          <reference field="4" count="1" selected="0">
            <x v="8"/>
          </reference>
          <reference field="5" count="1">
            <x v="113"/>
          </reference>
          <reference field="18" count="1" selected="0">
            <x v="112"/>
          </reference>
        </references>
      </pivotArea>
    </format>
    <format dxfId="678">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677">
      <pivotArea dataOnly="0" labelOnly="1" outline="0" fieldPosition="0">
        <references count="1">
          <reference field="4" count="1">
            <x v="9"/>
          </reference>
        </references>
      </pivotArea>
    </format>
    <format dxfId="676">
      <pivotArea dataOnly="0" labelOnly="1" outline="0" fieldPosition="0">
        <references count="2">
          <reference field="4" count="1" selected="0">
            <x v="9"/>
          </reference>
          <reference field="18" count="3">
            <x v="100"/>
            <x v="124"/>
            <x v="125"/>
          </reference>
        </references>
      </pivotArea>
    </format>
    <format dxfId="675">
      <pivotArea dataOnly="0" labelOnly="1" outline="0" fieldPosition="0">
        <references count="3">
          <reference field="4" count="1" selected="0">
            <x v="9"/>
          </reference>
          <reference field="5" count="1">
            <x v="57"/>
          </reference>
          <reference field="18" count="1" selected="0">
            <x v="100"/>
          </reference>
        </references>
      </pivotArea>
    </format>
    <format dxfId="674">
      <pivotArea dataOnly="0" labelOnly="1" outline="0" fieldPosition="0">
        <references count="3">
          <reference field="4" count="1" selected="0">
            <x v="9"/>
          </reference>
          <reference field="5" count="1">
            <x v="126"/>
          </reference>
          <reference field="18" count="1" selected="0">
            <x v="124"/>
          </reference>
        </references>
      </pivotArea>
    </format>
    <format dxfId="673">
      <pivotArea dataOnly="0" labelOnly="1" outline="0" fieldPosition="0">
        <references count="3">
          <reference field="4" count="1" selected="0">
            <x v="9"/>
          </reference>
          <reference field="5" count="1">
            <x v="127"/>
          </reference>
          <reference field="18" count="1" selected="0">
            <x v="125"/>
          </reference>
        </references>
      </pivotArea>
    </format>
    <format dxfId="672">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671">
      <pivotArea dataOnly="0" labelOnly="1" outline="0" fieldPosition="0">
        <references count="1">
          <reference field="4" count="1">
            <x v="10"/>
          </reference>
        </references>
      </pivotArea>
    </format>
    <format dxfId="670">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669">
      <pivotArea dataOnly="0" labelOnly="1" outline="0" fieldPosition="0">
        <references count="3">
          <reference field="4" count="1" selected="0">
            <x v="10"/>
          </reference>
          <reference field="5" count="2">
            <x v="85"/>
            <x v="117"/>
          </reference>
          <reference field="18" count="1" selected="0">
            <x v="0"/>
          </reference>
        </references>
      </pivotArea>
    </format>
    <format dxfId="668">
      <pivotArea dataOnly="0" labelOnly="1" outline="0" fieldPosition="0">
        <references count="3">
          <reference field="4" count="1" selected="0">
            <x v="10"/>
          </reference>
          <reference field="5" count="1">
            <x v="95"/>
          </reference>
          <reference field="18" count="1" selected="0">
            <x v="1"/>
          </reference>
        </references>
      </pivotArea>
    </format>
    <format dxfId="667">
      <pivotArea dataOnly="0" labelOnly="1" outline="0" fieldPosition="0">
        <references count="3">
          <reference field="4" count="1" selected="0">
            <x v="10"/>
          </reference>
          <reference field="5" count="1">
            <x v="73"/>
          </reference>
          <reference field="18" count="1" selected="0">
            <x v="2"/>
          </reference>
        </references>
      </pivotArea>
    </format>
    <format dxfId="666">
      <pivotArea dataOnly="0" labelOnly="1" outline="0" fieldPosition="0">
        <references count="3">
          <reference field="4" count="1" selected="0">
            <x v="10"/>
          </reference>
          <reference field="5" count="1">
            <x v="97"/>
          </reference>
          <reference field="18" count="1" selected="0">
            <x v="3"/>
          </reference>
        </references>
      </pivotArea>
    </format>
    <format dxfId="665">
      <pivotArea dataOnly="0" labelOnly="1" outline="0" fieldPosition="0">
        <references count="3">
          <reference field="4" count="1" selected="0">
            <x v="10"/>
          </reference>
          <reference field="5" count="1">
            <x v="96"/>
          </reference>
          <reference field="18" count="1" selected="0">
            <x v="4"/>
          </reference>
        </references>
      </pivotArea>
    </format>
    <format dxfId="664">
      <pivotArea dataOnly="0" labelOnly="1" outline="0" fieldPosition="0">
        <references count="3">
          <reference field="4" count="1" selected="0">
            <x v="10"/>
          </reference>
          <reference field="5" count="1">
            <x v="98"/>
          </reference>
          <reference field="18" count="1" selected="0">
            <x v="5"/>
          </reference>
        </references>
      </pivotArea>
    </format>
    <format dxfId="663">
      <pivotArea dataOnly="0" labelOnly="1" outline="0" fieldPosition="0">
        <references count="3">
          <reference field="4" count="1" selected="0">
            <x v="10"/>
          </reference>
          <reference field="5" count="1">
            <x v="88"/>
          </reference>
          <reference field="18" count="1" selected="0">
            <x v="6"/>
          </reference>
        </references>
      </pivotArea>
    </format>
    <format dxfId="662">
      <pivotArea dataOnly="0" labelOnly="1" outline="0" fieldPosition="0">
        <references count="3">
          <reference field="4" count="1" selected="0">
            <x v="10"/>
          </reference>
          <reference field="5" count="1">
            <x v="44"/>
          </reference>
          <reference field="18" count="1" selected="0">
            <x v="7"/>
          </reference>
        </references>
      </pivotArea>
    </format>
    <format dxfId="661">
      <pivotArea dataOnly="0" labelOnly="1" outline="0" fieldPosition="0">
        <references count="3">
          <reference field="4" count="1" selected="0">
            <x v="10"/>
          </reference>
          <reference field="5" count="1">
            <x v="92"/>
          </reference>
          <reference field="18" count="1" selected="0">
            <x v="8"/>
          </reference>
        </references>
      </pivotArea>
    </format>
    <format dxfId="660">
      <pivotArea dataOnly="0" labelOnly="1" outline="0" fieldPosition="0">
        <references count="3">
          <reference field="4" count="1" selected="0">
            <x v="10"/>
          </reference>
          <reference field="5" count="1">
            <x v="9"/>
          </reference>
          <reference field="18" count="1" selected="0">
            <x v="9"/>
          </reference>
        </references>
      </pivotArea>
    </format>
    <format dxfId="659">
      <pivotArea dataOnly="0" labelOnly="1" outline="0" fieldPosition="0">
        <references count="3">
          <reference field="4" count="1" selected="0">
            <x v="10"/>
          </reference>
          <reference field="5" count="1">
            <x v="10"/>
          </reference>
          <reference field="18" count="1" selected="0">
            <x v="10"/>
          </reference>
        </references>
      </pivotArea>
    </format>
    <format dxfId="658">
      <pivotArea dataOnly="0" labelOnly="1" outline="0" fieldPosition="0">
        <references count="3">
          <reference field="4" count="1" selected="0">
            <x v="10"/>
          </reference>
          <reference field="5" count="1">
            <x v="8"/>
          </reference>
          <reference field="18" count="1" selected="0">
            <x v="11"/>
          </reference>
        </references>
      </pivotArea>
    </format>
    <format dxfId="657">
      <pivotArea dataOnly="0" labelOnly="1" outline="0" fieldPosition="0">
        <references count="3">
          <reference field="4" count="1" selected="0">
            <x v="10"/>
          </reference>
          <reference field="5" count="1">
            <x v="23"/>
          </reference>
          <reference field="18" count="1" selected="0">
            <x v="12"/>
          </reference>
        </references>
      </pivotArea>
    </format>
    <format dxfId="656">
      <pivotArea dataOnly="0" labelOnly="1" outline="0" fieldPosition="0">
        <references count="3">
          <reference field="4" count="1" selected="0">
            <x v="10"/>
          </reference>
          <reference field="5" count="1">
            <x v="28"/>
          </reference>
          <reference field="18" count="1" selected="0">
            <x v="13"/>
          </reference>
        </references>
      </pivotArea>
    </format>
    <format dxfId="655">
      <pivotArea dataOnly="0" labelOnly="1" outline="0" fieldPosition="0">
        <references count="3">
          <reference field="4" count="1" selected="0">
            <x v="10"/>
          </reference>
          <reference field="5" count="1">
            <x v="27"/>
          </reference>
          <reference field="18" count="1" selected="0">
            <x v="14"/>
          </reference>
        </references>
      </pivotArea>
    </format>
    <format dxfId="654">
      <pivotArea dataOnly="0" labelOnly="1" outline="0" fieldPosition="0">
        <references count="3">
          <reference field="4" count="1" selected="0">
            <x v="10"/>
          </reference>
          <reference field="5" count="1">
            <x v="42"/>
          </reference>
          <reference field="18" count="1" selected="0">
            <x v="15"/>
          </reference>
        </references>
      </pivotArea>
    </format>
    <format dxfId="653">
      <pivotArea dataOnly="0" labelOnly="1" outline="0" fieldPosition="0">
        <references count="3">
          <reference field="4" count="1" selected="0">
            <x v="10"/>
          </reference>
          <reference field="5" count="1">
            <x v="18"/>
          </reference>
          <reference field="18" count="1" selected="0">
            <x v="16"/>
          </reference>
        </references>
      </pivotArea>
    </format>
    <format dxfId="652">
      <pivotArea dataOnly="0" labelOnly="1" outline="0" fieldPosition="0">
        <references count="3">
          <reference field="4" count="1" selected="0">
            <x v="10"/>
          </reference>
          <reference field="5" count="1">
            <x v="19"/>
          </reference>
          <reference field="18" count="1" selected="0">
            <x v="17"/>
          </reference>
        </references>
      </pivotArea>
    </format>
    <format dxfId="651">
      <pivotArea dataOnly="0" labelOnly="1" outline="0" fieldPosition="0">
        <references count="3">
          <reference field="4" count="1" selected="0">
            <x v="10"/>
          </reference>
          <reference field="5" count="1">
            <x v="52"/>
          </reference>
          <reference field="18" count="1" selected="0">
            <x v="18"/>
          </reference>
        </references>
      </pivotArea>
    </format>
    <format dxfId="650">
      <pivotArea dataOnly="0" labelOnly="1" outline="0" fieldPosition="0">
        <references count="3">
          <reference field="4" count="1" selected="0">
            <x v="10"/>
          </reference>
          <reference field="5" count="1">
            <x v="53"/>
          </reference>
          <reference field="18" count="1" selected="0">
            <x v="19"/>
          </reference>
        </references>
      </pivotArea>
    </format>
    <format dxfId="649">
      <pivotArea dataOnly="0" labelOnly="1" outline="0" fieldPosition="0">
        <references count="3">
          <reference field="4" count="1" selected="0">
            <x v="10"/>
          </reference>
          <reference field="5" count="1">
            <x v="105"/>
          </reference>
          <reference field="18" count="1" selected="0">
            <x v="20"/>
          </reference>
        </references>
      </pivotArea>
    </format>
    <format dxfId="648">
      <pivotArea dataOnly="0" labelOnly="1" outline="0" fieldPosition="0">
        <references count="3">
          <reference field="4" count="1" selected="0">
            <x v="10"/>
          </reference>
          <reference field="5" count="1">
            <x v="65"/>
          </reference>
          <reference field="18" count="1" selected="0">
            <x v="21"/>
          </reference>
        </references>
      </pivotArea>
    </format>
    <format dxfId="647">
      <pivotArea dataOnly="0" labelOnly="1" outline="0" fieldPosition="0">
        <references count="3">
          <reference field="4" count="1" selected="0">
            <x v="10"/>
          </reference>
          <reference field="5" count="1">
            <x v="75"/>
          </reference>
          <reference field="18" count="1" selected="0">
            <x v="82"/>
          </reference>
        </references>
      </pivotArea>
    </format>
    <format dxfId="646">
      <pivotArea dataOnly="0" labelOnly="1" outline="0" fieldPosition="0">
        <references count="3">
          <reference field="4" count="1" selected="0">
            <x v="10"/>
          </reference>
          <reference field="5" count="1">
            <x v="132"/>
          </reference>
          <reference field="18" count="1" selected="0">
            <x v="131"/>
          </reference>
        </references>
      </pivotArea>
    </format>
    <format dxfId="645">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644">
      <pivotArea dataOnly="0" labelOnly="1" outline="0" fieldPosition="0">
        <references count="1">
          <reference field="4" count="1">
            <x v="11"/>
          </reference>
        </references>
      </pivotArea>
    </format>
    <format dxfId="643">
      <pivotArea dataOnly="0" labelOnly="1" outline="0" fieldPosition="0">
        <references count="2">
          <reference field="4" count="1" selected="0">
            <x v="11"/>
          </reference>
          <reference field="18" count="4">
            <x v="98"/>
            <x v="99"/>
            <x v="126"/>
            <x v="127"/>
          </reference>
        </references>
      </pivotArea>
    </format>
    <format dxfId="642">
      <pivotArea dataOnly="0" labelOnly="1" outline="0" fieldPosition="0">
        <references count="3">
          <reference field="4" count="1" selected="0">
            <x v="11"/>
          </reference>
          <reference field="5" count="1">
            <x v="60"/>
          </reference>
          <reference field="18" count="1" selected="0">
            <x v="98"/>
          </reference>
        </references>
      </pivotArea>
    </format>
    <format dxfId="641">
      <pivotArea dataOnly="0" labelOnly="1" outline="0" fieldPosition="0">
        <references count="3">
          <reference field="4" count="1" selected="0">
            <x v="11"/>
          </reference>
          <reference field="5" count="1">
            <x v="59"/>
          </reference>
          <reference field="18" count="1" selected="0">
            <x v="99"/>
          </reference>
        </references>
      </pivotArea>
    </format>
    <format dxfId="640">
      <pivotArea dataOnly="0" labelOnly="1" outline="0" fieldPosition="0">
        <references count="3">
          <reference field="4" count="1" selected="0">
            <x v="11"/>
          </reference>
          <reference field="5" count="1">
            <x v="128"/>
          </reference>
          <reference field="18" count="1" selected="0">
            <x v="126"/>
          </reference>
        </references>
      </pivotArea>
    </format>
    <format dxfId="639">
      <pivotArea dataOnly="0" labelOnly="1" outline="0" fieldPosition="0">
        <references count="3">
          <reference field="4" count="1" selected="0">
            <x v="11"/>
          </reference>
          <reference field="5" count="1">
            <x v="129"/>
          </reference>
          <reference field="18" count="1" selected="0">
            <x v="127"/>
          </reference>
        </references>
      </pivotArea>
    </format>
    <format dxfId="638">
      <pivotArea outline="0" collapsedLevelsAreSubtotals="1" fieldPosition="0">
        <references count="3">
          <reference field="4" count="1" selected="0">
            <x v="12"/>
          </reference>
          <reference field="5" count="1" selected="0">
            <x v="64"/>
          </reference>
          <reference field="18" count="1" selected="0">
            <x v="104"/>
          </reference>
        </references>
      </pivotArea>
    </format>
    <format dxfId="637">
      <pivotArea dataOnly="0" labelOnly="1" outline="0" fieldPosition="0">
        <references count="1">
          <reference field="4" count="1">
            <x v="12"/>
          </reference>
        </references>
      </pivotArea>
    </format>
    <format dxfId="636">
      <pivotArea dataOnly="0" labelOnly="1" outline="0" fieldPosition="0">
        <references count="2">
          <reference field="4" count="1" selected="0">
            <x v="12"/>
          </reference>
          <reference field="18" count="1">
            <x v="104"/>
          </reference>
        </references>
      </pivotArea>
    </format>
    <format dxfId="635">
      <pivotArea dataOnly="0" labelOnly="1" outline="0" fieldPosition="0">
        <references count="3">
          <reference field="4" count="1" selected="0">
            <x v="12"/>
          </reference>
          <reference field="5" count="1">
            <x v="64"/>
          </reference>
          <reference field="18" count="1" selected="0">
            <x v="104"/>
          </reference>
        </references>
      </pivotArea>
    </format>
    <format dxfId="634">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633">
      <pivotArea dataOnly="0" labelOnly="1" outline="0" fieldPosition="0">
        <references count="1">
          <reference field="4" count="1">
            <x v="13"/>
          </reference>
        </references>
      </pivotArea>
    </format>
    <format dxfId="632">
      <pivotArea dataOnly="0" labelOnly="1" outline="0" fieldPosition="0">
        <references count="2">
          <reference field="4" count="1" selected="0">
            <x v="13"/>
          </reference>
          <reference field="18" count="2">
            <x v="50"/>
            <x v="51"/>
          </reference>
        </references>
      </pivotArea>
    </format>
    <format dxfId="631">
      <pivotArea dataOnly="0" labelOnly="1" outline="0" fieldPosition="0">
        <references count="3">
          <reference field="4" count="1" selected="0">
            <x v="13"/>
          </reference>
          <reference field="5" count="1">
            <x v="90"/>
          </reference>
          <reference field="18" count="1" selected="0">
            <x v="50"/>
          </reference>
        </references>
      </pivotArea>
    </format>
    <format dxfId="630">
      <pivotArea dataOnly="0" labelOnly="1" outline="0" fieldPosition="0">
        <references count="3">
          <reference field="4" count="1" selected="0">
            <x v="13"/>
          </reference>
          <reference field="5" count="1">
            <x v="91"/>
          </reference>
          <reference field="18" count="1" selected="0">
            <x v="51"/>
          </reference>
        </references>
      </pivotArea>
    </format>
    <format dxfId="629">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628">
      <pivotArea dataOnly="0" labelOnly="1" outline="0" fieldPosition="0">
        <references count="1">
          <reference field="4" count="1">
            <x v="14"/>
          </reference>
        </references>
      </pivotArea>
    </format>
    <format dxfId="627">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626">
      <pivotArea dataOnly="0" labelOnly="1" outline="0" fieldPosition="0">
        <references count="3">
          <reference field="4" count="1" selected="0">
            <x v="14"/>
          </reference>
          <reference field="5" count="1">
            <x v="80"/>
          </reference>
          <reference field="18" count="1" selected="0">
            <x v="22"/>
          </reference>
        </references>
      </pivotArea>
    </format>
    <format dxfId="625">
      <pivotArea dataOnly="0" labelOnly="1" outline="0" fieldPosition="0">
        <references count="3">
          <reference field="4" count="1" selected="0">
            <x v="14"/>
          </reference>
          <reference field="5" count="1">
            <x v="82"/>
          </reference>
          <reference field="18" count="1" selected="0">
            <x v="23"/>
          </reference>
        </references>
      </pivotArea>
    </format>
    <format dxfId="624">
      <pivotArea dataOnly="0" labelOnly="1" outline="0" fieldPosition="0">
        <references count="3">
          <reference field="4" count="1" selected="0">
            <x v="14"/>
          </reference>
          <reference field="5" count="1">
            <x v="36"/>
          </reference>
          <reference field="18" count="1" selected="0">
            <x v="24"/>
          </reference>
        </references>
      </pivotArea>
    </format>
    <format dxfId="623">
      <pivotArea dataOnly="0" labelOnly="1" outline="0" fieldPosition="0">
        <references count="3">
          <reference field="4" count="1" selected="0">
            <x v="14"/>
          </reference>
          <reference field="5" count="1">
            <x v="12"/>
          </reference>
          <reference field="18" count="1" selected="0">
            <x v="25"/>
          </reference>
        </references>
      </pivotArea>
    </format>
    <format dxfId="622">
      <pivotArea dataOnly="0" labelOnly="1" outline="0" fieldPosition="0">
        <references count="3">
          <reference field="4" count="1" selected="0">
            <x v="14"/>
          </reference>
          <reference field="5" count="1">
            <x v="39"/>
          </reference>
          <reference field="18" count="1" selected="0">
            <x v="26"/>
          </reference>
        </references>
      </pivotArea>
    </format>
    <format dxfId="621">
      <pivotArea dataOnly="0" labelOnly="1" outline="0" fieldPosition="0">
        <references count="3">
          <reference field="4" count="1" selected="0">
            <x v="14"/>
          </reference>
          <reference field="5" count="1">
            <x v="81"/>
          </reference>
          <reference field="18" count="1" selected="0">
            <x v="27"/>
          </reference>
        </references>
      </pivotArea>
    </format>
    <format dxfId="620">
      <pivotArea dataOnly="0" labelOnly="1" outline="0" fieldPosition="0">
        <references count="3">
          <reference field="4" count="1" selected="0">
            <x v="14"/>
          </reference>
          <reference field="5" count="1">
            <x v="38"/>
          </reference>
          <reference field="18" count="1" selected="0">
            <x v="28"/>
          </reference>
        </references>
      </pivotArea>
    </format>
    <format dxfId="619">
      <pivotArea dataOnly="0" labelOnly="1" outline="0" fieldPosition="0">
        <references count="3">
          <reference field="4" count="1" selected="0">
            <x v="14"/>
          </reference>
          <reference field="5" count="1">
            <x v="79"/>
          </reference>
          <reference field="18" count="1" selected="0">
            <x v="29"/>
          </reference>
        </references>
      </pivotArea>
    </format>
    <format dxfId="618">
      <pivotArea dataOnly="0" labelOnly="1" outline="0" fieldPosition="0">
        <references count="3">
          <reference field="4" count="1" selected="0">
            <x v="14"/>
          </reference>
          <reference field="5" count="1">
            <x v="101"/>
          </reference>
          <reference field="18" count="1" selected="0">
            <x v="30"/>
          </reference>
        </references>
      </pivotArea>
    </format>
    <format dxfId="617">
      <pivotArea dataOnly="0" labelOnly="1" outline="0" fieldPosition="0">
        <references count="3">
          <reference field="4" count="1" selected="0">
            <x v="14"/>
          </reference>
          <reference field="5" count="1">
            <x v="99"/>
          </reference>
          <reference field="18" count="1" selected="0">
            <x v="31"/>
          </reference>
        </references>
      </pivotArea>
    </format>
    <format dxfId="616">
      <pivotArea dataOnly="0" labelOnly="1" outline="0" fieldPosition="0">
        <references count="3">
          <reference field="4" count="1" selected="0">
            <x v="14"/>
          </reference>
          <reference field="5" count="1">
            <x v="100"/>
          </reference>
          <reference field="18" count="1" selected="0">
            <x v="32"/>
          </reference>
        </references>
      </pivotArea>
    </format>
    <format dxfId="615">
      <pivotArea dataOnly="0" labelOnly="1" outline="0" fieldPosition="0">
        <references count="3">
          <reference field="4" count="1" selected="0">
            <x v="14"/>
          </reference>
          <reference field="5" count="1">
            <x v="41"/>
          </reference>
          <reference field="18" count="1" selected="0">
            <x v="33"/>
          </reference>
        </references>
      </pivotArea>
    </format>
    <format dxfId="614">
      <pivotArea dataOnly="0" labelOnly="1" outline="0" fieldPosition="0">
        <references count="3">
          <reference field="4" count="1" selected="0">
            <x v="14"/>
          </reference>
          <reference field="5" count="1">
            <x v="40"/>
          </reference>
          <reference field="18" count="1" selected="0">
            <x v="34"/>
          </reference>
        </references>
      </pivotArea>
    </format>
    <format dxfId="613">
      <pivotArea dataOnly="0" labelOnly="1" outline="0" fieldPosition="0">
        <references count="3">
          <reference field="4" count="1" selected="0">
            <x v="14"/>
          </reference>
          <reference field="5" count="1">
            <x v="89"/>
          </reference>
          <reference field="18" count="1" selected="0">
            <x v="35"/>
          </reference>
        </references>
      </pivotArea>
    </format>
    <format dxfId="612">
      <pivotArea dataOnly="0" labelOnly="1" outline="0" fieldPosition="0">
        <references count="3">
          <reference field="4" count="1" selected="0">
            <x v="14"/>
          </reference>
          <reference field="5" count="1">
            <x v="4"/>
          </reference>
          <reference field="18" count="1" selected="0">
            <x v="67"/>
          </reference>
        </references>
      </pivotArea>
    </format>
    <format dxfId="611">
      <pivotArea dataOnly="0" labelOnly="1" outline="0" fieldPosition="0">
        <references count="3">
          <reference field="4" count="1" selected="0">
            <x v="14"/>
          </reference>
          <reference field="5" count="1">
            <x v="13"/>
          </reference>
          <reference field="18" count="1" selected="0">
            <x v="68"/>
          </reference>
        </references>
      </pivotArea>
    </format>
    <format dxfId="610">
      <pivotArea dataOnly="0" labelOnly="1" outline="0" fieldPosition="0">
        <references count="3">
          <reference field="4" count="1" selected="0">
            <x v="14"/>
          </reference>
          <reference field="5" count="1">
            <x v="104"/>
          </reference>
          <reference field="18" count="1" selected="0">
            <x v="69"/>
          </reference>
        </references>
      </pivotArea>
    </format>
    <format dxfId="609">
      <pivotArea dataOnly="0" labelOnly="1" outline="0" fieldPosition="0">
        <references count="3">
          <reference field="4" count="1" selected="0">
            <x v="14"/>
          </reference>
          <reference field="5" count="1">
            <x v="37"/>
          </reference>
          <reference field="18" count="1" selected="0">
            <x v="70"/>
          </reference>
        </references>
      </pivotArea>
    </format>
    <format dxfId="608">
      <pivotArea dataOnly="0" labelOnly="1" outline="0" fieldPosition="0">
        <references count="3">
          <reference field="4" count="1" selected="0">
            <x v="14"/>
          </reference>
          <reference field="5" count="1">
            <x v="78"/>
          </reference>
          <reference field="18" count="1" selected="0">
            <x v="81"/>
          </reference>
        </references>
      </pivotArea>
    </format>
    <format dxfId="607">
      <pivotArea dataOnly="0" labelOnly="1" outline="0" fieldPosition="0">
        <references count="3">
          <reference field="4" count="1" selected="0">
            <x v="14"/>
          </reference>
          <reference field="5" count="1">
            <x v="111"/>
          </reference>
          <reference field="18" count="1" selected="0">
            <x v="110"/>
          </reference>
        </references>
      </pivotArea>
    </format>
    <format dxfId="606">
      <pivotArea dataOnly="0" labelOnly="1" outline="0" fieldPosition="0">
        <references count="3">
          <reference field="4" count="1" selected="0">
            <x v="14"/>
          </reference>
          <reference field="5" count="1">
            <x v="131"/>
          </reference>
          <reference field="18" count="1" selected="0">
            <x v="130"/>
          </reference>
        </references>
      </pivotArea>
    </format>
    <format dxfId="605">
      <pivotArea dataOnly="0" labelOnly="1" outline="0" fieldPosition="0">
        <references count="3">
          <reference field="4" count="1" selected="0">
            <x v="14"/>
          </reference>
          <reference field="5" count="1">
            <x v="133"/>
          </reference>
          <reference field="18" count="1" selected="0">
            <x v="132"/>
          </reference>
        </references>
      </pivotArea>
    </format>
    <format dxfId="604">
      <pivotArea outline="0" collapsedLevelsAreSubtotals="1" fieldPosition="0">
        <references count="3">
          <reference field="4" count="1" selected="0">
            <x v="15"/>
          </reference>
          <reference field="5" count="1" selected="0">
            <x v="117"/>
          </reference>
          <reference field="18" count="1" selected="0">
            <x v="0"/>
          </reference>
        </references>
      </pivotArea>
    </format>
    <format dxfId="603">
      <pivotArea dataOnly="0" labelOnly="1" outline="0" fieldPosition="0">
        <references count="1">
          <reference field="4" count="1">
            <x v="15"/>
          </reference>
        </references>
      </pivotArea>
    </format>
    <format dxfId="602">
      <pivotArea dataOnly="0" labelOnly="1" outline="0" fieldPosition="0">
        <references count="2">
          <reference field="4" count="1" selected="0">
            <x v="15"/>
          </reference>
          <reference field="18" count="1">
            <x v="0"/>
          </reference>
        </references>
      </pivotArea>
    </format>
    <format dxfId="601">
      <pivotArea dataOnly="0" labelOnly="1" outline="0" fieldPosition="0">
        <references count="3">
          <reference field="4" count="1" selected="0">
            <x v="15"/>
          </reference>
          <reference field="5" count="1">
            <x v="117"/>
          </reference>
          <reference field="18" count="1" selected="0">
            <x v="0"/>
          </reference>
        </references>
      </pivotArea>
    </format>
    <format dxfId="600">
      <pivotArea grandRow="1" outline="0" collapsedLevelsAreSubtotals="1" fieldPosition="0"/>
    </format>
    <format dxfId="599">
      <pivotArea dataOnly="0" labelOnly="1" grandRow="1" outline="0" fieldPosition="0"/>
    </format>
    <format dxfId="598">
      <pivotArea type="all" dataOnly="0" outline="0" fieldPosition="0"/>
    </format>
    <format dxfId="597">
      <pivotArea dataOnly="0" labelOnly="1" outline="0" fieldPosition="0">
        <references count="1">
          <reference field="4" count="0"/>
        </references>
      </pivotArea>
    </format>
    <format dxfId="596">
      <pivotArea dataOnly="0" labelOnly="1" grandRow="1" outline="0" offset="A256" fieldPosition="0"/>
    </format>
    <format dxfId="595">
      <pivotArea field="5" type="button" dataOnly="0" labelOnly="1" outline="0" axis="axisRow" fieldPosition="2"/>
    </format>
    <format dxfId="594">
      <pivotArea dataOnly="0" labelOnly="1" grandRow="1" outline="0" offset="IV256" fieldPosition="0"/>
    </format>
    <format dxfId="593">
      <pivotArea dataOnly="0" labelOnly="1" outline="0" fieldPosition="0">
        <references count="3">
          <reference field="4" count="1" selected="0">
            <x v="0"/>
          </reference>
          <reference field="5" count="1">
            <x v="84"/>
          </reference>
          <reference field="18" count="1" selected="0">
            <x v="37"/>
          </reference>
        </references>
      </pivotArea>
    </format>
    <format dxfId="592">
      <pivotArea dataOnly="0" labelOnly="1" outline="0" fieldPosition="0">
        <references count="3">
          <reference field="4" count="1" selected="0">
            <x v="0"/>
          </reference>
          <reference field="5" count="1">
            <x v="31"/>
          </reference>
          <reference field="18" count="1" selected="0">
            <x v="38"/>
          </reference>
        </references>
      </pivotArea>
    </format>
    <format dxfId="591">
      <pivotArea dataOnly="0" labelOnly="1" outline="0" fieldPosition="0">
        <references count="3">
          <reference field="4" count="1" selected="0">
            <x v="0"/>
          </reference>
          <reference field="5" count="1">
            <x v="1"/>
          </reference>
          <reference field="18" count="1" selected="0">
            <x v="39"/>
          </reference>
        </references>
      </pivotArea>
    </format>
    <format dxfId="590">
      <pivotArea dataOnly="0" labelOnly="1" outline="0" fieldPosition="0">
        <references count="3">
          <reference field="4" count="1" selected="0">
            <x v="0"/>
          </reference>
          <reference field="5" count="1">
            <x v="17"/>
          </reference>
          <reference field="18" count="1" selected="0">
            <x v="40"/>
          </reference>
        </references>
      </pivotArea>
    </format>
    <format dxfId="589">
      <pivotArea dataOnly="0" labelOnly="1" outline="0" fieldPosition="0">
        <references count="3">
          <reference field="4" count="1" selected="0">
            <x v="0"/>
          </reference>
          <reference field="5" count="1">
            <x v="106"/>
          </reference>
          <reference field="18" count="1" selected="0">
            <x v="41"/>
          </reference>
        </references>
      </pivotArea>
    </format>
    <format dxfId="588">
      <pivotArea dataOnly="0" labelOnly="1" outline="0" fieldPosition="0">
        <references count="3">
          <reference field="4" count="1" selected="0">
            <x v="0"/>
          </reference>
          <reference field="5" count="1">
            <x v="66"/>
          </reference>
          <reference field="18" count="1" selected="0">
            <x v="42"/>
          </reference>
        </references>
      </pivotArea>
    </format>
    <format dxfId="587">
      <pivotArea dataOnly="0" labelOnly="1" outline="0" fieldPosition="0">
        <references count="3">
          <reference field="4" count="1" selected="0">
            <x v="0"/>
          </reference>
          <reference field="5" count="1">
            <x v="94"/>
          </reference>
          <reference field="18" count="1" selected="0">
            <x v="43"/>
          </reference>
        </references>
      </pivotArea>
    </format>
    <format dxfId="586">
      <pivotArea dataOnly="0" labelOnly="1" outline="0" fieldPosition="0">
        <references count="3">
          <reference field="4" count="1" selected="0">
            <x v="0"/>
          </reference>
          <reference field="5" count="1">
            <x v="77"/>
          </reference>
          <reference field="18" count="1" selected="0">
            <x v="93"/>
          </reference>
        </references>
      </pivotArea>
    </format>
    <format dxfId="585">
      <pivotArea dataOnly="0" labelOnly="1" outline="0" fieldPosition="0">
        <references count="3">
          <reference field="4" count="1" selected="0">
            <x v="0"/>
          </reference>
          <reference field="5" count="1">
            <x v="112"/>
          </reference>
          <reference field="18" count="1" selected="0">
            <x v="111"/>
          </reference>
        </references>
      </pivotArea>
    </format>
    <format dxfId="584">
      <pivotArea dataOnly="0" labelOnly="1" outline="0" fieldPosition="0">
        <references count="3">
          <reference field="4" count="1" selected="0">
            <x v="0"/>
          </reference>
          <reference field="5" count="1">
            <x v="115"/>
          </reference>
          <reference field="18" count="1" selected="0">
            <x v="114"/>
          </reference>
        </references>
      </pivotArea>
    </format>
    <format dxfId="583">
      <pivotArea dataOnly="0" labelOnly="1" outline="0" fieldPosition="0">
        <references count="3">
          <reference field="4" count="1" selected="0">
            <x v="1"/>
          </reference>
          <reference field="5" count="1">
            <x v="6"/>
          </reference>
          <reference field="18" count="1" selected="0">
            <x v="36"/>
          </reference>
        </references>
      </pivotArea>
    </format>
    <format dxfId="582">
      <pivotArea dataOnly="0" labelOnly="1" outline="0" fieldPosition="0">
        <references count="3">
          <reference field="4" count="1" selected="0">
            <x v="1"/>
          </reference>
          <reference field="5" count="1">
            <x v="29"/>
          </reference>
          <reference field="18" count="1" selected="0">
            <x v="94"/>
          </reference>
        </references>
      </pivotArea>
    </format>
    <format dxfId="581">
      <pivotArea dataOnly="0" labelOnly="1" outline="0" fieldPosition="0">
        <references count="3">
          <reference field="4" count="1" selected="0">
            <x v="1"/>
          </reference>
          <reference field="5" count="1">
            <x v="118"/>
          </reference>
          <reference field="18" count="1" selected="0">
            <x v="116"/>
          </reference>
        </references>
      </pivotArea>
    </format>
    <format dxfId="580">
      <pivotArea dataOnly="0" labelOnly="1" outline="0" fieldPosition="0">
        <references count="3">
          <reference field="4" count="1" selected="0">
            <x v="2"/>
          </reference>
          <reference field="5" count="2">
            <x v="103"/>
            <x v="117"/>
          </reference>
          <reference field="18" count="1" selected="0">
            <x v="0"/>
          </reference>
        </references>
      </pivotArea>
    </format>
    <format dxfId="579">
      <pivotArea dataOnly="0" labelOnly="1" outline="0" fieldPosition="0">
        <references count="3">
          <reference field="4" count="1" selected="0">
            <x v="2"/>
          </reference>
          <reference field="5" count="1">
            <x v="54"/>
          </reference>
          <reference field="18" count="1" selected="0">
            <x v="62"/>
          </reference>
        </references>
      </pivotArea>
    </format>
    <format dxfId="578">
      <pivotArea dataOnly="0" labelOnly="1" outline="0" fieldPosition="0">
        <references count="3">
          <reference field="4" count="1" selected="0">
            <x v="2"/>
          </reference>
          <reference field="5" count="1">
            <x v="67"/>
          </reference>
          <reference field="18" count="1" selected="0">
            <x v="64"/>
          </reference>
        </references>
      </pivotArea>
    </format>
    <format dxfId="577">
      <pivotArea dataOnly="0" labelOnly="1" outline="0" fieldPosition="0">
        <references count="3">
          <reference field="4" count="1" selected="0">
            <x v="2"/>
          </reference>
          <reference field="5" count="1">
            <x v="107"/>
          </reference>
          <reference field="18" count="1" selected="0">
            <x v="65"/>
          </reference>
        </references>
      </pivotArea>
    </format>
    <format dxfId="576">
      <pivotArea dataOnly="0" labelOnly="1" outline="0" fieldPosition="0">
        <references count="3">
          <reference field="4" count="1" selected="0">
            <x v="2"/>
          </reference>
          <reference field="5" count="1">
            <x v="5"/>
          </reference>
          <reference field="18" count="1" selected="0">
            <x v="66"/>
          </reference>
        </references>
      </pivotArea>
    </format>
    <format dxfId="575">
      <pivotArea dataOnly="0" labelOnly="1" outline="0" fieldPosition="0">
        <references count="3">
          <reference field="4" count="1" selected="0">
            <x v="2"/>
          </reference>
          <reference field="5" count="1">
            <x v="3"/>
          </reference>
          <reference field="18" count="1" selected="0">
            <x v="83"/>
          </reference>
        </references>
      </pivotArea>
    </format>
    <format dxfId="574">
      <pivotArea dataOnly="0" labelOnly="1" outline="0" fieldPosition="0">
        <references count="3">
          <reference field="4" count="1" selected="0">
            <x v="2"/>
          </reference>
          <reference field="5" count="1">
            <x v="7"/>
          </reference>
          <reference field="18" count="1" selected="0">
            <x v="84"/>
          </reference>
        </references>
      </pivotArea>
    </format>
    <format dxfId="573">
      <pivotArea dataOnly="0" labelOnly="1" outline="0" fieldPosition="0">
        <references count="3">
          <reference field="4" count="1" selected="0">
            <x v="2"/>
          </reference>
          <reference field="5" count="1">
            <x v="2"/>
          </reference>
          <reference field="18" count="1" selected="0">
            <x v="85"/>
          </reference>
        </references>
      </pivotArea>
    </format>
    <format dxfId="572">
      <pivotArea dataOnly="0" labelOnly="1" outline="0" fieldPosition="0">
        <references count="3">
          <reference field="4" count="1" selected="0">
            <x v="2"/>
          </reference>
          <reference field="5" count="1">
            <x v="0"/>
          </reference>
          <reference field="18" count="1" selected="0">
            <x v="86"/>
          </reference>
        </references>
      </pivotArea>
    </format>
    <format dxfId="571">
      <pivotArea dataOnly="0" labelOnly="1" outline="0" fieldPosition="0">
        <references count="3">
          <reference field="4" count="1" selected="0">
            <x v="2"/>
          </reference>
          <reference field="5" count="1">
            <x v="30"/>
          </reference>
          <reference field="18" count="1" selected="0">
            <x v="87"/>
          </reference>
        </references>
      </pivotArea>
    </format>
    <format dxfId="570">
      <pivotArea dataOnly="0" labelOnly="1" outline="0" fieldPosition="0">
        <references count="3">
          <reference field="4" count="1" selected="0">
            <x v="2"/>
          </reference>
          <reference field="5" count="1">
            <x v="83"/>
          </reference>
          <reference field="18" count="1" selected="0">
            <x v="88"/>
          </reference>
        </references>
      </pivotArea>
    </format>
    <format dxfId="569">
      <pivotArea dataOnly="0" labelOnly="1" outline="0" fieldPosition="0">
        <references count="3">
          <reference field="4" count="1" selected="0">
            <x v="2"/>
          </reference>
          <reference field="5" count="1">
            <x v="86"/>
          </reference>
          <reference field="18" count="1" selected="0">
            <x v="89"/>
          </reference>
        </references>
      </pivotArea>
    </format>
    <format dxfId="568">
      <pivotArea dataOnly="0" labelOnly="1" outline="0" fieldPosition="0">
        <references count="3">
          <reference field="4" count="1" selected="0">
            <x v="2"/>
          </reference>
          <reference field="5" count="1">
            <x v="102"/>
          </reference>
          <reference field="18" count="1" selected="0">
            <x v="90"/>
          </reference>
        </references>
      </pivotArea>
    </format>
    <format dxfId="567">
      <pivotArea dataOnly="0" labelOnly="1" outline="0" fieldPosition="0">
        <references count="3">
          <reference field="4" count="1" selected="0">
            <x v="2"/>
          </reference>
          <reference field="5" count="1">
            <x v="14"/>
          </reference>
          <reference field="18" count="1" selected="0">
            <x v="91"/>
          </reference>
        </references>
      </pivotArea>
    </format>
    <format dxfId="566">
      <pivotArea dataOnly="0" labelOnly="1" outline="0" fieldPosition="0">
        <references count="3">
          <reference field="4" count="1" selected="0">
            <x v="2"/>
          </reference>
          <reference field="5" count="1">
            <x v="63"/>
          </reference>
          <reference field="18" count="1" selected="0">
            <x v="92"/>
          </reference>
        </references>
      </pivotArea>
    </format>
    <format dxfId="565">
      <pivotArea dataOnly="0" labelOnly="1" outline="0" fieldPosition="0">
        <references count="3">
          <reference field="4" count="1" selected="0">
            <x v="2"/>
          </reference>
          <reference field="5" count="1">
            <x v="114"/>
          </reference>
          <reference field="18" count="1" selected="0">
            <x v="113"/>
          </reference>
        </references>
      </pivotArea>
    </format>
    <format dxfId="564">
      <pivotArea dataOnly="0" labelOnly="1" outline="0" fieldPosition="0">
        <references count="3">
          <reference field="4" count="1" selected="0">
            <x v="2"/>
          </reference>
          <reference field="5" count="1">
            <x v="122"/>
          </reference>
          <reference field="18" count="1" selected="0">
            <x v="120"/>
          </reference>
        </references>
      </pivotArea>
    </format>
    <format dxfId="563">
      <pivotArea dataOnly="0" labelOnly="1" outline="0" fieldPosition="0">
        <references count="3">
          <reference field="4" count="1" selected="0">
            <x v="2"/>
          </reference>
          <reference field="5" count="1">
            <x v="123"/>
          </reference>
          <reference field="18" count="1" selected="0">
            <x v="121"/>
          </reference>
        </references>
      </pivotArea>
    </format>
    <format dxfId="562">
      <pivotArea dataOnly="0" labelOnly="1" outline="0" fieldPosition="0">
        <references count="3">
          <reference field="4" count="1" selected="0">
            <x v="3"/>
          </reference>
          <reference field="5" count="1">
            <x v="61"/>
          </reference>
          <reference field="18" count="1" selected="0">
            <x v="101"/>
          </reference>
        </references>
      </pivotArea>
    </format>
    <format dxfId="561">
      <pivotArea dataOnly="0" labelOnly="1" outline="0" fieldPosition="0">
        <references count="3">
          <reference field="4" count="1" selected="0">
            <x v="3"/>
          </reference>
          <reference field="5" count="1">
            <x v="21"/>
          </reference>
          <reference field="18" count="1" selected="0">
            <x v="105"/>
          </reference>
        </references>
      </pivotArea>
    </format>
    <format dxfId="560">
      <pivotArea dataOnly="0" labelOnly="1" outline="0" fieldPosition="0">
        <references count="3">
          <reference field="4" count="1" selected="0">
            <x v="3"/>
          </reference>
          <reference field="5" count="1">
            <x v="22"/>
          </reference>
          <reference field="18" count="1" selected="0">
            <x v="106"/>
          </reference>
        </references>
      </pivotArea>
    </format>
    <format dxfId="559">
      <pivotArea dataOnly="0" labelOnly="1" outline="0" fieldPosition="0">
        <references count="3">
          <reference field="4" count="1" selected="0">
            <x v="3"/>
          </reference>
          <reference field="5" count="1">
            <x v="120"/>
          </reference>
          <reference field="18" count="1" selected="0">
            <x v="118"/>
          </reference>
        </references>
      </pivotArea>
    </format>
    <format dxfId="558">
      <pivotArea dataOnly="0" labelOnly="1" outline="0" fieldPosition="0">
        <references count="3">
          <reference field="4" count="1" selected="0">
            <x v="3"/>
          </reference>
          <reference field="5" count="1">
            <x v="125"/>
          </reference>
          <reference field="18" count="1" selected="0">
            <x v="123"/>
          </reference>
        </references>
      </pivotArea>
    </format>
    <format dxfId="557">
      <pivotArea dataOnly="0" labelOnly="1" outline="0" fieldPosition="0">
        <references count="3">
          <reference field="4" count="1" selected="0">
            <x v="3"/>
          </reference>
          <reference field="5" count="1">
            <x v="130"/>
          </reference>
          <reference field="18" count="1" selected="0">
            <x v="128"/>
          </reference>
        </references>
      </pivotArea>
    </format>
    <format dxfId="556">
      <pivotArea dataOnly="0" labelOnly="1" outline="0" fieldPosition="0">
        <references count="3">
          <reference field="4" count="1" selected="0">
            <x v="3"/>
          </reference>
          <reference field="5" count="1">
            <x v="134"/>
          </reference>
          <reference field="18" count="1" selected="0">
            <x v="129"/>
          </reference>
        </references>
      </pivotArea>
    </format>
    <format dxfId="555">
      <pivotArea dataOnly="0" labelOnly="1" outline="0" fieldPosition="0">
        <references count="3">
          <reference field="4" count="1" selected="0">
            <x v="4"/>
          </reference>
          <reference field="5" count="1">
            <x v="50"/>
          </reference>
          <reference field="18" count="1" selected="0">
            <x v="49"/>
          </reference>
        </references>
      </pivotArea>
    </format>
    <format dxfId="554">
      <pivotArea dataOnly="0" labelOnly="1" outline="0" fieldPosition="0">
        <references count="3">
          <reference field="4" count="1" selected="0">
            <x v="4"/>
          </reference>
          <reference field="5" count="1">
            <x v="26"/>
          </reference>
          <reference field="18" count="1" selected="0">
            <x v="75"/>
          </reference>
        </references>
      </pivotArea>
    </format>
    <format dxfId="553">
      <pivotArea dataOnly="0" labelOnly="1" outline="0" fieldPosition="0">
        <references count="3">
          <reference field="4" count="1" selected="0">
            <x v="4"/>
          </reference>
          <reference field="5" count="1">
            <x v="46"/>
          </reference>
          <reference field="18" count="1" selected="0">
            <x v="77"/>
          </reference>
        </references>
      </pivotArea>
    </format>
    <format dxfId="552">
      <pivotArea dataOnly="0" labelOnly="1" outline="0" fieldPosition="0">
        <references count="3">
          <reference field="4" count="1" selected="0">
            <x v="4"/>
          </reference>
          <reference field="5" count="1">
            <x v="45"/>
          </reference>
          <reference field="18" count="1" selected="0">
            <x v="78"/>
          </reference>
        </references>
      </pivotArea>
    </format>
    <format dxfId="551">
      <pivotArea dataOnly="0" labelOnly="1" outline="0" fieldPosition="0">
        <references count="3">
          <reference field="4" count="1" selected="0">
            <x v="4"/>
          </reference>
          <reference field="5" count="1">
            <x v="35"/>
          </reference>
          <reference field="18" count="1" selected="0">
            <x v="79"/>
          </reference>
        </references>
      </pivotArea>
    </format>
    <format dxfId="550">
      <pivotArea dataOnly="0" labelOnly="1" outline="0" fieldPosition="0">
        <references count="3">
          <reference field="4" count="1" selected="0">
            <x v="4"/>
          </reference>
          <reference field="5" count="1">
            <x v="108"/>
          </reference>
          <reference field="18" count="1" selected="0">
            <x v="107"/>
          </reference>
        </references>
      </pivotArea>
    </format>
    <format dxfId="549">
      <pivotArea dataOnly="0" labelOnly="1" outline="0" fieldPosition="0">
        <references count="3">
          <reference field="4" count="1" selected="0">
            <x v="4"/>
          </reference>
          <reference field="5" count="1">
            <x v="110"/>
          </reference>
          <reference field="18" count="1" selected="0">
            <x v="109"/>
          </reference>
        </references>
      </pivotArea>
    </format>
    <format dxfId="548">
      <pivotArea dataOnly="0" labelOnly="1" outline="0" fieldPosition="0">
        <references count="3">
          <reference field="4" count="1" selected="0">
            <x v="4"/>
          </reference>
          <reference field="5" count="1">
            <x v="119"/>
          </reference>
          <reference field="18" count="1" selected="0">
            <x v="117"/>
          </reference>
        </references>
      </pivotArea>
    </format>
    <format dxfId="547">
      <pivotArea dataOnly="0" labelOnly="1" outline="0" fieldPosition="0">
        <references count="3">
          <reference field="4" count="1" selected="0">
            <x v="4"/>
          </reference>
          <reference field="5" count="1">
            <x v="121"/>
          </reference>
          <reference field="18" count="1" selected="0">
            <x v="119"/>
          </reference>
        </references>
      </pivotArea>
    </format>
    <format dxfId="546">
      <pivotArea dataOnly="0" labelOnly="1" outline="0" fieldPosition="0">
        <references count="3">
          <reference field="4" count="1" selected="0">
            <x v="5"/>
          </reference>
          <reference field="5" count="1">
            <x v="48"/>
          </reference>
          <reference field="18" count="1" selected="0">
            <x v="102"/>
          </reference>
        </references>
      </pivotArea>
    </format>
    <format dxfId="545">
      <pivotArea dataOnly="0" labelOnly="1" outline="0" fieldPosition="0">
        <references count="3">
          <reference field="4" count="1" selected="0">
            <x v="5"/>
          </reference>
          <reference field="5" count="1">
            <x v="15"/>
          </reference>
          <reference field="18" count="1" selected="0">
            <x v="103"/>
          </reference>
        </references>
      </pivotArea>
    </format>
    <format dxfId="544">
      <pivotArea dataOnly="0" labelOnly="1" outline="0" fieldPosition="0">
        <references count="3">
          <reference field="4" count="1" selected="0">
            <x v="5"/>
          </reference>
          <reference field="5" count="1">
            <x v="135"/>
          </reference>
          <reference field="18" count="1" selected="0">
            <x v="133"/>
          </reference>
        </references>
      </pivotArea>
    </format>
    <format dxfId="543">
      <pivotArea dataOnly="0" labelOnly="1" outline="0" fieldPosition="0">
        <references count="3">
          <reference field="4" count="1" selected="0">
            <x v="6"/>
          </reference>
          <reference field="5" count="1">
            <x v="49"/>
          </reference>
          <reference field="18" count="1" selected="0">
            <x v="57"/>
          </reference>
        </references>
      </pivotArea>
    </format>
    <format dxfId="542">
      <pivotArea dataOnly="0" labelOnly="1" outline="0" fieldPosition="0">
        <references count="3">
          <reference field="4" count="1" selected="0">
            <x v="6"/>
          </reference>
          <reference field="5" count="1">
            <x v="24"/>
          </reference>
          <reference field="18" count="1" selected="0">
            <x v="58"/>
          </reference>
        </references>
      </pivotArea>
    </format>
    <format dxfId="541">
      <pivotArea dataOnly="0" labelOnly="1" outline="0" fieldPosition="0">
        <references count="3">
          <reference field="4" count="1" selected="0">
            <x v="6"/>
          </reference>
          <reference field="5" count="1">
            <x v="68"/>
          </reference>
          <reference field="18" count="1" selected="0">
            <x v="59"/>
          </reference>
        </references>
      </pivotArea>
    </format>
    <format dxfId="540">
      <pivotArea dataOnly="0" labelOnly="1" outline="0" fieldPosition="0">
        <references count="3">
          <reference field="4" count="1" selected="0">
            <x v="7"/>
          </reference>
          <reference field="5" count="1">
            <x v="93"/>
          </reference>
          <reference field="18" count="1" selected="0">
            <x v="60"/>
          </reference>
        </references>
      </pivotArea>
    </format>
    <format dxfId="539">
      <pivotArea dataOnly="0" labelOnly="1" outline="0" fieldPosition="0">
        <references count="3">
          <reference field="4" count="1" selected="0">
            <x v="7"/>
          </reference>
          <reference field="5" count="1">
            <x v="69"/>
          </reference>
          <reference field="18" count="1" selected="0">
            <x v="80"/>
          </reference>
        </references>
      </pivotArea>
    </format>
    <format dxfId="538">
      <pivotArea dataOnly="0" labelOnly="1" outline="0" fieldPosition="0">
        <references count="3">
          <reference field="4" count="1" selected="0">
            <x v="8"/>
          </reference>
          <reference field="5" count="1">
            <x v="55"/>
          </reference>
          <reference field="18" count="1" selected="0">
            <x v="44"/>
          </reference>
        </references>
      </pivotArea>
    </format>
    <format dxfId="537">
      <pivotArea dataOnly="0" labelOnly="1" outline="0" fieldPosition="0">
        <references count="3">
          <reference field="4" count="1" selected="0">
            <x v="8"/>
          </reference>
          <reference field="5" count="1">
            <x v="47"/>
          </reference>
          <reference field="18" count="1" selected="0">
            <x v="46"/>
          </reference>
        </references>
      </pivotArea>
    </format>
    <format dxfId="536">
      <pivotArea dataOnly="0" labelOnly="1" outline="0" fieldPosition="0">
        <references count="3">
          <reference field="4" count="1" selected="0">
            <x v="8"/>
          </reference>
          <reference field="5" count="1">
            <x v="72"/>
          </reference>
          <reference field="18" count="1" selected="0">
            <x v="47"/>
          </reference>
        </references>
      </pivotArea>
    </format>
    <format dxfId="535">
      <pivotArea dataOnly="0" labelOnly="1" outline="0" fieldPosition="0">
        <references count="3">
          <reference field="4" count="1" selected="0">
            <x v="8"/>
          </reference>
          <reference field="5" count="1">
            <x v="43"/>
          </reference>
          <reference field="18" count="1" selected="0">
            <x v="48"/>
          </reference>
        </references>
      </pivotArea>
    </format>
    <format dxfId="534">
      <pivotArea dataOnly="0" labelOnly="1" outline="0" fieldPosition="0">
        <references count="3">
          <reference field="4" count="1" selected="0">
            <x v="8"/>
          </reference>
          <reference field="5" count="1">
            <x v="33"/>
          </reference>
          <reference field="18" count="1" selected="0">
            <x v="52"/>
          </reference>
        </references>
      </pivotArea>
    </format>
    <format dxfId="533">
      <pivotArea dataOnly="0" labelOnly="1" outline="0" fieldPosition="0">
        <references count="3">
          <reference field="4" count="1" selected="0">
            <x v="8"/>
          </reference>
          <reference field="5" count="1">
            <x v="34"/>
          </reference>
          <reference field="18" count="1" selected="0">
            <x v="53"/>
          </reference>
        </references>
      </pivotArea>
    </format>
    <format dxfId="532">
      <pivotArea dataOnly="0" labelOnly="1" outline="0" fieldPosition="0">
        <references count="3">
          <reference field="4" count="1" selected="0">
            <x v="8"/>
          </reference>
          <reference field="5" count="1">
            <x v="32"/>
          </reference>
          <reference field="18" count="1" selected="0">
            <x v="54"/>
          </reference>
        </references>
      </pivotArea>
    </format>
    <format dxfId="531">
      <pivotArea dataOnly="0" labelOnly="1" outline="0" fieldPosition="0">
        <references count="3">
          <reference field="4" count="1" selected="0">
            <x v="8"/>
          </reference>
          <reference field="5" count="1">
            <x v="74"/>
          </reference>
          <reference field="18" count="1" selected="0">
            <x v="55"/>
          </reference>
        </references>
      </pivotArea>
    </format>
    <format dxfId="530">
      <pivotArea dataOnly="0" labelOnly="1" outline="0" fieldPosition="0">
        <references count="3">
          <reference field="4" count="1" selected="0">
            <x v="8"/>
          </reference>
          <reference field="5" count="1">
            <x v="87"/>
          </reference>
          <reference field="18" count="1" selected="0">
            <x v="56"/>
          </reference>
        </references>
      </pivotArea>
    </format>
    <format dxfId="529">
      <pivotArea dataOnly="0" labelOnly="1" outline="0" fieldPosition="0">
        <references count="3">
          <reference field="4" count="1" selected="0">
            <x v="8"/>
          </reference>
          <reference field="5" count="1">
            <x v="20"/>
          </reference>
          <reference field="18" count="1" selected="0">
            <x v="71"/>
          </reference>
        </references>
      </pivotArea>
    </format>
    <format dxfId="528">
      <pivotArea dataOnly="0" labelOnly="1" outline="0" fieldPosition="0">
        <references count="3">
          <reference field="4" count="1" selected="0">
            <x v="8"/>
          </reference>
          <reference field="5" count="1">
            <x v="16"/>
          </reference>
          <reference field="18" count="1" selected="0">
            <x v="72"/>
          </reference>
        </references>
      </pivotArea>
    </format>
    <format dxfId="527">
      <pivotArea dataOnly="0" labelOnly="1" outline="0" fieldPosition="0">
        <references count="3">
          <reference field="4" count="1" selected="0">
            <x v="8"/>
          </reference>
          <reference field="5" count="1">
            <x v="11"/>
          </reference>
          <reference field="18" count="1" selected="0">
            <x v="73"/>
          </reference>
        </references>
      </pivotArea>
    </format>
    <format dxfId="526">
      <pivotArea dataOnly="0" labelOnly="1" outline="0" fieldPosition="0">
        <references count="3">
          <reference field="4" count="1" selected="0">
            <x v="8"/>
          </reference>
          <reference field="5" count="1">
            <x v="76"/>
          </reference>
          <reference field="18" count="1" selected="0">
            <x v="74"/>
          </reference>
        </references>
      </pivotArea>
    </format>
    <format dxfId="525">
      <pivotArea dataOnly="0" labelOnly="1" outline="0" fieldPosition="0">
        <references count="3">
          <reference field="4" count="1" selected="0">
            <x v="8"/>
          </reference>
          <reference field="5" count="1">
            <x v="71"/>
          </reference>
          <reference field="18" count="1" selected="0">
            <x v="76"/>
          </reference>
        </references>
      </pivotArea>
    </format>
    <format dxfId="524">
      <pivotArea dataOnly="0" labelOnly="1" outline="0" fieldPosition="0">
        <references count="3">
          <reference field="4" count="1" selected="0">
            <x v="8"/>
          </reference>
          <reference field="5" count="1">
            <x v="113"/>
          </reference>
          <reference field="18" count="1" selected="0">
            <x v="112"/>
          </reference>
        </references>
      </pivotArea>
    </format>
    <format dxfId="523">
      <pivotArea dataOnly="0" labelOnly="1" outline="0" fieldPosition="0">
        <references count="3">
          <reference field="4" count="1" selected="0">
            <x v="9"/>
          </reference>
          <reference field="5" count="1">
            <x v="57"/>
          </reference>
          <reference field="18" count="1" selected="0">
            <x v="100"/>
          </reference>
        </references>
      </pivotArea>
    </format>
    <format dxfId="522">
      <pivotArea dataOnly="0" labelOnly="1" outline="0" fieldPosition="0">
        <references count="3">
          <reference field="4" count="1" selected="0">
            <x v="9"/>
          </reference>
          <reference field="5" count="1">
            <x v="126"/>
          </reference>
          <reference field="18" count="1" selected="0">
            <x v="124"/>
          </reference>
        </references>
      </pivotArea>
    </format>
    <format dxfId="521">
      <pivotArea dataOnly="0" labelOnly="1" outline="0" fieldPosition="0">
        <references count="3">
          <reference field="4" count="1" selected="0">
            <x v="9"/>
          </reference>
          <reference field="5" count="1">
            <x v="127"/>
          </reference>
          <reference field="18" count="1" selected="0">
            <x v="125"/>
          </reference>
        </references>
      </pivotArea>
    </format>
    <format dxfId="520">
      <pivotArea dataOnly="0" labelOnly="1" outline="0" fieldPosition="0">
        <references count="3">
          <reference field="4" count="1" selected="0">
            <x v="10"/>
          </reference>
          <reference field="5" count="2">
            <x v="85"/>
            <x v="117"/>
          </reference>
          <reference field="18" count="1" selected="0">
            <x v="0"/>
          </reference>
        </references>
      </pivotArea>
    </format>
    <format dxfId="519">
      <pivotArea dataOnly="0" labelOnly="1" outline="0" fieldPosition="0">
        <references count="3">
          <reference field="4" count="1" selected="0">
            <x v="10"/>
          </reference>
          <reference field="5" count="1">
            <x v="95"/>
          </reference>
          <reference field="18" count="1" selected="0">
            <x v="1"/>
          </reference>
        </references>
      </pivotArea>
    </format>
    <format dxfId="518">
      <pivotArea dataOnly="0" labelOnly="1" outline="0" fieldPosition="0">
        <references count="3">
          <reference field="4" count="1" selected="0">
            <x v="10"/>
          </reference>
          <reference field="5" count="1">
            <x v="73"/>
          </reference>
          <reference field="18" count="1" selected="0">
            <x v="2"/>
          </reference>
        </references>
      </pivotArea>
    </format>
    <format dxfId="517">
      <pivotArea dataOnly="0" labelOnly="1" outline="0" fieldPosition="0">
        <references count="3">
          <reference field="4" count="1" selected="0">
            <x v="10"/>
          </reference>
          <reference field="5" count="1">
            <x v="97"/>
          </reference>
          <reference field="18" count="1" selected="0">
            <x v="3"/>
          </reference>
        </references>
      </pivotArea>
    </format>
    <format dxfId="516">
      <pivotArea dataOnly="0" labelOnly="1" outline="0" fieldPosition="0">
        <references count="3">
          <reference field="4" count="1" selected="0">
            <x v="10"/>
          </reference>
          <reference field="5" count="1">
            <x v="96"/>
          </reference>
          <reference field="18" count="1" selected="0">
            <x v="4"/>
          </reference>
        </references>
      </pivotArea>
    </format>
    <format dxfId="515">
      <pivotArea dataOnly="0" labelOnly="1" outline="0" fieldPosition="0">
        <references count="3">
          <reference field="4" count="1" selected="0">
            <x v="10"/>
          </reference>
          <reference field="5" count="1">
            <x v="98"/>
          </reference>
          <reference field="18" count="1" selected="0">
            <x v="5"/>
          </reference>
        </references>
      </pivotArea>
    </format>
    <format dxfId="514">
      <pivotArea dataOnly="0" labelOnly="1" outline="0" fieldPosition="0">
        <references count="3">
          <reference field="4" count="1" selected="0">
            <x v="10"/>
          </reference>
          <reference field="5" count="1">
            <x v="88"/>
          </reference>
          <reference field="18" count="1" selected="0">
            <x v="6"/>
          </reference>
        </references>
      </pivotArea>
    </format>
    <format dxfId="513">
      <pivotArea dataOnly="0" labelOnly="1" outline="0" fieldPosition="0">
        <references count="3">
          <reference field="4" count="1" selected="0">
            <x v="10"/>
          </reference>
          <reference field="5" count="1">
            <x v="44"/>
          </reference>
          <reference field="18" count="1" selected="0">
            <x v="7"/>
          </reference>
        </references>
      </pivotArea>
    </format>
    <format dxfId="512">
      <pivotArea dataOnly="0" labelOnly="1" outline="0" fieldPosition="0">
        <references count="3">
          <reference field="4" count="1" selected="0">
            <x v="10"/>
          </reference>
          <reference field="5" count="1">
            <x v="92"/>
          </reference>
          <reference field="18" count="1" selected="0">
            <x v="8"/>
          </reference>
        </references>
      </pivotArea>
    </format>
    <format dxfId="511">
      <pivotArea dataOnly="0" labelOnly="1" outline="0" fieldPosition="0">
        <references count="3">
          <reference field="4" count="1" selected="0">
            <x v="10"/>
          </reference>
          <reference field="5" count="1">
            <x v="9"/>
          </reference>
          <reference field="18" count="1" selected="0">
            <x v="9"/>
          </reference>
        </references>
      </pivotArea>
    </format>
    <format dxfId="510">
      <pivotArea dataOnly="0" labelOnly="1" outline="0" fieldPosition="0">
        <references count="3">
          <reference field="4" count="1" selected="0">
            <x v="10"/>
          </reference>
          <reference field="5" count="1">
            <x v="10"/>
          </reference>
          <reference field="18" count="1" selected="0">
            <x v="10"/>
          </reference>
        </references>
      </pivotArea>
    </format>
    <format dxfId="509">
      <pivotArea dataOnly="0" labelOnly="1" outline="0" fieldPosition="0">
        <references count="3">
          <reference field="4" count="1" selected="0">
            <x v="10"/>
          </reference>
          <reference field="5" count="1">
            <x v="8"/>
          </reference>
          <reference field="18" count="1" selected="0">
            <x v="11"/>
          </reference>
        </references>
      </pivotArea>
    </format>
    <format dxfId="508">
      <pivotArea dataOnly="0" labelOnly="1" outline="0" fieldPosition="0">
        <references count="3">
          <reference field="4" count="1" selected="0">
            <x v="10"/>
          </reference>
          <reference field="5" count="1">
            <x v="23"/>
          </reference>
          <reference field="18" count="1" selected="0">
            <x v="12"/>
          </reference>
        </references>
      </pivotArea>
    </format>
    <format dxfId="507">
      <pivotArea dataOnly="0" labelOnly="1" outline="0" fieldPosition="0">
        <references count="3">
          <reference field="4" count="1" selected="0">
            <x v="10"/>
          </reference>
          <reference field="5" count="1">
            <x v="28"/>
          </reference>
          <reference field="18" count="1" selected="0">
            <x v="13"/>
          </reference>
        </references>
      </pivotArea>
    </format>
    <format dxfId="506">
      <pivotArea dataOnly="0" labelOnly="1" outline="0" fieldPosition="0">
        <references count="3">
          <reference field="4" count="1" selected="0">
            <x v="10"/>
          </reference>
          <reference field="5" count="1">
            <x v="27"/>
          </reference>
          <reference field="18" count="1" selected="0">
            <x v="14"/>
          </reference>
        </references>
      </pivotArea>
    </format>
    <format dxfId="505">
      <pivotArea dataOnly="0" labelOnly="1" outline="0" fieldPosition="0">
        <references count="3">
          <reference field="4" count="1" selected="0">
            <x v="10"/>
          </reference>
          <reference field="5" count="1">
            <x v="42"/>
          </reference>
          <reference field="18" count="1" selected="0">
            <x v="15"/>
          </reference>
        </references>
      </pivotArea>
    </format>
    <format dxfId="504">
      <pivotArea dataOnly="0" labelOnly="1" outline="0" fieldPosition="0">
        <references count="3">
          <reference field="4" count="1" selected="0">
            <x v="10"/>
          </reference>
          <reference field="5" count="1">
            <x v="18"/>
          </reference>
          <reference field="18" count="1" selected="0">
            <x v="16"/>
          </reference>
        </references>
      </pivotArea>
    </format>
    <format dxfId="503">
      <pivotArea dataOnly="0" labelOnly="1" outline="0" fieldPosition="0">
        <references count="3">
          <reference field="4" count="1" selected="0">
            <x v="10"/>
          </reference>
          <reference field="5" count="1">
            <x v="19"/>
          </reference>
          <reference field="18" count="1" selected="0">
            <x v="17"/>
          </reference>
        </references>
      </pivotArea>
    </format>
    <format dxfId="502">
      <pivotArea dataOnly="0" labelOnly="1" outline="0" fieldPosition="0">
        <references count="3">
          <reference field="4" count="1" selected="0">
            <x v="10"/>
          </reference>
          <reference field="5" count="1">
            <x v="52"/>
          </reference>
          <reference field="18" count="1" selected="0">
            <x v="18"/>
          </reference>
        </references>
      </pivotArea>
    </format>
    <format dxfId="501">
      <pivotArea dataOnly="0" labelOnly="1" outline="0" fieldPosition="0">
        <references count="3">
          <reference field="4" count="1" selected="0">
            <x v="10"/>
          </reference>
          <reference field="5" count="1">
            <x v="53"/>
          </reference>
          <reference field="18" count="1" selected="0">
            <x v="19"/>
          </reference>
        </references>
      </pivotArea>
    </format>
    <format dxfId="500">
      <pivotArea dataOnly="0" labelOnly="1" outline="0" fieldPosition="0">
        <references count="3">
          <reference field="4" count="1" selected="0">
            <x v="10"/>
          </reference>
          <reference field="5" count="1">
            <x v="105"/>
          </reference>
          <reference field="18" count="1" selected="0">
            <x v="20"/>
          </reference>
        </references>
      </pivotArea>
    </format>
    <format dxfId="499">
      <pivotArea dataOnly="0" labelOnly="1" outline="0" fieldPosition="0">
        <references count="3">
          <reference field="4" count="1" selected="0">
            <x v="10"/>
          </reference>
          <reference field="5" count="1">
            <x v="65"/>
          </reference>
          <reference field="18" count="1" selected="0">
            <x v="21"/>
          </reference>
        </references>
      </pivotArea>
    </format>
    <format dxfId="498">
      <pivotArea dataOnly="0" labelOnly="1" outline="0" fieldPosition="0">
        <references count="3">
          <reference field="4" count="1" selected="0">
            <x v="10"/>
          </reference>
          <reference field="5" count="1">
            <x v="75"/>
          </reference>
          <reference field="18" count="1" selected="0">
            <x v="82"/>
          </reference>
        </references>
      </pivotArea>
    </format>
    <format dxfId="497">
      <pivotArea dataOnly="0" labelOnly="1" outline="0" fieldPosition="0">
        <references count="3">
          <reference field="4" count="1" selected="0">
            <x v="10"/>
          </reference>
          <reference field="5" count="1">
            <x v="132"/>
          </reference>
          <reference field="18" count="1" selected="0">
            <x v="131"/>
          </reference>
        </references>
      </pivotArea>
    </format>
    <format dxfId="496">
      <pivotArea dataOnly="0" labelOnly="1" outline="0" fieldPosition="0">
        <references count="3">
          <reference field="4" count="1" selected="0">
            <x v="11"/>
          </reference>
          <reference field="5" count="1">
            <x v="60"/>
          </reference>
          <reference field="18" count="1" selected="0">
            <x v="98"/>
          </reference>
        </references>
      </pivotArea>
    </format>
    <format dxfId="495">
      <pivotArea dataOnly="0" labelOnly="1" outline="0" fieldPosition="0">
        <references count="3">
          <reference field="4" count="1" selected="0">
            <x v="11"/>
          </reference>
          <reference field="5" count="1">
            <x v="59"/>
          </reference>
          <reference field="18" count="1" selected="0">
            <x v="99"/>
          </reference>
        </references>
      </pivotArea>
    </format>
    <format dxfId="494">
      <pivotArea dataOnly="0" labelOnly="1" outline="0" fieldPosition="0">
        <references count="3">
          <reference field="4" count="1" selected="0">
            <x v="11"/>
          </reference>
          <reference field="5" count="1">
            <x v="128"/>
          </reference>
          <reference field="18" count="1" selected="0">
            <x v="126"/>
          </reference>
        </references>
      </pivotArea>
    </format>
    <format dxfId="493">
      <pivotArea dataOnly="0" labelOnly="1" outline="0" fieldPosition="0">
        <references count="3">
          <reference field="4" count="1" selected="0">
            <x v="11"/>
          </reference>
          <reference field="5" count="1">
            <x v="129"/>
          </reference>
          <reference field="18" count="1" selected="0">
            <x v="127"/>
          </reference>
        </references>
      </pivotArea>
    </format>
    <format dxfId="492">
      <pivotArea dataOnly="0" labelOnly="1" outline="0" fieldPosition="0">
        <references count="3">
          <reference field="4" count="1" selected="0">
            <x v="12"/>
          </reference>
          <reference field="5" count="1">
            <x v="64"/>
          </reference>
          <reference field="18" count="1" selected="0">
            <x v="104"/>
          </reference>
        </references>
      </pivotArea>
    </format>
    <format dxfId="491">
      <pivotArea dataOnly="0" labelOnly="1" outline="0" fieldPosition="0">
        <references count="3">
          <reference field="4" count="1" selected="0">
            <x v="13"/>
          </reference>
          <reference field="5" count="1">
            <x v="90"/>
          </reference>
          <reference field="18" count="1" selected="0">
            <x v="50"/>
          </reference>
        </references>
      </pivotArea>
    </format>
    <format dxfId="490">
      <pivotArea dataOnly="0" labelOnly="1" outline="0" fieldPosition="0">
        <references count="3">
          <reference field="4" count="1" selected="0">
            <x v="13"/>
          </reference>
          <reference field="5" count="1">
            <x v="91"/>
          </reference>
          <reference field="18" count="1" selected="0">
            <x v="51"/>
          </reference>
        </references>
      </pivotArea>
    </format>
    <format dxfId="489">
      <pivotArea dataOnly="0" labelOnly="1" outline="0" fieldPosition="0">
        <references count="3">
          <reference field="4" count="1" selected="0">
            <x v="14"/>
          </reference>
          <reference field="5" count="1">
            <x v="80"/>
          </reference>
          <reference field="18" count="1" selected="0">
            <x v="22"/>
          </reference>
        </references>
      </pivotArea>
    </format>
    <format dxfId="488">
      <pivotArea dataOnly="0" labelOnly="1" outline="0" fieldPosition="0">
        <references count="3">
          <reference field="4" count="1" selected="0">
            <x v="14"/>
          </reference>
          <reference field="5" count="1">
            <x v="82"/>
          </reference>
          <reference field="18" count="1" selected="0">
            <x v="23"/>
          </reference>
        </references>
      </pivotArea>
    </format>
    <format dxfId="487">
      <pivotArea dataOnly="0" labelOnly="1" outline="0" fieldPosition="0">
        <references count="3">
          <reference field="4" count="1" selected="0">
            <x v="14"/>
          </reference>
          <reference field="5" count="1">
            <x v="36"/>
          </reference>
          <reference field="18" count="1" selected="0">
            <x v="24"/>
          </reference>
        </references>
      </pivotArea>
    </format>
    <format dxfId="486">
      <pivotArea dataOnly="0" labelOnly="1" outline="0" fieldPosition="0">
        <references count="3">
          <reference field="4" count="1" selected="0">
            <x v="14"/>
          </reference>
          <reference field="5" count="1">
            <x v="12"/>
          </reference>
          <reference field="18" count="1" selected="0">
            <x v="25"/>
          </reference>
        </references>
      </pivotArea>
    </format>
    <format dxfId="485">
      <pivotArea dataOnly="0" labelOnly="1" outline="0" fieldPosition="0">
        <references count="3">
          <reference field="4" count="1" selected="0">
            <x v="14"/>
          </reference>
          <reference field="5" count="1">
            <x v="39"/>
          </reference>
          <reference field="18" count="1" selected="0">
            <x v="26"/>
          </reference>
        </references>
      </pivotArea>
    </format>
    <format dxfId="484">
      <pivotArea dataOnly="0" labelOnly="1" outline="0" fieldPosition="0">
        <references count="3">
          <reference field="4" count="1" selected="0">
            <x v="14"/>
          </reference>
          <reference field="5" count="1">
            <x v="81"/>
          </reference>
          <reference field="18" count="1" selected="0">
            <x v="27"/>
          </reference>
        </references>
      </pivotArea>
    </format>
    <format dxfId="483">
      <pivotArea dataOnly="0" labelOnly="1" outline="0" fieldPosition="0">
        <references count="3">
          <reference field="4" count="1" selected="0">
            <x v="14"/>
          </reference>
          <reference field="5" count="1">
            <x v="38"/>
          </reference>
          <reference field="18" count="1" selected="0">
            <x v="28"/>
          </reference>
        </references>
      </pivotArea>
    </format>
    <format dxfId="482">
      <pivotArea dataOnly="0" labelOnly="1" outline="0" fieldPosition="0">
        <references count="3">
          <reference field="4" count="1" selected="0">
            <x v="14"/>
          </reference>
          <reference field="5" count="1">
            <x v="79"/>
          </reference>
          <reference field="18" count="1" selected="0">
            <x v="29"/>
          </reference>
        </references>
      </pivotArea>
    </format>
    <format dxfId="481">
      <pivotArea dataOnly="0" labelOnly="1" outline="0" fieldPosition="0">
        <references count="3">
          <reference field="4" count="1" selected="0">
            <x v="14"/>
          </reference>
          <reference field="5" count="1">
            <x v="101"/>
          </reference>
          <reference field="18" count="1" selected="0">
            <x v="30"/>
          </reference>
        </references>
      </pivotArea>
    </format>
    <format dxfId="480">
      <pivotArea dataOnly="0" labelOnly="1" outline="0" fieldPosition="0">
        <references count="3">
          <reference field="4" count="1" selected="0">
            <x v="14"/>
          </reference>
          <reference field="5" count="1">
            <x v="99"/>
          </reference>
          <reference field="18" count="1" selected="0">
            <x v="31"/>
          </reference>
        </references>
      </pivotArea>
    </format>
    <format dxfId="479">
      <pivotArea dataOnly="0" labelOnly="1" outline="0" fieldPosition="0">
        <references count="3">
          <reference field="4" count="1" selected="0">
            <x v="14"/>
          </reference>
          <reference field="5" count="1">
            <x v="100"/>
          </reference>
          <reference field="18" count="1" selected="0">
            <x v="32"/>
          </reference>
        </references>
      </pivotArea>
    </format>
    <format dxfId="478">
      <pivotArea dataOnly="0" labelOnly="1" outline="0" fieldPosition="0">
        <references count="3">
          <reference field="4" count="1" selected="0">
            <x v="14"/>
          </reference>
          <reference field="5" count="1">
            <x v="41"/>
          </reference>
          <reference field="18" count="1" selected="0">
            <x v="33"/>
          </reference>
        </references>
      </pivotArea>
    </format>
    <format dxfId="477">
      <pivotArea dataOnly="0" labelOnly="1" outline="0" fieldPosition="0">
        <references count="3">
          <reference field="4" count="1" selected="0">
            <x v="14"/>
          </reference>
          <reference field="5" count="1">
            <x v="40"/>
          </reference>
          <reference field="18" count="1" selected="0">
            <x v="34"/>
          </reference>
        </references>
      </pivotArea>
    </format>
    <format dxfId="476">
      <pivotArea dataOnly="0" labelOnly="1" outline="0" fieldPosition="0">
        <references count="3">
          <reference field="4" count="1" selected="0">
            <x v="14"/>
          </reference>
          <reference field="5" count="1">
            <x v="89"/>
          </reference>
          <reference field="18" count="1" selected="0">
            <x v="35"/>
          </reference>
        </references>
      </pivotArea>
    </format>
    <format dxfId="475">
      <pivotArea dataOnly="0" labelOnly="1" outline="0" fieldPosition="0">
        <references count="3">
          <reference field="4" count="1" selected="0">
            <x v="14"/>
          </reference>
          <reference field="5" count="1">
            <x v="4"/>
          </reference>
          <reference field="18" count="1" selected="0">
            <x v="67"/>
          </reference>
        </references>
      </pivotArea>
    </format>
    <format dxfId="474">
      <pivotArea dataOnly="0" labelOnly="1" outline="0" fieldPosition="0">
        <references count="3">
          <reference field="4" count="1" selected="0">
            <x v="14"/>
          </reference>
          <reference field="5" count="1">
            <x v="13"/>
          </reference>
          <reference field="18" count="1" selected="0">
            <x v="68"/>
          </reference>
        </references>
      </pivotArea>
    </format>
    <format dxfId="473">
      <pivotArea dataOnly="0" labelOnly="1" outline="0" fieldPosition="0">
        <references count="3">
          <reference field="4" count="1" selected="0">
            <x v="14"/>
          </reference>
          <reference field="5" count="1">
            <x v="104"/>
          </reference>
          <reference field="18" count="1" selected="0">
            <x v="69"/>
          </reference>
        </references>
      </pivotArea>
    </format>
    <format dxfId="472">
      <pivotArea dataOnly="0" labelOnly="1" outline="0" fieldPosition="0">
        <references count="3">
          <reference field="4" count="1" selected="0">
            <x v="14"/>
          </reference>
          <reference field="5" count="1">
            <x v="37"/>
          </reference>
          <reference field="18" count="1" selected="0">
            <x v="70"/>
          </reference>
        </references>
      </pivotArea>
    </format>
    <format dxfId="471">
      <pivotArea dataOnly="0" labelOnly="1" outline="0" fieldPosition="0">
        <references count="3">
          <reference field="4" count="1" selected="0">
            <x v="14"/>
          </reference>
          <reference field="5" count="1">
            <x v="78"/>
          </reference>
          <reference field="18" count="1" selected="0">
            <x v="81"/>
          </reference>
        </references>
      </pivotArea>
    </format>
    <format dxfId="470">
      <pivotArea dataOnly="0" labelOnly="1" outline="0" fieldPosition="0">
        <references count="3">
          <reference field="4" count="1" selected="0">
            <x v="14"/>
          </reference>
          <reference field="5" count="1">
            <x v="111"/>
          </reference>
          <reference field="18" count="1" selected="0">
            <x v="110"/>
          </reference>
        </references>
      </pivotArea>
    </format>
    <format dxfId="469">
      <pivotArea dataOnly="0" labelOnly="1" outline="0" fieldPosition="0">
        <references count="3">
          <reference field="4" count="1" selected="0">
            <x v="14"/>
          </reference>
          <reference field="5" count="1">
            <x v="131"/>
          </reference>
          <reference field="18" count="1" selected="0">
            <x v="130"/>
          </reference>
        </references>
      </pivotArea>
    </format>
    <format dxfId="468">
      <pivotArea dataOnly="0" labelOnly="1" outline="0" fieldPosition="0">
        <references count="3">
          <reference field="4" count="1" selected="0">
            <x v="14"/>
          </reference>
          <reference field="5" count="1">
            <x v="133"/>
          </reference>
          <reference field="18" count="1" selected="0">
            <x v="132"/>
          </reference>
        </references>
      </pivotArea>
    </format>
    <format dxfId="467">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40"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3" firstHeaderRow="0" firstDataRow="1" firstDataCol="1" rowPageCount="2" colPageCount="1"/>
  <pivotFields count="42">
    <pivotField axis="axisPage" multipleItemSelectionAllowed="1" showAll="0">
      <items count="3">
        <item h="1" x="0"/>
        <item x="1"/>
        <item t="default"/>
      </items>
    </pivotField>
    <pivotField showAll="0"/>
    <pivotField showAll="0"/>
    <pivotField showAll="0"/>
    <pivotField showAll="0"/>
    <pivotField showAll="0" sortType="descending">
      <items count="22">
        <item x="1"/>
        <item x="4"/>
        <item x="0"/>
        <item x="18"/>
        <item x="14"/>
        <item x="13"/>
        <item x="7"/>
        <item x="15"/>
        <item x="2"/>
        <item x="16"/>
        <item x="12"/>
        <item x="8"/>
        <item x="5"/>
        <item x="10"/>
        <item x="6"/>
        <item x="17"/>
        <item x="19"/>
        <item x="11"/>
        <item x="9"/>
        <item x="20"/>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2"/>
        <item x="0"/>
        <item h="1" x="1"/>
        <item h="1" x="4"/>
        <item h="1" x="3"/>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4"/>
        <item x="1"/>
        <item x="6"/>
        <item x="9"/>
        <item x="7"/>
        <item x="2"/>
        <item n="Other Townships" x="11"/>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2">
    <i>
      <x/>
    </i>
    <i>
      <x v="1"/>
    </i>
    <i>
      <x v="2"/>
    </i>
    <i>
      <x v="3"/>
    </i>
    <i>
      <x v="5"/>
    </i>
    <i>
      <x v="6"/>
    </i>
    <i>
      <x v="7"/>
    </i>
    <i>
      <x v="8"/>
    </i>
    <i>
      <x v="9"/>
    </i>
    <i>
      <x v="10"/>
    </i>
    <i>
      <x v="11"/>
    </i>
    <i t="grand">
      <x/>
    </i>
  </rowItems>
  <colFields count="1">
    <field x="-2"/>
  </colFields>
  <colItems count="5">
    <i>
      <x/>
    </i>
    <i i="1">
      <x v="1"/>
    </i>
    <i i="2">
      <x v="2"/>
    </i>
    <i i="3">
      <x v="3"/>
    </i>
    <i i="4">
      <x v="4"/>
    </i>
  </colItems>
  <pageFields count="2">
    <pageField fld="0" hier="-1"/>
    <pageField fld="21" hier="-1"/>
  </pageFields>
  <dataFields count="5">
    <dataField name="# HH" fld="16" baseField="5" baseItem="20" numFmtId="165"/>
    <dataField name="# Ind." fld="17" baseField="5" baseItem="20" numFmtId="3"/>
    <dataField name="# Camps" fld="12" subtotal="count" baseField="0" baseItem="0"/>
    <dataField name="# Shelter Gap" fld="31" baseField="0" baseItem="0" numFmtId="165"/>
    <dataField name="# Const. Shelter" fld="33" baseField="0" baseItem="0" numFmtId="165"/>
  </dataFields>
  <formats count="10">
    <format dxfId="370">
      <pivotArea outline="0" collapsedLevelsAreSubtotals="1" fieldPosition="0">
        <references count="1">
          <reference field="4294967294" count="1" selected="0">
            <x v="0"/>
          </reference>
        </references>
      </pivotArea>
    </format>
    <format dxfId="369">
      <pivotArea outline="0" collapsedLevelsAreSubtotals="1" fieldPosition="0">
        <references count="1">
          <reference field="4294967294" count="2" selected="0">
            <x v="3"/>
            <x v="4"/>
          </reference>
        </references>
      </pivotArea>
    </format>
    <format dxfId="368">
      <pivotArea outline="0" fieldPosition="0">
        <references count="1">
          <reference field="4294967294" count="1">
            <x v="1"/>
          </reference>
        </references>
      </pivotArea>
    </format>
    <format dxfId="367">
      <pivotArea field="5" type="button" dataOnly="0" labelOnly="1" outline="0"/>
    </format>
    <format dxfId="366">
      <pivotArea dataOnly="0" labelOnly="1" outline="0" fieldPosition="0">
        <references count="1">
          <reference field="4294967294" count="5">
            <x v="0"/>
            <x v="1"/>
            <x v="2"/>
            <x v="3"/>
            <x v="4"/>
          </reference>
        </references>
      </pivotArea>
    </format>
    <format dxfId="365">
      <pivotArea field="5" type="button" dataOnly="0" labelOnly="1" outline="0"/>
    </format>
    <format dxfId="364">
      <pivotArea dataOnly="0" labelOnly="1" outline="0" fieldPosition="0">
        <references count="1">
          <reference field="4294967294" count="5">
            <x v="0"/>
            <x v="1"/>
            <x v="2"/>
            <x v="3"/>
            <x v="4"/>
          </reference>
        </references>
      </pivotArea>
    </format>
    <format dxfId="363">
      <pivotArea dataOnly="0" labelOnly="1" outline="0" fieldPosition="0">
        <references count="1">
          <reference field="4294967294" count="5">
            <x v="0"/>
            <x v="1"/>
            <x v="2"/>
            <x v="3"/>
            <x v="4"/>
          </reference>
        </references>
      </pivotArea>
    </format>
    <format dxfId="362">
      <pivotArea field="5" type="button" dataOnly="0" labelOnly="1" outline="0"/>
    </format>
    <format dxfId="361">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3" cacheId="47"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7">
  <location ref="A62:G64" firstHeaderRow="0" firstDataRow="1" firstDataCol="1" rowPageCount="2" colPageCount="1"/>
  <pivotFields count="45">
    <pivotField showAll="0" defaultSubtotal="0"/>
    <pivotField showAll="0"/>
    <pivotField axis="axisRow" showAll="0">
      <items count="13">
        <item x="6"/>
        <item x="3"/>
        <item x="10"/>
        <item x="4"/>
        <item x="8"/>
        <item x="1"/>
        <item x="9"/>
        <item x="2"/>
        <item x="7"/>
        <item x="5"/>
        <item x="0"/>
        <item x="11"/>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1"/>
        <item x="2"/>
        <item h="1" x="0"/>
      </items>
    </pivotField>
    <pivotField axis="axisPage" multipleItemSelectionAllowed="1" showAll="0" defaultSubtotal="0">
      <items count="3">
        <item h="1" x="1"/>
        <item h="1" x="2"/>
        <item x="0"/>
      </items>
    </pivotField>
    <pivotField showAll="0" defaultSubtotal="0"/>
    <pivotField showAll="0" defaultSubtotal="0"/>
    <pivotField showAll="0" defaultSubtotal="0"/>
    <pivotField showAll="0" defaultSubtotal="0"/>
  </pivotFields>
  <rowFields count="1">
    <field x="2"/>
  </rowFields>
  <rowItems count="2">
    <i>
      <x v="10"/>
    </i>
    <i t="grand">
      <x/>
    </i>
  </rowItems>
  <colFields count="1">
    <field x="-2"/>
  </colFields>
  <colItems count="6">
    <i>
      <x/>
    </i>
    <i i="1">
      <x v="1"/>
    </i>
    <i i="2">
      <x v="2"/>
    </i>
    <i i="3">
      <x v="3"/>
    </i>
    <i i="4">
      <x v="4"/>
    </i>
    <i i="5">
      <x v="5"/>
    </i>
  </colItems>
  <pageFields count="2">
    <pageField fld="40" hier="-1"/>
    <pageField fld="39"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287">
      <pivotArea outline="0" collapsedLevelsAreSubtotals="1" fieldPosition="0"/>
    </format>
    <format dxfId="286">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4" cacheId="4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2:D79" firstHeaderRow="0" firstDataRow="1" firstDataCol="1" rowPageCount="3" colPageCount="1"/>
  <pivotFields count="45">
    <pivotField showAll="0" defaultSubtotal="0"/>
    <pivotField showAll="0"/>
    <pivotField axis="axisRow" showAll="0">
      <items count="13">
        <item x="6"/>
        <item x="3"/>
        <item x="10"/>
        <item x="4"/>
        <item x="8"/>
        <item x="1"/>
        <item x="9"/>
        <item x="2"/>
        <item x="7"/>
        <item x="5"/>
        <item x="0"/>
        <item x="11"/>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2">
        <item h="1" x="0"/>
        <item x="1"/>
      </items>
    </pivotField>
    <pivotField showAll="0" defaultSubtotal="0"/>
    <pivotField showAll="0" defaultSubtotal="0"/>
    <pivotField multipleItemSelectionAllowed="1" showAll="0" defaultSubtotal="0"/>
    <pivotField axis="axisPage" multipleItemSelectionAllowed="1" showAll="0" defaultSubtotal="0">
      <items count="3">
        <item h="1" x="1"/>
        <item h="1" x="2"/>
        <item x="0"/>
      </items>
    </pivotField>
    <pivotField axis="axisPage" multipleItemSelectionAllowed="1" showAll="0" defaultSubtotal="0">
      <items count="5">
        <item x="1"/>
        <item x="3"/>
        <item h="1" x="4"/>
        <item h="1" x="2"/>
        <item h="1" x="0"/>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0" hier="-1"/>
    <pageField fld="41" hier="-1"/>
    <pageField fld="36" hier="-1"/>
  </pageFields>
  <dataFields count="3">
    <dataField name="Winter Clothes Adult " fld="17" baseField="2" baseItem="6"/>
    <dataField name="Winter Clothes Children " fld="18" baseField="2" baseItem="6"/>
    <dataField name="Winter Blanket " fld="20" baseField="2" baseItem="6"/>
  </dataFields>
  <formats count="10">
    <format dxfId="297">
      <pivotArea outline="0" collapsedLevelsAreSubtotals="1" fieldPosition="0"/>
    </format>
    <format dxfId="296">
      <pivotArea type="all" dataOnly="0" outline="0" fieldPosition="0"/>
    </format>
    <format dxfId="295">
      <pivotArea field="40" type="button" dataOnly="0" labelOnly="1" outline="0" axis="axisPage" fieldPosition="0"/>
    </format>
    <format dxfId="294">
      <pivotArea dataOnly="0" labelOnly="1" outline="0" fieldPosition="0">
        <references count="1">
          <reference field="40" count="0"/>
        </references>
      </pivotArea>
    </format>
    <format dxfId="293">
      <pivotArea field="41" type="button" dataOnly="0" labelOnly="1" outline="0" axis="axisPage" fieldPosition="1"/>
    </format>
    <format dxfId="292">
      <pivotArea dataOnly="0" labelOnly="1" outline="0" fieldPosition="0">
        <references count="1">
          <reference field="41" count="0"/>
        </references>
      </pivotArea>
    </format>
    <format dxfId="291">
      <pivotArea field="36" type="button" dataOnly="0" labelOnly="1" outline="0" axis="axisPage" fieldPosition="2"/>
    </format>
    <format dxfId="290">
      <pivotArea dataOnly="0" labelOnly="1" outline="0" fieldPosition="0">
        <references count="1">
          <reference field="36" count="0"/>
        </references>
      </pivotArea>
    </format>
    <format dxfId="289">
      <pivotArea field="2" type="button" dataOnly="0" labelOnly="1" outline="0" axis="axisRow" fieldPosition="0"/>
    </format>
    <format dxfId="288">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2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285">
      <pivotArea outline="0" collapsedLevelsAreSubtotals="1" fieldPosition="0"/>
    </format>
    <format dxfId="2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40"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47" firstHeaderRow="1" firstDataRow="1" firstDataCol="2" rowPageCount="1" colPageCount="1"/>
  <pivotFields count="42">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95"/>
        <item x="226"/>
        <item x="205"/>
        <item x="19"/>
        <item x="53"/>
        <item x="106"/>
        <item x="47"/>
        <item x="151"/>
        <item x="155"/>
        <item x="153"/>
        <item x="150"/>
        <item x="137"/>
        <item x="140"/>
        <item x="158"/>
        <item x="110"/>
        <item x="45"/>
        <item x="157"/>
        <item x="136"/>
        <item x="164"/>
        <item x="59"/>
        <item x="61"/>
        <item x="62"/>
        <item x="131"/>
        <item x="142"/>
        <item x="242"/>
        <item x="46"/>
        <item x="138"/>
        <item x="154"/>
        <item x="156"/>
        <item x="171"/>
        <item x="111"/>
        <item x="165"/>
        <item x="32"/>
        <item x="33"/>
        <item x="144"/>
        <item x="152"/>
        <item x="166"/>
        <item x="145"/>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2"/>
        <item x="0"/>
        <item x="1"/>
        <item x="4"/>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43">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1"/>
    </i>
    <i>
      <x v="220"/>
      <x v="2"/>
    </i>
    <i>
      <x v="221"/>
      <x v="1"/>
    </i>
    <i>
      <x v="222"/>
      <x v="2"/>
    </i>
    <i>
      <x v="223"/>
      <x v="1"/>
    </i>
    <i>
      <x v="224"/>
      <x v="1"/>
    </i>
    <i>
      <x v="225"/>
      <x v="1"/>
    </i>
    <i>
      <x v="226"/>
      <x v="1"/>
    </i>
    <i>
      <x v="227"/>
      <x v="1"/>
    </i>
    <i>
      <x v="228"/>
      <x v="1"/>
    </i>
    <i>
      <x v="229"/>
      <x v="1"/>
    </i>
    <i>
      <x v="230"/>
      <x v="1"/>
    </i>
    <i>
      <x v="231"/>
      <x v="1"/>
    </i>
    <i>
      <x v="232"/>
      <x v="2"/>
    </i>
    <i>
      <x v="233"/>
      <x v="2"/>
    </i>
    <i>
      <x v="234"/>
      <x v="1"/>
    </i>
    <i>
      <x v="235"/>
      <x v="1"/>
    </i>
    <i>
      <x v="236"/>
      <x v="2"/>
    </i>
    <i>
      <x v="237"/>
      <x v="2"/>
    </i>
    <i>
      <x v="238"/>
      <x v="1"/>
    </i>
    <i>
      <x v="239"/>
      <x v="1"/>
    </i>
    <i>
      <x v="240"/>
      <x v="1"/>
    </i>
    <i>
      <x v="241"/>
      <x/>
    </i>
    <i>
      <x v="242"/>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2.xml><?xml version="1.0" encoding="utf-8"?>
<pivotTableDefinition xmlns="http://schemas.openxmlformats.org/spreadsheetml/2006/main" name="PivotTable2" cacheId="40"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46" firstHeaderRow="0" firstDataRow="1" firstDataCol="4" rowPageCount="1" colPageCount="1"/>
  <pivotFields count="42">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43">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8"/>
      <x v="12"/>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21"/>
      <x v="7"/>
      <x v="8"/>
    </i>
    <i>
      <x v="211"/>
      <x v="133"/>
      <x v="10"/>
      <x v="15"/>
    </i>
    <i>
      <x v="212"/>
      <x v="135"/>
      <x v="5"/>
      <x v="13"/>
    </i>
    <i>
      <x v="213"/>
      <x v="148"/>
      <x v="3"/>
      <x v="3"/>
    </i>
    <i>
      <x v="214"/>
      <x v="96"/>
      <x v="5"/>
      <x v="9"/>
    </i>
    <i>
      <x v="215"/>
      <x v="143"/>
      <x v="5"/>
      <x v="16"/>
    </i>
    <i>
      <x v="216"/>
      <x v="30"/>
      <x v="6"/>
      <x v="6"/>
    </i>
    <i>
      <x v="217"/>
      <x v="31"/>
      <x v="6"/>
      <x v="6"/>
    </i>
    <i>
      <x v="218"/>
      <x v="209"/>
      <x v="7"/>
      <x v="8"/>
    </i>
    <i>
      <x v="219"/>
      <x v="211"/>
      <x/>
      <x/>
    </i>
    <i>
      <x v="220"/>
      <x v="210"/>
      <x v="1"/>
      <x v="1"/>
    </i>
    <i>
      <x v="221"/>
      <x v="212"/>
      <x v="7"/>
      <x v="8"/>
    </i>
    <i>
      <x v="222"/>
      <x v="213"/>
      <x v="5"/>
      <x v="17"/>
    </i>
    <i>
      <x v="223"/>
      <x v="214"/>
      <x v="5"/>
      <x v="13"/>
    </i>
    <i>
      <x v="224"/>
      <x v="215"/>
      <x v="10"/>
      <x v="15"/>
    </i>
    <i>
      <x v="225"/>
      <x v="219"/>
      <x v="10"/>
      <x v="15"/>
    </i>
    <i>
      <x v="226"/>
      <x v="216"/>
      <x v="7"/>
      <x v="8"/>
    </i>
    <i>
      <x v="227"/>
      <x v="217"/>
      <x v="5"/>
      <x v="13"/>
    </i>
    <i>
      <x v="228"/>
      <x v="218"/>
      <x v="2"/>
      <x v="2"/>
    </i>
    <i>
      <x v="229"/>
      <x v="220"/>
      <x v="7"/>
      <x v="8"/>
    </i>
    <i>
      <x v="230"/>
      <x v="221"/>
      <x v="6"/>
      <x v="6"/>
    </i>
    <i>
      <x v="231"/>
      <x v="222"/>
      <x v="2"/>
      <x v="2"/>
    </i>
    <i>
      <x v="232"/>
      <x v="223"/>
      <x v="5"/>
      <x v="11"/>
    </i>
    <i>
      <x v="233"/>
      <x v="224"/>
      <x v="5"/>
      <x v="11"/>
    </i>
    <i>
      <x v="234"/>
      <x v="232"/>
      <x v="3"/>
      <x v="3"/>
    </i>
    <i>
      <x v="235"/>
      <x v="231"/>
      <x v="5"/>
      <x v="17"/>
    </i>
    <i>
      <x v="236"/>
      <x v="233"/>
      <x v="5"/>
      <x v="10"/>
    </i>
    <i>
      <x v="237"/>
      <x v="234"/>
      <x v="5"/>
      <x v="10"/>
    </i>
    <i>
      <x v="238"/>
      <x v="235"/>
      <x v="5"/>
      <x v="10"/>
    </i>
    <i>
      <x v="239"/>
      <x v="236"/>
      <x v="5"/>
      <x v="19"/>
    </i>
    <i>
      <x v="240"/>
      <x v="237"/>
      <x v="5"/>
      <x v="19"/>
    </i>
    <i>
      <x v="241"/>
      <x v="238"/>
      <x v="8"/>
      <x v="12"/>
    </i>
    <i>
      <x v="242"/>
      <x v="239"/>
      <x v="6"/>
      <x v="6"/>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3.xml><?xml version="1.0" encoding="utf-8"?>
<pivotTableDefinition xmlns="http://schemas.openxmlformats.org/spreadsheetml/2006/main" name="PivotTable1" cacheId="40"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246" firstHeaderRow="1" firstDataRow="1" firstDataCol="3"/>
  <pivotFields count="42">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s>
      <extLst>
        <ext xmlns:x14="http://schemas.microsoft.com/office/spreadsheetml/2009/9/main" uri="{2946ED86-A175-432a-8AC1-64E0C546D7DE}">
          <x14:pivotField fillDownLabels="1"/>
        </ext>
      </extLst>
    </pivotField>
    <pivotField axis="axisRow" compact="0" outline="0" showAll="0" defaultSubtotal="0">
      <items count="243">
        <item x="220"/>
        <item x="183"/>
        <item x="223"/>
        <item x="222"/>
        <item x="224"/>
        <item x="207"/>
        <item x="208"/>
        <item x="98"/>
        <item x="212"/>
        <item x="27"/>
        <item x="28"/>
        <item x="26"/>
        <item x="63"/>
        <item x="74"/>
        <item x="73"/>
        <item x="96"/>
        <item x="147"/>
        <item x="54"/>
        <item x="55"/>
        <item x="122"/>
        <item x="123"/>
        <item x="237"/>
        <item x="221"/>
        <item x="167"/>
        <item x="194"/>
        <item x="196"/>
        <item x="87"/>
        <item x="35"/>
        <item x="91"/>
        <item x="195"/>
        <item x="90"/>
        <item x="193"/>
        <item x="174"/>
        <item x="176"/>
        <item x="133"/>
        <item x="231"/>
        <item x="225"/>
        <item x="230"/>
        <item x="93"/>
        <item x="92"/>
        <item x="209"/>
        <item x="22"/>
        <item x="48"/>
        <item x="235"/>
        <item x="69"/>
        <item x="34"/>
        <item x="198"/>
        <item x="57"/>
        <item x="78"/>
        <item x="3"/>
        <item x="146"/>
        <item x="50"/>
        <item x="238"/>
        <item x="168"/>
        <item x="217"/>
        <item x="134"/>
        <item x="135"/>
        <item x="109"/>
        <item x="182"/>
        <item x="219"/>
        <item x="148"/>
        <item x="97"/>
        <item x="101"/>
        <item x="89"/>
        <item x="191"/>
        <item x="113"/>
        <item x="210"/>
        <item x="211"/>
        <item x="80"/>
        <item x="81"/>
        <item x="79"/>
        <item x="184"/>
        <item x="206"/>
        <item x="65"/>
        <item x="229"/>
        <item x="112"/>
        <item x="64"/>
        <item x="172"/>
        <item x="214"/>
        <item x="170"/>
        <item x="179"/>
        <item x="180"/>
        <item x="127"/>
        <item x="126"/>
        <item x="21"/>
        <item x="129"/>
        <item x="125"/>
        <item x="128"/>
        <item x="9"/>
        <item x="115"/>
        <item x="114"/>
        <item x="119"/>
        <item x="116"/>
        <item x="121"/>
        <item x="117"/>
        <item x="118"/>
        <item x="120"/>
        <item x="227"/>
        <item x="189"/>
        <item x="169"/>
        <item x="202"/>
        <item x="239"/>
        <item x="124"/>
        <item x="85"/>
        <item x="199"/>
        <item x="20"/>
        <item x="218"/>
        <item x="240"/>
        <item x="17"/>
        <item x="16"/>
        <item x="36"/>
        <item x="234"/>
        <item x="67"/>
        <item x="108"/>
        <item x="88"/>
        <item x="187"/>
        <item x="56"/>
        <item x="49"/>
        <item x="29"/>
        <item x="186"/>
        <item x="70"/>
        <item x="18"/>
        <item x="181"/>
        <item x="105"/>
        <item x="103"/>
        <item x="107"/>
        <item x="82"/>
        <item x="149"/>
        <item x="161"/>
        <item x="72"/>
        <item x="71"/>
        <item x="37"/>
        <item x="68"/>
        <item x="175"/>
        <item x="23"/>
        <item x="192"/>
        <item x="185"/>
        <item x="41"/>
        <item x="77"/>
        <item x="2"/>
        <item x="13"/>
        <item x="8"/>
        <item x="0"/>
        <item x="15"/>
        <item x="6"/>
        <item x="25"/>
        <item x="236"/>
        <item x="4"/>
        <item x="143"/>
        <item x="130"/>
        <item x="1"/>
        <item x="30"/>
        <item x="76"/>
        <item x="197"/>
        <item x="200"/>
        <item x="233"/>
        <item x="232"/>
        <item x="31"/>
        <item x="14"/>
        <item x="39"/>
        <item x="5"/>
        <item x="38"/>
        <item x="162"/>
        <item x="190"/>
        <item x="7"/>
        <item x="75"/>
        <item x="42"/>
        <item x="43"/>
        <item x="102"/>
        <item x="44"/>
        <item x="58"/>
        <item x="241"/>
        <item x="66"/>
        <item x="139"/>
        <item x="159"/>
        <item x="216"/>
        <item x="51"/>
        <item x="160"/>
        <item x="188"/>
        <item x="228"/>
        <item x="99"/>
        <item x="100"/>
        <item x="12"/>
        <item x="10"/>
        <item x="11"/>
        <item x="52"/>
        <item x="94"/>
        <item x="213"/>
        <item x="173"/>
        <item x="86"/>
        <item x="215"/>
        <item x="151"/>
        <item x="155"/>
        <item x="153"/>
        <item x="150"/>
        <item x="137"/>
        <item x="140"/>
        <item x="158"/>
        <item x="110"/>
        <item x="45"/>
        <item x="157"/>
        <item x="136"/>
        <item x="164"/>
        <item x="59"/>
        <item x="61"/>
        <item x="62"/>
        <item x="131"/>
        <item x="142"/>
        <item x="242"/>
        <item x="46"/>
        <item x="138"/>
        <item x="154"/>
        <item x="156"/>
        <item x="171"/>
        <item x="111"/>
        <item x="165"/>
        <item x="32"/>
        <item x="33"/>
        <item x="95"/>
        <item x="226"/>
        <item x="205"/>
        <item x="19"/>
        <item x="53"/>
        <item x="144"/>
        <item x="152"/>
        <item x="166"/>
        <item x="106"/>
        <item x="145"/>
        <item x="47"/>
        <item x="104"/>
        <item x="141"/>
        <item x="60"/>
        <item x="40"/>
        <item x="132"/>
        <item x="163"/>
        <item x="83"/>
        <item x="203"/>
        <item x="204"/>
        <item x="84"/>
        <item x="177"/>
        <item x="201"/>
        <item x="24"/>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11"/>
    <field x="12"/>
    <field x="0"/>
  </rowFields>
  <rowItems count="243">
    <i>
      <x/>
      <x v="142"/>
      <x/>
    </i>
    <i>
      <x v="1"/>
      <x v="150"/>
      <x v="1"/>
    </i>
    <i>
      <x v="2"/>
      <x v="139"/>
      <x v="1"/>
    </i>
    <i>
      <x v="3"/>
      <x v="49"/>
      <x v="1"/>
    </i>
    <i>
      <x v="4"/>
      <x v="147"/>
      <x v="1"/>
    </i>
    <i>
      <x v="5"/>
      <x v="160"/>
      <x v="1"/>
    </i>
    <i>
      <x v="6"/>
      <x v="144"/>
      <x/>
    </i>
    <i>
      <x v="7"/>
      <x v="164"/>
      <x v="1"/>
    </i>
    <i>
      <x v="8"/>
      <x v="141"/>
      <x/>
    </i>
    <i>
      <x v="9"/>
      <x v="88"/>
      <x/>
    </i>
    <i>
      <x v="10"/>
      <x v="183"/>
      <x/>
    </i>
    <i>
      <x v="11"/>
      <x v="184"/>
      <x/>
    </i>
    <i>
      <x v="12"/>
      <x v="182"/>
      <x/>
    </i>
    <i>
      <x v="13"/>
      <x v="140"/>
      <x v="1"/>
    </i>
    <i>
      <x v="14"/>
      <x v="158"/>
      <x/>
    </i>
    <i>
      <x v="15"/>
      <x v="143"/>
      <x/>
    </i>
    <i>
      <x v="16"/>
      <x v="109"/>
      <x/>
    </i>
    <i>
      <x v="17"/>
      <x v="108"/>
      <x v="1"/>
    </i>
    <i>
      <x v="18"/>
      <x v="121"/>
      <x v="1"/>
    </i>
    <i>
      <x v="19"/>
      <x v="221"/>
      <x v="1"/>
    </i>
    <i>
      <x v="20"/>
      <x v="105"/>
      <x v="1"/>
    </i>
    <i>
      <x v="21"/>
      <x v="84"/>
      <x/>
    </i>
    <i>
      <x v="22"/>
      <x v="41"/>
      <x v="1"/>
    </i>
    <i>
      <x v="23"/>
      <x v="134"/>
      <x/>
    </i>
    <i>
      <x v="24"/>
      <x v="241"/>
      <x v="1"/>
    </i>
    <i>
      <x v="25"/>
      <x v="145"/>
      <x v="1"/>
    </i>
    <i>
      <x v="26"/>
      <x v="11"/>
      <x v="1"/>
    </i>
    <i>
      <x v="27"/>
      <x v="9"/>
      <x v="1"/>
    </i>
    <i>
      <x v="28"/>
      <x v="10"/>
      <x v="1"/>
    </i>
    <i>
      <x v="29"/>
      <x v="118"/>
      <x v="1"/>
    </i>
    <i>
      <x v="30"/>
      <x v="151"/>
      <x/>
    </i>
    <i>
      <x v="31"/>
      <x v="157"/>
      <x/>
    </i>
    <i>
      <x v="32"/>
      <x v="216"/>
      <x/>
    </i>
    <i>
      <x v="33"/>
      <x v="217"/>
      <x/>
    </i>
    <i>
      <x v="34"/>
      <x v="45"/>
      <x/>
    </i>
    <i>
      <x v="35"/>
      <x v="27"/>
      <x v="1"/>
    </i>
    <i>
      <x v="36"/>
      <x v="110"/>
      <x v="1"/>
    </i>
    <i>
      <x v="37"/>
      <x v="131"/>
      <x v="1"/>
    </i>
    <i>
      <x v="38"/>
      <x v="161"/>
      <x v="1"/>
    </i>
    <i>
      <x v="39"/>
      <x v="159"/>
      <x/>
    </i>
    <i>
      <x v="40"/>
      <x v="232"/>
      <x v="1"/>
    </i>
    <i>
      <x v="41"/>
      <x v="137"/>
      <x v="1"/>
    </i>
    <i r="1">
      <x v="166"/>
      <x v="1"/>
    </i>
    <i r="1">
      <x v="167"/>
      <x v="1"/>
    </i>
    <i r="1">
      <x v="169"/>
      <x v="1"/>
    </i>
    <i>
      <x v="42"/>
      <x v="199"/>
      <x v="1"/>
    </i>
    <i>
      <x v="43"/>
      <x v="209"/>
      <x v="1"/>
    </i>
    <i>
      <x v="44"/>
      <x v="228"/>
      <x v="1"/>
    </i>
    <i>
      <x v="45"/>
      <x v="42"/>
      <x v="1"/>
    </i>
    <i>
      <x v="46"/>
      <x v="117"/>
      <x v="1"/>
    </i>
    <i>
      <x v="47"/>
      <x v="51"/>
      <x v="1"/>
    </i>
    <i>
      <x v="48"/>
      <x v="176"/>
      <x v="1"/>
    </i>
    <i>
      <x v="49"/>
      <x v="185"/>
      <x/>
    </i>
    <i>
      <x v="50"/>
      <x v="222"/>
      <x v="1"/>
    </i>
    <i>
      <x v="51"/>
      <x v="17"/>
      <x v="1"/>
    </i>
    <i>
      <x v="52"/>
      <x v="18"/>
      <x v="1"/>
    </i>
    <i>
      <x v="53"/>
      <x v="116"/>
      <x v="1"/>
    </i>
    <i>
      <x v="54"/>
      <x v="47"/>
      <x/>
    </i>
    <i>
      <x v="55"/>
      <x v="170"/>
      <x v="1"/>
    </i>
    <i>
      <x v="56"/>
      <x v="203"/>
      <x v="1"/>
    </i>
    <i>
      <x v="57"/>
      <x v="231"/>
      <x v="1"/>
    </i>
    <i>
      <x v="58"/>
      <x v="204"/>
      <x v="1"/>
    </i>
    <i>
      <x v="59"/>
      <x v="205"/>
      <x v="1"/>
    </i>
    <i>
      <x v="60"/>
      <x v="12"/>
      <x v="1"/>
    </i>
    <i>
      <x v="61"/>
      <x v="76"/>
      <x v="1"/>
    </i>
    <i>
      <x v="62"/>
      <x v="73"/>
      <x v="1"/>
    </i>
    <i>
      <x v="63"/>
      <x v="172"/>
      <x/>
    </i>
    <i>
      <x v="64"/>
      <x v="112"/>
      <x/>
    </i>
    <i>
      <x v="65"/>
      <x v="132"/>
      <x v="1"/>
    </i>
    <i>
      <x v="66"/>
      <x v="44"/>
      <x v="1"/>
    </i>
    <i>
      <x v="67"/>
      <x v="120"/>
      <x v="1"/>
    </i>
    <i>
      <x v="68"/>
      <x v="130"/>
      <x v="1"/>
    </i>
    <i>
      <x v="69"/>
      <x v="129"/>
      <x/>
    </i>
    <i>
      <x v="70"/>
      <x v="14"/>
      <x v="1"/>
    </i>
    <i>
      <x v="71"/>
      <x v="13"/>
      <x v="1"/>
    </i>
    <i>
      <x v="72"/>
      <x v="165"/>
      <x v="1"/>
    </i>
    <i>
      <x v="73"/>
      <x v="152"/>
      <x v="1"/>
    </i>
    <i>
      <x v="74"/>
      <x v="138"/>
      <x v="1"/>
    </i>
    <i>
      <x v="75"/>
      <x v="48"/>
      <x v="1"/>
    </i>
    <i>
      <x v="76"/>
      <x v="70"/>
      <x v="1"/>
    </i>
    <i>
      <x v="77"/>
      <x v="68"/>
      <x v="1"/>
    </i>
    <i>
      <x v="78"/>
      <x v="69"/>
      <x v="1"/>
    </i>
    <i>
      <x v="79"/>
      <x v="126"/>
      <x/>
    </i>
    <i>
      <x v="80"/>
      <x v="235"/>
      <x v="1"/>
    </i>
    <i>
      <x v="81"/>
      <x v="238"/>
      <x v="1"/>
    </i>
    <i>
      <x v="82"/>
      <x v="103"/>
      <x/>
    </i>
    <i>
      <x v="83"/>
      <x v="189"/>
      <x/>
    </i>
    <i>
      <x v="84"/>
      <x v="26"/>
      <x v="1"/>
    </i>
    <i>
      <x v="85"/>
      <x v="114"/>
      <x v="1"/>
    </i>
    <i>
      <x v="86"/>
      <x v="63"/>
      <x v="1"/>
    </i>
    <i>
      <x v="87"/>
      <x v="30"/>
      <x v="1"/>
    </i>
    <i>
      <x v="88"/>
      <x v="28"/>
      <x v="1"/>
    </i>
    <i>
      <x v="89"/>
      <x v="39"/>
      <x v="1"/>
    </i>
    <i>
      <x v="90"/>
      <x v="38"/>
      <x v="1"/>
    </i>
    <i>
      <x v="91"/>
      <x v="186"/>
      <x v="1"/>
    </i>
    <i>
      <x v="92"/>
      <x v="218"/>
      <x v="1"/>
    </i>
    <i>
      <x v="93"/>
      <x v="15"/>
      <x v="1"/>
    </i>
    <i>
      <x v="94"/>
      <x v="61"/>
      <x v="1"/>
    </i>
    <i>
      <x v="95"/>
      <x v="7"/>
      <x v="1"/>
    </i>
    <i>
      <x v="96"/>
      <x v="180"/>
      <x/>
    </i>
    <i>
      <x v="97"/>
      <x v="181"/>
      <x/>
    </i>
    <i>
      <x v="98"/>
      <x v="62"/>
      <x v="1"/>
    </i>
    <i>
      <x v="99"/>
      <x v="168"/>
      <x v="1"/>
    </i>
    <i>
      <x v="100"/>
      <x v="124"/>
      <x v="1"/>
    </i>
    <i>
      <x v="101"/>
      <x v="229"/>
      <x v="1"/>
    </i>
    <i>
      <x v="102"/>
      <x v="123"/>
      <x v="1"/>
    </i>
    <i>
      <x v="103"/>
      <x v="226"/>
      <x v="1"/>
    </i>
    <i>
      <x v="104"/>
      <x v="125"/>
      <x v="1"/>
    </i>
    <i>
      <x v="105"/>
      <x v="113"/>
      <x/>
    </i>
    <i>
      <x v="106"/>
      <x v="57"/>
      <x/>
    </i>
    <i>
      <x v="107"/>
      <x v="198"/>
      <x v="1"/>
    </i>
    <i>
      <x v="108"/>
      <x v="214"/>
      <x v="1"/>
    </i>
    <i>
      <x v="109"/>
      <x v="75"/>
      <x v="1"/>
    </i>
    <i>
      <x v="110"/>
      <x v="65"/>
      <x v="1"/>
    </i>
    <i>
      <x v="111"/>
      <x v="90"/>
      <x/>
    </i>
    <i>
      <x v="112"/>
      <x v="89"/>
      <x/>
    </i>
    <i>
      <x v="113"/>
      <x v="92"/>
      <x/>
    </i>
    <i>
      <x v="114"/>
      <x v="94"/>
      <x/>
    </i>
    <i>
      <x v="115"/>
      <x v="95"/>
      <x/>
    </i>
    <i>
      <x v="116"/>
      <x v="91"/>
      <x/>
    </i>
    <i>
      <x v="117"/>
      <x v="96"/>
      <x/>
    </i>
    <i>
      <x v="118"/>
      <x v="93"/>
      <x/>
    </i>
    <i>
      <x v="119"/>
      <x v="19"/>
      <x v="1"/>
    </i>
    <i>
      <x v="120"/>
      <x v="20"/>
      <x v="1"/>
    </i>
    <i>
      <x v="121"/>
      <x v="102"/>
      <x/>
    </i>
    <i>
      <x v="122"/>
      <x v="86"/>
      <x/>
    </i>
    <i>
      <x v="123"/>
      <x v="83"/>
      <x/>
    </i>
    <i>
      <x v="124"/>
      <x v="82"/>
      <x/>
    </i>
    <i>
      <x v="125"/>
      <x v="87"/>
      <x v="1"/>
    </i>
    <i>
      <x v="126"/>
      <x v="85"/>
      <x/>
    </i>
    <i>
      <x v="127"/>
      <x v="149"/>
      <x/>
    </i>
    <i>
      <x v="128"/>
      <x v="206"/>
      <x v="1"/>
    </i>
    <i>
      <x v="129"/>
      <x v="233"/>
      <x v="1"/>
    </i>
    <i>
      <x v="130"/>
      <x v="34"/>
      <x/>
    </i>
    <i>
      <x v="131"/>
      <x v="55"/>
      <x v="1"/>
    </i>
    <i>
      <x v="132"/>
      <x v="56"/>
      <x/>
    </i>
    <i>
      <x v="133"/>
      <x v="201"/>
      <x v="1"/>
    </i>
    <i>
      <x v="134"/>
      <x v="195"/>
      <x v="1"/>
    </i>
    <i>
      <x v="135"/>
      <x v="210"/>
      <x/>
    </i>
    <i>
      <x v="136"/>
      <x v="173"/>
      <x/>
    </i>
    <i>
      <x v="137"/>
      <x v="196"/>
      <x v="1"/>
    </i>
    <i>
      <x v="138"/>
      <x v="230"/>
      <x v="1"/>
    </i>
    <i>
      <x v="139"/>
      <x v="207"/>
      <x/>
    </i>
    <i>
      <x v="140"/>
      <x v="148"/>
      <x/>
    </i>
    <i>
      <x v="141"/>
      <x v="223"/>
      <x v="1"/>
    </i>
    <i>
      <x v="142"/>
      <x v="227"/>
      <x v="1"/>
    </i>
    <i>
      <x v="143"/>
      <x v="50"/>
      <x v="1"/>
    </i>
    <i>
      <x v="144"/>
      <x v="16"/>
      <x/>
    </i>
    <i>
      <x v="145"/>
      <x v="60"/>
      <x v="1"/>
    </i>
    <i>
      <x v="146"/>
      <x v="127"/>
      <x/>
    </i>
    <i>
      <x v="147"/>
      <x v="194"/>
      <x v="1"/>
    </i>
    <i>
      <x v="148"/>
      <x v="191"/>
      <x v="1"/>
    </i>
    <i>
      <x v="149"/>
      <x v="224"/>
      <x v="1"/>
    </i>
    <i>
      <x v="150"/>
      <x v="193"/>
      <x v="1"/>
    </i>
    <i>
      <x v="151"/>
      <x v="211"/>
      <x/>
    </i>
    <i>
      <x v="152"/>
      <x v="192"/>
      <x/>
    </i>
    <i>
      <x v="153"/>
      <x v="212"/>
      <x v="1"/>
    </i>
    <i>
      <x v="154"/>
      <x v="200"/>
      <x v="1"/>
    </i>
    <i>
      <x v="155"/>
      <x v="197"/>
      <x v="1"/>
    </i>
    <i>
      <x v="156"/>
      <x v="174"/>
      <x/>
    </i>
    <i>
      <x v="157"/>
      <x v="177"/>
      <x/>
    </i>
    <i>
      <x v="158"/>
      <x v="128"/>
      <x/>
    </i>
    <i>
      <x v="159"/>
      <x v="162"/>
      <x v="1"/>
    </i>
    <i>
      <x v="160"/>
      <x v="234"/>
      <x v="1"/>
    </i>
    <i>
      <x v="161"/>
      <x v="202"/>
      <x v="1"/>
    </i>
    <i>
      <x v="162"/>
      <x v="215"/>
      <x v="1"/>
    </i>
    <i>
      <x v="163"/>
      <x v="225"/>
      <x v="1"/>
    </i>
    <i>
      <x v="164"/>
      <x v="23"/>
      <x v="1"/>
    </i>
    <i>
      <x v="165"/>
      <x v="53"/>
      <x v="1"/>
    </i>
    <i>
      <x v="166"/>
      <x v="99"/>
      <x v="1"/>
    </i>
    <i>
      <x v="167"/>
      <x v="79"/>
      <x/>
    </i>
    <i>
      <x v="168"/>
      <x v="213"/>
      <x v="1"/>
    </i>
    <i>
      <x v="169"/>
      <x v="77"/>
      <x v="1"/>
    </i>
    <i>
      <x v="170"/>
      <x v="188"/>
      <x/>
    </i>
    <i>
      <x v="171"/>
      <x v="32"/>
      <x v="1"/>
    </i>
    <i>
      <x v="172"/>
      <x v="133"/>
      <x v="1"/>
    </i>
    <i>
      <x v="173"/>
      <x v="33"/>
      <x/>
    </i>
    <i>
      <x v="174"/>
      <x v="239"/>
      <x v="1"/>
    </i>
    <i>
      <x v="175"/>
      <x v="242"/>
      <x v="1"/>
    </i>
    <i>
      <x v="176"/>
      <x v="80"/>
      <x/>
    </i>
    <i>
      <x v="177"/>
      <x v="81"/>
      <x/>
    </i>
    <i>
      <x v="178"/>
      <x v="122"/>
      <x v="1"/>
    </i>
    <i>
      <x v="179"/>
      <x v="58"/>
      <x v="1"/>
    </i>
    <i>
      <x v="180"/>
      <x v="1"/>
      <x v="1"/>
    </i>
    <i>
      <x v="181"/>
      <x v="71"/>
      <x v="1"/>
    </i>
    <i>
      <x v="182"/>
      <x v="136"/>
      <x v="1"/>
    </i>
    <i>
      <x v="183"/>
      <x v="119"/>
      <x v="1"/>
    </i>
    <i>
      <x v="184"/>
      <x v="115"/>
      <x v="1"/>
    </i>
    <i>
      <x v="185"/>
      <x v="178"/>
      <x v="1"/>
    </i>
    <i>
      <x v="186"/>
      <x v="98"/>
      <x/>
    </i>
    <i>
      <x v="187"/>
      <x v="163"/>
      <x v="1"/>
    </i>
    <i>
      <x v="188"/>
      <x v="64"/>
      <x v="1"/>
    </i>
    <i>
      <x v="189"/>
      <x v="135"/>
      <x v="1"/>
    </i>
    <i>
      <x v="190"/>
      <x v="31"/>
      <x v="1"/>
    </i>
    <i>
      <x v="191"/>
      <x v="24"/>
      <x v="1"/>
    </i>
    <i>
      <x v="192"/>
      <x v="29"/>
      <x v="1"/>
    </i>
    <i>
      <x v="193"/>
      <x v="25"/>
      <x v="1"/>
    </i>
    <i>
      <x v="194"/>
      <x v="153"/>
      <x v="1"/>
    </i>
    <i>
      <x v="195"/>
      <x v="46"/>
      <x v="1"/>
    </i>
    <i>
      <x v="196"/>
      <x v="104"/>
      <x/>
    </i>
    <i>
      <x v="197"/>
      <x v="154"/>
      <x v="1"/>
    </i>
    <i>
      <x v="198"/>
      <x v="240"/>
      <x v="1"/>
    </i>
    <i>
      <x v="199"/>
      <x v="100"/>
      <x/>
    </i>
    <i>
      <x v="200"/>
      <x v="236"/>
      <x v="1"/>
    </i>
    <i>
      <x v="201"/>
      <x v="237"/>
      <x v="1"/>
    </i>
    <i>
      <x v="202"/>
      <x v="220"/>
      <x v="1"/>
    </i>
    <i>
      <x v="203"/>
      <x v="72"/>
      <x v="1"/>
    </i>
    <i>
      <x v="204"/>
      <x v="5"/>
      <x v="1"/>
    </i>
    <i>
      <x v="205"/>
      <x v="6"/>
      <x v="1"/>
    </i>
    <i>
      <x v="206"/>
      <x v="40"/>
      <x v="1"/>
    </i>
    <i>
      <x v="207"/>
      <x v="66"/>
      <x v="1"/>
    </i>
    <i>
      <x v="208"/>
      <x v="67"/>
      <x v="1"/>
    </i>
    <i>
      <x v="209"/>
      <x v="8"/>
      <x v="1"/>
    </i>
    <i>
      <x v="210"/>
      <x v="187"/>
      <x/>
    </i>
    <i>
      <x v="211"/>
      <x v="78"/>
      <x v="1"/>
    </i>
    <i>
      <x v="212"/>
      <x v="190"/>
      <x/>
    </i>
    <i>
      <x v="213"/>
      <x v="175"/>
      <x v="1"/>
    </i>
    <i>
      <x v="214"/>
      <x v="54"/>
      <x v="1"/>
    </i>
    <i>
      <x v="215"/>
      <x v="106"/>
      <x/>
    </i>
    <i>
      <x v="216"/>
      <x v="59"/>
      <x v="1"/>
    </i>
    <i>
      <x v="217"/>
      <x/>
      <x v="1"/>
    </i>
    <i>
      <x v="218"/>
      <x v="22"/>
      <x v="1"/>
    </i>
    <i>
      <x v="219"/>
      <x v="3"/>
      <x v="1"/>
    </i>
    <i>
      <x v="220"/>
      <x v="2"/>
      <x v="1"/>
    </i>
    <i>
      <x v="221"/>
      <x v="4"/>
      <x v="1"/>
    </i>
    <i>
      <x v="222"/>
      <x v="36"/>
      <x v="1"/>
    </i>
    <i>
      <x v="223"/>
      <x v="219"/>
      <x/>
    </i>
    <i>
      <x v="224"/>
      <x v="97"/>
      <x/>
    </i>
    <i>
      <x v="225"/>
      <x v="179"/>
      <x/>
    </i>
    <i>
      <x v="226"/>
      <x v="74"/>
      <x v="1"/>
    </i>
    <i>
      <x v="227"/>
      <x v="37"/>
      <x v="1"/>
    </i>
    <i>
      <x v="228"/>
      <x v="35"/>
      <x v="1"/>
    </i>
    <i>
      <x v="229"/>
      <x v="156"/>
      <x/>
    </i>
    <i>
      <x v="230"/>
      <x v="155"/>
      <x v="1"/>
    </i>
    <i>
      <x v="231"/>
      <x v="111"/>
      <x v="1"/>
    </i>
    <i>
      <x v="232"/>
      <x v="43"/>
      <x/>
    </i>
    <i>
      <x v="233"/>
      <x v="146"/>
      <x/>
    </i>
    <i>
      <x v="234"/>
      <x v="21"/>
      <x v="1"/>
    </i>
    <i>
      <x v="235"/>
      <x v="52"/>
      <x v="1"/>
    </i>
    <i>
      <x v="236"/>
      <x v="101"/>
      <x v="1"/>
    </i>
    <i>
      <x v="237"/>
      <x v="107"/>
      <x v="1"/>
    </i>
    <i>
      <x v="238"/>
      <x v="171"/>
      <x/>
    </i>
    <i>
      <x v="239"/>
      <x v="208"/>
      <x v="1"/>
    </i>
  </rowItems>
  <colItems count="1">
    <i/>
  </colItems>
  <dataFields count="1">
    <dataField name="Sum of HH" fld="16"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4.xml><?xml version="1.0" encoding="utf-8"?>
<pivotTableDefinition xmlns="http://schemas.openxmlformats.org/spreadsheetml/2006/main" name="TCL" cacheId="40"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46" firstHeaderRow="1" firstDataRow="1" firstDataCol="2" rowPageCount="1" colPageCount="1"/>
  <pivotFields count="42">
    <pivotField axis="axisPage" compact="0" outline="0" multipleItemSelectionAllowed="1"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1"/>
        <item x="4"/>
        <item x="0"/>
        <item x="18"/>
        <item x="14"/>
        <item x="13"/>
        <item x="7"/>
        <item x="15"/>
        <item x="2"/>
        <item x="16"/>
        <item x="12"/>
        <item x="8"/>
        <item x="5"/>
        <item x="10"/>
        <item x="6"/>
        <item x="17"/>
        <item x="19"/>
        <item x="11"/>
        <item x="9"/>
        <item x="2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0">
        <item x="0"/>
        <item x="1"/>
        <item x="2"/>
        <item x="3"/>
        <item x="4"/>
        <item x="5"/>
        <item x="6"/>
        <item x="7"/>
        <item x="8"/>
        <item x="9"/>
        <item x="10"/>
        <item x="11"/>
        <item x="12"/>
        <item x="13"/>
        <item x="14"/>
        <item x="15"/>
        <item x="16"/>
        <item x="17"/>
        <item x="18"/>
        <item x="20"/>
        <item x="21"/>
        <item x="22"/>
        <item x="23"/>
        <item x="25"/>
        <item x="26"/>
        <item x="27"/>
        <item x="28"/>
        <item x="29"/>
        <item x="30"/>
        <item x="31"/>
        <item x="32"/>
        <item x="33"/>
        <item x="34"/>
        <item x="35"/>
        <item x="36"/>
        <item x="37"/>
        <item x="38"/>
        <item x="39"/>
        <item x="41"/>
        <item x="42"/>
        <item x="43"/>
        <item x="45"/>
        <item x="46"/>
        <item x="47"/>
        <item x="48"/>
        <item x="49"/>
        <item x="51"/>
        <item x="52"/>
        <item x="53"/>
        <item x="54"/>
        <item x="55"/>
        <item x="56"/>
        <item x="58"/>
        <item x="59"/>
        <item x="60"/>
        <item x="61"/>
        <item x="62"/>
        <item x="63"/>
        <item x="65"/>
        <item x="66"/>
        <item x="67"/>
        <item x="68"/>
        <item x="69"/>
        <item x="70"/>
        <item x="71"/>
        <item x="72"/>
        <item x="73"/>
        <item x="74"/>
        <item x="75"/>
        <item x="76"/>
        <item x="77"/>
        <item x="78"/>
        <item x="79"/>
        <item x="82"/>
        <item x="83"/>
        <item x="84"/>
        <item x="85"/>
        <item x="86"/>
        <item x="87"/>
        <item x="88"/>
        <item x="89"/>
        <item x="90"/>
        <item x="91"/>
        <item x="93"/>
        <item x="94"/>
        <item x="95"/>
        <item x="96"/>
        <item x="97"/>
        <item x="98"/>
        <item x="99"/>
        <item x="100"/>
        <item x="102"/>
        <item x="104"/>
        <item x="105"/>
        <item x="106"/>
        <item x="107"/>
        <item x="108"/>
        <item x="109"/>
        <item x="110"/>
        <item x="111"/>
        <item x="112"/>
        <item x="113"/>
        <item x="114"/>
        <item x="115"/>
        <item x="116"/>
        <item x="117"/>
        <item x="118"/>
        <item x="119"/>
        <item x="120"/>
        <item x="121"/>
        <item x="122"/>
        <item x="123"/>
        <item x="124"/>
        <item x="125"/>
        <item x="126"/>
        <item x="127"/>
        <item x="128"/>
        <item x="131"/>
        <item x="132"/>
        <item x="133"/>
        <item x="134"/>
        <item x="135"/>
        <item x="136"/>
        <item x="137"/>
        <item x="139"/>
        <item x="140"/>
        <item x="143"/>
        <item x="144"/>
        <item x="145"/>
        <item x="146"/>
        <item x="147"/>
        <item x="148"/>
        <item x="150"/>
        <item x="151"/>
        <item x="152"/>
        <item x="153"/>
        <item x="154"/>
        <item x="155"/>
        <item x="156"/>
        <item x="157"/>
        <item x="158"/>
        <item x="159"/>
        <item x="161"/>
        <item x="162"/>
        <item x="164"/>
        <item x="165"/>
        <item x="166"/>
        <item x="167"/>
        <item x="168"/>
        <item x="169"/>
        <item x="170"/>
        <item x="171"/>
        <item x="172"/>
        <item x="176"/>
        <item x="177"/>
        <item x="178"/>
        <item x="179"/>
        <item x="180"/>
        <item x="181"/>
        <item x="182"/>
        <item x="183"/>
        <item x="185"/>
        <item x="186"/>
        <item x="187"/>
        <item x="188"/>
        <item x="189"/>
        <item x="190"/>
        <item x="191"/>
        <item x="192"/>
        <item x="193"/>
        <item x="194"/>
        <item x="195"/>
        <item x="196"/>
        <item x="197"/>
        <item x="199"/>
        <item x="203"/>
        <item x="204"/>
        <item x="205"/>
        <item x="206"/>
        <item x="207"/>
        <item x="208"/>
        <item x="209"/>
        <item x="210"/>
        <item x="211"/>
        <item x="212"/>
        <item x="213"/>
        <item x="214"/>
        <item x="215"/>
        <item x="216"/>
        <item x="217"/>
        <item x="219"/>
        <item x="220"/>
        <item x="221"/>
        <item x="222"/>
        <item x="224"/>
        <item x="225"/>
        <item x="226"/>
        <item x="227"/>
        <item x="228"/>
        <item x="229"/>
        <item x="230"/>
        <item x="231"/>
        <item x="232"/>
        <item x="233"/>
        <item x="234"/>
        <item x="235"/>
        <item x="236"/>
        <item x="238"/>
        <item x="239"/>
        <item x="92"/>
        <item x="202"/>
        <item x="223"/>
        <item x="19"/>
        <item x="50"/>
        <item x="141"/>
        <item x="149"/>
        <item x="103"/>
        <item x="142"/>
        <item x="44"/>
        <item x="163"/>
        <item x="101"/>
        <item x="138"/>
        <item x="57"/>
        <item x="40"/>
        <item x="129"/>
        <item x="130"/>
        <item x="173"/>
        <item x="64"/>
        <item x="184"/>
        <item x="218"/>
        <item x="237"/>
        <item x="80"/>
        <item x="160"/>
        <item x="200"/>
        <item x="201"/>
        <item x="81"/>
        <item x="174"/>
        <item x="198"/>
        <item x="24"/>
        <item x="17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43">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x v="3"/>
      <x v="148"/>
    </i>
    <i r="1">
      <x v="232"/>
    </i>
    <i>
      <x v="4"/>
      <x v="62"/>
    </i>
    <i>
      <x v="5"/>
      <x v="56"/>
    </i>
    <i>
      <x v="6"/>
      <x v="30"/>
    </i>
    <i r="1">
      <x v="31"/>
    </i>
    <i r="1">
      <x v="51"/>
    </i>
    <i r="1">
      <x v="52"/>
    </i>
    <i r="1">
      <x v="53"/>
    </i>
    <i r="1">
      <x v="116"/>
    </i>
    <i r="1">
      <x v="123"/>
    </i>
    <i r="1">
      <x v="124"/>
    </i>
    <i r="1">
      <x v="137"/>
    </i>
    <i r="1">
      <x v="208"/>
    </i>
    <i r="1">
      <x v="221"/>
    </i>
    <i r="1">
      <x v="239"/>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x v="10"/>
      <x v="55"/>
    </i>
    <i r="1">
      <x v="97"/>
    </i>
    <i r="1">
      <x v="149"/>
    </i>
    <i r="1">
      <x v="233"/>
    </i>
    <i r="1">
      <x v="234"/>
    </i>
    <i r="1">
      <x v="235"/>
    </i>
    <i>
      <x v="11"/>
      <x v="147"/>
    </i>
    <i r="1">
      <x v="152"/>
    </i>
    <i r="1">
      <x v="183"/>
    </i>
    <i r="1">
      <x v="223"/>
    </i>
    <i r="1">
      <x v="224"/>
    </i>
    <i>
      <x v="12"/>
      <x v="27"/>
    </i>
    <i r="1">
      <x v="38"/>
    </i>
    <i r="1">
      <x v="42"/>
    </i>
    <i r="1">
      <x v="48"/>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x v="16"/>
      <x v="142"/>
    </i>
    <i r="1">
      <x v="143"/>
    </i>
    <i>
      <x v="17"/>
      <x v="150"/>
    </i>
    <i r="1">
      <x v="196"/>
    </i>
    <i r="1">
      <x v="213"/>
    </i>
    <i r="1">
      <x v="231"/>
    </i>
    <i>
      <x v="18"/>
      <x v="38"/>
    </i>
    <i r="1">
      <x v="61"/>
    </i>
    <i r="1">
      <x v="179"/>
    </i>
    <i r="1">
      <x v="180"/>
    </i>
    <i>
      <x v="19"/>
      <x v="185"/>
    </i>
    <i r="1">
      <x v="236"/>
    </i>
    <i r="1">
      <x v="237"/>
    </i>
    <i>
      <x v="20"/>
      <x v="16"/>
    </i>
    <i r="1">
      <x v="17"/>
    </i>
    <i r="1">
      <x v="33"/>
    </i>
    <i r="1">
      <x v="34"/>
    </i>
    <i r="1">
      <x v="44"/>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CampList" displayName="CampList" ref="A4:AK247" tableType="xml" totalsRowShown="0" headerRowDxfId="997" dataDxfId="995" headerRowBorderDxfId="996" tableBorderDxfId="994" totalsRowBorderDxfId="993" headerRowCellStyle="Normal_Sheet11">
  <autoFilter ref="A4:AK247">
    <filterColumn colId="0">
      <filters>
        <filter val="Open"/>
      </filters>
    </filterColumn>
  </autoFilter>
  <sortState ref="A5:AK249">
    <sortCondition ref="L4:L249"/>
  </sortState>
  <tableColumns count="37">
    <tableColumn id="24" uniqueName="Status" name="Status" dataDxfId="992" dataCellStyle="Normal_Sheet3_1">
      <xmlColumnPr mapId="11" xpath="/dataroot/Camp_x005f_x0020_List/Status" xmlDataType="string"/>
    </tableColumn>
    <tableColumn id="2" uniqueName="State" name="State" dataDxfId="991">
      <xmlColumnPr mapId="11" xpath="/dataroot/Camp_x005f_x0020_List/State" xmlDataType="string"/>
    </tableColumn>
    <tableColumn id="12" uniqueName="S_Pcode" name="S_Pcode" dataDxfId="990">
      <xmlColumnPr mapId="11" xpath="/dataroot/Camp_x005f_x0020_List/S_Pcode" xmlDataType="string"/>
    </tableColumn>
    <tableColumn id="23" uniqueName="District" name="District" dataDxfId="989">
      <xmlColumnPr mapId="11" xpath="/dataroot/Camp_x005f_x0020_List/District" xmlDataType="string"/>
    </tableColumn>
    <tableColumn id="19" uniqueName="D_Pcode" name="D_Pcode" dataDxfId="988">
      <xmlColumnPr mapId="11" xpath="/dataroot/Camp_x005f_x0020_List/D_Pcode" xmlDataType="string"/>
    </tableColumn>
    <tableColumn id="3" uniqueName="Township" name="Township" dataDxfId="987">
      <xmlColumnPr mapId="11" xpath="/dataroot/Camp_x005f_x0020_List/Township" xmlDataType="string"/>
    </tableColumn>
    <tableColumn id="13" uniqueName="T_Pcode" name="T_Pcode" dataDxfId="986">
      <xmlColumnPr mapId="11" xpath="/dataroot/Camp_x005f_x0020_List/T_Pcode" xmlDataType="string"/>
    </tableColumn>
    <tableColumn id="14" uniqueName="VillageTracKTown" name="VillageTracKTown" dataDxfId="985">
      <xmlColumnPr mapId="11" xpath="/dataroot/Camp_x005f_x0020_List/VillageTracKTown" xmlDataType="string"/>
    </tableColumn>
    <tableColumn id="15" uniqueName="VTT_Pcode" name="VTT_Pcode" dataDxfId="984">
      <xmlColumnPr mapId="11" xpath="/dataroot/Camp_x005f_x0020_List/VTT_Pcode" xmlDataType="string"/>
    </tableColumn>
    <tableColumn id="16" uniqueName="VillageWard_Name" name="VillageWard_Name" dataDxfId="983">
      <xmlColumnPr mapId="11" xpath="/dataroot/Camp_x005f_x0020_List/VillageWard_Name" xmlDataType="string"/>
    </tableColumn>
    <tableColumn id="17" uniqueName="VW_Pcode" name="VW_Pcode" dataDxfId="982">
      <xmlColumnPr mapId="11" xpath="/dataroot/Camp_x005f_x0020_List/VW_Pcode" xmlDataType="string"/>
    </tableColumn>
    <tableColumn id="4" uniqueName="Camp" name="Camp" dataDxfId="981">
      <xmlColumnPr mapId="11" xpath="/dataroot/Camp_x005f_x0020_List/Camp" xmlDataType="string"/>
    </tableColumn>
    <tableColumn id="5" uniqueName="CP_Pcode" name="CP_Pcode" dataDxfId="980">
      <xmlColumnPr mapId="11" xpath="/dataroot/Camp_x005f_x0020_List/CP_Pcode" xmlDataType="string"/>
    </tableColumn>
    <tableColumn id="6" uniqueName="Longitude" name="Longitude" dataDxfId="979">
      <xmlColumnPr mapId="11" xpath="/dataroot/Camp_x005f_x0020_List/Longitude" xmlDataType="double"/>
    </tableColumn>
    <tableColumn id="7" uniqueName="Latitude" name="26.569633" dataDxfId="978">
      <xmlColumnPr mapId="11" xpath="/dataroot/Camp_x005f_x0020_List/Latitude" xmlDataType="double"/>
    </tableColumn>
    <tableColumn id="25" uniqueName="Altitude" name="Altitude" dataDxfId="977">
      <xmlColumnPr mapId="11" xpath="/dataroot/Camp_x005f_x0020_List/Altitude" xmlDataType="double"/>
    </tableColumn>
    <tableColumn id="8" uniqueName="HH" name="HH" dataDxfId="976">
      <xmlColumnPr mapId="11" xpath="/dataroot/Camp_x005f_x0020_List/HH" xmlDataType="double"/>
    </tableColumn>
    <tableColumn id="9" uniqueName="Total" name="Total" dataDxfId="975">
      <xmlColumnPr mapId="11" xpath="/dataroot/Camp_x005f_x0020_List/Total" xmlDataType="double"/>
    </tableColumn>
    <tableColumn id="11" uniqueName="Avg" name="Avg" dataDxfId="974">
      <calculatedColumnFormula>IF(CampList[[#This Row],[HH]]&gt;0,CampList[[#This Row],[Total]]/CampList[[#This Row],[HH]],"NA")</calculatedColumnFormula>
      <xmlColumnPr mapId="11" xpath="/dataroot/Camp_x005f_x0020_List/Avg" xmlDataType="string"/>
    </tableColumn>
    <tableColumn id="28" uniqueName="Accessibility" name="Accessibility" dataDxfId="973">
      <xmlColumnPr mapId="11" xpath="/dataroot/Camp_x005f_x0020_List/Accessibility" xmlDataType="string"/>
    </tableColumn>
    <tableColumn id="1" uniqueName="Affected Population" name="Affected Population" dataDxfId="972">
      <xmlColumnPr mapId="11" xpath="/dataroot/Camp_x005f_x0020_List/Affected_x005f_x0020_Population" xmlDataType="string"/>
    </tableColumn>
    <tableColumn id="29" uniqueName="Type of Accomodation" name="Type of Accomodation" dataDxfId="971">
      <xmlColumnPr mapId="11" xpath="/dataroot/Camp_x005f_x0020_List/Type_x005f_x0020_of_x005f_x0020_Accomodation" xmlDataType="string"/>
    </tableColumn>
    <tableColumn id="30" uniqueName="Type of Location" name="Type of Location" dataDxfId="970">
      <xmlColumnPr mapId="11" xpath="/dataroot/Camp_x005f_x0020_List/Type_x005f_x0020_of_x005f_x0020_Location" xmlDataType="string"/>
    </tableColumn>
    <tableColumn id="31" uniqueName="Opening Date" name="Opening Date" dataDxfId="969">
      <xmlColumnPr mapId="11" xpath="/dataroot/Camp_x005f_x0020_List/Opening_x005f_x0020_Date" xmlDataType="dateTime"/>
    </tableColumn>
    <tableColumn id="22" uniqueName="CM/FP" name="CM/FP" dataDxfId="968">
      <xmlColumnPr mapId="11" xpath="/dataroot/Camp_x005f_x0020_List/CM_x005f_x002F_FP" xmlDataType="double"/>
    </tableColumn>
    <tableColumn id="26" uniqueName="Responsible Agency" name="Responsible Agency" dataDxfId="967">
      <xmlColumnPr mapId="11" xpath="/dataroot/Camp_x005f_x0020_List/Responsible_x005f_x0020_Agency" xmlDataType="string"/>
    </tableColumn>
    <tableColumn id="18" uniqueName="Source" name="Source" dataDxfId="966">
      <xmlColumnPr mapId="11" xpath="/dataroot/Camp_x005f_x0020_List/Source" xmlDataType="string"/>
    </tableColumn>
    <tableColumn id="20" uniqueName="Method" name="Method" dataDxfId="965">
      <xmlColumnPr mapId="11" xpath="/dataroot/Camp_x005f_x0020_List/Method" xmlDataType="string"/>
    </tableColumn>
    <tableColumn id="10" uniqueName="Update Date" name="Update Date" dataDxfId="964">
      <xmlColumnPr mapId="11" xpath="/dataroot/Camp_x005f_x0020_List/Update_x005f_x0020_Date" xmlDataType="dateTime"/>
    </tableColumn>
    <tableColumn id="21" uniqueName="Comment" name="Comment" dataDxfId="963">
      <xmlColumnPr mapId="11" xpath="/dataroot/Camp_x005f_x0020_List/Comment" xmlDataType="string"/>
    </tableColumn>
    <tableColumn id="32" uniqueName="Priority" name="Priority" dataDxfId="962">
      <xmlColumnPr mapId="11" xpath="/dataroot/Camp_x005f_x0020_List/Priority" xmlDataType="string"/>
    </tableColumn>
    <tableColumn id="27" uniqueName="Shelter Gap" name="Shelter Gap" dataDxfId="961">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960">
      <xmlColumnPr mapId="11" xpath="/dataroot/Camp_x005f_x0020_List/Land_x005f_x0020_Status" xmlDataType="string"/>
    </tableColumn>
    <tableColumn id="34" uniqueName="Shelter Possible" name="Shelter Possible" dataDxfId="959">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958">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957"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956">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60" totalsRowShown="0">
  <autoFilter ref="A1:C160"/>
  <sortState ref="A2:C160">
    <sortCondition ref="A19"/>
  </sortState>
  <tableColumns count="3">
    <tableColumn id="1" name="CP_Pcode" dataDxfId="955"/>
    <tableColumn id="2" name="Nearest Town" dataDxfId="954"/>
    <tableColumn id="3" name="distance" dataDxfId="953"/>
  </tableColumns>
  <tableStyleInfo name="TableStyleMedium2" showFirstColumn="0" showLastColumn="0" showRowStripes="1" showColumnStripes="0"/>
</table>
</file>

<file path=xl/tables/table3.xml><?xml version="1.0" encoding="utf-8"?>
<table xmlns="http://schemas.openxmlformats.org/spreadsheetml/2006/main" id="4" name="Table_Shelter" displayName="Table_Shelter" ref="A4:W298" tableType="xml" totalsRowShown="0" headerRowDxfId="848" dataDxfId="846" headerRowBorderDxfId="847" tableBorderDxfId="845" totalsRowBorderDxfId="844">
  <autoFilter ref="A4:W298"/>
  <sortState ref="A5:W298">
    <sortCondition ref="F4:F298"/>
  </sortState>
  <tableColumns count="23">
    <tableColumn id="1" uniqueName="Update Date" name="Update Date" dataDxfId="843">
      <xmlColumnPr mapId="9" xpath="/dataroot/Shelter_x005f_x0020_Tracking/Update_x005f_x0020_Date" xmlDataType="dateTime"/>
    </tableColumn>
    <tableColumn id="2" uniqueName="Organization" name="Organization" dataDxfId="842">
      <xmlColumnPr mapId="9" xpath="/dataroot/Shelter_x005f_x0020_Tracking/Organization" xmlDataType="string"/>
    </tableColumn>
    <tableColumn id="3" uniqueName="ImplementingPartner" name="Implementing  Partner" dataDxfId="841">
      <xmlColumnPr mapId="9" xpath="/dataroot/Shelter_x005f_x0020_Tracking/ImplementingPartner" xmlDataType="string"/>
    </tableColumn>
    <tableColumn id="4" uniqueName="State" name="State" dataDxfId="840" dataCellStyle="Normal_Sheet3">
      <xmlColumnPr mapId="9" xpath="/dataroot/Shelter_x005f_x0020_Tracking/State" xmlDataType="string"/>
    </tableColumn>
    <tableColumn id="5" uniqueName="Township" name="Township" dataDxfId="839">
      <xmlColumnPr mapId="9" xpath="/dataroot/Shelter_x005f_x0020_Tracking/Township" xmlDataType="string"/>
    </tableColumn>
    <tableColumn id="6" uniqueName="CampName" name="CampName" dataDxfId="838">
      <xmlColumnPr mapId="9" xpath="/dataroot/Shelter_x005f_x0020_Tracking/CampName" xmlDataType="string"/>
    </tableColumn>
    <tableColumn id="7" uniqueName="HHperShelter" name="HH per Shelter" dataDxfId="837">
      <xmlColumnPr mapId="9" xpath="/dataroot/Shelter_x005f_x0020_Tracking/HHperShelter" xmlDataType="double"/>
    </tableColumn>
    <tableColumn id="8" uniqueName="#ofFamilyTentPlanned(Target)" name="# of Family Tent Planned(Target)" dataDxfId="836">
      <xmlColumnPr mapId="9" xpath="/dataroot/Shelter_x005f_x0020_Tracking/_x005f_x0023_ofFamilyTentPlanned_x005f_x0028_Target_x005f_x0029_" xmlDataType="double"/>
    </tableColumn>
    <tableColumn id="9" uniqueName="#ofFamilyTentDistributed" name="# of Family Tent Distributed" dataDxfId="835">
      <xmlColumnPr mapId="9" xpath="/dataroot/Shelter_x005f_x0020_Tracking/_x005f_x0023_ofFamilyTentDistributed" xmlDataType="double"/>
    </tableColumn>
    <tableColumn id="10" uniqueName="#ofTemporaryShelterUnitsPlanned(Target)" name="# of Temporary Shelter Units Planned (Target)" dataDxfId="834">
      <xmlColumnPr mapId="9" xpath="/dataroot/Shelter_x005f_x0020_Tracking/_x005f_x0023_ofTemporaryShelterUnitsPlanned_x005f_x0028_Target_x005f_x0029_" xmlDataType="double"/>
    </tableColumn>
    <tableColumn id="11" uniqueName="#ofTemporaryShelterUnitsBuilt" name="# of Temporary Shelter Units Built" dataDxfId="833">
      <xmlColumnPr mapId="9" xpath="/dataroot/Shelter_x005f_x0020_Tracking/_x005f_x0023_ofTemporaryShelterUnitsBuilt" xmlDataType="double"/>
    </tableColumn>
    <tableColumn id="12" uniqueName="#ofTemporaryShelterUnderConstruction" name="# of Temporary Shelter Under  Construction" dataDxfId="832">
      <xmlColumnPr mapId="9" xpath="/dataroot/Shelter_x005f_x0020_Tracking/_x005f_x0023_ofTemporaryShelterUnderConstruction" xmlDataType="string"/>
    </tableColumn>
    <tableColumn id="13" uniqueName="#ofPermanentHousePlanned(Target)" name="# of Permanent House Planned (Target)" dataDxfId="831">
      <xmlColumnPr mapId="9" xpath="/dataroot/Shelter_x005f_x0020_Tracking/_x005f_x0023_ofPermanentHousePlanned_x005f_x0028_Target_x005f_x0029_" xmlDataType="string"/>
    </tableColumn>
    <tableColumn id="14" uniqueName="#ofPermanentHouseBuilt" name="# of Permanent House Built" dataDxfId="830">
      <xmlColumnPr mapId="9" xpath="/dataroot/Shelter_x005f_x0020_Tracking/_x005f_x0023_ofPermanentHouseBuilt" xmlDataType="string"/>
    </tableColumn>
    <tableColumn id="15" uniqueName="#ofPermanentHouseUnderConstruction" name="# of Permanent House Under Construction" dataDxfId="829">
      <xmlColumnPr mapId="9" xpath="/dataroot/Shelter_x005f_x0020_Tracking/_x005f_x0023_ofPermanentHouseUnderConstruction" xmlDataType="string"/>
    </tableColumn>
    <tableColumn id="16" uniqueName="HHCovered" name="HH Covered" dataDxfId="828">
      <calculatedColumnFormula>IF(V5="NO",Table_Shelter[[#This Row],[HH per Shelter]]*(Table_Shelter[[#This Row],['# of Temporary Shelter Units Built]]+Table_Shelter[[#This Row],['# of Temporary Shelter Under  Construction]]+Table_Shelter[[#This Row],['# of Permanent House Under Construction]]),0)</calculatedColumnFormula>
      <xmlColumnPr mapId="9" xpath="/dataroot/Shelter_x005f_x0020_Tracking/HHCovered" xmlDataType="double"/>
    </tableColumn>
    <tableColumn id="21" uniqueName="Planned Renovation" name="Planned Renovation" dataDxfId="827">
      <xmlColumnPr mapId="9" xpath="/dataroot/Shelter_x005f_x0020_Tracking/Planned_x005f_x0020_Renovation" xmlDataType="double"/>
    </tableColumn>
    <tableColumn id="20" uniqueName="Renovated" name="Renovated" dataDxfId="826">
      <xmlColumnPr mapId="9" xpath="/dataroot/Shelter_x005f_x0020_Tracking/Renovated" xmlDataType="string"/>
    </tableColumn>
    <tableColumn id="17" uniqueName="Pcode" name="Pcode" dataDxfId="825">
      <calculatedColumnFormula>IFERROR(VLOOKUP(Table_Shelter[[#This Row],[CampName]],CL,2,0),"")</calculatedColumnFormula>
      <xmlColumnPr mapId="9" xpath="/dataroot/Shelter_x005f_x0020_Tracking/Pcode" xmlDataType="string"/>
    </tableColumn>
    <tableColumn id="18" uniqueName="Status" name="Status" dataDxfId="824">
      <calculatedColumnFormula>IFERROR(VLOOKUP(Table_Shelter[[#This Row],[CampName]],CL,3,0),"")</calculatedColumnFormula>
      <xmlColumnPr mapId="9" xpath="/dataroot/Shelter_x005f_x0020_Tracking/Status" xmlDataType="string"/>
    </tableColumn>
    <tableColumn id="19" uniqueName="Coverage" name="Coverage" dataDxfId="823">
      <calculatedColumnFormula>IFERROR(Table_Shelter[[#This Row],[HH Covered]]/VLOOKUP(Table_Shelter[[#This Row],[CampName]],CL,4,0),"")</calculatedColumnFormula>
      <xmlColumnPr mapId="9" xpath="/dataroot/Shelter_x005f_x0020_Tracking/Coverage" xmlDataType="double"/>
    </tableColumn>
    <tableColumn id="23" uniqueName="23" name="Replacement (YES/NO)" dataDxfId="822">
      <calculatedColumnFormula>VLOOKUP(Table_Shelter[[#This Row],[CampName]],CL,4,0)</calculatedColumnFormula>
    </tableColumn>
    <tableColumn id="22" uniqueName="Comments" name="Comments" dataDxfId="821">
      <xmlColumnPr mapId="9" xpath="/dataroot/Shelter_x005f_x0020_Tracking/Comments" xmlDataType="string"/>
    </tableColumn>
  </tableColumns>
  <tableStyleInfo name="TableStyleMedium2" showFirstColumn="0" showLastColumn="0" showRowStripes="1" showColumnStripes="0"/>
</table>
</file>

<file path=xl/tables/table4.xml><?xml version="1.0" encoding="utf-8"?>
<table xmlns="http://schemas.openxmlformats.org/spreadsheetml/2006/main" id="8" name="Shelter_Draw" displayName="Shelter_Draw" ref="S21:V31" totalsRowShown="0" headerRowDxfId="360" headerRowBorderDxfId="359" tableBorderDxfId="358" totalsRowBorderDxfId="357">
  <autoFilter ref="S21:V31"/>
  <tableColumns count="4">
    <tableColumn id="1" name="Township" dataDxfId="356">
      <calculatedColumnFormula>C22</calculatedColumnFormula>
    </tableColumn>
    <tableColumn id="2" name="V1" dataDxfId="355">
      <calculatedColumnFormula>D22-Shelter_Draw[[#This Row],[V2]]-Shelter_Draw[[#This Row],[V3]]</calculatedColumnFormula>
    </tableColumn>
    <tableColumn id="3" name="V2" dataDxfId="354">
      <calculatedColumnFormula>H22</calculatedColumnFormula>
    </tableColumn>
    <tableColumn id="4" name="V3" dataDxfId="353">
      <calculatedColumnFormula>G22-H22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2" name="Table_NFI" displayName="Table_NFI" ref="A5:AS915" tableType="xml" totalsRowShown="0" headerRowDxfId="348" dataDxfId="346" headerRowBorderDxfId="347" tableBorderDxfId="345" totalsRowBorderDxfId="344">
  <autoFilter ref="A5:AS915"/>
  <sortState ref="A6:AS915">
    <sortCondition descending="1" ref="B24"/>
  </sortState>
  <tableColumns count="45">
    <tableColumn id="23" uniqueName="Months" name="Months" dataDxfId="343">
      <calculatedColumnFormula>IF(ISBLANK(B6),"",(Report_Date-B6)/30)</calculatedColumnFormula>
      <xmlColumnPr mapId="8" xpath="/dataroot/NFI_x005f_x0020_Tracking/Months" xmlDataType="double"/>
    </tableColumn>
    <tableColumn id="1" uniqueName="Distribution Date" name="Distribution Date" dataDxfId="342">
      <xmlColumnPr mapId="8" xpath="/dataroot/NFI_x005f_x0020_Tracking/Distribution_x005f_x0020_Date" xmlDataType="dateTime"/>
    </tableColumn>
    <tableColumn id="2" uniqueName="Organization" name="Organization" dataDxfId="341">
      <xmlColumnPr mapId="8" xpath="/dataroot/NFI_x005f_x0020_Tracking/Organization" xmlDataType="string"/>
    </tableColumn>
    <tableColumn id="3" uniqueName="Implementing Partner" name="Implementing Partner" dataDxfId="340">
      <xmlColumnPr mapId="8" xpath="/dataroot/NFI_x005f_x0020_Tracking/Implementing_x005f_x0020_Partner" xmlDataType="string"/>
    </tableColumn>
    <tableColumn id="4" uniqueName="State" name="State" dataDxfId="339">
      <xmlColumnPr mapId="8" xpath="/dataroot/NFI_x005f_x0020_Tracking/State" xmlDataType="string"/>
    </tableColumn>
    <tableColumn id="5" uniqueName="Township" name="Township" dataDxfId="338">
      <xmlColumnPr mapId="8" xpath="/dataroot/NFI_x005f_x0020_Tracking/Township" xmlDataType="string"/>
    </tableColumn>
    <tableColumn id="6" uniqueName="Camp Name" name="Camp Name" dataDxfId="337">
      <xmlColumnPr mapId="8" xpath="/dataroot/NFI_x005f_x0020_Tracking/Camp_x005f_x0020_Name" xmlDataType="string"/>
    </tableColumn>
    <tableColumn id="7" uniqueName="Hygiene Kit" name="Hygiene Kit" dataDxfId="336">
      <xmlColumnPr mapId="8" xpath="/dataroot/NFI_x005f_x0020_Tracking/Hygiene_x005f_x0020_Kit" xmlDataType="string"/>
    </tableColumn>
    <tableColumn id="8" uniqueName="NFI Core Kit" name="NFI Core Kit" dataDxfId="335">
      <xmlColumnPr mapId="8" xpath="/dataroot/NFI_x005f_x0020_Tracking/NFI_x005f_x0020_Core_x005f_x0020_Kit" xmlDataType="string"/>
    </tableColumn>
    <tableColumn id="9" uniqueName="Sanitary Kit" name="Sanitary Kit" dataDxfId="334">
      <xmlColumnPr mapId="8" xpath="/dataroot/NFI_x005f_x0020_Tracking/Sanitary_x005f_x0020_Kit" xmlDataType="string"/>
    </tableColumn>
    <tableColumn id="10" uniqueName="Mosquito net" name="Mosquito net" dataDxfId="333">
      <xmlColumnPr mapId="8" xpath="/dataroot/NFI_x005f_x0020_Tracking/Mosquito_x005f_x0020_net" xmlDataType="double"/>
    </tableColumn>
    <tableColumn id="11" uniqueName="Tarpaulin" name="Tarpaulin" dataDxfId="332">
      <xmlColumnPr mapId="8" xpath="/dataroot/NFI_x005f_x0020_Tracking/Tarpaulin" xmlDataType="double"/>
    </tableColumn>
    <tableColumn id="12" uniqueName="Blanket" name="Blanket" dataDxfId="331">
      <xmlColumnPr mapId="8" xpath="/dataroot/NFI_x005f_x0020_Tracking/Blanket" xmlDataType="double"/>
    </tableColumn>
    <tableColumn id="13" uniqueName="Kitchen Set" name="Kitchen Set" dataDxfId="330">
      <xmlColumnPr mapId="8" xpath="/dataroot/NFI_x005f_x0020_Tracking/Kitchen_x005f_x0020_Set" xmlDataType="double"/>
    </tableColumn>
    <tableColumn id="14" uniqueName="Clothes Kit" name="Clothes Kit" dataDxfId="329">
      <xmlColumnPr mapId="8" xpath="/dataroot/NFI_x005f_x0020_Tracking/Clothes_x005f_x0020_Kit" xmlDataType="double"/>
    </tableColumn>
    <tableColumn id="26" uniqueName="Plastic Bucket" name="Plastic Bucket" dataDxfId="328">
      <xmlColumnPr mapId="8" xpath="/dataroot/NFI_x005f_x0020_Tracking/Plastic_x005f_x0020_Bucket" xmlDataType="double"/>
    </tableColumn>
    <tableColumn id="25" uniqueName="Plastic Mat" name="Plastic Mat" dataDxfId="327">
      <xmlColumnPr mapId="8" xpath="/dataroot/NFI_x005f_x0020_Tracking/Plastic_x005f_x0020_Mat" xmlDataType="double"/>
    </tableColumn>
    <tableColumn id="47" uniqueName="Winter Clothes Adult" name="Winter Clothes Adult" dataDxfId="326">
      <xmlColumnPr mapId="8" xpath="/dataroot/NFI_x005f_x0020_Tracking/Winter_x005f_x0020_Clothes_x005f_x0020_Adult" xmlDataType="string"/>
    </tableColumn>
    <tableColumn id="46" uniqueName="Winter Clothes Children" name="Winter Clothes Children" dataDxfId="325">
      <xmlColumnPr mapId="8" xpath="/dataroot/NFI_x005f_x0020_Tracking/Winter_x005f_x0020_Clothes_x005f_x0020_Children" xmlDataType="string"/>
    </tableColumn>
    <tableColumn id="45" uniqueName="Winter Items Other" name="Winter Items Other" dataDxfId="324">
      <xmlColumnPr mapId="8" xpath="/dataroot/NFI_x005f_x0020_Tracking/Winter_x005f_x0020_Items_x005f_x0020_Other" xmlDataType="string"/>
    </tableColumn>
    <tableColumn id="32" uniqueName="Winter Blanket" name="Winter Blanket" dataDxfId="323">
      <xmlColumnPr mapId="8" xpath="/dataroot/NFI_x005f_x0020_Tracking/Winter_x005f_x0020_Blanket" xmlDataType="string"/>
    </tableColumn>
    <tableColumn id="38" uniqueName="38" name="Jerry Can" dataDxfId="322"/>
    <tableColumn id="15" uniqueName="Hygiene Kit_LS" name="Hygiene Kit_LS" dataDxfId="321">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320">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319">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318">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317">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316">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315">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314">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313">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312">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311">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310">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309">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308">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307">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306">
      <calculatedColumnFormula>IF(NFI_Expiration=1,IF($A6&lt;VLOOKUP(V$5,NFI,5,0),1,0)*Table_NFI[[#This Row],[Jerry Can]],Table_NFI[Jerry Can])</calculatedColumnFormula>
    </tableColumn>
    <tableColumn id="24" uniqueName="Pcode" name="Pcode" dataDxfId="305">
      <calculatedColumnFormula>IFERROR(VLOOKUP(Table_NFI[[#This Row],[Camp Name]],CL,2,0),"")</calculatedColumnFormula>
      <xmlColumnPr mapId="8" xpath="/dataroot/NFI_x005f_x0020_Tracking/Pcode" xmlDataType="string"/>
    </tableColumn>
    <tableColumn id="35" uniqueName="opening_date" name="opening_date" dataDxfId="304">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303">
      <calculatedColumnFormula>IFERROR(VLOOKUP(Table_NFI[[#This Row],[Camp Name]],CL,3,0),"")</calculatedColumnFormula>
      <xmlColumnPr mapId="8" xpath="/dataroot/NFI_x005f_x0020_Tracking/Status" xmlDataType="string"/>
    </tableColumn>
    <tableColumn id="29" uniqueName="Priority" name="Priority" dataDxfId="302">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301">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300">
      <xmlColumnPr mapId="8" xpath="/dataroot/NFI_x005f_x0020_Tracking/Planned_x005f_x0020_Distribution" xmlDataType="string"/>
    </tableColumn>
    <tableColumn id="37" uniqueName="Comment" name="Comment" dataDxfId="299">
      <xmlColumnPr mapId="8" xpath="/dataroot/NFI_x005f_x0020_Tracking/Comment" xmlDataType="string"/>
    </tableColumn>
  </tableColumns>
  <tableStyleInfo name="TableStyleLight1" showFirstColumn="0" showLastColumn="0" showRowStripes="1" showColumnStripes="0"/>
</table>
</file>

<file path=xl/tables/table6.xml><?xml version="1.0" encoding="utf-8"?>
<table xmlns="http://schemas.openxmlformats.org/spreadsheetml/2006/main" id="11" name="Table11" displayName="Table11" ref="A1:AQ7" totalsRowShown="0">
  <autoFilter ref="A1:AQ7"/>
  <tableColumns count="43">
    <tableColumn id="1" name="Months"/>
    <tableColumn id="2" name="Distribution Date" dataDxfId="298"/>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7.xml><?xml version="1.0" encoding="utf-8"?>
<table xmlns="http://schemas.openxmlformats.org/spreadsheetml/2006/main" id="10" name="Table10" displayName="Table10" ref="A1:N168" totalsRowShown="0" headerRowDxfId="283" headerRowBorderDxfId="282" tableBorderDxfId="281" totalsRowBorderDxfId="280">
  <autoFilter ref="A1:N168"/>
  <tableColumns count="14">
    <tableColumn id="5" name="Pcode" dataDxfId="279"/>
    <tableColumn id="2" name="Priority" dataDxfId="278">
      <calculatedColumnFormula>OFFSET(CampList[Priority],MATCH(Table10[[#This Row],[Pcode]],CampList[CP_Pcode],0)-1,0,1,1)</calculatedColumnFormula>
    </tableColumn>
    <tableColumn id="1" name="Camp" dataDxfId="277">
      <calculatedColumnFormula>OFFSET(CampList[Camp],MATCH(Table10[[#This Row],[Pcode]],CampList[CP_Pcode],0)-1,0,1,1)</calculatedColumnFormula>
    </tableColumn>
    <tableColumn id="4" name="Township" dataDxfId="276">
      <calculatedColumnFormula>OFFSET(CampList[Township],MATCH(Table10[[#This Row],[Pcode]],CampList[CP_Pcode],0)-1,0,1,1)</calculatedColumnFormula>
    </tableColumn>
    <tableColumn id="6" name="HH" dataDxfId="275">
      <calculatedColumnFormula>OFFSET(CampList[HH],MATCH(Table10[[#This Row],[Pcode]],CampList[CP_Pcode],0)-1,0,1,1)</calculatedColumnFormula>
    </tableColumn>
    <tableColumn id="7" name="Ind" dataDxfId="274">
      <calculatedColumnFormula>OFFSET(CampList[Total],MATCH(Table10[[#This Row],[Pcode]],CampList[CP_Pcode],0)-1,0,1,1)</calculatedColumnFormula>
    </tableColumn>
    <tableColumn id="8" name="Winter Clothes Adult " dataDxfId="273">
      <calculatedColumnFormula>SUMIF('NFI Tracking'!AM$6:AM$1048576,Table10[[#This Row],[Pcode]],'NFI Tracking'!AG$6:AG$1048576)</calculatedColumnFormula>
    </tableColumn>
    <tableColumn id="9" name="Winter Clothes Children " dataDxfId="272">
      <calculatedColumnFormula>SUMIF('NFI Tracking'!AM$6:AM$1048576,Table10[[#This Row],[Pcode]],'NFI Tracking'!AH$6:AH$1048576)</calculatedColumnFormula>
    </tableColumn>
    <tableColumn id="10" name="Winter Items Other " dataDxfId="271">
      <calculatedColumnFormula>SUMIF('NFI Tracking'!AM$6:AM$1048576,Table10[[#This Row],[Pcode]],'NFI Tracking'!AI$6:AI$1048576)</calculatedColumnFormula>
    </tableColumn>
    <tableColumn id="11" name="WC_Adult_Gap" dataDxfId="270">
      <calculatedColumnFormula>MAX(Table10[[#This Row],[HH]]*VLOOKUP("Winter Clothes Adult",NFI,6)-Table10[[#This Row],[Winter Clothes Adult ]],0)</calculatedColumnFormula>
    </tableColumn>
    <tableColumn id="12" name="WC_Child_Gap" dataDxfId="269">
      <calculatedColumnFormula>MAX(Table10[[#This Row],[HH]]*VLOOKUP("Winter Clothes Children ",NFI,6)-Table10[[#This Row],[Winter Clothes Children ]],0)</calculatedColumnFormula>
    </tableColumn>
    <tableColumn id="13" name="WI_Other_Gap" dataDxfId="268">
      <calculatedColumnFormula>MAX(Table10[[#This Row],[HH]]*VLOOKUP("Winter Items Other ",NFI,6)-Table10[[#This Row],[Winter Items Other ]],0)</calculatedColumnFormula>
    </tableColumn>
    <tableColumn id="3" name="Planned Distribution" dataDxfId="267">
      <calculatedColumnFormula>IF(OR(Table10[[#This Row],[Winter Clothes Adult ]]&lt;&gt;0,Table10[[#This Row],[Winter Clothes Children ]]&lt;&gt;0,Table10[[#This Row],[Winter Items Other ]]&lt;&gt;0),"No","")</calculatedColumnFormula>
    </tableColumn>
    <tableColumn id="14" name="Check1" dataDxfId="266">
      <calculatedColumnFormula>COUNTIF(A:A,Table10[[#This Row],[Pcode]])-1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7" name="Table58" displayName="Table58" ref="T2:AG24" totalsRowCount="1" headerRowDxfId="260" dataDxfId="258" totalsRowDxfId="256" headerRowBorderDxfId="259" tableBorderDxfId="257" totalsRowBorderDxfId="255" dataCellStyle="Percent">
  <autoFilter ref="T2:AG23"/>
  <tableColumns count="14">
    <tableColumn id="1" name="Pcode" dataDxfId="254" totalsRowDxfId="253"/>
    <tableColumn id="2" name="Township" totalsRowLabel="Kachin/Shan" dataDxfId="252" totalsRowDxfId="251"/>
    <tableColumn id="3" name="Long." totalsRowLabel="96.00" dataDxfId="250" totalsRowDxfId="249"/>
    <tableColumn id="4" name="Lat." totalsRowLabel="27.00" dataDxfId="248" totalsRowDxfId="247"/>
    <tableColumn id="5" name="HS" totalsRowFunction="sum" dataDxfId="246" totalsRowDxfId="245">
      <calculatedColumnFormula>'CCCM Dashboard'!D12</calculatedColumnFormula>
    </tableColumn>
    <tableColumn id="6" name="Pop" totalsRowFunction="sum" dataDxfId="244" totalsRowDxfId="243" dataCellStyle="Comma">
      <calculatedColumnFormula>'CCCM Dashboard'!E12</calculatedColumnFormula>
    </tableColumn>
    <tableColumn id="7" name="N_cps" totalsRowFunction="custom" dataDxfId="242" totalsRowDxfId="241">
      <calculatedColumnFormula>CONCATENATE(AG3, " cp",IF(AG3&gt;1,"s",""))</calculatedColumnFormula>
      <totalsRowFormula>CONCATENATE(Table58[[#Totals],[Column1]]," camps")</totalsRowFormula>
    </tableColumn>
    <tableColumn id="8" name="Coverage" totalsRowFunction="custom" dataDxfId="240" totalsRowDxfId="239" dataCellStyle="Percent">
      <calculatedColumnFormula>'Shelter Coverage &amp; Gaps'!#REF!</calculatedColumnFormula>
      <totalsRowFormula>SUMPRODUCT(Table58[Pop]*Table58[Coverage])/Table58[[#Totals],[Pop]]</totalsRowFormula>
    </tableColumn>
    <tableColumn id="9" name="Hygiene" totalsRowFunction="custom" dataDxfId="238" totalsRowDxfId="237" dataCellStyle="Percent">
      <totalsRowFormula>SUMPRODUCT(Table58[Pop]*Table58[Hygiene])/Table58[[#Totals],[Pop]]</totalsRowFormula>
    </tableColumn>
    <tableColumn id="10" name="Core" totalsRowFunction="custom" dataDxfId="236" totalsRowDxfId="235" dataCellStyle="Percent">
      <totalsRowFormula>SUMPRODUCT(Table58[Pop]*Table58[Core])/Table58[[#Totals],[Pop]]</totalsRowFormula>
    </tableColumn>
    <tableColumn id="11" name="Sanitary" totalsRowFunction="custom" dataDxfId="234" totalsRowDxfId="233" dataCellStyle="Percent">
      <totalsRowFormula>SUMPRODUCT(Table58[Pop]*Table58[Sanitary])/Table58[[#Totals],[Pop]]</totalsRowFormula>
    </tableColumn>
    <tableColumn id="12" name="Y" totalsRowFunction="custom" dataDxfId="232" totalsRowDxfId="231">
      <calculatedColumnFormula>$S$3-ROUND((W3-$S$1)*$S$5,0)</calculatedColumnFormula>
      <totalsRowFormula>1000-ROUND((W24-23.5)*$S$5,0)</totalsRowFormula>
    </tableColumn>
    <tableColumn id="13" name="X" totalsRowFunction="custom" dataDxfId="230" totalsRowDxfId="229">
      <calculatedColumnFormula>ROUND((V3-$S$2)*$S$5,0)+$S$4</calculatedColumnFormula>
      <totalsRowFormula>ROUND((V24-96.5)*$S$5,0)+100</totalsRowFormula>
    </tableColumn>
    <tableColumn id="14" name="Column1" totalsRowFunction="sum" dataDxfId="228" totalsRowDxfId="227" dataCellStyle="Comma">
      <calculatedColumnFormula>'CCCM Dashboard'!F12</calculatedColumnFormula>
    </tableColumn>
  </tableColumns>
  <tableStyleInfo name="TableStyleMedium10" showFirstColumn="0" showLastColumn="0" showRowStripes="1" showColumnStripes="0"/>
</table>
</file>

<file path=xl/tables/table9.xml><?xml version="1.0" encoding="utf-8"?>
<table xmlns="http://schemas.openxmlformats.org/spreadsheetml/2006/main" id="3" name="Table3" displayName="Table3" ref="J1:J4" totalsRowShown="0" headerRowDxfId="226" dataDxfId="225">
  <autoFilter ref="J1:J4"/>
  <tableColumns count="1">
    <tableColumn id="1" name="State" dataDxfId="224"/>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17" totalsRowShown="0" headerRowDxfId="223" dataDxfId="222">
  <autoFilter ref="L1:L17"/>
  <tableColumns count="1">
    <tableColumn id="1" name="Kachin" dataDxfId="221"/>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220" dataDxfId="219">
  <autoFilter ref="N1:N7"/>
  <tableColumns count="1">
    <tableColumn id="1" name="Shan_North" dataDxfId="2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7" Type="http://schemas.openxmlformats.org/officeDocument/2006/relationships/table" Target="../tables/table4.xml"/><Relationship Id="rId2" Type="http://schemas.openxmlformats.org/officeDocument/2006/relationships/printerSettings" Target="../printerSettings/printerSettings10.bin"/><Relationship Id="rId1" Type="http://schemas.openxmlformats.org/officeDocument/2006/relationships/pivotTable" Target="../pivotTables/pivotTable17.xml"/><Relationship Id="rId6" Type="http://schemas.openxmlformats.org/officeDocument/2006/relationships/image" Target="../media/image12.emf"/><Relationship Id="rId5" Type="http://schemas.openxmlformats.org/officeDocument/2006/relationships/control" Target="../activeX/activeX3.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4.bin"/><Relationship Id="rId1" Type="http://schemas.openxmlformats.org/officeDocument/2006/relationships/pivotTable" Target="../pivotTables/pivotTable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3.vml"/><Relationship Id="rId7" Type="http://schemas.openxmlformats.org/officeDocument/2006/relationships/ctrlProp" Target="../ctrlProps/ctrlProp1.xml"/><Relationship Id="rId2" Type="http://schemas.openxmlformats.org/officeDocument/2006/relationships/drawing" Target="../drawings/drawing17.xml"/><Relationship Id="rId1" Type="http://schemas.openxmlformats.org/officeDocument/2006/relationships/printerSettings" Target="../printerSettings/printerSettings16.bin"/><Relationship Id="rId6" Type="http://schemas.openxmlformats.org/officeDocument/2006/relationships/image" Target="../media/image14.emf"/><Relationship Id="rId11" Type="http://schemas.openxmlformats.org/officeDocument/2006/relationships/table" Target="../tables/table8.xml"/><Relationship Id="rId5" Type="http://schemas.openxmlformats.org/officeDocument/2006/relationships/control" Target="../activeX/activeX4.xml"/><Relationship Id="rId10" Type="http://schemas.openxmlformats.org/officeDocument/2006/relationships/ctrlProp" Target="../ctrlProps/ctrlProp4.xml"/><Relationship Id="rId4" Type="http://schemas.openxmlformats.org/officeDocument/2006/relationships/vmlDrawing" Target="../drawings/vmlDrawing4.vml"/><Relationship Id="rId9" Type="http://schemas.openxmlformats.org/officeDocument/2006/relationships/ctrlProp" Target="../ctrlProps/ctrlProp3.xml"/></Relationships>
</file>

<file path=xl/worksheets/_rels/sheet21.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pivotTable" Target="../pivotTables/pivotTable2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V24"/>
  <sheetViews>
    <sheetView showZeros="0" zoomScale="80" zoomScaleNormal="80" workbookViewId="0">
      <selection activeCell="AK7" sqref="AK7"/>
    </sheetView>
  </sheetViews>
  <sheetFormatPr defaultColWidth="9.140625" defaultRowHeight="15" x14ac:dyDescent="0.25"/>
  <cols>
    <col min="1" max="1" width="2" style="6" customWidth="1"/>
    <col min="2" max="4" width="9.140625" style="6"/>
    <col min="5" max="5" width="3.2851562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2" ht="5.25" customHeight="1" x14ac:dyDescent="0.25"/>
    <row r="2" spans="3:22" ht="8.25" customHeight="1" x14ac:dyDescent="0.25">
      <c r="C2" s="829" t="s">
        <v>421</v>
      </c>
      <c r="D2" s="829"/>
      <c r="E2" s="829"/>
      <c r="F2" s="829"/>
      <c r="G2" s="829"/>
      <c r="H2" s="829"/>
      <c r="I2" s="829"/>
      <c r="J2" s="829"/>
      <c r="K2" s="829"/>
      <c r="L2" s="829"/>
      <c r="M2" s="829"/>
      <c r="N2" s="829"/>
      <c r="O2" s="829"/>
      <c r="P2" s="829"/>
      <c r="Q2" s="829"/>
      <c r="R2" s="829"/>
      <c r="S2" s="829"/>
      <c r="T2" s="829"/>
      <c r="U2" s="829"/>
      <c r="V2" s="829"/>
    </row>
    <row r="3" spans="3:22" ht="18" customHeight="1" x14ac:dyDescent="0.25">
      <c r="C3" s="829"/>
      <c r="D3" s="829"/>
      <c r="E3" s="829"/>
      <c r="F3" s="829"/>
      <c r="G3" s="829"/>
      <c r="H3" s="829"/>
      <c r="I3" s="829"/>
      <c r="J3" s="829"/>
      <c r="K3" s="829"/>
      <c r="L3" s="829"/>
      <c r="M3" s="829"/>
      <c r="N3" s="829"/>
      <c r="O3" s="829"/>
      <c r="P3" s="829"/>
      <c r="Q3" s="829"/>
      <c r="R3" s="829"/>
      <c r="S3" s="829"/>
      <c r="T3" s="829"/>
      <c r="U3" s="829"/>
      <c r="V3" s="829"/>
    </row>
    <row r="4" spans="3:22" ht="11.25" customHeight="1" x14ac:dyDescent="0.25">
      <c r="C4" s="829"/>
      <c r="D4" s="829"/>
      <c r="E4" s="829"/>
      <c r="F4" s="829"/>
      <c r="G4" s="829"/>
      <c r="H4" s="829"/>
      <c r="I4" s="829"/>
      <c r="J4" s="829"/>
      <c r="K4" s="829"/>
      <c r="L4" s="829"/>
      <c r="M4" s="829"/>
      <c r="N4" s="829"/>
      <c r="O4" s="829"/>
      <c r="P4" s="829"/>
      <c r="Q4" s="829"/>
      <c r="R4" s="829"/>
      <c r="S4" s="829"/>
      <c r="T4" s="829"/>
      <c r="U4" s="829"/>
      <c r="V4" s="829"/>
    </row>
    <row r="5" spans="3:22" ht="15" customHeight="1" x14ac:dyDescent="0.25">
      <c r="C5" s="831">
        <f>Report_Date</f>
        <v>42309</v>
      </c>
      <c r="D5" s="831"/>
      <c r="E5" s="831"/>
      <c r="F5" s="831"/>
      <c r="G5" s="831"/>
      <c r="H5" s="831"/>
      <c r="I5" s="831"/>
      <c r="J5" s="831"/>
      <c r="K5" s="831"/>
      <c r="L5" s="831"/>
      <c r="M5" s="831"/>
      <c r="N5" s="831"/>
      <c r="O5" s="831"/>
    </row>
    <row r="6" spans="3:22" ht="8.25" customHeight="1" x14ac:dyDescent="0.25"/>
    <row r="7" spans="3:22" x14ac:dyDescent="0.25">
      <c r="C7" s="828" t="s">
        <v>448</v>
      </c>
      <c r="D7" s="828"/>
      <c r="E7" s="31"/>
      <c r="F7" s="830" t="s">
        <v>453</v>
      </c>
      <c r="G7" s="830"/>
      <c r="H7" s="830"/>
      <c r="I7" s="830"/>
      <c r="J7" s="830"/>
      <c r="K7" s="31"/>
      <c r="L7" s="830" t="s">
        <v>446</v>
      </c>
      <c r="M7" s="830"/>
      <c r="N7" s="830"/>
      <c r="O7" s="31"/>
      <c r="P7" s="830" t="s">
        <v>451</v>
      </c>
      <c r="Q7" s="830"/>
      <c r="R7" s="830"/>
      <c r="S7" s="31"/>
      <c r="T7" s="830" t="s">
        <v>452</v>
      </c>
      <c r="U7" s="830"/>
      <c r="V7" s="830"/>
    </row>
    <row r="8" spans="3:22" x14ac:dyDescent="0.25">
      <c r="C8" s="828"/>
      <c r="D8" s="828"/>
      <c r="E8" s="31"/>
      <c r="F8" s="31"/>
      <c r="G8" s="31"/>
      <c r="H8" s="31"/>
      <c r="I8" s="31"/>
      <c r="J8" s="31"/>
      <c r="K8" s="31"/>
      <c r="L8" s="31"/>
      <c r="M8" s="31"/>
      <c r="N8" s="31"/>
      <c r="O8" s="31"/>
      <c r="P8" s="31"/>
      <c r="Q8" s="31"/>
      <c r="R8" s="31"/>
      <c r="S8" s="31"/>
      <c r="T8" s="31"/>
      <c r="U8" s="31"/>
      <c r="V8" s="31"/>
    </row>
    <row r="9" spans="3:22" x14ac:dyDescent="0.25">
      <c r="C9" s="828"/>
      <c r="D9" s="828"/>
      <c r="E9" s="31"/>
      <c r="F9" s="31"/>
      <c r="G9" s="31"/>
      <c r="H9" s="31"/>
      <c r="I9" s="31"/>
      <c r="J9" s="31"/>
      <c r="K9" s="31"/>
      <c r="L9" s="91" t="s">
        <v>381</v>
      </c>
      <c r="M9" s="62" t="s">
        <v>380</v>
      </c>
      <c r="N9" s="63" t="s">
        <v>447</v>
      </c>
      <c r="O9" s="31"/>
      <c r="P9" s="29" t="s">
        <v>381</v>
      </c>
      <c r="Q9" s="62" t="s">
        <v>380</v>
      </c>
      <c r="R9" s="63" t="s">
        <v>447</v>
      </c>
      <c r="S9" s="31"/>
      <c r="T9" s="29" t="s">
        <v>381</v>
      </c>
      <c r="U9" s="30" t="s">
        <v>380</v>
      </c>
      <c r="V9" s="28" t="s">
        <v>447</v>
      </c>
    </row>
    <row r="10" spans="3:22" x14ac:dyDescent="0.25">
      <c r="C10" s="828"/>
      <c r="D10" s="828"/>
      <c r="E10" s="31"/>
      <c r="F10" s="31"/>
      <c r="G10" s="31"/>
      <c r="H10" s="31"/>
      <c r="I10" s="31"/>
      <c r="J10" s="31"/>
      <c r="K10" s="31"/>
      <c r="L10" s="31"/>
      <c r="M10" s="31"/>
      <c r="N10" s="31"/>
      <c r="O10" s="31"/>
      <c r="P10" s="31"/>
      <c r="Q10" s="31"/>
      <c r="R10" s="31"/>
      <c r="S10" s="31"/>
      <c r="T10" s="31"/>
      <c r="U10" s="31"/>
      <c r="V10" s="31"/>
    </row>
    <row r="11" spans="3:22" x14ac:dyDescent="0.25">
      <c r="C11" s="828"/>
      <c r="D11" s="828"/>
      <c r="E11" s="31"/>
      <c r="F11" s="31"/>
      <c r="G11" s="31"/>
      <c r="H11" s="31"/>
      <c r="I11" s="31"/>
      <c r="J11" s="31"/>
      <c r="K11" s="31"/>
      <c r="L11" s="31"/>
      <c r="M11" s="31"/>
      <c r="N11" s="31"/>
      <c r="O11" s="31"/>
      <c r="P11" s="31"/>
      <c r="Q11" s="31"/>
      <c r="R11" s="31"/>
      <c r="S11" s="31"/>
      <c r="T11" s="31"/>
      <c r="U11" s="31"/>
      <c r="V11" s="31"/>
    </row>
    <row r="12" spans="3:22" x14ac:dyDescent="0.25">
      <c r="C12" s="828"/>
      <c r="D12" s="828"/>
      <c r="E12" s="31"/>
      <c r="F12" s="31"/>
      <c r="G12" s="31"/>
      <c r="H12" s="31"/>
      <c r="I12" s="31"/>
      <c r="J12" s="31"/>
      <c r="K12" s="31"/>
      <c r="L12" s="31"/>
      <c r="M12" s="31"/>
      <c r="N12" s="31"/>
      <c r="O12" s="31"/>
      <c r="P12" s="31"/>
      <c r="Q12" s="31"/>
      <c r="R12" s="31"/>
      <c r="S12" s="31"/>
      <c r="T12" s="31"/>
      <c r="U12" s="31"/>
      <c r="V12" s="31"/>
    </row>
    <row r="14" spans="3:22" x14ac:dyDescent="0.25">
      <c r="C14" s="828" t="s">
        <v>449</v>
      </c>
      <c r="D14" s="828"/>
      <c r="E14" s="31"/>
      <c r="F14" s="31"/>
      <c r="G14" s="31"/>
      <c r="H14" s="31"/>
      <c r="I14" s="31"/>
      <c r="J14" s="31"/>
      <c r="K14" s="31"/>
      <c r="L14" s="31"/>
      <c r="M14" s="31"/>
      <c r="N14" s="31"/>
      <c r="O14" s="31"/>
      <c r="P14" s="31"/>
      <c r="Q14" s="31"/>
      <c r="R14" s="31"/>
      <c r="S14" s="31"/>
      <c r="T14" s="31"/>
      <c r="U14" s="31"/>
      <c r="V14" s="31"/>
    </row>
    <row r="15" spans="3:22" x14ac:dyDescent="0.25">
      <c r="C15" s="828"/>
      <c r="D15" s="828"/>
      <c r="E15" s="31"/>
      <c r="F15" s="31"/>
      <c r="G15" s="31"/>
      <c r="H15" s="31"/>
      <c r="I15" s="31"/>
      <c r="J15" s="31"/>
      <c r="K15" s="31"/>
      <c r="L15" s="31"/>
      <c r="M15" s="31"/>
      <c r="N15" s="31"/>
      <c r="O15" s="31"/>
      <c r="P15" s="31"/>
      <c r="Q15" s="31"/>
      <c r="R15" s="31"/>
      <c r="S15" s="31"/>
      <c r="T15" s="31"/>
      <c r="U15" s="31"/>
      <c r="V15" s="31"/>
    </row>
    <row r="16" spans="3:22" x14ac:dyDescent="0.25">
      <c r="C16" s="828"/>
      <c r="D16" s="828"/>
      <c r="E16" s="31"/>
      <c r="F16" s="31"/>
      <c r="G16" s="31"/>
      <c r="H16" s="31"/>
      <c r="I16" s="31"/>
      <c r="J16" s="31"/>
      <c r="K16" s="31"/>
      <c r="L16" s="91" t="s">
        <v>381</v>
      </c>
      <c r="M16" s="62" t="s">
        <v>380</v>
      </c>
      <c r="N16" s="63" t="s">
        <v>447</v>
      </c>
      <c r="O16" s="31"/>
      <c r="P16" s="29" t="s">
        <v>381</v>
      </c>
      <c r="Q16" s="62" t="s">
        <v>380</v>
      </c>
      <c r="R16" s="63" t="s">
        <v>447</v>
      </c>
      <c r="S16" s="31"/>
      <c r="T16" s="29" t="s">
        <v>381</v>
      </c>
      <c r="U16" s="30" t="s">
        <v>380</v>
      </c>
      <c r="V16" s="28" t="s">
        <v>447</v>
      </c>
    </row>
    <row r="17" spans="3:22" x14ac:dyDescent="0.25">
      <c r="C17" s="828"/>
      <c r="D17" s="828"/>
      <c r="E17" s="31"/>
      <c r="F17" s="31"/>
      <c r="G17" s="31"/>
      <c r="H17" s="31"/>
      <c r="I17" s="31"/>
      <c r="J17" s="31"/>
      <c r="K17" s="31"/>
      <c r="L17" s="31"/>
      <c r="M17" s="31"/>
      <c r="N17" s="31"/>
      <c r="O17" s="31"/>
      <c r="P17" s="31"/>
      <c r="Q17" s="31"/>
      <c r="R17" s="31"/>
      <c r="S17" s="31"/>
      <c r="T17" s="31"/>
      <c r="U17" s="31"/>
      <c r="V17" s="31"/>
    </row>
    <row r="18" spans="3:22" x14ac:dyDescent="0.25">
      <c r="C18" s="828"/>
      <c r="D18" s="828"/>
      <c r="E18" s="31"/>
      <c r="F18" s="31"/>
      <c r="G18" s="31"/>
      <c r="H18" s="31"/>
      <c r="I18" s="31"/>
      <c r="J18" s="31"/>
      <c r="K18" s="31"/>
      <c r="L18" s="31"/>
      <c r="M18" s="31"/>
      <c r="N18" s="31"/>
      <c r="O18" s="31"/>
      <c r="P18" s="31"/>
      <c r="Q18" s="31"/>
      <c r="R18" s="31"/>
      <c r="S18" s="31"/>
      <c r="T18" s="31"/>
      <c r="U18" s="31"/>
      <c r="V18" s="31"/>
    </row>
    <row r="19" spans="3:22" x14ac:dyDescent="0.25">
      <c r="C19" s="828"/>
      <c r="D19" s="828"/>
      <c r="E19" s="31"/>
      <c r="F19" s="31"/>
      <c r="G19" s="31"/>
      <c r="H19" s="31"/>
      <c r="I19" s="31"/>
      <c r="J19" s="31"/>
      <c r="K19" s="31"/>
      <c r="L19" s="31"/>
      <c r="M19" s="31"/>
      <c r="N19" s="31"/>
      <c r="O19" s="31"/>
      <c r="P19" s="31"/>
      <c r="Q19" s="31"/>
      <c r="R19" s="31"/>
      <c r="S19" s="31"/>
      <c r="T19" s="31"/>
      <c r="U19" s="31"/>
      <c r="V19" s="31"/>
    </row>
    <row r="21" spans="3:22" x14ac:dyDescent="0.25">
      <c r="C21" s="828" t="s">
        <v>450</v>
      </c>
      <c r="D21" s="828"/>
      <c r="E21" s="32"/>
      <c r="F21" s="32"/>
      <c r="G21" s="32"/>
      <c r="H21" s="32"/>
      <c r="I21" s="32"/>
      <c r="J21" s="32"/>
      <c r="K21" s="32"/>
      <c r="L21" s="31"/>
      <c r="M21" s="31"/>
      <c r="N21" s="31"/>
      <c r="O21" s="31"/>
      <c r="P21" s="31"/>
      <c r="Q21" s="31"/>
      <c r="R21" s="31"/>
      <c r="S21" s="31"/>
      <c r="T21" s="31"/>
      <c r="U21" s="31"/>
      <c r="V21" s="31"/>
    </row>
    <row r="22" spans="3:22" x14ac:dyDescent="0.25">
      <c r="C22" s="828"/>
      <c r="D22" s="828"/>
      <c r="E22" s="32"/>
      <c r="F22" s="32"/>
      <c r="G22" s="32"/>
      <c r="H22" s="32"/>
      <c r="I22" s="32"/>
      <c r="J22" s="32"/>
      <c r="K22" s="32"/>
      <c r="L22" s="32"/>
      <c r="M22" s="62" t="s">
        <v>380</v>
      </c>
      <c r="N22" s="32"/>
      <c r="O22" s="31"/>
      <c r="P22" s="31"/>
      <c r="Q22" s="31"/>
      <c r="R22" s="31"/>
      <c r="S22" s="31"/>
      <c r="T22" s="11"/>
      <c r="U22" s="11"/>
      <c r="V22" s="11"/>
    </row>
    <row r="23" spans="3:22" x14ac:dyDescent="0.25">
      <c r="C23" s="828"/>
      <c r="D23" s="828"/>
      <c r="E23" s="32"/>
      <c r="F23" s="32"/>
      <c r="G23" s="32"/>
      <c r="H23" s="32"/>
      <c r="I23" s="32"/>
      <c r="J23" s="32"/>
      <c r="K23" s="32"/>
      <c r="L23" s="63" t="s">
        <v>381</v>
      </c>
      <c r="M23" s="63" t="s">
        <v>380</v>
      </c>
      <c r="N23" s="63" t="s">
        <v>447</v>
      </c>
      <c r="O23" s="31"/>
      <c r="P23" s="29" t="s">
        <v>381</v>
      </c>
      <c r="Q23" s="62" t="s">
        <v>380</v>
      </c>
      <c r="R23" s="63" t="s">
        <v>447</v>
      </c>
      <c r="S23" s="31"/>
      <c r="T23" s="29" t="s">
        <v>381</v>
      </c>
      <c r="U23" s="30" t="s">
        <v>380</v>
      </c>
      <c r="V23" s="28" t="s">
        <v>447</v>
      </c>
    </row>
    <row r="24" spans="3:22" x14ac:dyDescent="0.25">
      <c r="C24" s="828"/>
      <c r="D24" s="828"/>
      <c r="E24" s="32"/>
      <c r="F24" s="32"/>
      <c r="G24" s="32"/>
      <c r="H24" s="32"/>
      <c r="I24" s="32"/>
      <c r="J24" s="32"/>
      <c r="K24" s="32"/>
      <c r="L24" s="32"/>
      <c r="M24" s="32"/>
      <c r="N24" s="32"/>
      <c r="O24" s="31"/>
      <c r="P24" s="31"/>
      <c r="Q24" s="31"/>
      <c r="R24" s="31"/>
      <c r="S24" s="31"/>
      <c r="T24" s="11"/>
      <c r="U24" s="11"/>
      <c r="V24" s="11"/>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M9" location="'CCCM Dashboard'!A1" display="Kachin"/>
    <hyperlink ref="L16" location="Rakhine_Shelter_D!A1" display="Rakhine"/>
    <hyperlink ref="M16" location="'Shelter Coverage &amp; Gaps'!A1" display="Kachin"/>
    <hyperlink ref="M23" location="Kachin_CCCM_D!A1" display="Kachin"/>
    <hyperlink ref="M22" location="'NFI Summary'!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6" r:id="rId4" name="Print_Report">
          <controlPr defaultSize="0" autoLine="0" r:id="rId5">
            <anchor moveWithCells="1">
              <from>
                <xdr:col>25</xdr:col>
                <xdr:colOff>133350</xdr:colOff>
                <xdr:row>10</xdr:row>
                <xdr:rowOff>9525</xdr:rowOff>
              </from>
              <to>
                <xdr:col>27</xdr:col>
                <xdr:colOff>504825</xdr:colOff>
                <xdr:row>11</xdr:row>
                <xdr:rowOff>142875</xdr:rowOff>
              </to>
            </anchor>
          </controlPr>
        </control>
      </mc:Choice>
      <mc:Fallback>
        <control shapeId="1026" r:id="rId4" name="Print_Report"/>
      </mc:Fallback>
    </mc:AlternateContent>
    <mc:AlternateContent xmlns:mc="http://schemas.openxmlformats.org/markup-compatibility/2006">
      <mc:Choice Requires="x14">
        <control shapeId="1025" r:id="rId6" name="Main_Export_Data">
          <controlPr defaultSize="0" autoLine="0" r:id="rId7">
            <anchor moveWithCells="1">
              <from>
                <xdr:col>25</xdr:col>
                <xdr:colOff>180975</xdr:colOff>
                <xdr:row>6</xdr:row>
                <xdr:rowOff>0</xdr:rowOff>
              </from>
              <to>
                <xdr:col>27</xdr:col>
                <xdr:colOff>476250</xdr:colOff>
                <xdr:row>8</xdr:row>
                <xdr:rowOff>57150</xdr:rowOff>
              </to>
            </anchor>
          </controlPr>
        </control>
      </mc:Choice>
      <mc:Fallback>
        <control shapeId="1025" r:id="rId6" name="Main_Export_Dat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E263"/>
  <sheetViews>
    <sheetView showZeros="0" zoomScale="80" zoomScaleNormal="80" workbookViewId="0">
      <pane xSplit="1" ySplit="4" topLeftCell="S195" activePane="bottomRight" state="frozen"/>
      <selection pane="topRight" activeCell="B1" sqref="B1"/>
      <selection pane="bottomLeft" activeCell="A4" sqref="A4"/>
      <selection pane="bottomRight" activeCell="Q1" sqref="Q1:Q1048576"/>
    </sheetView>
  </sheetViews>
  <sheetFormatPr defaultRowHeight="15.6" customHeight="1" x14ac:dyDescent="0.25"/>
  <cols>
    <col min="1" max="1" width="17.7109375" style="1" customWidth="1"/>
    <col min="2" max="2" width="10.28515625" style="1" customWidth="1"/>
    <col min="3" max="3" width="9.28515625" style="44" customWidth="1"/>
    <col min="4" max="4" width="10.5703125" customWidth="1"/>
    <col min="5" max="5" width="13.85546875" style="42" customWidth="1"/>
    <col min="6" max="6" width="15.7109375" style="65" customWidth="1"/>
    <col min="7" max="7" width="19.28515625" style="65" customWidth="1"/>
    <col min="8" max="8" width="33.7109375" customWidth="1"/>
    <col min="9" max="10" width="19.28515625" style="42" customWidth="1"/>
    <col min="11" max="11" width="22.28515625" style="42" customWidth="1"/>
    <col min="12" max="12" width="62.7109375" style="4" bestFit="1" customWidth="1"/>
    <col min="13" max="13" width="17.42578125" style="42" customWidth="1"/>
    <col min="14" max="15" width="13.7109375" customWidth="1"/>
    <col min="16" max="16" width="6.42578125" style="42" customWidth="1"/>
    <col min="17" max="17" width="6.42578125" customWidth="1"/>
    <col min="18" max="18" width="6.42578125" style="35" customWidth="1"/>
    <col min="19" max="19" width="9" style="152" customWidth="1"/>
    <col min="20" max="20" width="11" style="66" customWidth="1"/>
    <col min="21" max="21" width="10.140625" style="2" customWidth="1"/>
    <col min="22" max="22" width="15.85546875" style="42" customWidth="1"/>
    <col min="23" max="23" width="20.5703125" style="42" customWidth="1"/>
    <col min="24" max="24" width="16" style="188" customWidth="1"/>
    <col min="25" max="25" width="9.85546875" style="35" customWidth="1"/>
    <col min="26" max="26" width="10.28515625" style="35" customWidth="1"/>
    <col min="27" max="27" width="7" style="129" customWidth="1"/>
    <col min="28" max="28" width="9.28515625" style="133" customWidth="1"/>
    <col min="29" max="29" width="12.42578125" bestFit="1" customWidth="1"/>
    <col min="30" max="30" width="13" customWidth="1"/>
    <col min="31" max="31" width="9.7109375" customWidth="1"/>
    <col min="32" max="32" width="11.5703125" customWidth="1"/>
    <col min="33" max="33" width="11.42578125" customWidth="1"/>
    <col min="34" max="34" width="14.28515625" customWidth="1"/>
    <col min="35" max="35" width="16.7109375" customWidth="1"/>
    <col min="36" max="36" width="12.5703125" style="25" customWidth="1"/>
    <col min="37" max="37" width="11.140625" customWidth="1"/>
    <col min="38" max="40" width="9.140625" style="47"/>
    <col min="51" max="52" width="9.140625" style="2"/>
  </cols>
  <sheetData>
    <row r="1" spans="1:57" s="1" customFormat="1" ht="41.45" customHeight="1" x14ac:dyDescent="0.55000000000000004">
      <c r="A1" s="369"/>
      <c r="B1" s="310"/>
      <c r="C1" s="310"/>
      <c r="D1" s="310"/>
      <c r="E1" s="310"/>
      <c r="F1" s="310"/>
      <c r="G1" s="310"/>
      <c r="H1" s="310"/>
      <c r="I1" s="310"/>
      <c r="J1" s="310"/>
      <c r="K1" s="310"/>
      <c r="L1" s="717"/>
      <c r="M1" s="370"/>
      <c r="N1" s="370"/>
      <c r="O1" s="370"/>
      <c r="P1" s="370"/>
      <c r="Q1" s="370"/>
      <c r="R1" s="371"/>
      <c r="S1" s="370"/>
      <c r="T1" s="370"/>
      <c r="U1" s="370"/>
      <c r="V1" s="370"/>
      <c r="W1" s="370"/>
      <c r="X1" s="372"/>
      <c r="Y1" s="371"/>
      <c r="Z1" s="371"/>
      <c r="AA1" s="370"/>
      <c r="AB1" s="373"/>
      <c r="AC1" s="370"/>
      <c r="AD1" s="253"/>
      <c r="AE1" s="253"/>
      <c r="AF1" s="253"/>
      <c r="AG1" s="253"/>
      <c r="AH1" s="253"/>
      <c r="AI1" s="253"/>
      <c r="AJ1" s="374"/>
      <c r="AK1" s="254"/>
      <c r="AL1" s="725"/>
      <c r="AM1" s="725"/>
      <c r="AN1" s="725"/>
      <c r="AX1" s="59"/>
      <c r="AY1" s="59"/>
    </row>
    <row r="2" spans="1:57" s="1" customFormat="1" ht="15.6" customHeight="1" x14ac:dyDescent="0.55000000000000004">
      <c r="A2" s="375" t="s">
        <v>420</v>
      </c>
      <c r="B2" s="294"/>
      <c r="C2" s="294"/>
      <c r="D2" s="276"/>
      <c r="E2" s="276"/>
      <c r="F2" s="276"/>
      <c r="G2" s="276"/>
      <c r="H2" s="276"/>
      <c r="I2" s="276"/>
      <c r="J2" s="276"/>
      <c r="K2" s="276"/>
      <c r="L2" s="291"/>
      <c r="M2" s="276"/>
      <c r="N2" s="276"/>
      <c r="O2" s="276"/>
      <c r="P2" s="276"/>
      <c r="Q2" s="276"/>
      <c r="R2" s="345"/>
      <c r="S2" s="346"/>
      <c r="T2" s="276"/>
      <c r="U2" s="276"/>
      <c r="V2" s="276"/>
      <c r="W2" s="276"/>
      <c r="X2" s="347"/>
      <c r="Y2" s="345"/>
      <c r="Z2" s="345"/>
      <c r="AA2" s="276"/>
      <c r="AB2" s="343"/>
      <c r="AC2" s="276"/>
      <c r="AD2" s="216"/>
      <c r="AE2" s="216"/>
      <c r="AF2" s="216"/>
      <c r="AG2" s="216"/>
      <c r="AH2" s="216"/>
      <c r="AI2" s="216"/>
      <c r="AJ2" s="344"/>
      <c r="AK2" s="255"/>
      <c r="AL2" s="725"/>
      <c r="AM2" s="725"/>
      <c r="AN2" s="725"/>
      <c r="AV2" s="59"/>
      <c r="AW2" s="59"/>
    </row>
    <row r="3" spans="1:57" s="18" customFormat="1" ht="15.6" customHeight="1" x14ac:dyDescent="0.55000000000000004">
      <c r="A3" s="832">
        <f>Report_Date</f>
        <v>42309</v>
      </c>
      <c r="B3" s="833"/>
      <c r="C3" s="833"/>
      <c r="D3" s="311"/>
      <c r="E3" s="311"/>
      <c r="F3" s="311"/>
      <c r="G3" s="311"/>
      <c r="H3" s="311"/>
      <c r="I3" s="311"/>
      <c r="J3" s="311"/>
      <c r="K3" s="311"/>
      <c r="L3" s="718"/>
      <c r="M3" s="311"/>
      <c r="N3" s="311"/>
      <c r="O3" s="311"/>
      <c r="P3" s="311"/>
      <c r="Q3" s="311"/>
      <c r="R3" s="376"/>
      <c r="S3" s="377"/>
      <c r="T3" s="311"/>
      <c r="U3" s="311"/>
      <c r="V3" s="311"/>
      <c r="W3" s="311"/>
      <c r="X3" s="378"/>
      <c r="Y3" s="376"/>
      <c r="Z3" s="376"/>
      <c r="AA3" s="311"/>
      <c r="AB3" s="379"/>
      <c r="AC3" s="311"/>
      <c r="AD3" s="257"/>
      <c r="AE3" s="257"/>
      <c r="AF3" s="257"/>
      <c r="AG3" s="257"/>
      <c r="AH3" s="257"/>
      <c r="AI3" s="257"/>
      <c r="AJ3" s="380"/>
      <c r="AK3" s="258"/>
      <c r="AL3" s="726"/>
      <c r="AM3" s="726"/>
      <c r="AN3" s="726"/>
      <c r="AV3" s="60"/>
      <c r="AW3" s="60"/>
    </row>
    <row r="4" spans="1:57" ht="15.6" customHeight="1" thickBot="1" x14ac:dyDescent="0.3">
      <c r="A4" s="348" t="s">
        <v>500</v>
      </c>
      <c r="B4" s="349" t="s">
        <v>396</v>
      </c>
      <c r="C4" s="350" t="s">
        <v>926</v>
      </c>
      <c r="D4" s="351" t="s">
        <v>526</v>
      </c>
      <c r="E4" s="351" t="s">
        <v>927</v>
      </c>
      <c r="F4" s="352" t="s">
        <v>0</v>
      </c>
      <c r="G4" s="353" t="s">
        <v>928</v>
      </c>
      <c r="H4" s="354" t="s">
        <v>929</v>
      </c>
      <c r="I4" s="353" t="s">
        <v>930</v>
      </c>
      <c r="J4" s="354" t="s">
        <v>525</v>
      </c>
      <c r="K4" s="353" t="s">
        <v>931</v>
      </c>
      <c r="L4" s="355" t="s">
        <v>556</v>
      </c>
      <c r="M4" s="349" t="s">
        <v>932</v>
      </c>
      <c r="N4" s="355" t="s">
        <v>1</v>
      </c>
      <c r="O4" s="497" t="s">
        <v>1376</v>
      </c>
      <c r="P4" s="356" t="s">
        <v>858</v>
      </c>
      <c r="Q4" s="356" t="s">
        <v>2</v>
      </c>
      <c r="R4" s="358" t="s">
        <v>3</v>
      </c>
      <c r="S4" s="359" t="s">
        <v>492</v>
      </c>
      <c r="T4" s="355" t="s">
        <v>499</v>
      </c>
      <c r="U4" s="360" t="s">
        <v>1272</v>
      </c>
      <c r="V4" s="354" t="s">
        <v>402</v>
      </c>
      <c r="W4" s="360" t="s">
        <v>859</v>
      </c>
      <c r="X4" s="361" t="s">
        <v>860</v>
      </c>
      <c r="Y4" s="362" t="s">
        <v>934</v>
      </c>
      <c r="Z4" s="356" t="s">
        <v>933</v>
      </c>
      <c r="AA4" s="357" t="s">
        <v>493</v>
      </c>
      <c r="AB4" s="363" t="s">
        <v>494</v>
      </c>
      <c r="AC4" s="364" t="s">
        <v>503</v>
      </c>
      <c r="AD4" s="353" t="s">
        <v>498</v>
      </c>
      <c r="AE4" s="365" t="s">
        <v>1087</v>
      </c>
      <c r="AF4" s="704" t="s">
        <v>1136</v>
      </c>
      <c r="AG4" s="705" t="s">
        <v>1133</v>
      </c>
      <c r="AH4" s="704" t="s">
        <v>1134</v>
      </c>
      <c r="AI4" s="366" t="s">
        <v>1211</v>
      </c>
      <c r="AJ4" s="367" t="s">
        <v>1212</v>
      </c>
      <c r="AK4" s="368" t="s">
        <v>1233</v>
      </c>
      <c r="AY4"/>
      <c r="AZ4"/>
      <c r="BC4" s="2"/>
      <c r="BD4" s="2"/>
    </row>
    <row r="5" spans="1:57" s="4" customFormat="1" ht="15.6" hidden="1" customHeight="1" x14ac:dyDescent="0.25">
      <c r="A5" s="555" t="s">
        <v>849</v>
      </c>
      <c r="B5" s="527" t="s">
        <v>380</v>
      </c>
      <c r="C5" s="527" t="s">
        <v>527</v>
      </c>
      <c r="D5" s="527" t="s">
        <v>180</v>
      </c>
      <c r="E5" s="527" t="s">
        <v>528</v>
      </c>
      <c r="F5" s="527" t="s">
        <v>529</v>
      </c>
      <c r="G5" s="525" t="s">
        <v>530</v>
      </c>
      <c r="H5" s="556" t="s">
        <v>614</v>
      </c>
      <c r="I5" s="556" t="s">
        <v>615</v>
      </c>
      <c r="J5" s="556" t="s">
        <v>614</v>
      </c>
      <c r="K5" s="557">
        <v>166773</v>
      </c>
      <c r="L5" s="527" t="s">
        <v>128</v>
      </c>
      <c r="M5" s="527" t="s">
        <v>127</v>
      </c>
      <c r="N5" s="558">
        <v>96.359549999999999</v>
      </c>
      <c r="O5" s="558">
        <v>25.658650000000002</v>
      </c>
      <c r="P5" s="569"/>
      <c r="Q5" s="509">
        <v>0</v>
      </c>
      <c r="R5" s="531">
        <v>0</v>
      </c>
      <c r="S5" s="333" t="str">
        <f>IF(CampList[[#This Row],[HH]]&gt;0,CampList[[#This Row],[Total]]/CampList[[#This Row],[HH]],"NA")</f>
        <v>NA</v>
      </c>
      <c r="T5" s="561" t="s">
        <v>513</v>
      </c>
      <c r="U5" s="562" t="s">
        <v>1213</v>
      </c>
      <c r="V5" s="527" t="s">
        <v>556</v>
      </c>
      <c r="W5" s="562"/>
      <c r="X5" s="570"/>
      <c r="Y5" s="571"/>
      <c r="Z5" s="562"/>
      <c r="AA5" s="515"/>
      <c r="AB5" s="527"/>
      <c r="AC5" s="572"/>
      <c r="AD5" s="523" t="s">
        <v>603</v>
      </c>
      <c r="AE5" s="571" t="s">
        <v>1014</v>
      </c>
      <c r="AF5" s="535">
        <f>IF(CampList[[#This Row],[Type of Accomodation]]="camp",MAX(0,CampList[[#This Row],[HH]]-SUMIF(Table_Shelter[Pcode],CampList[[#This Row],[CP_Pcode]],Table_Shelter[HH Covered])),0)</f>
        <v>0</v>
      </c>
      <c r="AG5" s="525"/>
      <c r="AH5" s="525">
        <f>MIN(CampList[[#This Row],[Shelter Gap]],CampList[[#This Row],[Land Status]])</f>
        <v>0</v>
      </c>
      <c r="AI5" s="525" t="str">
        <f ca="1">IFERROR(OFFSET(DistanceToCamp[Nearest Town],MATCH(CampList[[#This Row],[CP_Pcode]],DistanceToCamp[CP_Pcode],0)-1,0,1,1),"")</f>
        <v/>
      </c>
      <c r="AJ5" s="336" t="str">
        <f ca="1">IFERROR(OFFSET(DistanceToCamp[distance],MATCH(CampList[[#This Row],[CP_Pcode]],DistanceToCamp[CP_Pcode],0)-1,0,1,1),"")</f>
        <v/>
      </c>
      <c r="AK5" s="567" t="str">
        <f ca="1">IFERROR(INT(CampList[[#This Row],[Distance]]/5)+1,"")</f>
        <v/>
      </c>
      <c r="AL5" s="727"/>
      <c r="AM5" s="727"/>
      <c r="AN5" s="727"/>
      <c r="BD5" s="5"/>
      <c r="BE5" s="5"/>
    </row>
    <row r="6" spans="1:57" s="4" customFormat="1" ht="15.6" customHeight="1" x14ac:dyDescent="0.25">
      <c r="A6" s="555" t="s">
        <v>502</v>
      </c>
      <c r="B6" s="527" t="s">
        <v>380</v>
      </c>
      <c r="C6" s="527" t="s">
        <v>527</v>
      </c>
      <c r="D6" s="527" t="s">
        <v>180</v>
      </c>
      <c r="E6" s="527" t="s">
        <v>528</v>
      </c>
      <c r="F6" s="527" t="s">
        <v>529</v>
      </c>
      <c r="G6" s="525" t="s">
        <v>530</v>
      </c>
      <c r="H6" s="556" t="s">
        <v>614</v>
      </c>
      <c r="I6" s="556" t="s">
        <v>615</v>
      </c>
      <c r="J6" s="556" t="s">
        <v>614</v>
      </c>
      <c r="K6" s="557">
        <v>166773</v>
      </c>
      <c r="L6" s="527" t="s">
        <v>62</v>
      </c>
      <c r="M6" s="527" t="s">
        <v>61</v>
      </c>
      <c r="N6" s="558">
        <v>96.355270000000004</v>
      </c>
      <c r="O6" s="558">
        <v>25.656130000000001</v>
      </c>
      <c r="P6" s="559">
        <v>0</v>
      </c>
      <c r="Q6" s="509">
        <v>76</v>
      </c>
      <c r="R6" s="531">
        <v>344</v>
      </c>
      <c r="S6" s="333">
        <f>IF(CampList[[#This Row],[HH]]&gt;0,CampList[[#This Row],[Total]]/CampList[[#This Row],[HH]],"NA")</f>
        <v>4.5263157894736841</v>
      </c>
      <c r="T6" s="581" t="s">
        <v>513</v>
      </c>
      <c r="U6" s="562" t="s">
        <v>1213</v>
      </c>
      <c r="V6" s="527" t="s">
        <v>556</v>
      </c>
      <c r="W6" s="562" t="s">
        <v>862</v>
      </c>
      <c r="X6" s="563">
        <v>41275</v>
      </c>
      <c r="Y6" s="564">
        <v>2</v>
      </c>
      <c r="Z6" s="563" t="s">
        <v>462</v>
      </c>
      <c r="AA6" s="516" t="s">
        <v>848</v>
      </c>
      <c r="AB6" s="527"/>
      <c r="AC6" s="565">
        <v>42340</v>
      </c>
      <c r="AD6" s="523" t="s">
        <v>1457</v>
      </c>
      <c r="AE6" s="564" t="s">
        <v>1100</v>
      </c>
      <c r="AF6" s="535">
        <f>IF(CampList[[#This Row],[Type of Accomodation]]="camp",MAX(0,CampList[[#This Row],[HH]]-SUMIF(Table_Shelter[Pcode],CampList[[#This Row],[CP_Pcode]],Table_Shelter[HH Covered])),0)</f>
        <v>56</v>
      </c>
      <c r="AG6" s="525"/>
      <c r="AH6" s="525">
        <f>MIN(CampList[[#This Row],[Shelter Gap]],CampList[[#This Row],[Land Status]])</f>
        <v>56</v>
      </c>
      <c r="AI6" s="525" t="str">
        <f ca="1">IFERROR(OFFSET(DistanceToCamp[Nearest Town],MATCH(CampList[[#This Row],[CP_Pcode]],DistanceToCamp[CP_Pcode],0)-1,0,1,1),"")</f>
        <v>Hpakant Town</v>
      </c>
      <c r="AJ6" s="336">
        <f ca="1">IFERROR(OFFSET(DistanceToCamp[distance],MATCH(CampList[[#This Row],[CP_Pcode]],DistanceToCamp[CP_Pcode],0)-1,0,1,1),"")</f>
        <v>6.4753396248436657</v>
      </c>
      <c r="AK6" s="567">
        <f ca="1">IFERROR(INT(CampList[[#This Row],[Distance]]/5)+1,"")</f>
        <v>2</v>
      </c>
      <c r="AL6" s="727"/>
      <c r="AM6" s="727"/>
      <c r="AN6" s="727"/>
      <c r="BD6" s="5"/>
      <c r="BE6" s="5"/>
    </row>
    <row r="7" spans="1:57" s="4" customFormat="1" ht="15.6" customHeight="1" x14ac:dyDescent="0.25">
      <c r="A7" s="555" t="s">
        <v>502</v>
      </c>
      <c r="B7" s="527" t="s">
        <v>380</v>
      </c>
      <c r="C7" s="527" t="s">
        <v>527</v>
      </c>
      <c r="D7" s="527" t="s">
        <v>180</v>
      </c>
      <c r="E7" s="527" t="s">
        <v>528</v>
      </c>
      <c r="F7" s="527" t="s">
        <v>529</v>
      </c>
      <c r="G7" s="525" t="s">
        <v>530</v>
      </c>
      <c r="H7" s="556" t="s">
        <v>614</v>
      </c>
      <c r="I7" s="556" t="s">
        <v>615</v>
      </c>
      <c r="J7" s="556" t="s">
        <v>614</v>
      </c>
      <c r="K7" s="557">
        <v>166773</v>
      </c>
      <c r="L7" s="527" t="s">
        <v>120</v>
      </c>
      <c r="M7" s="527" t="s">
        <v>119</v>
      </c>
      <c r="N7" s="558">
        <v>96.353070000000002</v>
      </c>
      <c r="O7" s="558">
        <v>25.655819999999999</v>
      </c>
      <c r="P7" s="559">
        <v>317</v>
      </c>
      <c r="Q7" s="509">
        <v>75</v>
      </c>
      <c r="R7" s="531">
        <v>404</v>
      </c>
      <c r="S7" s="333">
        <f>IF(CampList[[#This Row],[HH]]&gt;0,CampList[[#This Row],[Total]]/CampList[[#This Row],[HH]],"NA")</f>
        <v>5.3866666666666667</v>
      </c>
      <c r="T7" s="581" t="s">
        <v>513</v>
      </c>
      <c r="U7" s="562" t="s">
        <v>1213</v>
      </c>
      <c r="V7" s="527" t="s">
        <v>556</v>
      </c>
      <c r="W7" s="562" t="s">
        <v>862</v>
      </c>
      <c r="X7" s="563">
        <v>41275</v>
      </c>
      <c r="Y7" s="564"/>
      <c r="Z7" s="563" t="s">
        <v>1097</v>
      </c>
      <c r="AA7" s="515" t="s">
        <v>848</v>
      </c>
      <c r="AB7" s="527"/>
      <c r="AC7" s="579">
        <v>42300</v>
      </c>
      <c r="AD7" s="523" t="s">
        <v>1378</v>
      </c>
      <c r="AE7" s="564" t="s">
        <v>1100</v>
      </c>
      <c r="AF7" s="535">
        <f>IF(CampList[[#This Row],[Type of Accomodation]]="camp",MAX(0,CampList[[#This Row],[HH]]-SUMIF(Table_Shelter[Pcode],CampList[[#This Row],[CP_Pcode]],Table_Shelter[HH Covered])),0)</f>
        <v>75</v>
      </c>
      <c r="AG7" s="525"/>
      <c r="AH7" s="525">
        <f>MIN(CampList[[#This Row],[Shelter Gap]],CampList[[#This Row],[Land Status]])</f>
        <v>75</v>
      </c>
      <c r="AI7" s="525" t="str">
        <f ca="1">IFERROR(OFFSET(DistanceToCamp[Nearest Town],MATCH(CampList[[#This Row],[CP_Pcode]],DistanceToCamp[CP_Pcode],0)-1,0,1,1),"")</f>
        <v>Hpakant Town</v>
      </c>
      <c r="AJ7" s="336">
        <f ca="1">IFERROR(OFFSET(DistanceToCamp[distance],MATCH(CampList[[#This Row],[CP_Pcode]],DistanceToCamp[CP_Pcode],0)-1,0,1,1),"")</f>
        <v>6.3039408411778268</v>
      </c>
      <c r="AK7" s="567">
        <f ca="1">IFERROR(INT(CampList[[#This Row],[Distance]]/5)+1,"")</f>
        <v>2</v>
      </c>
      <c r="AL7" s="727"/>
      <c r="AM7" s="727"/>
      <c r="AN7" s="727"/>
      <c r="BD7" s="5"/>
      <c r="BE7" s="5"/>
    </row>
    <row r="8" spans="1:57" s="4" customFormat="1" ht="15.6" customHeight="1" x14ac:dyDescent="0.25">
      <c r="A8" s="495" t="s">
        <v>502</v>
      </c>
      <c r="B8" s="535" t="s">
        <v>380</v>
      </c>
      <c r="C8" s="535" t="s">
        <v>527</v>
      </c>
      <c r="D8" s="535" t="s">
        <v>5</v>
      </c>
      <c r="E8" s="535" t="s">
        <v>531</v>
      </c>
      <c r="F8" s="535" t="s">
        <v>5</v>
      </c>
      <c r="G8" s="535" t="s">
        <v>532</v>
      </c>
      <c r="H8" s="535" t="s">
        <v>639</v>
      </c>
      <c r="I8" s="598" t="s">
        <v>640</v>
      </c>
      <c r="J8" s="535"/>
      <c r="K8" s="535"/>
      <c r="L8" s="535" t="s">
        <v>6</v>
      </c>
      <c r="M8" s="535" t="s">
        <v>4</v>
      </c>
      <c r="N8" s="508">
        <v>97.238829999999993</v>
      </c>
      <c r="O8" s="508">
        <v>24.260719999999999</v>
      </c>
      <c r="P8" s="569"/>
      <c r="Q8" s="511">
        <v>301</v>
      </c>
      <c r="R8" s="532">
        <v>1404</v>
      </c>
      <c r="S8" s="333">
        <f>IF(CampList[[#This Row],[HH]]&gt;0,CampList[[#This Row],[Total]]/CampList[[#This Row],[HH]],"NA")</f>
        <v>4.6644518272425248</v>
      </c>
      <c r="T8" s="599" t="s">
        <v>513</v>
      </c>
      <c r="U8" s="561" t="s">
        <v>1213</v>
      </c>
      <c r="V8" s="496" t="s">
        <v>556</v>
      </c>
      <c r="W8" s="508" t="s">
        <v>808</v>
      </c>
      <c r="X8" s="577">
        <v>40848</v>
      </c>
      <c r="Y8" s="571">
        <v>2</v>
      </c>
      <c r="Z8" s="571" t="s">
        <v>1096</v>
      </c>
      <c r="AA8" s="511" t="s">
        <v>848</v>
      </c>
      <c r="AB8" s="599"/>
      <c r="AC8" s="565">
        <v>42235</v>
      </c>
      <c r="AD8" s="535" t="s">
        <v>1348</v>
      </c>
      <c r="AE8" s="597" t="s">
        <v>1100</v>
      </c>
      <c r="AF8" s="598">
        <f>IF(CampList[[#This Row],[Type of Accomodation]]="camp",MAX(0,CampList[[#This Row],[HH]]-SUMIF(Table_Shelter[Pcode],CampList[[#This Row],[CP_Pcode]],Table_Shelter[HH Covered])),0)</f>
        <v>131</v>
      </c>
      <c r="AG8" s="535">
        <v>20</v>
      </c>
      <c r="AH8" s="598">
        <f>MIN(CampList[[#This Row],[Shelter Gap]],CampList[[#This Row],[Land Status]])</f>
        <v>20</v>
      </c>
      <c r="AI8" s="598" t="str">
        <f ca="1">IFERROR(OFFSET(DistanceToCamp[Nearest Town],MATCH(CampList[[#This Row],[CP_Pcode]],DistanceToCamp[CP_Pcode],0)-1,0,1,1),"")</f>
        <v>Bhamo Town</v>
      </c>
      <c r="AJ8" s="336">
        <f ca="1">IFERROR(OFFSET(DistanceToCamp[distance],MATCH(CampList[[#This Row],[CP_Pcode]],DistanceToCamp[CP_Pcode],0)-1,0,1,1),"")</f>
        <v>0.78440046838596356</v>
      </c>
      <c r="AK8" s="600">
        <f ca="1">IFERROR(INT(CampList[[#This Row],[Distance]]/5)+1,"")</f>
        <v>1</v>
      </c>
      <c r="AL8" s="727"/>
      <c r="AM8" s="727"/>
      <c r="AN8" s="727"/>
      <c r="BD8" s="5"/>
      <c r="BE8" s="5"/>
    </row>
    <row r="9" spans="1:57" s="4" customFormat="1" ht="15.6" customHeight="1" x14ac:dyDescent="0.25">
      <c r="A9" s="555" t="s">
        <v>502</v>
      </c>
      <c r="B9" s="527" t="s">
        <v>380</v>
      </c>
      <c r="C9" s="527" t="s">
        <v>527</v>
      </c>
      <c r="D9" s="527" t="s">
        <v>180</v>
      </c>
      <c r="E9" s="527" t="s">
        <v>528</v>
      </c>
      <c r="F9" s="527" t="s">
        <v>529</v>
      </c>
      <c r="G9" s="525" t="s">
        <v>530</v>
      </c>
      <c r="H9" s="556" t="s">
        <v>605</v>
      </c>
      <c r="I9" s="556" t="s">
        <v>606</v>
      </c>
      <c r="J9" s="556"/>
      <c r="K9" s="557"/>
      <c r="L9" s="527" t="s">
        <v>41</v>
      </c>
      <c r="M9" s="527" t="s">
        <v>40</v>
      </c>
      <c r="N9" s="558">
        <v>96.345569999999995</v>
      </c>
      <c r="O9" s="558">
        <v>25.635300000000001</v>
      </c>
      <c r="P9" s="559">
        <v>0</v>
      </c>
      <c r="Q9" s="509">
        <v>67</v>
      </c>
      <c r="R9" s="531">
        <v>350</v>
      </c>
      <c r="S9" s="333">
        <f>IF(CampList[[#This Row],[HH]]&gt;0,CampList[[#This Row],[Total]]/CampList[[#This Row],[HH]],"NA")</f>
        <v>5.2238805970149258</v>
      </c>
      <c r="T9" s="581" t="s">
        <v>513</v>
      </c>
      <c r="U9" s="562" t="s">
        <v>1213</v>
      </c>
      <c r="V9" s="527" t="s">
        <v>556</v>
      </c>
      <c r="W9" s="562" t="s">
        <v>808</v>
      </c>
      <c r="X9" s="563">
        <v>41275</v>
      </c>
      <c r="Y9" s="564">
        <v>1</v>
      </c>
      <c r="Z9" s="563" t="s">
        <v>507</v>
      </c>
      <c r="AA9" s="521" t="s">
        <v>848</v>
      </c>
      <c r="AB9" s="527"/>
      <c r="AC9" s="565">
        <v>42291</v>
      </c>
      <c r="AD9" s="523" t="s">
        <v>1373</v>
      </c>
      <c r="AE9" s="564" t="s">
        <v>1100</v>
      </c>
      <c r="AF9" s="535">
        <f>IF(CampList[[#This Row],[Type of Accomodation]]="camp",MAX(0,CampList[[#This Row],[HH]]-SUMIF(Table_Shelter[Pcode],CampList[[#This Row],[CP_Pcode]],Table_Shelter[HH Covered])),0)</f>
        <v>22</v>
      </c>
      <c r="AG9" s="525"/>
      <c r="AH9" s="525">
        <f>MIN(CampList[[#This Row],[Shelter Gap]],CampList[[#This Row],[Land Status]])</f>
        <v>22</v>
      </c>
      <c r="AI9" s="525" t="str">
        <f ca="1">IFERROR(OFFSET(DistanceToCamp[Nearest Town],MATCH(CampList[[#This Row],[CP_Pcode]],DistanceToCamp[CP_Pcode],0)-1,0,1,1),"")</f>
        <v>Hpakant Town</v>
      </c>
      <c r="AJ9" s="336">
        <f ca="1">IFERROR(OFFSET(DistanceToCamp[distance],MATCH(CampList[[#This Row],[CP_Pcode]],DistanceToCamp[CP_Pcode],0)-1,0,1,1),"")</f>
        <v>4.1842484710239098</v>
      </c>
      <c r="AK9" s="567">
        <f ca="1">IFERROR(INT(CampList[[#This Row],[Distance]]/5)+1,"")</f>
        <v>1</v>
      </c>
      <c r="AL9" s="727"/>
      <c r="AM9" s="727"/>
      <c r="AN9" s="727"/>
      <c r="BD9" s="5"/>
      <c r="BE9" s="5"/>
    </row>
    <row r="10" spans="1:57" s="4" customFormat="1" ht="15.6" customHeight="1" x14ac:dyDescent="0.25">
      <c r="A10" s="555" t="s">
        <v>502</v>
      </c>
      <c r="B10" s="527" t="s">
        <v>380</v>
      </c>
      <c r="C10" s="527" t="s">
        <v>527</v>
      </c>
      <c r="D10" s="527" t="s">
        <v>180</v>
      </c>
      <c r="E10" s="527" t="s">
        <v>528</v>
      </c>
      <c r="F10" s="527" t="s">
        <v>529</v>
      </c>
      <c r="G10" s="525" t="s">
        <v>530</v>
      </c>
      <c r="H10" s="556" t="s">
        <v>605</v>
      </c>
      <c r="I10" s="556" t="s">
        <v>606</v>
      </c>
      <c r="J10" s="556" t="s">
        <v>609</v>
      </c>
      <c r="K10" s="557" t="s">
        <v>610</v>
      </c>
      <c r="L10" s="527" t="s">
        <v>43</v>
      </c>
      <c r="M10" s="527" t="s">
        <v>42</v>
      </c>
      <c r="N10" s="558">
        <v>96.317350000000005</v>
      </c>
      <c r="O10" s="558">
        <v>25.616509000000001</v>
      </c>
      <c r="P10" s="559">
        <v>264</v>
      </c>
      <c r="Q10" s="509">
        <v>14</v>
      </c>
      <c r="R10" s="531">
        <v>83</v>
      </c>
      <c r="S10" s="333">
        <f>IF(CampList[[#This Row],[HH]]&gt;0,CampList[[#This Row],[Total]]/CampList[[#This Row],[HH]],"NA")</f>
        <v>5.9285714285714288</v>
      </c>
      <c r="T10" s="581" t="s">
        <v>513</v>
      </c>
      <c r="U10" s="562" t="s">
        <v>1213</v>
      </c>
      <c r="V10" s="527" t="s">
        <v>556</v>
      </c>
      <c r="W10" s="508" t="s">
        <v>808</v>
      </c>
      <c r="X10" s="563">
        <v>41275</v>
      </c>
      <c r="Y10" s="564">
        <v>1</v>
      </c>
      <c r="Z10" s="563" t="s">
        <v>507</v>
      </c>
      <c r="AA10" s="521" t="s">
        <v>848</v>
      </c>
      <c r="AB10" s="527"/>
      <c r="AC10" s="565">
        <v>42291</v>
      </c>
      <c r="AD10" s="523" t="s">
        <v>1373</v>
      </c>
      <c r="AE10" s="564" t="s">
        <v>1100</v>
      </c>
      <c r="AF10" s="535">
        <f>IF(CampList[[#This Row],[Type of Accomodation]]="camp",MAX(0,CampList[[#This Row],[HH]]-SUMIF(Table_Shelter[Pcode],CampList[[#This Row],[CP_Pcode]],Table_Shelter[HH Covered])),0)</f>
        <v>4</v>
      </c>
      <c r="AG10" s="525"/>
      <c r="AH10" s="525">
        <f>MIN(CampList[[#This Row],[Shelter Gap]],CampList[[#This Row],[Land Status]])</f>
        <v>4</v>
      </c>
      <c r="AI10" s="525" t="str">
        <f ca="1">IFERROR(OFFSET(DistanceToCamp[Nearest Town],MATCH(CampList[[#This Row],[CP_Pcode]],DistanceToCamp[CP_Pcode],0)-1,0,1,1),"")</f>
        <v>Hpakant Town</v>
      </c>
      <c r="AJ10" s="336">
        <f ca="1">IFERROR(OFFSET(DistanceToCamp[distance],MATCH(CampList[[#This Row],[CP_Pcode]],DistanceToCamp[CP_Pcode],0)-1,0,1,1),"")</f>
        <v>0.66733171900141897</v>
      </c>
      <c r="AK10" s="567">
        <f ca="1">IFERROR(INT(CampList[[#This Row],[Distance]]/5)+1,"")</f>
        <v>1</v>
      </c>
      <c r="AL10" s="727"/>
      <c r="AM10" s="727"/>
      <c r="AN10" s="727"/>
      <c r="BD10" s="5"/>
      <c r="BE10" s="5"/>
    </row>
    <row r="11" spans="1:57" s="4" customFormat="1" ht="15.6" hidden="1" customHeight="1" x14ac:dyDescent="0.25">
      <c r="A11" s="555" t="s">
        <v>849</v>
      </c>
      <c r="B11" s="527" t="s">
        <v>380</v>
      </c>
      <c r="C11" s="527" t="s">
        <v>527</v>
      </c>
      <c r="D11" s="527" t="s">
        <v>180</v>
      </c>
      <c r="E11" s="527" t="s">
        <v>528</v>
      </c>
      <c r="F11" s="527" t="s">
        <v>529</v>
      </c>
      <c r="G11" s="525" t="s">
        <v>530</v>
      </c>
      <c r="H11" s="556" t="s">
        <v>614</v>
      </c>
      <c r="I11" s="556" t="s">
        <v>615</v>
      </c>
      <c r="J11" s="556" t="s">
        <v>616</v>
      </c>
      <c r="K11" s="557">
        <v>166775</v>
      </c>
      <c r="L11" s="527" t="s">
        <v>39</v>
      </c>
      <c r="M11" s="527" t="s">
        <v>38</v>
      </c>
      <c r="N11" s="568"/>
      <c r="O11" s="568"/>
      <c r="P11" s="569"/>
      <c r="Q11" s="509">
        <v>0</v>
      </c>
      <c r="R11" s="531">
        <v>0</v>
      </c>
      <c r="S11" s="333" t="str">
        <f>IF(CampList[[#This Row],[HH]]&gt;0,CampList[[#This Row],[Total]]/CampList[[#This Row],[HH]],"NA")</f>
        <v>NA</v>
      </c>
      <c r="T11" s="561" t="s">
        <v>513</v>
      </c>
      <c r="U11" s="562" t="s">
        <v>1213</v>
      </c>
      <c r="V11" s="527" t="s">
        <v>556</v>
      </c>
      <c r="W11" s="562"/>
      <c r="X11" s="570"/>
      <c r="Y11" s="571"/>
      <c r="Z11" s="562"/>
      <c r="AA11" s="515"/>
      <c r="AB11" s="527"/>
      <c r="AC11" s="572"/>
      <c r="AD11" s="523" t="s">
        <v>603</v>
      </c>
      <c r="AE11" s="571" t="s">
        <v>1014</v>
      </c>
      <c r="AF11" s="535">
        <f>IF(CampList[[#This Row],[Type of Accomodation]]="camp",MAX(0,CampList[[#This Row],[HH]]-SUMIF(Table_Shelter[Pcode],CampList[[#This Row],[CP_Pcode]],Table_Shelter[HH Covered])),0)</f>
        <v>0</v>
      </c>
      <c r="AG11" s="525"/>
      <c r="AH11" s="525">
        <f>MIN(CampList[[#This Row],[Shelter Gap]],CampList[[#This Row],[Land Status]])</f>
        <v>0</v>
      </c>
      <c r="AI11" s="525" t="str">
        <f ca="1">IFERROR(OFFSET(DistanceToCamp[Nearest Town],MATCH(CampList[[#This Row],[CP_Pcode]],DistanceToCamp[CP_Pcode],0)-1,0,1,1),"")</f>
        <v/>
      </c>
      <c r="AJ11" s="336" t="str">
        <f ca="1">IFERROR(OFFSET(DistanceToCamp[distance],MATCH(CampList[[#This Row],[CP_Pcode]],DistanceToCamp[CP_Pcode],0)-1,0,1,1),"")</f>
        <v/>
      </c>
      <c r="AK11" s="567" t="str">
        <f ca="1">IFERROR(INT(CampList[[#This Row],[Distance]]/5)+1,"")</f>
        <v/>
      </c>
      <c r="AL11" s="727"/>
      <c r="AM11" s="727"/>
      <c r="AN11" s="727"/>
      <c r="BD11" s="5"/>
      <c r="BE11" s="5"/>
    </row>
    <row r="12" spans="1:57" s="4" customFormat="1" ht="15.6" customHeight="1" x14ac:dyDescent="0.25">
      <c r="A12" s="555" t="s">
        <v>502</v>
      </c>
      <c r="B12" s="527" t="s">
        <v>380</v>
      </c>
      <c r="C12" s="527" t="s">
        <v>527</v>
      </c>
      <c r="D12" s="527" t="s">
        <v>5</v>
      </c>
      <c r="E12" s="527" t="s">
        <v>531</v>
      </c>
      <c r="F12" s="527" t="s">
        <v>5</v>
      </c>
      <c r="G12" s="525" t="s">
        <v>532</v>
      </c>
      <c r="H12" s="556" t="s">
        <v>639</v>
      </c>
      <c r="I12" s="556" t="s">
        <v>640</v>
      </c>
      <c r="J12" s="556"/>
      <c r="K12" s="557"/>
      <c r="L12" s="574" t="s">
        <v>514</v>
      </c>
      <c r="M12" s="527" t="s">
        <v>377</v>
      </c>
      <c r="N12" s="558">
        <v>97.252650000000003</v>
      </c>
      <c r="O12" s="558">
        <v>24.260466999999998</v>
      </c>
      <c r="P12" s="559">
        <v>0</v>
      </c>
      <c r="Q12" s="509">
        <v>12</v>
      </c>
      <c r="R12" s="531">
        <v>51</v>
      </c>
      <c r="S12" s="333">
        <f>IF(CampList[[#This Row],[HH]]&gt;0,CampList[[#This Row],[Total]]/CampList[[#This Row],[HH]],"NA")</f>
        <v>4.25</v>
      </c>
      <c r="T12" s="581" t="s">
        <v>513</v>
      </c>
      <c r="U12" s="562" t="s">
        <v>1213</v>
      </c>
      <c r="V12" s="527" t="s">
        <v>556</v>
      </c>
      <c r="W12" s="562" t="s">
        <v>808</v>
      </c>
      <c r="X12" s="563">
        <v>40787</v>
      </c>
      <c r="Y12" s="564">
        <v>1</v>
      </c>
      <c r="Z12" s="563" t="s">
        <v>462</v>
      </c>
      <c r="AA12" s="516" t="s">
        <v>848</v>
      </c>
      <c r="AB12" s="527"/>
      <c r="AC12" s="565">
        <v>42351</v>
      </c>
      <c r="AD12" s="523" t="s">
        <v>1475</v>
      </c>
      <c r="AE12" s="564" t="s">
        <v>1100</v>
      </c>
      <c r="AF12" s="535">
        <f>IF(CampList[[#This Row],[Type of Accomodation]]="camp",MAX(0,CampList[[#This Row],[HH]]-SUMIF(Table_Shelter[Pcode],CampList[[#This Row],[CP_Pcode]],Table_Shelter[HH Covered])),0)</f>
        <v>0</v>
      </c>
      <c r="AG12" s="525"/>
      <c r="AH12" s="525">
        <f>MIN(CampList[[#This Row],[Shelter Gap]],CampList[[#This Row],[Land Status]])</f>
        <v>0</v>
      </c>
      <c r="AI12" s="525" t="str">
        <f ca="1">IFERROR(OFFSET(DistanceToCamp[Nearest Town],MATCH(CampList[[#This Row],[CP_Pcode]],DistanceToCamp[CP_Pcode],0)-1,0,1,1),"")</f>
        <v>Bhamo Town</v>
      </c>
      <c r="AJ12" s="336">
        <f ca="1">IFERROR(OFFSET(DistanceToCamp[distance],MATCH(CampList[[#This Row],[CP_Pcode]],DistanceToCamp[CP_Pcode],0)-1,0,1,1),"")</f>
        <v>1.9489261822960435</v>
      </c>
      <c r="AK12" s="567">
        <f ca="1">IFERROR(INT(CampList[[#This Row],[Distance]]/5)+1,"")</f>
        <v>1</v>
      </c>
      <c r="AL12" s="727"/>
      <c r="AM12" s="727"/>
      <c r="AN12" s="727"/>
      <c r="BD12" s="5"/>
      <c r="BE12" s="5"/>
    </row>
    <row r="13" spans="1:57" s="4" customFormat="1" ht="15.6" hidden="1" customHeight="1" x14ac:dyDescent="0.25">
      <c r="A13" s="555" t="s">
        <v>849</v>
      </c>
      <c r="B13" s="527" t="s">
        <v>380</v>
      </c>
      <c r="C13" s="527" t="s">
        <v>527</v>
      </c>
      <c r="D13" s="527" t="s">
        <v>180</v>
      </c>
      <c r="E13" s="527" t="s">
        <v>528</v>
      </c>
      <c r="F13" s="527" t="s">
        <v>529</v>
      </c>
      <c r="G13" s="525" t="s">
        <v>530</v>
      </c>
      <c r="H13" s="556" t="s">
        <v>614</v>
      </c>
      <c r="I13" s="556" t="s">
        <v>615</v>
      </c>
      <c r="J13" s="556" t="s">
        <v>762</v>
      </c>
      <c r="K13" s="557">
        <v>216877</v>
      </c>
      <c r="L13" s="527" t="s">
        <v>48</v>
      </c>
      <c r="M13" s="527" t="s">
        <v>47</v>
      </c>
      <c r="N13" s="558">
        <v>96.339870000000005</v>
      </c>
      <c r="O13" s="558">
        <v>25.655989999999999</v>
      </c>
      <c r="P13" s="569"/>
      <c r="Q13" s="509">
        <v>0</v>
      </c>
      <c r="R13" s="531">
        <v>0</v>
      </c>
      <c r="S13" s="333" t="str">
        <f>IF(CampList[[#This Row],[HH]]&gt;0,CampList[[#This Row],[Total]]/CampList[[#This Row],[HH]],"NA")</f>
        <v>NA</v>
      </c>
      <c r="T13" s="561" t="s">
        <v>513</v>
      </c>
      <c r="U13" s="562" t="s">
        <v>1213</v>
      </c>
      <c r="V13" s="527" t="s">
        <v>556</v>
      </c>
      <c r="W13" s="562"/>
      <c r="X13" s="570"/>
      <c r="Y13" s="571"/>
      <c r="Z13" s="562"/>
      <c r="AA13" s="515"/>
      <c r="AB13" s="527"/>
      <c r="AC13" s="572"/>
      <c r="AD13" s="523" t="s">
        <v>603</v>
      </c>
      <c r="AE13" s="571" t="s">
        <v>1014</v>
      </c>
      <c r="AF13" s="535">
        <f>IF(CampList[[#This Row],[Type of Accomodation]]="camp",MAX(0,CampList[[#This Row],[HH]]-SUMIF(Table_Shelter[Pcode],CampList[[#This Row],[CP_Pcode]],Table_Shelter[HH Covered])),0)</f>
        <v>0</v>
      </c>
      <c r="AG13" s="525"/>
      <c r="AH13" s="525">
        <f>MIN(CampList[[#This Row],[Shelter Gap]],CampList[[#This Row],[Land Status]])</f>
        <v>0</v>
      </c>
      <c r="AI13" s="525" t="str">
        <f ca="1">IFERROR(OFFSET(DistanceToCamp[Nearest Town],MATCH(CampList[[#This Row],[CP_Pcode]],DistanceToCamp[CP_Pcode],0)-1,0,1,1),"")</f>
        <v/>
      </c>
      <c r="AJ13" s="336" t="str">
        <f ca="1">IFERROR(OFFSET(DistanceToCamp[distance],MATCH(CampList[[#This Row],[CP_Pcode]],DistanceToCamp[CP_Pcode],0)-1,0,1,1),"")</f>
        <v/>
      </c>
      <c r="AK13" s="567" t="str">
        <f ca="1">IFERROR(INT(CampList[[#This Row],[Distance]]/5)+1,"")</f>
        <v/>
      </c>
      <c r="AL13" s="727"/>
      <c r="AM13" s="727"/>
      <c r="AN13" s="727"/>
      <c r="BD13" s="5"/>
      <c r="BE13" s="5"/>
    </row>
    <row r="14" spans="1:57" s="4" customFormat="1" ht="15.6" hidden="1" customHeight="1" x14ac:dyDescent="0.25">
      <c r="A14" s="555" t="s">
        <v>849</v>
      </c>
      <c r="B14" s="527" t="s">
        <v>380</v>
      </c>
      <c r="C14" s="527" t="s">
        <v>527</v>
      </c>
      <c r="D14" s="527" t="s">
        <v>180</v>
      </c>
      <c r="E14" s="527" t="s">
        <v>528</v>
      </c>
      <c r="F14" s="527" t="s">
        <v>529</v>
      </c>
      <c r="G14" s="525" t="s">
        <v>530</v>
      </c>
      <c r="H14" s="556" t="s">
        <v>605</v>
      </c>
      <c r="I14" s="556" t="s">
        <v>606</v>
      </c>
      <c r="J14" s="556" t="s">
        <v>701</v>
      </c>
      <c r="K14" s="557" t="s">
        <v>702</v>
      </c>
      <c r="L14" s="527" t="s">
        <v>50</v>
      </c>
      <c r="M14" s="527" t="s">
        <v>49</v>
      </c>
      <c r="N14" s="568"/>
      <c r="O14" s="568"/>
      <c r="P14" s="569"/>
      <c r="Q14" s="509">
        <v>0</v>
      </c>
      <c r="R14" s="531">
        <v>0</v>
      </c>
      <c r="S14" s="333" t="str">
        <f>IF(CampList[[#This Row],[HH]]&gt;0,CampList[[#This Row],[Total]]/CampList[[#This Row],[HH]],"NA")</f>
        <v>NA</v>
      </c>
      <c r="T14" s="561" t="s">
        <v>513</v>
      </c>
      <c r="U14" s="562" t="s">
        <v>1213</v>
      </c>
      <c r="V14" s="527" t="s">
        <v>556</v>
      </c>
      <c r="W14" s="562"/>
      <c r="X14" s="570"/>
      <c r="Y14" s="571"/>
      <c r="Z14" s="562"/>
      <c r="AA14" s="515"/>
      <c r="AB14" s="527"/>
      <c r="AC14" s="572"/>
      <c r="AD14" s="523" t="s">
        <v>603</v>
      </c>
      <c r="AE14" s="571" t="s">
        <v>1014</v>
      </c>
      <c r="AF14" s="535">
        <f>IF(CampList[[#This Row],[Type of Accomodation]]="camp",MAX(0,CampList[[#This Row],[HH]]-SUMIF(Table_Shelter[Pcode],CampList[[#This Row],[CP_Pcode]],Table_Shelter[HH Covered])),0)</f>
        <v>0</v>
      </c>
      <c r="AG14" s="525"/>
      <c r="AH14" s="525">
        <f>MIN(CampList[[#This Row],[Shelter Gap]],CampList[[#This Row],[Land Status]])</f>
        <v>0</v>
      </c>
      <c r="AI14" s="525" t="str">
        <f ca="1">IFERROR(OFFSET(DistanceToCamp[Nearest Town],MATCH(CampList[[#This Row],[CP_Pcode]],DistanceToCamp[CP_Pcode],0)-1,0,1,1),"")</f>
        <v/>
      </c>
      <c r="AJ14" s="336" t="str">
        <f ca="1">IFERROR(OFFSET(DistanceToCamp[distance],MATCH(CampList[[#This Row],[CP_Pcode]],DistanceToCamp[CP_Pcode],0)-1,0,1,1),"")</f>
        <v/>
      </c>
      <c r="AK14" s="567" t="str">
        <f ca="1">IFERROR(INT(CampList[[#This Row],[Distance]]/5)+1,"")</f>
        <v/>
      </c>
      <c r="AL14" s="727"/>
      <c r="AM14" s="727"/>
      <c r="AN14" s="727"/>
      <c r="BD14" s="5"/>
      <c r="BE14" s="5"/>
    </row>
    <row r="15" spans="1:57" s="4" customFormat="1" ht="15.6" hidden="1" customHeight="1" x14ac:dyDescent="0.25">
      <c r="A15" s="555" t="s">
        <v>849</v>
      </c>
      <c r="B15" s="527" t="s">
        <v>380</v>
      </c>
      <c r="C15" s="527" t="s">
        <v>527</v>
      </c>
      <c r="D15" s="527" t="s">
        <v>5</v>
      </c>
      <c r="E15" s="527" t="s">
        <v>531</v>
      </c>
      <c r="F15" s="527" t="s">
        <v>151</v>
      </c>
      <c r="G15" s="525" t="s">
        <v>541</v>
      </c>
      <c r="H15" s="556"/>
      <c r="I15" s="556"/>
      <c r="J15" s="556"/>
      <c r="K15" s="557"/>
      <c r="L15" s="527" t="s">
        <v>888</v>
      </c>
      <c r="M15" s="527" t="s">
        <v>886</v>
      </c>
      <c r="N15" s="568"/>
      <c r="O15" s="568"/>
      <c r="P15" s="569"/>
      <c r="Q15" s="509">
        <v>0</v>
      </c>
      <c r="R15" s="531">
        <v>0</v>
      </c>
      <c r="S15" s="333" t="str">
        <f>IF(CampList[[#This Row],[HH]]&gt;0,CampList[[#This Row],[Total]]/CampList[[#This Row],[HH]],"NA")</f>
        <v>NA</v>
      </c>
      <c r="T15" s="561" t="s">
        <v>513</v>
      </c>
      <c r="U15" s="562" t="s">
        <v>1213</v>
      </c>
      <c r="V15" s="527" t="s">
        <v>556</v>
      </c>
      <c r="W15" s="562"/>
      <c r="X15" s="570"/>
      <c r="Y15" s="571"/>
      <c r="Z15" s="562"/>
      <c r="AA15" s="516" t="s">
        <v>848</v>
      </c>
      <c r="AB15" s="527"/>
      <c r="AC15" s="565">
        <v>41701</v>
      </c>
      <c r="AD15" s="523" t="s">
        <v>1017</v>
      </c>
      <c r="AE15" s="571" t="s">
        <v>1014</v>
      </c>
      <c r="AF15" s="535">
        <f>IF(CampList[[#This Row],[Type of Accomodation]]="camp",MAX(0,CampList[[#This Row],[HH]]-SUMIF(Table_Shelter[Pcode],CampList[[#This Row],[CP_Pcode]],Table_Shelter[HH Covered])),0)</f>
        <v>0</v>
      </c>
      <c r="AG15" s="525"/>
      <c r="AH15" s="525">
        <f>MIN(CampList[[#This Row],[Shelter Gap]],CampList[[#This Row],[Land Status]])</f>
        <v>0</v>
      </c>
      <c r="AI15" s="525" t="str">
        <f ca="1">IFERROR(OFFSET(DistanceToCamp[Nearest Town],MATCH(CampList[[#This Row],[CP_Pcode]],DistanceToCamp[CP_Pcode],0)-1,0,1,1),"")</f>
        <v/>
      </c>
      <c r="AJ15" s="336" t="str">
        <f ca="1">IFERROR(OFFSET(DistanceToCamp[distance],MATCH(CampList[[#This Row],[CP_Pcode]],DistanceToCamp[CP_Pcode],0)-1,0,1,1),"")</f>
        <v/>
      </c>
      <c r="AK15" s="567" t="str">
        <f ca="1">IFERROR(INT(CampList[[#This Row],[Distance]]/5)+1,"")</f>
        <v/>
      </c>
      <c r="AL15" s="727"/>
      <c r="AM15" s="727"/>
      <c r="AN15" s="727"/>
      <c r="BD15" s="5"/>
      <c r="BE15" s="5"/>
    </row>
    <row r="16" spans="1:57" s="4" customFormat="1" ht="15.6" hidden="1" customHeight="1" x14ac:dyDescent="0.25">
      <c r="A16" s="555" t="s">
        <v>849</v>
      </c>
      <c r="B16" s="527" t="s">
        <v>380</v>
      </c>
      <c r="C16" s="527" t="s">
        <v>527</v>
      </c>
      <c r="D16" s="527" t="s">
        <v>5</v>
      </c>
      <c r="E16" s="527" t="s">
        <v>531</v>
      </c>
      <c r="F16" s="527" t="s">
        <v>151</v>
      </c>
      <c r="G16" s="525" t="s">
        <v>541</v>
      </c>
      <c r="H16" s="556"/>
      <c r="I16" s="556"/>
      <c r="J16" s="556"/>
      <c r="K16" s="557"/>
      <c r="L16" s="527" t="s">
        <v>883</v>
      </c>
      <c r="M16" s="527" t="s">
        <v>887</v>
      </c>
      <c r="N16" s="568"/>
      <c r="O16" s="568"/>
      <c r="P16" s="569"/>
      <c r="Q16" s="509">
        <v>0</v>
      </c>
      <c r="R16" s="531">
        <v>0</v>
      </c>
      <c r="S16" s="333" t="str">
        <f>IF(CampList[[#This Row],[HH]]&gt;0,CampList[[#This Row],[Total]]/CampList[[#This Row],[HH]],"NA")</f>
        <v>NA</v>
      </c>
      <c r="T16" s="561" t="s">
        <v>513</v>
      </c>
      <c r="U16" s="562" t="s">
        <v>1213</v>
      </c>
      <c r="V16" s="527" t="s">
        <v>12</v>
      </c>
      <c r="W16" s="562" t="s">
        <v>862</v>
      </c>
      <c r="X16" s="570"/>
      <c r="Y16" s="571"/>
      <c r="Z16" s="562"/>
      <c r="AA16" s="516" t="s">
        <v>848</v>
      </c>
      <c r="AB16" s="527"/>
      <c r="AC16" s="565">
        <v>42090</v>
      </c>
      <c r="AD16" s="523" t="s">
        <v>1260</v>
      </c>
      <c r="AE16" s="571" t="s">
        <v>1100</v>
      </c>
      <c r="AF16" s="535">
        <f>IF(CampList[[#This Row],[Type of Accomodation]]="camp",MAX(0,CampList[[#This Row],[HH]]-SUMIF(Table_Shelter[Pcode],CampList[[#This Row],[CP_Pcode]],Table_Shelter[HH Covered])),0)</f>
        <v>0</v>
      </c>
      <c r="AG16" s="525"/>
      <c r="AH16" s="525">
        <f>MIN(CampList[[#This Row],[Shelter Gap]],CampList[[#This Row],[Land Status]])</f>
        <v>0</v>
      </c>
      <c r="AI16" s="525" t="str">
        <f ca="1">IFERROR(OFFSET(DistanceToCamp[Nearest Town],MATCH(CampList[[#This Row],[CP_Pcode]],DistanceToCamp[CP_Pcode],0)-1,0,1,1),"")</f>
        <v/>
      </c>
      <c r="AJ16" s="336" t="str">
        <f ca="1">IFERROR(OFFSET(DistanceToCamp[distance],MATCH(CampList[[#This Row],[CP_Pcode]],DistanceToCamp[CP_Pcode],0)-1,0,1,1),"")</f>
        <v/>
      </c>
      <c r="AK16" s="567" t="str">
        <f ca="1">IFERROR(INT(CampList[[#This Row],[Distance]]/5)+1,"")</f>
        <v/>
      </c>
      <c r="AL16" s="727"/>
      <c r="AM16" s="727"/>
      <c r="AN16" s="727"/>
      <c r="BD16" s="5"/>
      <c r="BE16" s="5"/>
    </row>
    <row r="17" spans="1:57" s="4" customFormat="1" ht="15.6" hidden="1" customHeight="1" x14ac:dyDescent="0.25">
      <c r="A17" s="555" t="s">
        <v>849</v>
      </c>
      <c r="B17" s="527" t="s">
        <v>380</v>
      </c>
      <c r="C17" s="527" t="s">
        <v>527</v>
      </c>
      <c r="D17" s="527" t="s">
        <v>5</v>
      </c>
      <c r="E17" s="527" t="s">
        <v>531</v>
      </c>
      <c r="F17" s="527" t="s">
        <v>151</v>
      </c>
      <c r="G17" s="525" t="s">
        <v>541</v>
      </c>
      <c r="H17" s="556"/>
      <c r="I17" s="556"/>
      <c r="J17" s="556"/>
      <c r="K17" s="557"/>
      <c r="L17" s="527" t="s">
        <v>884</v>
      </c>
      <c r="M17" s="527" t="s">
        <v>885</v>
      </c>
      <c r="N17" s="568"/>
      <c r="O17" s="568"/>
      <c r="P17" s="569"/>
      <c r="Q17" s="509">
        <v>0</v>
      </c>
      <c r="R17" s="531">
        <v>0</v>
      </c>
      <c r="S17" s="560" t="str">
        <f>IF(CampList[[#This Row],[HH]]&gt;0,CampList[[#This Row],[Total]]/CampList[[#This Row],[HH]],"NA")</f>
        <v>NA</v>
      </c>
      <c r="T17" s="561" t="s">
        <v>513</v>
      </c>
      <c r="U17" s="562" t="s">
        <v>1213</v>
      </c>
      <c r="V17" s="527" t="s">
        <v>556</v>
      </c>
      <c r="W17" s="562"/>
      <c r="X17" s="570"/>
      <c r="Y17" s="571"/>
      <c r="Z17" s="562"/>
      <c r="AA17" s="516" t="s">
        <v>848</v>
      </c>
      <c r="AB17" s="527"/>
      <c r="AC17" s="565">
        <v>41701</v>
      </c>
      <c r="AD17" s="523" t="s">
        <v>1017</v>
      </c>
      <c r="AE17" s="571" t="s">
        <v>1014</v>
      </c>
      <c r="AF17" s="535">
        <f>IF(CampList[[#This Row],[Type of Accomodation]]="camp",MAX(0,CampList[[#This Row],[HH]]-SUMIF(Table_Shelter[Pcode],CampList[[#This Row],[CP_Pcode]],Table_Shelter[HH Covered])),0)</f>
        <v>0</v>
      </c>
      <c r="AG17" s="525"/>
      <c r="AH17" s="525">
        <f>MIN(CampList[[#This Row],[Shelter Gap]],CampList[[#This Row],[Land Status]])</f>
        <v>0</v>
      </c>
      <c r="AI17" s="525" t="str">
        <f ca="1">IFERROR(OFFSET(DistanceToCamp[Nearest Town],MATCH(CampList[[#This Row],[CP_Pcode]],DistanceToCamp[CP_Pcode],0)-1,0,1,1),"")</f>
        <v/>
      </c>
      <c r="AJ17" s="566" t="str">
        <f ca="1">IFERROR(OFFSET(DistanceToCamp[distance],MATCH(CampList[[#This Row],[CP_Pcode]],DistanceToCamp[CP_Pcode],0)-1,0,1,1),"")</f>
        <v/>
      </c>
      <c r="AK17" s="567" t="str">
        <f ca="1">IFERROR(INT(CampList[[#This Row],[Distance]]/5)+1,"")</f>
        <v/>
      </c>
      <c r="AL17" s="727"/>
      <c r="AM17" s="727"/>
      <c r="AN17" s="727"/>
      <c r="BD17" s="5"/>
      <c r="BE17" s="5"/>
    </row>
    <row r="18" spans="1:57" s="4" customFormat="1" ht="15.6" customHeight="1" thickBot="1" x14ac:dyDescent="0.3">
      <c r="A18" s="555" t="s">
        <v>502</v>
      </c>
      <c r="B18" s="527" t="s">
        <v>380</v>
      </c>
      <c r="C18" s="527" t="s">
        <v>527</v>
      </c>
      <c r="D18" s="527" t="s">
        <v>180</v>
      </c>
      <c r="E18" s="527" t="s">
        <v>528</v>
      </c>
      <c r="F18" s="527" t="s">
        <v>529</v>
      </c>
      <c r="G18" s="525" t="s">
        <v>530</v>
      </c>
      <c r="H18" s="556" t="s">
        <v>614</v>
      </c>
      <c r="I18" s="556" t="s">
        <v>615</v>
      </c>
      <c r="J18" s="556" t="s">
        <v>616</v>
      </c>
      <c r="K18" s="557">
        <v>166775</v>
      </c>
      <c r="L18" s="527" t="s">
        <v>52</v>
      </c>
      <c r="M18" s="527" t="s">
        <v>51</v>
      </c>
      <c r="N18" s="558">
        <v>96.346469999999997</v>
      </c>
      <c r="O18" s="558">
        <v>25.647649999999999</v>
      </c>
      <c r="P18" s="559">
        <v>0</v>
      </c>
      <c r="Q18" s="509">
        <v>35</v>
      </c>
      <c r="R18" s="531">
        <v>214</v>
      </c>
      <c r="S18" s="333">
        <f>IF(CampList[[#This Row],[HH]]&gt;0,CampList[[#This Row],[Total]]/CampList[[#This Row],[HH]],"NA")</f>
        <v>6.1142857142857139</v>
      </c>
      <c r="T18" s="581" t="s">
        <v>513</v>
      </c>
      <c r="U18" s="562" t="s">
        <v>1213</v>
      </c>
      <c r="V18" s="527" t="s">
        <v>556</v>
      </c>
      <c r="W18" s="562" t="s">
        <v>862</v>
      </c>
      <c r="X18" s="563">
        <v>41275</v>
      </c>
      <c r="Y18" s="564">
        <v>2</v>
      </c>
      <c r="Z18" s="563" t="s">
        <v>462</v>
      </c>
      <c r="AA18" s="515" t="s">
        <v>848</v>
      </c>
      <c r="AB18" s="527"/>
      <c r="AC18" s="565">
        <v>42340</v>
      </c>
      <c r="AD18" s="523" t="s">
        <v>1460</v>
      </c>
      <c r="AE18" s="564" t="s">
        <v>1100</v>
      </c>
      <c r="AF18" s="535">
        <f>IF(CampList[[#This Row],[Type of Accomodation]]="camp",MAX(0,CampList[[#This Row],[HH]]-SUMIF(Table_Shelter[Pcode],CampList[[#This Row],[CP_Pcode]],Table_Shelter[HH Covered])),0)</f>
        <v>15</v>
      </c>
      <c r="AG18" s="525"/>
      <c r="AH18" s="525">
        <f>MIN(CampList[[#This Row],[Shelter Gap]],CampList[[#This Row],[Land Status]])</f>
        <v>15</v>
      </c>
      <c r="AI18" s="525" t="str">
        <f ca="1">IFERROR(OFFSET(DistanceToCamp[Nearest Town],MATCH(CampList[[#This Row],[CP_Pcode]],DistanceToCamp[CP_Pcode],0)-1,0,1,1),"")</f>
        <v>Hpakant Town</v>
      </c>
      <c r="AJ18" s="336">
        <f ca="1">IFERROR(OFFSET(DistanceToCamp[distance],MATCH(CampList[[#This Row],[CP_Pcode]],DistanceToCamp[CP_Pcode],0)-1,0,1,1),"")</f>
        <v>5.184483270539272</v>
      </c>
      <c r="AK18" s="567">
        <f ca="1">IFERROR(INT(CampList[[#This Row],[Distance]]/5)+1,"")</f>
        <v>2</v>
      </c>
      <c r="AL18" s="727"/>
      <c r="AM18" s="727"/>
      <c r="AN18" s="727"/>
      <c r="BD18" s="5"/>
      <c r="BE18" s="5"/>
    </row>
    <row r="19" spans="1:57" s="4" customFormat="1" ht="15.6" hidden="1" customHeight="1" x14ac:dyDescent="0.3">
      <c r="A19" s="555" t="s">
        <v>849</v>
      </c>
      <c r="B19" s="527" t="s">
        <v>380</v>
      </c>
      <c r="C19" s="527" t="s">
        <v>527</v>
      </c>
      <c r="D19" s="527" t="s">
        <v>180</v>
      </c>
      <c r="E19" s="527" t="s">
        <v>528</v>
      </c>
      <c r="F19" s="527" t="s">
        <v>529</v>
      </c>
      <c r="G19" s="525" t="s">
        <v>530</v>
      </c>
      <c r="H19" s="556" t="s">
        <v>620</v>
      </c>
      <c r="I19" s="556" t="s">
        <v>621</v>
      </c>
      <c r="J19" s="556" t="s">
        <v>622</v>
      </c>
      <c r="K19" s="557">
        <v>166817</v>
      </c>
      <c r="L19" s="527" t="s">
        <v>58</v>
      </c>
      <c r="M19" s="527" t="s">
        <v>57</v>
      </c>
      <c r="N19" s="558">
        <v>96.673805000000002</v>
      </c>
      <c r="O19" s="558">
        <v>25.728653000000001</v>
      </c>
      <c r="P19" s="569"/>
      <c r="Q19" s="509">
        <v>0</v>
      </c>
      <c r="R19" s="531">
        <v>0</v>
      </c>
      <c r="S19" s="333" t="str">
        <f>IF(CampList[[#This Row],[HH]]&gt;0,CampList[[#This Row],[Total]]/CampList[[#This Row],[HH]],"NA")</f>
        <v>NA</v>
      </c>
      <c r="T19" s="581" t="s">
        <v>513</v>
      </c>
      <c r="U19" s="562" t="s">
        <v>1213</v>
      </c>
      <c r="V19" s="527" t="s">
        <v>556</v>
      </c>
      <c r="W19" s="562" t="s">
        <v>862</v>
      </c>
      <c r="X19" s="570"/>
      <c r="Y19" s="571">
        <v>1</v>
      </c>
      <c r="Z19" s="563" t="s">
        <v>507</v>
      </c>
      <c r="AA19" s="521" t="s">
        <v>848</v>
      </c>
      <c r="AB19" s="527"/>
      <c r="AC19" s="565">
        <v>42096</v>
      </c>
      <c r="AD19" s="523" t="s">
        <v>1359</v>
      </c>
      <c r="AE19" s="571" t="s">
        <v>1100</v>
      </c>
      <c r="AF19" s="535">
        <f>IF(CampList[[#This Row],[Type of Accomodation]]="camp",MAX(0,CampList[[#This Row],[HH]]-SUMIF(Table_Shelter[Pcode],CampList[[#This Row],[CP_Pcode]],Table_Shelter[HH Covered])),0)</f>
        <v>0</v>
      </c>
      <c r="AG19" s="525"/>
      <c r="AH19" s="525">
        <f>MIN(CampList[[#This Row],[Shelter Gap]],CampList[[#This Row],[Land Status]])</f>
        <v>0</v>
      </c>
      <c r="AI19" s="525" t="str">
        <f ca="1">IFERROR(OFFSET(DistanceToCamp[Nearest Town],MATCH(CampList[[#This Row],[CP_Pcode]],DistanceToCamp[CP_Pcode],0)-1,0,1,1),"")</f>
        <v>Kamaing Town</v>
      </c>
      <c r="AJ19" s="336">
        <f ca="1">IFERROR(OFFSET(DistanceToCamp[distance],MATCH(CampList[[#This Row],[CP_Pcode]],DistanceToCamp[CP_Pcode],0)-1,0,1,1),"")</f>
        <v>23.222739740353646</v>
      </c>
      <c r="AK19" s="567">
        <f ca="1">IFERROR(INT(CampList[[#This Row],[Distance]]/5)+1,"")</f>
        <v>5</v>
      </c>
      <c r="AL19" s="727"/>
      <c r="AM19" s="727"/>
      <c r="AN19" s="727"/>
      <c r="BD19" s="5"/>
      <c r="BE19" s="5"/>
    </row>
    <row r="20" spans="1:57" s="4" customFormat="1" ht="15.6" hidden="1" customHeight="1" x14ac:dyDescent="0.3">
      <c r="A20" s="555" t="s">
        <v>849</v>
      </c>
      <c r="B20" s="527" t="s">
        <v>380</v>
      </c>
      <c r="C20" s="527" t="s">
        <v>527</v>
      </c>
      <c r="D20" s="527" t="s">
        <v>180</v>
      </c>
      <c r="E20" s="527" t="s">
        <v>528</v>
      </c>
      <c r="F20" s="527" t="s">
        <v>529</v>
      </c>
      <c r="G20" s="525" t="s">
        <v>530</v>
      </c>
      <c r="H20" s="556" t="s">
        <v>614</v>
      </c>
      <c r="I20" s="556" t="s">
        <v>615</v>
      </c>
      <c r="J20" s="556" t="s">
        <v>617</v>
      </c>
      <c r="K20" s="557">
        <v>216880</v>
      </c>
      <c r="L20" s="527" t="s">
        <v>60</v>
      </c>
      <c r="M20" s="527" t="s">
        <v>59</v>
      </c>
      <c r="N20" s="558">
        <v>96.353070000000002</v>
      </c>
      <c r="O20" s="558">
        <v>25.668469999999999</v>
      </c>
      <c r="P20" s="559">
        <v>256</v>
      </c>
      <c r="Q20" s="509">
        <v>0</v>
      </c>
      <c r="R20" s="531">
        <v>0</v>
      </c>
      <c r="S20" s="333" t="str">
        <f>IF(CampList[[#This Row],[HH]]&gt;0,CampList[[#This Row],[Total]]/CampList[[#This Row],[HH]],"NA")</f>
        <v>NA</v>
      </c>
      <c r="T20" s="561" t="s">
        <v>513</v>
      </c>
      <c r="U20" s="562" t="s">
        <v>1213</v>
      </c>
      <c r="V20" s="527" t="s">
        <v>556</v>
      </c>
      <c r="W20" s="562" t="s">
        <v>862</v>
      </c>
      <c r="X20" s="563">
        <v>41275</v>
      </c>
      <c r="Y20" s="564"/>
      <c r="Z20" s="563"/>
      <c r="AA20" s="515" t="s">
        <v>847</v>
      </c>
      <c r="AB20" s="527"/>
      <c r="AC20" s="565">
        <v>41774</v>
      </c>
      <c r="AD20" s="523" t="s">
        <v>1053</v>
      </c>
      <c r="AE20" s="564" t="s">
        <v>1014</v>
      </c>
      <c r="AF20" s="535">
        <f>IF(CampList[[#This Row],[Type of Accomodation]]="camp",MAX(0,CampList[[#This Row],[HH]]-SUMIF(Table_Shelter[Pcode],CampList[[#This Row],[CP_Pcode]],Table_Shelter[HH Covered])),0)</f>
        <v>0</v>
      </c>
      <c r="AG20" s="525"/>
      <c r="AH20" s="525">
        <f>MIN(CampList[[#This Row],[Shelter Gap]],CampList[[#This Row],[Land Status]])</f>
        <v>0</v>
      </c>
      <c r="AI20" s="525" t="str">
        <f ca="1">IFERROR(OFFSET(DistanceToCamp[Nearest Town],MATCH(CampList[[#This Row],[CP_Pcode]],DistanceToCamp[CP_Pcode],0)-1,0,1,1),"")</f>
        <v/>
      </c>
      <c r="AJ20" s="336" t="str">
        <f ca="1">IFERROR(OFFSET(DistanceToCamp[distance],MATCH(CampList[[#This Row],[CP_Pcode]],DistanceToCamp[CP_Pcode],0)-1,0,1,1),"")</f>
        <v/>
      </c>
      <c r="AK20" s="567" t="str">
        <f ca="1">IFERROR(INT(CampList[[#This Row],[Distance]]/5)+1,"")</f>
        <v/>
      </c>
      <c r="AL20" s="727"/>
      <c r="AM20" s="727"/>
      <c r="AN20" s="727"/>
      <c r="BD20" s="5"/>
      <c r="BE20" s="5"/>
    </row>
    <row r="21" spans="1:57" s="4" customFormat="1" ht="15.6" hidden="1" customHeight="1" thickBot="1" x14ac:dyDescent="0.3">
      <c r="A21" s="555" t="s">
        <v>849</v>
      </c>
      <c r="B21" s="527" t="s">
        <v>380</v>
      </c>
      <c r="C21" s="527" t="s">
        <v>527</v>
      </c>
      <c r="D21" s="527" t="s">
        <v>237</v>
      </c>
      <c r="E21" s="527" t="s">
        <v>533</v>
      </c>
      <c r="F21" s="527" t="s">
        <v>310</v>
      </c>
      <c r="G21" s="525" t="s">
        <v>534</v>
      </c>
      <c r="H21" s="556" t="s">
        <v>720</v>
      </c>
      <c r="I21" s="525"/>
      <c r="J21" s="525"/>
      <c r="K21" s="573"/>
      <c r="L21" s="527" t="s">
        <v>358</v>
      </c>
      <c r="M21" s="527" t="s">
        <v>357</v>
      </c>
      <c r="N21" s="558">
        <v>97.837778</v>
      </c>
      <c r="O21" s="558">
        <v>25.273333000000001</v>
      </c>
      <c r="P21" s="569"/>
      <c r="Q21" s="509">
        <v>0</v>
      </c>
      <c r="R21" s="531">
        <v>0</v>
      </c>
      <c r="S21" s="333" t="str">
        <f>IF(CampList[[#This Row],[HH]]&gt;0,CampList[[#This Row],[Total]]/CampList[[#This Row],[HH]],"NA")</f>
        <v>NA</v>
      </c>
      <c r="T21" s="561" t="s">
        <v>515</v>
      </c>
      <c r="U21" s="562" t="s">
        <v>1213</v>
      </c>
      <c r="V21" s="527" t="s">
        <v>556</v>
      </c>
      <c r="W21" s="562"/>
      <c r="X21" s="570"/>
      <c r="Y21" s="571"/>
      <c r="Z21" s="562"/>
      <c r="AA21" s="517"/>
      <c r="AB21" s="527"/>
      <c r="AC21" s="572"/>
      <c r="AD21" s="523"/>
      <c r="AE21" s="571" t="s">
        <v>1014</v>
      </c>
      <c r="AF21" s="535">
        <f>IF(CampList[[#This Row],[Type of Accomodation]]="camp",MAX(0,CampList[[#This Row],[HH]]-SUMIF(Table_Shelter[Pcode],CampList[[#This Row],[CP_Pcode]],Table_Shelter[HH Covered])),0)</f>
        <v>0</v>
      </c>
      <c r="AG21" s="525"/>
      <c r="AH21" s="525">
        <f>MIN(CampList[[#This Row],[Shelter Gap]],CampList[[#This Row],[Land Status]])</f>
        <v>0</v>
      </c>
      <c r="AI21" s="525" t="str">
        <f ca="1">IFERROR(OFFSET(DistanceToCamp[Nearest Town],MATCH(CampList[[#This Row],[CP_Pcode]],DistanceToCamp[CP_Pcode],0)-1,0,1,1),"")</f>
        <v/>
      </c>
      <c r="AJ21" s="336" t="str">
        <f ca="1">IFERROR(OFFSET(DistanceToCamp[distance],MATCH(CampList[[#This Row],[CP_Pcode]],DistanceToCamp[CP_Pcode],0)-1,0,1,1),"")</f>
        <v/>
      </c>
      <c r="AK21" s="567" t="str">
        <f ca="1">IFERROR(INT(CampList[[#This Row],[Distance]]/5)+1,"")</f>
        <v/>
      </c>
      <c r="AL21" s="727"/>
      <c r="AM21" s="727"/>
      <c r="AN21" s="727"/>
      <c r="BD21" s="5"/>
      <c r="BE21" s="5"/>
    </row>
    <row r="22" spans="1:57" s="4" customFormat="1" ht="15.6" customHeight="1" thickBot="1" x14ac:dyDescent="0.3">
      <c r="A22" s="690" t="s">
        <v>502</v>
      </c>
      <c r="B22" s="535" t="s">
        <v>380</v>
      </c>
      <c r="C22" s="535" t="s">
        <v>527</v>
      </c>
      <c r="D22" s="535" t="s">
        <v>237</v>
      </c>
      <c r="E22" s="535" t="s">
        <v>533</v>
      </c>
      <c r="F22" s="535" t="s">
        <v>310</v>
      </c>
      <c r="G22" s="535" t="s">
        <v>534</v>
      </c>
      <c r="H22" s="535" t="s">
        <v>720</v>
      </c>
      <c r="I22" s="598" t="s">
        <v>774</v>
      </c>
      <c r="J22" s="535" t="s">
        <v>775</v>
      </c>
      <c r="K22" s="535"/>
      <c r="L22" s="535" t="s">
        <v>334</v>
      </c>
      <c r="M22" s="535" t="s">
        <v>333</v>
      </c>
      <c r="N22" s="508">
        <v>97.915833000000006</v>
      </c>
      <c r="O22" s="508">
        <v>25.220278</v>
      </c>
      <c r="P22" s="569">
        <v>2404</v>
      </c>
      <c r="Q22" s="754">
        <v>155</v>
      </c>
      <c r="R22" s="756">
        <v>630</v>
      </c>
      <c r="S22" s="333">
        <f>IF(CampList[[#This Row],[HH]]&gt;0,CampList[[#This Row],[Total]]/CampList[[#This Row],[HH]],"NA")</f>
        <v>4.064516129032258</v>
      </c>
      <c r="T22" s="599" t="s">
        <v>515</v>
      </c>
      <c r="U22" s="561" t="s">
        <v>1213</v>
      </c>
      <c r="V22" s="496" t="s">
        <v>556</v>
      </c>
      <c r="W22" s="508" t="s">
        <v>863</v>
      </c>
      <c r="X22" s="577">
        <v>40848</v>
      </c>
      <c r="Y22" s="571">
        <v>3</v>
      </c>
      <c r="Z22" s="571" t="s">
        <v>1097</v>
      </c>
      <c r="AA22" s="511" t="s">
        <v>848</v>
      </c>
      <c r="AB22" s="599"/>
      <c r="AC22" s="565">
        <v>42340</v>
      </c>
      <c r="AD22" s="711" t="s">
        <v>1430</v>
      </c>
      <c r="AE22" s="597" t="s">
        <v>1084</v>
      </c>
      <c r="AF22" s="598">
        <f>IF(CampList[[#This Row],[Type of Accomodation]]="camp",MAX(0,CampList[[#This Row],[HH]]-SUMIF(Table_Shelter[Pcode],CampList[[#This Row],[CP_Pcode]],Table_Shelter[HH Covered])),0)</f>
        <v>0</v>
      </c>
      <c r="AG22" s="535"/>
      <c r="AH22" s="598">
        <f>MIN(CampList[[#This Row],[Shelter Gap]],CampList[[#This Row],[Land Status]])</f>
        <v>0</v>
      </c>
      <c r="AI22" s="598" t="str">
        <f ca="1">IFERROR(OFFSET(DistanceToCamp[Nearest Town],MATCH(CampList[[#This Row],[CP_Pcode]],DistanceToCamp[CP_Pcode],0)-1,0,1,1),"")</f>
        <v>Sadung Town</v>
      </c>
      <c r="AJ22" s="336">
        <f ca="1">IFERROR(OFFSET(DistanceToCamp[distance],MATCH(CampList[[#This Row],[CP_Pcode]],DistanceToCamp[CP_Pcode],0)-1,0,1,1),"")</f>
        <v>18.198335991626355</v>
      </c>
      <c r="AK22" s="600">
        <f ca="1">IFERROR(INT(CampList[[#This Row],[Distance]]/5)+1,"")</f>
        <v>4</v>
      </c>
      <c r="AL22" s="727"/>
      <c r="AM22" s="727"/>
      <c r="AN22" s="727"/>
      <c r="BD22" s="5"/>
      <c r="BE22" s="5"/>
    </row>
    <row r="23" spans="1:57" s="4" customFormat="1" ht="15.6" customHeight="1" x14ac:dyDescent="0.25">
      <c r="A23" s="555" t="s">
        <v>502</v>
      </c>
      <c r="B23" s="527" t="s">
        <v>380</v>
      </c>
      <c r="C23" s="527" t="s">
        <v>527</v>
      </c>
      <c r="D23" s="527" t="s">
        <v>5</v>
      </c>
      <c r="E23" s="527" t="s">
        <v>531</v>
      </c>
      <c r="F23" s="556" t="s">
        <v>151</v>
      </c>
      <c r="G23" s="556" t="s">
        <v>541</v>
      </c>
      <c r="H23" s="556" t="s">
        <v>741</v>
      </c>
      <c r="I23" s="556" t="s">
        <v>742</v>
      </c>
      <c r="J23" s="556" t="s">
        <v>741</v>
      </c>
      <c r="K23" s="557" t="s">
        <v>741</v>
      </c>
      <c r="L23" s="574" t="s">
        <v>188</v>
      </c>
      <c r="M23" s="527" t="s">
        <v>187</v>
      </c>
      <c r="N23" s="558">
        <v>97.609832999999995</v>
      </c>
      <c r="O23" s="558">
        <v>24.002433</v>
      </c>
      <c r="P23" s="559">
        <v>854</v>
      </c>
      <c r="Q23" s="509">
        <v>174</v>
      </c>
      <c r="R23" s="531">
        <v>1185</v>
      </c>
      <c r="S23" s="333">
        <f>IF(CampList[[#This Row],[HH]]&gt;0,CampList[[#This Row],[Total]]/CampList[[#This Row],[HH]],"NA")</f>
        <v>6.8103448275862073</v>
      </c>
      <c r="T23" s="581" t="s">
        <v>515</v>
      </c>
      <c r="U23" s="562" t="s">
        <v>1213</v>
      </c>
      <c r="V23" s="527" t="s">
        <v>556</v>
      </c>
      <c r="W23" s="562" t="s">
        <v>862</v>
      </c>
      <c r="X23" s="563">
        <v>40817</v>
      </c>
      <c r="Y23" s="564">
        <v>2</v>
      </c>
      <c r="Z23" s="563" t="s">
        <v>1096</v>
      </c>
      <c r="AA23" s="516" t="s">
        <v>848</v>
      </c>
      <c r="AB23" s="527"/>
      <c r="AC23" s="565">
        <v>42235</v>
      </c>
      <c r="AD23" s="523" t="s">
        <v>1355</v>
      </c>
      <c r="AE23" s="564" t="s">
        <v>1085</v>
      </c>
      <c r="AF23" s="535">
        <f>IF(CampList[[#This Row],[Type of Accomodation]]="camp",MAX(0,CampList[[#This Row],[HH]]-SUMIF(Table_Shelter[Pcode],CampList[[#This Row],[CP_Pcode]],Table_Shelter[HH Covered])),0)</f>
        <v>0</v>
      </c>
      <c r="AG23" s="525"/>
      <c r="AH23" s="525">
        <f>MIN(CampList[[#This Row],[Shelter Gap]],CampList[[#This Row],[Land Status]])</f>
        <v>0</v>
      </c>
      <c r="AI23" s="525" t="str">
        <f ca="1">IFERROR(OFFSET(DistanceToCamp[Nearest Town],MATCH(CampList[[#This Row],[CP_Pcode]],DistanceToCamp[CP_Pcode],0)-1,0,1,1),"")</f>
        <v>Namhkan Town</v>
      </c>
      <c r="AJ23" s="336">
        <f ca="1">IFERROR(OFFSET(DistanceToCamp[distance],MATCH(CampList[[#This Row],[CP_Pcode]],DistanceToCamp[CP_Pcode],0)-1,0,1,1),"")</f>
        <v>19.796407430638478</v>
      </c>
      <c r="AK23" s="567">
        <f ca="1">IFERROR(INT(CampList[[#This Row],[Distance]]/5)+1,"")</f>
        <v>4</v>
      </c>
      <c r="AL23" s="727"/>
      <c r="AM23" s="727"/>
      <c r="AN23" s="727"/>
      <c r="BD23" s="5"/>
      <c r="BE23" s="5"/>
    </row>
    <row r="24" spans="1:57" s="4" customFormat="1" ht="15.6" customHeight="1" x14ac:dyDescent="0.25">
      <c r="A24" s="555" t="s">
        <v>502</v>
      </c>
      <c r="B24" s="525" t="s">
        <v>380</v>
      </c>
      <c r="C24" s="525" t="s">
        <v>527</v>
      </c>
      <c r="D24" s="525" t="s">
        <v>5</v>
      </c>
      <c r="E24" s="525" t="s">
        <v>531</v>
      </c>
      <c r="F24" s="525" t="s">
        <v>151</v>
      </c>
      <c r="G24" s="525" t="s">
        <v>541</v>
      </c>
      <c r="H24" s="525" t="s">
        <v>741</v>
      </c>
      <c r="I24" s="525" t="s">
        <v>742</v>
      </c>
      <c r="J24" s="525" t="s">
        <v>741</v>
      </c>
      <c r="K24" s="525" t="s">
        <v>741</v>
      </c>
      <c r="L24" s="525" t="s">
        <v>1041</v>
      </c>
      <c r="M24" s="525" t="s">
        <v>1042</v>
      </c>
      <c r="N24" s="558">
        <v>97.608249999999998</v>
      </c>
      <c r="O24" s="558">
        <v>24.000250000000001</v>
      </c>
      <c r="P24" s="532"/>
      <c r="Q24" s="511">
        <v>219</v>
      </c>
      <c r="R24" s="532">
        <v>891</v>
      </c>
      <c r="S24" s="333">
        <f>IF(CampList[[#This Row],[HH]]&gt;0,CampList[[#This Row],[Total]]/CampList[[#This Row],[HH]],"NA")</f>
        <v>4.0684931506849313</v>
      </c>
      <c r="T24" s="581" t="s">
        <v>515</v>
      </c>
      <c r="U24" s="562" t="s">
        <v>1213</v>
      </c>
      <c r="V24" s="527" t="s">
        <v>556</v>
      </c>
      <c r="W24" s="527" t="s">
        <v>862</v>
      </c>
      <c r="X24" s="577"/>
      <c r="Y24" s="533"/>
      <c r="Z24" s="563" t="s">
        <v>1096</v>
      </c>
      <c r="AA24" s="520" t="s">
        <v>848</v>
      </c>
      <c r="AB24" s="525"/>
      <c r="AC24" s="565">
        <v>41838</v>
      </c>
      <c r="AD24" s="523" t="s">
        <v>1106</v>
      </c>
      <c r="AE24" s="533" t="s">
        <v>1085</v>
      </c>
      <c r="AF24" s="535">
        <f>IF(CampList[[#This Row],[Type of Accomodation]]="camp",MAX(0,CampList[[#This Row],[HH]]-SUMIF(Table_Shelter[Pcode],CampList[[#This Row],[CP_Pcode]],Table_Shelter[HH Covered])),0)</f>
        <v>99</v>
      </c>
      <c r="AG24" s="525"/>
      <c r="AH24" s="525">
        <f>MIN(CampList[[#This Row],[Shelter Gap]],CampList[[#This Row],[Land Status]])</f>
        <v>99</v>
      </c>
      <c r="AI24" s="525" t="str">
        <f ca="1">IFERROR(OFFSET(DistanceToCamp[Nearest Town],MATCH(CampList[[#This Row],[CP_Pcode]],DistanceToCamp[CP_Pcode],0)-1,0,1,1),"")</f>
        <v>Namhkan Town</v>
      </c>
      <c r="AJ24" s="336">
        <f ca="1">IFERROR(OFFSET(DistanceToCamp[distance],MATCH(CampList[[#This Row],[CP_Pcode]],DistanceToCamp[CP_Pcode],0)-1,0,1,1),"")</f>
        <v>19.631786732140053</v>
      </c>
      <c r="AK24" s="567">
        <f ca="1">IFERROR(INT(CampList[[#This Row],[Distance]]/5)+1,"")</f>
        <v>4</v>
      </c>
      <c r="AL24" s="727"/>
      <c r="AM24" s="727"/>
      <c r="AN24" s="727"/>
      <c r="BD24" s="5"/>
      <c r="BE24" s="5"/>
    </row>
    <row r="25" spans="1:57" s="4" customFormat="1" ht="15.6" customHeight="1" x14ac:dyDescent="0.25">
      <c r="A25" s="555" t="s">
        <v>502</v>
      </c>
      <c r="B25" s="527" t="s">
        <v>380</v>
      </c>
      <c r="C25" s="527" t="s">
        <v>527</v>
      </c>
      <c r="D25" s="527" t="s">
        <v>180</v>
      </c>
      <c r="E25" s="527" t="s">
        <v>528</v>
      </c>
      <c r="F25" s="527" t="s">
        <v>529</v>
      </c>
      <c r="G25" s="525" t="s">
        <v>530</v>
      </c>
      <c r="H25" s="556" t="s">
        <v>600</v>
      </c>
      <c r="I25" s="556" t="s">
        <v>601</v>
      </c>
      <c r="J25" s="556" t="s">
        <v>600</v>
      </c>
      <c r="K25" s="557">
        <v>166783</v>
      </c>
      <c r="L25" s="527" t="s">
        <v>72</v>
      </c>
      <c r="M25" s="527" t="s">
        <v>71</v>
      </c>
      <c r="N25" s="558">
        <v>96.283377000000002</v>
      </c>
      <c r="O25" s="558">
        <v>25.582065</v>
      </c>
      <c r="P25" s="559">
        <v>0</v>
      </c>
      <c r="Q25" s="509">
        <v>6</v>
      </c>
      <c r="R25" s="531">
        <v>30</v>
      </c>
      <c r="S25" s="333">
        <f>IF(CampList[[#This Row],[HH]]&gt;0,CampList[[#This Row],[Total]]/CampList[[#This Row],[HH]],"NA")</f>
        <v>5</v>
      </c>
      <c r="T25" s="581" t="s">
        <v>513</v>
      </c>
      <c r="U25" s="562" t="s">
        <v>1213</v>
      </c>
      <c r="V25" s="527" t="s">
        <v>556</v>
      </c>
      <c r="W25" s="508" t="s">
        <v>808</v>
      </c>
      <c r="X25" s="563">
        <v>41487</v>
      </c>
      <c r="Y25" s="564">
        <v>1</v>
      </c>
      <c r="Z25" s="563" t="s">
        <v>507</v>
      </c>
      <c r="AA25" s="521" t="s">
        <v>848</v>
      </c>
      <c r="AB25" s="527"/>
      <c r="AC25" s="565">
        <v>42291</v>
      </c>
      <c r="AD25" s="523" t="s">
        <v>1370</v>
      </c>
      <c r="AE25" s="564" t="s">
        <v>1100</v>
      </c>
      <c r="AF25" s="535">
        <f>IF(CampList[[#This Row],[Type of Accomodation]]="camp",MAX(0,CampList[[#This Row],[HH]]-SUMIF(Table_Shelter[Pcode],CampList[[#This Row],[CP_Pcode]],Table_Shelter[HH Covered])),0)</f>
        <v>0</v>
      </c>
      <c r="AG25" s="525"/>
      <c r="AH25" s="525">
        <f>MIN(CampList[[#This Row],[Shelter Gap]],CampList[[#This Row],[Land Status]])</f>
        <v>0</v>
      </c>
      <c r="AI25" s="525" t="str">
        <f ca="1">IFERROR(OFFSET(DistanceToCamp[Nearest Town],MATCH(CampList[[#This Row],[CP_Pcode]],DistanceToCamp[CP_Pcode],0)-1,0,1,1),"")</f>
        <v>Hpakant Town</v>
      </c>
      <c r="AJ25" s="336">
        <f ca="1">IFERROR(OFFSET(DistanceToCamp[distance],MATCH(CampList[[#This Row],[CP_Pcode]],DistanceToCamp[CP_Pcode],0)-1,0,1,1),"")</f>
        <v>4.4704963044882238</v>
      </c>
      <c r="AK25" s="567">
        <f ca="1">IFERROR(INT(CampList[[#This Row],[Distance]]/5)+1,"")</f>
        <v>1</v>
      </c>
      <c r="AL25" s="727"/>
      <c r="AM25" s="727"/>
      <c r="AN25" s="727"/>
      <c r="BD25" s="5"/>
      <c r="BE25" s="5"/>
    </row>
    <row r="26" spans="1:57" s="4" customFormat="1" ht="15.6" hidden="1" customHeight="1" x14ac:dyDescent="0.25">
      <c r="A26" s="555" t="s">
        <v>849</v>
      </c>
      <c r="B26" s="527" t="s">
        <v>380</v>
      </c>
      <c r="C26" s="527" t="s">
        <v>527</v>
      </c>
      <c r="D26" s="527" t="s">
        <v>180</v>
      </c>
      <c r="E26" s="527" t="s">
        <v>528</v>
      </c>
      <c r="F26" s="527" t="s">
        <v>529</v>
      </c>
      <c r="G26" s="525" t="s">
        <v>530</v>
      </c>
      <c r="H26" s="525"/>
      <c r="I26" s="525"/>
      <c r="J26" s="525"/>
      <c r="K26" s="573"/>
      <c r="L26" s="527" t="s">
        <v>70</v>
      </c>
      <c r="M26" s="527" t="s">
        <v>69</v>
      </c>
      <c r="N26" s="568"/>
      <c r="O26" s="568"/>
      <c r="P26" s="569"/>
      <c r="Q26" s="509">
        <v>0</v>
      </c>
      <c r="R26" s="531">
        <v>0</v>
      </c>
      <c r="S26" s="333" t="str">
        <f>IF(CampList[[#This Row],[HH]]&gt;0,CampList[[#This Row],[Total]]/CampList[[#This Row],[HH]],"NA")</f>
        <v>NA</v>
      </c>
      <c r="T26" s="561" t="s">
        <v>513</v>
      </c>
      <c r="U26" s="562" t="s">
        <v>1213</v>
      </c>
      <c r="V26" s="527" t="s">
        <v>556</v>
      </c>
      <c r="W26" s="562"/>
      <c r="X26" s="570"/>
      <c r="Y26" s="571"/>
      <c r="Z26" s="562"/>
      <c r="AA26" s="515"/>
      <c r="AB26" s="527"/>
      <c r="AC26" s="572"/>
      <c r="AD26" s="523" t="s">
        <v>603</v>
      </c>
      <c r="AE26" s="571" t="s">
        <v>1014</v>
      </c>
      <c r="AF26" s="535">
        <f>IF(CampList[[#This Row],[Type of Accomodation]]="camp",MAX(0,CampList[[#This Row],[HH]]-SUMIF(Table_Shelter[Pcode],CampList[[#This Row],[CP_Pcode]],Table_Shelter[HH Covered])),0)</f>
        <v>0</v>
      </c>
      <c r="AG26" s="525"/>
      <c r="AH26" s="525">
        <f>MIN(CampList[[#This Row],[Shelter Gap]],CampList[[#This Row],[Land Status]])</f>
        <v>0</v>
      </c>
      <c r="AI26" s="525" t="str">
        <f ca="1">IFERROR(OFFSET(DistanceToCamp[Nearest Town],MATCH(CampList[[#This Row],[CP_Pcode]],DistanceToCamp[CP_Pcode],0)-1,0,1,1),"")</f>
        <v/>
      </c>
      <c r="AJ26" s="336" t="str">
        <f ca="1">IFERROR(OFFSET(DistanceToCamp[distance],MATCH(CampList[[#This Row],[CP_Pcode]],DistanceToCamp[CP_Pcode],0)-1,0,1,1),"")</f>
        <v/>
      </c>
      <c r="AK26" s="567" t="str">
        <f ca="1">IFERROR(INT(CampList[[#This Row],[Distance]]/5)+1,"")</f>
        <v/>
      </c>
      <c r="AL26" s="727"/>
      <c r="AM26" s="727"/>
      <c r="AN26" s="727"/>
      <c r="BD26" s="5"/>
      <c r="BE26" s="5"/>
    </row>
    <row r="27" spans="1:57" s="4" customFormat="1" ht="15.6" customHeight="1" x14ac:dyDescent="0.25">
      <c r="A27" s="555" t="s">
        <v>502</v>
      </c>
      <c r="B27" s="527" t="s">
        <v>380</v>
      </c>
      <c r="C27" s="527" t="s">
        <v>527</v>
      </c>
      <c r="D27" s="527" t="s">
        <v>237</v>
      </c>
      <c r="E27" s="527" t="s">
        <v>533</v>
      </c>
      <c r="F27" s="527" t="s">
        <v>27</v>
      </c>
      <c r="G27" s="525" t="s">
        <v>536</v>
      </c>
      <c r="H27" s="582" t="s">
        <v>796</v>
      </c>
      <c r="I27" s="582" t="s">
        <v>797</v>
      </c>
      <c r="J27" s="576"/>
      <c r="K27" s="587"/>
      <c r="L27" s="527" t="s">
        <v>28</v>
      </c>
      <c r="M27" s="527" t="s">
        <v>30</v>
      </c>
      <c r="N27" s="568">
        <v>98.131550000000004</v>
      </c>
      <c r="O27" s="568">
        <v>25.889410000000002</v>
      </c>
      <c r="P27" s="559">
        <v>304</v>
      </c>
      <c r="Q27" s="509">
        <v>118</v>
      </c>
      <c r="R27" s="531">
        <v>518</v>
      </c>
      <c r="S27" s="333">
        <f>IF(CampList[[#This Row],[HH]]&gt;0,CampList[[#This Row],[Total]]/CampList[[#This Row],[HH]],"NA")</f>
        <v>4.3898305084745761</v>
      </c>
      <c r="T27" s="581" t="s">
        <v>513</v>
      </c>
      <c r="U27" s="562" t="s">
        <v>1213</v>
      </c>
      <c r="V27" s="527" t="s">
        <v>556</v>
      </c>
      <c r="W27" s="562" t="s">
        <v>808</v>
      </c>
      <c r="X27" s="563">
        <v>41244</v>
      </c>
      <c r="Y27" s="564">
        <v>1</v>
      </c>
      <c r="Z27" s="563" t="s">
        <v>507</v>
      </c>
      <c r="AA27" s="521" t="s">
        <v>848</v>
      </c>
      <c r="AB27" s="527"/>
      <c r="AC27" s="565">
        <v>42317</v>
      </c>
      <c r="AD27" s="523" t="s">
        <v>1397</v>
      </c>
      <c r="AE27" s="564" t="s">
        <v>1084</v>
      </c>
      <c r="AF27" s="535">
        <f>IF(CampList[[#This Row],[Type of Accomodation]]="camp",MAX(0,CampList[[#This Row],[HH]]-SUMIF(Table_Shelter[Pcode],CampList[[#This Row],[CP_Pcode]],Table_Shelter[HH Covered])),0)</f>
        <v>11</v>
      </c>
      <c r="AG27" s="525"/>
      <c r="AH27" s="525">
        <f>MIN(CampList[[#This Row],[Shelter Gap]],CampList[[#This Row],[Land Status]])</f>
        <v>11</v>
      </c>
      <c r="AI27" s="525" t="str">
        <f ca="1">IFERROR(OFFSET(DistanceToCamp[Nearest Town],MATCH(CampList[[#This Row],[CP_Pcode]],DistanceToCamp[CP_Pcode],0)-1,0,1,1),"")</f>
        <v>Chipwi Town</v>
      </c>
      <c r="AJ27" s="336">
        <f ca="1">IFERROR(OFFSET(DistanceToCamp[distance],MATCH(CampList[[#This Row],[CP_Pcode]],DistanceToCamp[CP_Pcode],0)-1,0,1,1),"")</f>
        <v>0.15809623370782155</v>
      </c>
      <c r="AK27" s="567">
        <f ca="1">IFERROR(INT(CampList[[#This Row],[Distance]]/5)+1,"")</f>
        <v>1</v>
      </c>
      <c r="AL27" s="727"/>
      <c r="AM27" s="727"/>
      <c r="AN27" s="727"/>
      <c r="BD27" s="5"/>
      <c r="BE27" s="5"/>
    </row>
    <row r="28" spans="1:57" s="4" customFormat="1" ht="15.6" hidden="1" customHeight="1" x14ac:dyDescent="0.25">
      <c r="A28" s="555" t="s">
        <v>849</v>
      </c>
      <c r="B28" s="527" t="s">
        <v>380</v>
      </c>
      <c r="C28" s="527" t="s">
        <v>527</v>
      </c>
      <c r="D28" s="527" t="s">
        <v>5</v>
      </c>
      <c r="E28" s="527" t="s">
        <v>531</v>
      </c>
      <c r="F28" s="527" t="s">
        <v>5</v>
      </c>
      <c r="G28" s="525" t="s">
        <v>532</v>
      </c>
      <c r="H28" s="525"/>
      <c r="I28" s="525"/>
      <c r="J28" s="525"/>
      <c r="K28" s="573"/>
      <c r="L28" s="574" t="s">
        <v>10</v>
      </c>
      <c r="M28" s="527" t="s">
        <v>9</v>
      </c>
      <c r="N28" s="568"/>
      <c r="O28" s="568"/>
      <c r="P28" s="338"/>
      <c r="Q28" s="509">
        <v>0</v>
      </c>
      <c r="R28" s="531">
        <v>0</v>
      </c>
      <c r="S28" s="333" t="str">
        <f>IF(CampList[[#This Row],[HH]]&gt;0,CampList[[#This Row],[Total]]/CampList[[#This Row],[HH]],"NA")</f>
        <v>NA</v>
      </c>
      <c r="T28" s="561" t="s">
        <v>513</v>
      </c>
      <c r="U28" s="562" t="s">
        <v>1213</v>
      </c>
      <c r="V28" s="523" t="s">
        <v>12</v>
      </c>
      <c r="W28" s="562"/>
      <c r="X28" s="570"/>
      <c r="Y28" s="339"/>
      <c r="Z28" s="562"/>
      <c r="AA28" s="512"/>
      <c r="AB28" s="527" t="s">
        <v>1273</v>
      </c>
      <c r="AC28" s="592">
        <v>41666</v>
      </c>
      <c r="AD28" s="524" t="s">
        <v>946</v>
      </c>
      <c r="AE28" s="571" t="s">
        <v>1014</v>
      </c>
      <c r="AF28" s="535">
        <f>IF(CampList[[#This Row],[Type of Accomodation]]="camp",MAX(0,CampList[[#This Row],[HH]]-SUMIF(Table_Shelter[Pcode],CampList[[#This Row],[CP_Pcode]],Table_Shelter[HH Covered])),0)</f>
        <v>0</v>
      </c>
      <c r="AG28" s="525"/>
      <c r="AH28" s="525">
        <f>MIN(CampList[[#This Row],[Shelter Gap]],CampList[[#This Row],[Land Status]])</f>
        <v>0</v>
      </c>
      <c r="AI28" s="525" t="str">
        <f ca="1">IFERROR(OFFSET(DistanceToCamp[Nearest Town],MATCH(CampList[[#This Row],[CP_Pcode]],DistanceToCamp[CP_Pcode],0)-1,0,1,1),"")</f>
        <v/>
      </c>
      <c r="AJ28" s="336" t="str">
        <f ca="1">IFERROR(OFFSET(DistanceToCamp[distance],MATCH(CampList[[#This Row],[CP_Pcode]],DistanceToCamp[CP_Pcode],0)-1,0,1,1),"")</f>
        <v/>
      </c>
      <c r="AK28" s="567" t="str">
        <f ca="1">IFERROR(INT(CampList[[#This Row],[Distance]]/5)+1,"")</f>
        <v/>
      </c>
      <c r="AL28" s="727"/>
      <c r="AM28" s="727"/>
      <c r="AN28" s="727"/>
      <c r="BD28" s="5"/>
      <c r="BE28" s="5"/>
    </row>
    <row r="29" spans="1:57" s="4" customFormat="1" ht="15.6" customHeight="1" x14ac:dyDescent="0.25">
      <c r="A29" s="495" t="s">
        <v>502</v>
      </c>
      <c r="B29" s="525" t="s">
        <v>380</v>
      </c>
      <c r="C29" s="525" t="s">
        <v>527</v>
      </c>
      <c r="D29" s="525" t="s">
        <v>5</v>
      </c>
      <c r="E29" s="525" t="s">
        <v>531</v>
      </c>
      <c r="F29" s="743" t="s">
        <v>185</v>
      </c>
      <c r="G29" s="743" t="s">
        <v>535</v>
      </c>
      <c r="H29" s="743" t="s">
        <v>1227</v>
      </c>
      <c r="I29" s="743" t="s">
        <v>1404</v>
      </c>
      <c r="J29" s="594"/>
      <c r="K29" s="594"/>
      <c r="L29" s="739" t="s">
        <v>1405</v>
      </c>
      <c r="M29" s="525" t="s">
        <v>1406</v>
      </c>
      <c r="N29" s="750">
        <v>97.461271999999994</v>
      </c>
      <c r="O29" s="750">
        <v>24.613976000000001</v>
      </c>
      <c r="P29" s="569"/>
      <c r="Q29" s="713"/>
      <c r="R29" s="532">
        <v>49</v>
      </c>
      <c r="S29" s="333" t="str">
        <f>IF(CampList[[#This Row],[HH]]&gt;0,CampList[[#This Row],[Total]]/CampList[[#This Row],[HH]],"NA")</f>
        <v>NA</v>
      </c>
      <c r="T29" s="581" t="s">
        <v>513</v>
      </c>
      <c r="U29" s="561" t="s">
        <v>1213</v>
      </c>
      <c r="V29" s="561" t="s">
        <v>993</v>
      </c>
      <c r="W29" s="527" t="s">
        <v>862</v>
      </c>
      <c r="X29" s="595"/>
      <c r="Y29" s="564"/>
      <c r="Z29" s="563"/>
      <c r="AA29" s="518"/>
      <c r="AB29" s="525"/>
      <c r="AC29" s="733">
        <v>42317</v>
      </c>
      <c r="AD29" s="528" t="s">
        <v>1415</v>
      </c>
      <c r="AE29" s="597"/>
      <c r="AF29" s="598">
        <f>IF(CampList[[#This Row],[Type of Accomodation]]="camp",MAX(0,CampList[[#This Row],[HH]]-SUMIF(Table_Shelter[Pcode],CampList[[#This Row],[CP_Pcode]],Table_Shelter[HH Covered])),0)</f>
        <v>0</v>
      </c>
      <c r="AG29" s="525"/>
      <c r="AH29" s="598">
        <f>MIN(CampList[[#This Row],[Shelter Gap]],CampList[[#This Row],[Land Status]])</f>
        <v>0</v>
      </c>
      <c r="AI29" s="598" t="str">
        <f ca="1">IFERROR(OFFSET(DistanceToCamp[Nearest Town],MATCH(CampList[[#This Row],[CP_Pcode]],DistanceToCamp[CP_Pcode],0)-1,0,1,1),"")</f>
        <v/>
      </c>
      <c r="AJ29" s="336" t="str">
        <f ca="1">IFERROR(OFFSET(DistanceToCamp[distance],MATCH(CampList[[#This Row],[CP_Pcode]],DistanceToCamp[CP_Pcode],0)-1,0,1,1),"")</f>
        <v/>
      </c>
      <c r="AK29" s="600" t="str">
        <f ca="1">IFERROR(INT(CampList[[#This Row],[Distance]]/5)+1,"")</f>
        <v/>
      </c>
      <c r="AL29" s="727"/>
      <c r="AM29" s="727"/>
      <c r="AN29" s="727"/>
      <c r="BD29" s="5"/>
      <c r="BE29" s="5"/>
    </row>
    <row r="30" spans="1:57" s="4" customFormat="1" ht="15.6" customHeight="1" x14ac:dyDescent="0.25">
      <c r="A30" s="555" t="s">
        <v>502</v>
      </c>
      <c r="B30" s="527" t="s">
        <v>380</v>
      </c>
      <c r="C30" s="527" t="s">
        <v>527</v>
      </c>
      <c r="D30" s="527" t="s">
        <v>180</v>
      </c>
      <c r="E30" s="527" t="s">
        <v>528</v>
      </c>
      <c r="F30" s="527" t="s">
        <v>529</v>
      </c>
      <c r="G30" s="525" t="s">
        <v>530</v>
      </c>
      <c r="H30" s="556" t="s">
        <v>605</v>
      </c>
      <c r="I30" s="556" t="s">
        <v>606</v>
      </c>
      <c r="J30" s="556"/>
      <c r="K30" s="557"/>
      <c r="L30" s="527" t="s">
        <v>76</v>
      </c>
      <c r="M30" s="527" t="s">
        <v>75</v>
      </c>
      <c r="N30" s="558">
        <v>96.35257</v>
      </c>
      <c r="O30" s="558">
        <v>25.637309999999999</v>
      </c>
      <c r="P30" s="559">
        <v>277.60000000000002</v>
      </c>
      <c r="Q30" s="509">
        <v>65</v>
      </c>
      <c r="R30" s="531">
        <v>347</v>
      </c>
      <c r="S30" s="333">
        <f>IF(CampList[[#This Row],[HH]]&gt;0,CampList[[#This Row],[Total]]/CampList[[#This Row],[HH]],"NA")</f>
        <v>5.3384615384615381</v>
      </c>
      <c r="T30" s="581" t="s">
        <v>513</v>
      </c>
      <c r="U30" s="562" t="s">
        <v>1213</v>
      </c>
      <c r="V30" s="527" t="s">
        <v>556</v>
      </c>
      <c r="W30" s="508" t="s">
        <v>808</v>
      </c>
      <c r="X30" s="563">
        <v>41275</v>
      </c>
      <c r="Y30" s="564">
        <v>1</v>
      </c>
      <c r="Z30" s="563" t="s">
        <v>507</v>
      </c>
      <c r="AA30" s="521" t="s">
        <v>848</v>
      </c>
      <c r="AB30" s="527"/>
      <c r="AC30" s="565">
        <v>42291</v>
      </c>
      <c r="AD30" s="523" t="s">
        <v>1371</v>
      </c>
      <c r="AE30" s="564" t="s">
        <v>1100</v>
      </c>
      <c r="AF30" s="535">
        <f>IF(CampList[[#This Row],[Type of Accomodation]]="camp",MAX(0,CampList[[#This Row],[HH]]-SUMIF(Table_Shelter[Pcode],CampList[[#This Row],[CP_Pcode]],Table_Shelter[HH Covered])),0)</f>
        <v>0</v>
      </c>
      <c r="AG30" s="525"/>
      <c r="AH30" s="525">
        <f>MIN(CampList[[#This Row],[Shelter Gap]],CampList[[#This Row],[Land Status]])</f>
        <v>0</v>
      </c>
      <c r="AI30" s="525" t="str">
        <f ca="1">IFERROR(OFFSET(DistanceToCamp[Nearest Town],MATCH(CampList[[#This Row],[CP_Pcode]],DistanceToCamp[CP_Pcode],0)-1,0,1,1),"")</f>
        <v>Hpakant Town</v>
      </c>
      <c r="AJ30" s="336">
        <f ca="1">IFERROR(OFFSET(DistanceToCamp[distance],MATCH(CampList[[#This Row],[CP_Pcode]],DistanceToCamp[CP_Pcode],0)-1,0,1,1),"")</f>
        <v>4.8862832644478198</v>
      </c>
      <c r="AK30" s="567">
        <f ca="1">IFERROR(INT(CampList[[#This Row],[Distance]]/5)+1,"")</f>
        <v>1</v>
      </c>
      <c r="AL30" s="727"/>
      <c r="AM30" s="727"/>
      <c r="AN30" s="727"/>
      <c r="BD30" s="5"/>
      <c r="BE30" s="5"/>
    </row>
    <row r="31" spans="1:57" s="4" customFormat="1" ht="15.6" customHeight="1" x14ac:dyDescent="0.25">
      <c r="A31" s="555" t="s">
        <v>502</v>
      </c>
      <c r="B31" s="527" t="s">
        <v>380</v>
      </c>
      <c r="C31" s="527" t="s">
        <v>527</v>
      </c>
      <c r="D31" s="527" t="s">
        <v>237</v>
      </c>
      <c r="E31" s="527" t="s">
        <v>533</v>
      </c>
      <c r="F31" s="527" t="s">
        <v>237</v>
      </c>
      <c r="G31" s="525" t="s">
        <v>537</v>
      </c>
      <c r="H31" s="556" t="s">
        <v>673</v>
      </c>
      <c r="I31" s="556" t="s">
        <v>674</v>
      </c>
      <c r="J31" s="556" t="s">
        <v>680</v>
      </c>
      <c r="K31" s="557" t="s">
        <v>681</v>
      </c>
      <c r="L31" s="527" t="s">
        <v>243</v>
      </c>
      <c r="M31" s="527" t="s">
        <v>242</v>
      </c>
      <c r="N31" s="558">
        <v>97.384729629629604</v>
      </c>
      <c r="O31" s="558">
        <v>25.4002701851852</v>
      </c>
      <c r="P31" s="559">
        <v>0</v>
      </c>
      <c r="Q31" s="509">
        <v>6</v>
      </c>
      <c r="R31" s="531">
        <v>28</v>
      </c>
      <c r="S31" s="333">
        <f>IF(CampList[[#This Row],[HH]]&gt;0,CampList[[#This Row],[Total]]/CampList[[#This Row],[HH]],"NA")</f>
        <v>4.666666666666667</v>
      </c>
      <c r="T31" s="581" t="s">
        <v>513</v>
      </c>
      <c r="U31" s="562" t="s">
        <v>1213</v>
      </c>
      <c r="V31" s="527" t="s">
        <v>556</v>
      </c>
      <c r="W31" s="562" t="s">
        <v>808</v>
      </c>
      <c r="X31" s="563">
        <v>40695</v>
      </c>
      <c r="Y31" s="564"/>
      <c r="Z31" s="563" t="s">
        <v>462</v>
      </c>
      <c r="AA31" s="515" t="s">
        <v>847</v>
      </c>
      <c r="AB31" s="527"/>
      <c r="AC31" s="565"/>
      <c r="AD31" s="523" t="s">
        <v>603</v>
      </c>
      <c r="AE31" s="564" t="s">
        <v>1100</v>
      </c>
      <c r="AF31" s="535">
        <f>IF(CampList[[#This Row],[Type of Accomodation]]="camp",MAX(0,CampList[[#This Row],[HH]]-SUMIF(Table_Shelter[Pcode],CampList[[#This Row],[CP_Pcode]],Table_Shelter[HH Covered])),0)</f>
        <v>3</v>
      </c>
      <c r="AG31" s="525"/>
      <c r="AH31" s="525">
        <f>MIN(CampList[[#This Row],[Shelter Gap]],CampList[[#This Row],[Land Status]])</f>
        <v>3</v>
      </c>
      <c r="AI31" s="525" t="str">
        <f ca="1">IFERROR(OFFSET(DistanceToCamp[Nearest Town],MATCH(CampList[[#This Row],[CP_Pcode]],DistanceToCamp[CP_Pcode],0)-1,0,1,1),"")</f>
        <v>Myitkyina Town</v>
      </c>
      <c r="AJ31" s="336">
        <f ca="1">IFERROR(OFFSET(DistanceToCamp[distance],MATCH(CampList[[#This Row],[CP_Pcode]],DistanceToCamp[CP_Pcode],0)-1,0,1,1),"")</f>
        <v>1.5295244799681529</v>
      </c>
      <c r="AK31" s="567">
        <f ca="1">IFERROR(INT(CampList[[#This Row],[Distance]]/5)+1,"")</f>
        <v>1</v>
      </c>
      <c r="AL31" s="727"/>
      <c r="AM31" s="727"/>
      <c r="AN31" s="727"/>
      <c r="BD31" s="5"/>
      <c r="BE31" s="5"/>
    </row>
    <row r="32" spans="1:57" s="4" customFormat="1" ht="15.6" customHeight="1" thickBot="1" x14ac:dyDescent="0.3">
      <c r="A32" s="555" t="s">
        <v>502</v>
      </c>
      <c r="B32" s="527" t="s">
        <v>380</v>
      </c>
      <c r="C32" s="527" t="s">
        <v>527</v>
      </c>
      <c r="D32" s="527" t="s">
        <v>237</v>
      </c>
      <c r="E32" s="527" t="s">
        <v>533</v>
      </c>
      <c r="F32" s="527" t="s">
        <v>237</v>
      </c>
      <c r="G32" s="525" t="s">
        <v>537</v>
      </c>
      <c r="H32" s="556" t="s">
        <v>673</v>
      </c>
      <c r="I32" s="556" t="s">
        <v>674</v>
      </c>
      <c r="J32" s="556" t="s">
        <v>680</v>
      </c>
      <c r="K32" s="557" t="s">
        <v>681</v>
      </c>
      <c r="L32" s="527" t="s">
        <v>245</v>
      </c>
      <c r="M32" s="527" t="s">
        <v>244</v>
      </c>
      <c r="N32" s="558">
        <v>97.382997575757599</v>
      </c>
      <c r="O32" s="558">
        <v>25.3959740909091</v>
      </c>
      <c r="P32" s="559">
        <v>0</v>
      </c>
      <c r="Q32" s="509">
        <v>6</v>
      </c>
      <c r="R32" s="531">
        <v>39</v>
      </c>
      <c r="S32" s="333">
        <f>IF(CampList[[#This Row],[HH]]&gt;0,CampList[[#This Row],[Total]]/CampList[[#This Row],[HH]],"NA")</f>
        <v>6.5</v>
      </c>
      <c r="T32" s="581" t="s">
        <v>513</v>
      </c>
      <c r="U32" s="562" t="s">
        <v>1213</v>
      </c>
      <c r="V32" s="527" t="s">
        <v>556</v>
      </c>
      <c r="W32" s="562" t="s">
        <v>808</v>
      </c>
      <c r="X32" s="563">
        <v>40695</v>
      </c>
      <c r="Y32" s="564"/>
      <c r="Z32" s="563" t="s">
        <v>462</v>
      </c>
      <c r="AA32" s="515" t="s">
        <v>847</v>
      </c>
      <c r="AB32" s="527"/>
      <c r="AC32" s="565"/>
      <c r="AD32" s="523" t="s">
        <v>603</v>
      </c>
      <c r="AE32" s="564" t="s">
        <v>1100</v>
      </c>
      <c r="AF32" s="535">
        <f>IF(CampList[[#This Row],[Type of Accomodation]]="camp",MAX(0,CampList[[#This Row],[HH]]-SUMIF(Table_Shelter[Pcode],CampList[[#This Row],[CP_Pcode]],Table_Shelter[HH Covered])),0)</f>
        <v>0</v>
      </c>
      <c r="AG32" s="525"/>
      <c r="AH32" s="525">
        <f>MIN(CampList[[#This Row],[Shelter Gap]],CampList[[#This Row],[Land Status]])</f>
        <v>0</v>
      </c>
      <c r="AI32" s="525" t="str">
        <f ca="1">IFERROR(OFFSET(DistanceToCamp[Nearest Town],MATCH(CampList[[#This Row],[CP_Pcode]],DistanceToCamp[CP_Pcode],0)-1,0,1,1),"")</f>
        <v>Myitkyina Town</v>
      </c>
      <c r="AJ32" s="336">
        <f ca="1">IFERROR(OFFSET(DistanceToCamp[distance],MATCH(CampList[[#This Row],[CP_Pcode]],DistanceToCamp[CP_Pcode],0)-1,0,1,1),"")</f>
        <v>1.1985969617964649</v>
      </c>
      <c r="AK32" s="567">
        <f ca="1">IFERROR(INT(CampList[[#This Row],[Distance]]/5)+1,"")</f>
        <v>1</v>
      </c>
      <c r="AL32" s="727"/>
      <c r="AM32" s="727"/>
      <c r="AN32" s="727"/>
      <c r="BD32" s="5"/>
      <c r="BE32" s="5"/>
    </row>
    <row r="33" spans="1:57" s="4" customFormat="1" ht="15.6" customHeight="1" thickBot="1" x14ac:dyDescent="0.3">
      <c r="A33" s="555" t="s">
        <v>502</v>
      </c>
      <c r="B33" s="527" t="s">
        <v>380</v>
      </c>
      <c r="C33" s="527" t="s">
        <v>527</v>
      </c>
      <c r="D33" s="527" t="s">
        <v>237</v>
      </c>
      <c r="E33" s="527" t="s">
        <v>533</v>
      </c>
      <c r="F33" s="527" t="s">
        <v>237</v>
      </c>
      <c r="G33" s="525" t="s">
        <v>537</v>
      </c>
      <c r="H33" s="556" t="s">
        <v>673</v>
      </c>
      <c r="I33" s="556" t="s">
        <v>674</v>
      </c>
      <c r="J33" s="556" t="s">
        <v>680</v>
      </c>
      <c r="K33" s="557" t="s">
        <v>681</v>
      </c>
      <c r="L33" s="527" t="s">
        <v>247</v>
      </c>
      <c r="M33" s="527" t="s">
        <v>246</v>
      </c>
      <c r="N33" s="558">
        <v>97.381325000000004</v>
      </c>
      <c r="O33" s="558">
        <v>25.396492500000001</v>
      </c>
      <c r="P33" s="559">
        <v>0</v>
      </c>
      <c r="Q33" s="737">
        <v>50</v>
      </c>
      <c r="R33" s="738">
        <v>236</v>
      </c>
      <c r="S33" s="333">
        <f>IF(CampList[[#This Row],[HH]]&gt;0,CampList[[#This Row],[Total]]/CampList[[#This Row],[HH]],"NA")</f>
        <v>4.72</v>
      </c>
      <c r="T33" s="581" t="s">
        <v>513</v>
      </c>
      <c r="U33" s="562" t="s">
        <v>1213</v>
      </c>
      <c r="V33" s="527" t="s">
        <v>556</v>
      </c>
      <c r="W33" s="562" t="s">
        <v>808</v>
      </c>
      <c r="X33" s="563">
        <v>40695</v>
      </c>
      <c r="Y33" s="564">
        <v>2</v>
      </c>
      <c r="Z33" s="563" t="s">
        <v>462</v>
      </c>
      <c r="AA33" s="516" t="s">
        <v>848</v>
      </c>
      <c r="AB33" s="527"/>
      <c r="AC33" s="565">
        <v>42340</v>
      </c>
      <c r="AD33" s="523" t="s">
        <v>1443</v>
      </c>
      <c r="AE33" s="564" t="s">
        <v>1100</v>
      </c>
      <c r="AF33" s="535">
        <f>IF(CampList[[#This Row],[Type of Accomodation]]="camp",MAX(0,CampList[[#This Row],[HH]]-SUMIF(Table_Shelter[Pcode],CampList[[#This Row],[CP_Pcode]],Table_Shelter[HH Covered])),0)</f>
        <v>47</v>
      </c>
      <c r="AG33" s="525"/>
      <c r="AH33" s="525">
        <f>MIN(CampList[[#This Row],[Shelter Gap]],CampList[[#This Row],[Land Status]])</f>
        <v>47</v>
      </c>
      <c r="AI33" s="525" t="str">
        <f ca="1">IFERROR(OFFSET(DistanceToCamp[Nearest Town],MATCH(CampList[[#This Row],[CP_Pcode]],DistanceToCamp[CP_Pcode],0)-1,0,1,1),"")</f>
        <v>Myitkyina Town</v>
      </c>
      <c r="AJ33" s="566">
        <f ca="1">IFERROR(OFFSET(DistanceToCamp[distance],MATCH(CampList[[#This Row],[CP_Pcode]],DistanceToCamp[CP_Pcode],0)-1,0,1,1),"")</f>
        <v>1.3510454549069482</v>
      </c>
      <c r="AK33" s="567">
        <f ca="1">IFERROR(INT(CampList[[#This Row],[Distance]]/5)+1,"")</f>
        <v>1</v>
      </c>
      <c r="AL33" s="727"/>
      <c r="AM33" s="727"/>
      <c r="AN33" s="727"/>
      <c r="BD33" s="5"/>
      <c r="BE33" s="5"/>
    </row>
    <row r="34" spans="1:57" s="4" customFormat="1" ht="15.6" customHeight="1" x14ac:dyDescent="0.25">
      <c r="A34" s="495" t="s">
        <v>502</v>
      </c>
      <c r="B34" s="535" t="s">
        <v>380</v>
      </c>
      <c r="C34" s="535" t="s">
        <v>527</v>
      </c>
      <c r="D34" s="535" t="s">
        <v>5</v>
      </c>
      <c r="E34" s="535" t="s">
        <v>531</v>
      </c>
      <c r="F34" s="535" t="s">
        <v>185</v>
      </c>
      <c r="G34" s="535" t="s">
        <v>535</v>
      </c>
      <c r="H34" s="535" t="s">
        <v>727</v>
      </c>
      <c r="I34" s="598" t="s">
        <v>728</v>
      </c>
      <c r="J34" s="535" t="s">
        <v>576</v>
      </c>
      <c r="K34" s="535"/>
      <c r="L34" s="535" t="s">
        <v>192</v>
      </c>
      <c r="M34" s="535" t="s">
        <v>191</v>
      </c>
      <c r="N34" s="508">
        <v>97.537099999999995</v>
      </c>
      <c r="O34" s="508">
        <v>24.461033</v>
      </c>
      <c r="P34" s="569">
        <v>360</v>
      </c>
      <c r="Q34" s="736">
        <v>115</v>
      </c>
      <c r="R34" s="736">
        <v>596</v>
      </c>
      <c r="S34" s="560">
        <f>IF(CampList[[#This Row],[HH]]&gt;0,CampList[[#This Row],[Total]]/CampList[[#This Row],[HH]],"NA")</f>
        <v>5.1826086956521742</v>
      </c>
      <c r="T34" s="599" t="s">
        <v>515</v>
      </c>
      <c r="U34" s="561" t="s">
        <v>1213</v>
      </c>
      <c r="V34" s="496" t="s">
        <v>556</v>
      </c>
      <c r="W34" s="508" t="s">
        <v>863</v>
      </c>
      <c r="X34" s="577">
        <v>40756</v>
      </c>
      <c r="Y34" s="571">
        <v>4</v>
      </c>
      <c r="Z34" s="571" t="s">
        <v>1097</v>
      </c>
      <c r="AA34" s="511" t="s">
        <v>848</v>
      </c>
      <c r="AB34" s="599"/>
      <c r="AC34" s="565">
        <v>42340</v>
      </c>
      <c r="AD34" s="711" t="s">
        <v>1380</v>
      </c>
      <c r="AE34" s="597" t="s">
        <v>1085</v>
      </c>
      <c r="AF34" s="598">
        <f>IF(CampList[[#This Row],[Type of Accomodation]]="camp",MAX(0,CampList[[#This Row],[HH]]-SUMIF(Table_Shelter[Pcode],CampList[[#This Row],[CP_Pcode]],Table_Shelter[HH Covered])),0)</f>
        <v>0</v>
      </c>
      <c r="AG34" s="535"/>
      <c r="AH34" s="598">
        <f>MIN(CampList[[#This Row],[Shelter Gap]],CampList[[#This Row],[Land Status]])</f>
        <v>0</v>
      </c>
      <c r="AI34" s="598" t="str">
        <f ca="1">IFERROR(OFFSET(DistanceToCamp[Nearest Town],MATCH(CampList[[#This Row],[CP_Pcode]],DistanceToCamp[CP_Pcode],0)-1,0,1,1),"")</f>
        <v>Dawthponeyan  Town</v>
      </c>
      <c r="AJ34" s="566">
        <f ca="1">IFERROR(OFFSET(DistanceToCamp[distance],MATCH(CampList[[#This Row],[CP_Pcode]],DistanceToCamp[CP_Pcode],0)-1,0,1,1),"")</f>
        <v>18.65617244319267</v>
      </c>
      <c r="AK34" s="600">
        <f ca="1">IFERROR(INT(CampList[[#This Row],[Distance]]/5)+1,"")</f>
        <v>4</v>
      </c>
      <c r="AL34" s="727"/>
      <c r="AM34" s="727"/>
      <c r="AN34" s="727"/>
      <c r="BD34" s="5"/>
      <c r="BE34" s="5"/>
    </row>
    <row r="35" spans="1:57" s="4" customFormat="1" ht="15.6" hidden="1" customHeight="1" x14ac:dyDescent="0.25">
      <c r="A35" s="555" t="s">
        <v>849</v>
      </c>
      <c r="B35" s="527" t="s">
        <v>380</v>
      </c>
      <c r="C35" s="527" t="s">
        <v>527</v>
      </c>
      <c r="D35" s="527" t="s">
        <v>180</v>
      </c>
      <c r="E35" s="527" t="s">
        <v>528</v>
      </c>
      <c r="F35" s="527" t="s">
        <v>529</v>
      </c>
      <c r="G35" s="525" t="s">
        <v>530</v>
      </c>
      <c r="H35" s="556" t="s">
        <v>600</v>
      </c>
      <c r="I35" s="556" t="s">
        <v>601</v>
      </c>
      <c r="J35" s="556" t="s">
        <v>600</v>
      </c>
      <c r="K35" s="557">
        <v>166783</v>
      </c>
      <c r="L35" s="527" t="s">
        <v>78</v>
      </c>
      <c r="M35" s="527" t="s">
        <v>77</v>
      </c>
      <c r="N35" s="568"/>
      <c r="O35" s="568"/>
      <c r="P35" s="569"/>
      <c r="Q35" s="509">
        <v>0</v>
      </c>
      <c r="R35" s="531">
        <v>0</v>
      </c>
      <c r="S35" s="560" t="str">
        <f>IF(CampList[[#This Row],[HH]]&gt;0,CampList[[#This Row],[Total]]/CampList[[#This Row],[HH]],"NA")</f>
        <v>NA</v>
      </c>
      <c r="T35" s="561" t="s">
        <v>513</v>
      </c>
      <c r="U35" s="562" t="s">
        <v>1213</v>
      </c>
      <c r="V35" s="527" t="s">
        <v>556</v>
      </c>
      <c r="W35" s="562" t="s">
        <v>862</v>
      </c>
      <c r="X35" s="570"/>
      <c r="Y35" s="571"/>
      <c r="Z35" s="562"/>
      <c r="AA35" s="516" t="s">
        <v>848</v>
      </c>
      <c r="AB35" s="527"/>
      <c r="AC35" s="565">
        <v>41774</v>
      </c>
      <c r="AD35" s="523" t="s">
        <v>1055</v>
      </c>
      <c r="AE35" s="571" t="s">
        <v>1014</v>
      </c>
      <c r="AF35" s="535">
        <f>IF(CampList[[#This Row],[Type of Accomodation]]="camp",MAX(0,CampList[[#This Row],[HH]]-SUMIF(Table_Shelter[Pcode],CampList[[#This Row],[CP_Pcode]],Table_Shelter[HH Covered])),0)</f>
        <v>0</v>
      </c>
      <c r="AG35" s="525"/>
      <c r="AH35" s="525">
        <f>MIN(CampList[[#This Row],[Shelter Gap]],CampList[[#This Row],[Land Status]])</f>
        <v>0</v>
      </c>
      <c r="AI35" s="525" t="str">
        <f ca="1">IFERROR(OFFSET(DistanceToCamp[Nearest Town],MATCH(CampList[[#This Row],[CP_Pcode]],DistanceToCamp[CP_Pcode],0)-1,0,1,1),"")</f>
        <v/>
      </c>
      <c r="AJ35" s="566" t="str">
        <f ca="1">IFERROR(OFFSET(DistanceToCamp[distance],MATCH(CampList[[#This Row],[CP_Pcode]],DistanceToCamp[CP_Pcode],0)-1,0,1,1),"")</f>
        <v/>
      </c>
      <c r="AK35" s="567" t="str">
        <f ca="1">IFERROR(INT(CampList[[#This Row],[Distance]]/5)+1,"")</f>
        <v/>
      </c>
      <c r="AL35" s="727"/>
      <c r="AM35" s="727"/>
      <c r="AN35" s="727"/>
      <c r="BD35" s="5"/>
      <c r="BE35" s="5"/>
    </row>
    <row r="36" spans="1:57" s="4" customFormat="1" ht="15.6" hidden="1" customHeight="1" x14ac:dyDescent="0.25">
      <c r="A36" s="555" t="s">
        <v>849</v>
      </c>
      <c r="B36" s="527" t="s">
        <v>380</v>
      </c>
      <c r="C36" s="527" t="s">
        <v>527</v>
      </c>
      <c r="D36" s="527" t="s">
        <v>180</v>
      </c>
      <c r="E36" s="527" t="s">
        <v>528</v>
      </c>
      <c r="F36" s="527" t="s">
        <v>529</v>
      </c>
      <c r="G36" s="218" t="s">
        <v>530</v>
      </c>
      <c r="H36" s="556" t="s">
        <v>600</v>
      </c>
      <c r="I36" s="556" t="s">
        <v>601</v>
      </c>
      <c r="J36" s="556" t="s">
        <v>600</v>
      </c>
      <c r="K36" s="557">
        <v>166783</v>
      </c>
      <c r="L36" s="527" t="s">
        <v>82</v>
      </c>
      <c r="M36" s="219" t="s">
        <v>81</v>
      </c>
      <c r="N36" s="568"/>
      <c r="O36" s="568"/>
      <c r="P36" s="569"/>
      <c r="Q36" s="509">
        <v>0</v>
      </c>
      <c r="R36" s="531">
        <v>0</v>
      </c>
      <c r="S36" s="333" t="str">
        <f>IF(CampList[[#This Row],[HH]]&gt;0,CampList[[#This Row],[Total]]/CampList[[#This Row],[HH]],"NA")</f>
        <v>NA</v>
      </c>
      <c r="T36" s="561" t="s">
        <v>513</v>
      </c>
      <c r="U36" s="334" t="s">
        <v>1213</v>
      </c>
      <c r="V36" s="219" t="s">
        <v>556</v>
      </c>
      <c r="W36" s="562"/>
      <c r="X36" s="570"/>
      <c r="Y36" s="571"/>
      <c r="Z36" s="562"/>
      <c r="AA36" s="515" t="s">
        <v>847</v>
      </c>
      <c r="AB36" s="527"/>
      <c r="AC36" s="565">
        <v>41663</v>
      </c>
      <c r="AD36" s="523" t="s">
        <v>945</v>
      </c>
      <c r="AE36" s="571" t="s">
        <v>1014</v>
      </c>
      <c r="AF36" s="233">
        <f>IF(CampList[[#This Row],[Type of Accomodation]]="camp",MAX(0,CampList[[#This Row],[HH]]-SUMIF(Table_Shelter[Pcode],CampList[[#This Row],[CP_Pcode]],Table_Shelter[HH Covered])),0)</f>
        <v>0</v>
      </c>
      <c r="AG36" s="218"/>
      <c r="AH36" s="218">
        <f>MIN(CampList[[#This Row],[Shelter Gap]],CampList[[#This Row],[Land Status]])</f>
        <v>0</v>
      </c>
      <c r="AI36" s="218" t="str">
        <f ca="1">IFERROR(OFFSET(DistanceToCamp[Nearest Town],MATCH(CampList[[#This Row],[CP_Pcode]],DistanceToCamp[CP_Pcode],0)-1,0,1,1),"")</f>
        <v/>
      </c>
      <c r="AJ36" s="336" t="str">
        <f ca="1">IFERROR(OFFSET(DistanceToCamp[distance],MATCH(CampList[[#This Row],[CP_Pcode]],DistanceToCamp[CP_Pcode],0)-1,0,1,1),"")</f>
        <v/>
      </c>
      <c r="AK36" s="337" t="str">
        <f ca="1">IFERROR(INT(CampList[[#This Row],[Distance]]/5)+1,"")</f>
        <v/>
      </c>
      <c r="AL36" s="727"/>
      <c r="AM36" s="727"/>
      <c r="AN36" s="727"/>
      <c r="BD36" s="5"/>
      <c r="BE36" s="5"/>
    </row>
    <row r="37" spans="1:57" s="4" customFormat="1" ht="15.6" hidden="1" customHeight="1" x14ac:dyDescent="0.25">
      <c r="A37" s="555" t="s">
        <v>849</v>
      </c>
      <c r="B37" s="525" t="s">
        <v>555</v>
      </c>
      <c r="C37" s="525" t="s">
        <v>538</v>
      </c>
      <c r="D37" s="525" t="s">
        <v>230</v>
      </c>
      <c r="E37" s="525" t="s">
        <v>539</v>
      </c>
      <c r="F37" s="525" t="s">
        <v>146</v>
      </c>
      <c r="G37" s="218" t="s">
        <v>546</v>
      </c>
      <c r="H37" s="525" t="s">
        <v>936</v>
      </c>
      <c r="I37" s="525"/>
      <c r="J37" s="525" t="s">
        <v>936</v>
      </c>
      <c r="K37" s="525"/>
      <c r="L37" s="525" t="s">
        <v>937</v>
      </c>
      <c r="M37" s="219" t="s">
        <v>938</v>
      </c>
      <c r="N37" s="508"/>
      <c r="O37" s="508"/>
      <c r="P37" s="532"/>
      <c r="Q37" s="509">
        <v>0</v>
      </c>
      <c r="R37" s="531">
        <v>0</v>
      </c>
      <c r="S37" s="333" t="str">
        <f>IF(CampList[[#This Row],[HH]]&gt;0,CampList[[#This Row],[Total]]/CampList[[#This Row],[HH]],"NA")</f>
        <v>NA</v>
      </c>
      <c r="T37" s="561" t="s">
        <v>515</v>
      </c>
      <c r="U37" s="334" t="s">
        <v>1213</v>
      </c>
      <c r="V37" s="219" t="s">
        <v>556</v>
      </c>
      <c r="W37" s="527" t="s">
        <v>862</v>
      </c>
      <c r="X37" s="577"/>
      <c r="Y37" s="533"/>
      <c r="Z37" s="527"/>
      <c r="AA37" s="518" t="s">
        <v>848</v>
      </c>
      <c r="AB37" s="525"/>
      <c r="AC37" s="565">
        <v>41289</v>
      </c>
      <c r="AD37" s="525" t="s">
        <v>942</v>
      </c>
      <c r="AE37" s="533" t="s">
        <v>1014</v>
      </c>
      <c r="AF37" s="233">
        <f>IF(CampList[[#This Row],[Type of Accomodation]]="camp",MAX(0,CampList[[#This Row],[HH]]-SUMIF(Table_Shelter[Pcode],CampList[[#This Row],[CP_Pcode]],Table_Shelter[HH Covered])),0)</f>
        <v>0</v>
      </c>
      <c r="AG37" s="218"/>
      <c r="AH37" s="218">
        <f>MIN(CampList[[#This Row],[Shelter Gap]],CampList[[#This Row],[Land Status]])</f>
        <v>0</v>
      </c>
      <c r="AI37" s="218" t="str">
        <f ca="1">IFERROR(OFFSET(DistanceToCamp[Nearest Town],MATCH(CampList[[#This Row],[CP_Pcode]],DistanceToCamp[CP_Pcode],0)-1,0,1,1),"")</f>
        <v/>
      </c>
      <c r="AJ37" s="336" t="str">
        <f ca="1">IFERROR(OFFSET(DistanceToCamp[distance],MATCH(CampList[[#This Row],[CP_Pcode]],DistanceToCamp[CP_Pcode],0)-1,0,1,1),"")</f>
        <v/>
      </c>
      <c r="AK37" s="337" t="str">
        <f ca="1">IFERROR(INT(CampList[[#This Row],[Distance]]/5)+1,"")</f>
        <v/>
      </c>
      <c r="AL37" s="727"/>
      <c r="AM37" s="727"/>
      <c r="AN37" s="727"/>
      <c r="BD37" s="5"/>
      <c r="BE37" s="5"/>
    </row>
    <row r="38" spans="1:57" s="4" customFormat="1" ht="15.6" hidden="1" customHeight="1" x14ac:dyDescent="0.25">
      <c r="A38" s="555" t="s">
        <v>849</v>
      </c>
      <c r="B38" s="525" t="s">
        <v>555</v>
      </c>
      <c r="C38" s="525" t="s">
        <v>538</v>
      </c>
      <c r="D38" s="525" t="s">
        <v>230</v>
      </c>
      <c r="E38" s="525" t="s">
        <v>539</v>
      </c>
      <c r="F38" s="525" t="s">
        <v>146</v>
      </c>
      <c r="G38" s="218" t="s">
        <v>546</v>
      </c>
      <c r="H38" s="525" t="s">
        <v>936</v>
      </c>
      <c r="I38" s="525"/>
      <c r="J38" s="525" t="s">
        <v>936</v>
      </c>
      <c r="K38" s="525"/>
      <c r="L38" s="525" t="s">
        <v>939</v>
      </c>
      <c r="M38" s="219" t="s">
        <v>940</v>
      </c>
      <c r="N38" s="508"/>
      <c r="O38" s="508"/>
      <c r="P38" s="532"/>
      <c r="Q38" s="509">
        <v>0</v>
      </c>
      <c r="R38" s="531">
        <v>0</v>
      </c>
      <c r="S38" s="333" t="str">
        <f>IF(CampList[[#This Row],[HH]]&gt;0,CampList[[#This Row],[Total]]/CampList[[#This Row],[HH]],"NA")</f>
        <v>NA</v>
      </c>
      <c r="T38" s="561" t="s">
        <v>515</v>
      </c>
      <c r="U38" s="334" t="s">
        <v>1213</v>
      </c>
      <c r="V38" s="219" t="s">
        <v>556</v>
      </c>
      <c r="W38" s="527" t="s">
        <v>862</v>
      </c>
      <c r="X38" s="577"/>
      <c r="Y38" s="533"/>
      <c r="Z38" s="527"/>
      <c r="AA38" s="518" t="s">
        <v>848</v>
      </c>
      <c r="AB38" s="525"/>
      <c r="AC38" s="565">
        <v>41289</v>
      </c>
      <c r="AD38" s="525" t="s">
        <v>943</v>
      </c>
      <c r="AE38" s="533" t="s">
        <v>1014</v>
      </c>
      <c r="AF38" s="233">
        <f>IF(CampList[[#This Row],[Type of Accomodation]]="camp",MAX(0,CampList[[#This Row],[HH]]-SUMIF(Table_Shelter[Pcode],CampList[[#This Row],[CP_Pcode]],Table_Shelter[HH Covered])),0)</f>
        <v>0</v>
      </c>
      <c r="AG38" s="525"/>
      <c r="AH38" s="218">
        <f>MIN(CampList[[#This Row],[Shelter Gap]],CampList[[#This Row],[Land Status]])</f>
        <v>0</v>
      </c>
      <c r="AI38" s="218" t="str">
        <f ca="1">IFERROR(OFFSET(DistanceToCamp[Nearest Town],MATCH(CampList[[#This Row],[CP_Pcode]],DistanceToCamp[CP_Pcode],0)-1,0,1,1),"")</f>
        <v/>
      </c>
      <c r="AJ38" s="336" t="str">
        <f ca="1">IFERROR(OFFSET(DistanceToCamp[distance],MATCH(CampList[[#This Row],[CP_Pcode]],DistanceToCamp[CP_Pcode],0)-1,0,1,1),"")</f>
        <v/>
      </c>
      <c r="AK38" s="337" t="str">
        <f ca="1">IFERROR(INT(CampList[[#This Row],[Distance]]/5)+1,"")</f>
        <v/>
      </c>
      <c r="AL38" s="727"/>
      <c r="AM38" s="727"/>
      <c r="AN38" s="727"/>
      <c r="BD38" s="5"/>
      <c r="BE38" s="5"/>
    </row>
    <row r="39" spans="1:57" s="4" customFormat="1" ht="15.6" hidden="1" customHeight="1" x14ac:dyDescent="0.25">
      <c r="A39" s="555" t="s">
        <v>849</v>
      </c>
      <c r="B39" s="219" t="s">
        <v>380</v>
      </c>
      <c r="C39" s="219" t="s">
        <v>527</v>
      </c>
      <c r="D39" s="527" t="s">
        <v>237</v>
      </c>
      <c r="E39" s="527" t="s">
        <v>533</v>
      </c>
      <c r="F39" s="527" t="s">
        <v>27</v>
      </c>
      <c r="G39" s="218" t="s">
        <v>536</v>
      </c>
      <c r="H39" s="525"/>
      <c r="I39" s="527"/>
      <c r="J39" s="527"/>
      <c r="K39" s="573"/>
      <c r="L39" s="527" t="s">
        <v>32</v>
      </c>
      <c r="M39" s="219" t="s">
        <v>31</v>
      </c>
      <c r="N39" s="568"/>
      <c r="O39" s="568"/>
      <c r="P39" s="569"/>
      <c r="Q39" s="104"/>
      <c r="R39" s="232"/>
      <c r="S39" s="333" t="str">
        <f>IF(CampList[[#This Row],[HH]]&gt;0,CampList[[#This Row],[Total]]/CampList[[#This Row],[HH]],"NA")</f>
        <v>NA</v>
      </c>
      <c r="T39" s="561" t="s">
        <v>513</v>
      </c>
      <c r="U39" s="334" t="s">
        <v>1213</v>
      </c>
      <c r="V39" s="219" t="s">
        <v>556</v>
      </c>
      <c r="W39" s="562" t="s">
        <v>862</v>
      </c>
      <c r="X39" s="570"/>
      <c r="Y39" s="571"/>
      <c r="Z39" s="563" t="s">
        <v>1097</v>
      </c>
      <c r="AA39" s="516" t="s">
        <v>848</v>
      </c>
      <c r="AB39" s="219"/>
      <c r="AC39" s="565">
        <v>42096</v>
      </c>
      <c r="AD39" s="523" t="s">
        <v>1262</v>
      </c>
      <c r="AE39" s="571" t="s">
        <v>1084</v>
      </c>
      <c r="AF39" s="233">
        <f>IF(CampList[[#This Row],[Type of Accomodation]]="camp",MAX(0,CampList[[#This Row],[HH]]-SUMIF(Table_Shelter[Pcode],CampList[[#This Row],[CP_Pcode]],Table_Shelter[HH Covered])),0)</f>
        <v>0</v>
      </c>
      <c r="AG39" s="218"/>
      <c r="AH39" s="218">
        <f>MIN(CampList[[#This Row],[Shelter Gap]],CampList[[#This Row],[Land Status]])</f>
        <v>0</v>
      </c>
      <c r="AI39" s="218" t="str">
        <f ca="1">IFERROR(OFFSET(DistanceToCamp[Nearest Town],MATCH(CampList[[#This Row],[CP_Pcode]],DistanceToCamp[CP_Pcode],0)-1,0,1,1),"")</f>
        <v/>
      </c>
      <c r="AJ39" s="566" t="str">
        <f ca="1">IFERROR(OFFSET(DistanceToCamp[distance],MATCH(CampList[[#This Row],[CP_Pcode]],DistanceToCamp[CP_Pcode],0)-1,0,1,1),"")</f>
        <v/>
      </c>
      <c r="AK39" s="337" t="str">
        <f ca="1">IFERROR(INT(CampList[[#This Row],[Distance]]/5)+1,"")</f>
        <v/>
      </c>
      <c r="AL39" s="727"/>
      <c r="AM39" s="727"/>
      <c r="AN39" s="727"/>
      <c r="BD39" s="5"/>
      <c r="BE39" s="5"/>
    </row>
    <row r="40" spans="1:57" s="4" customFormat="1" ht="15.6" customHeight="1" x14ac:dyDescent="0.25">
      <c r="A40" s="590" t="s">
        <v>502</v>
      </c>
      <c r="B40" s="219" t="s">
        <v>380</v>
      </c>
      <c r="C40" s="527" t="s">
        <v>527</v>
      </c>
      <c r="D40" s="527" t="s">
        <v>237</v>
      </c>
      <c r="E40" s="527" t="s">
        <v>533</v>
      </c>
      <c r="F40" s="527" t="s">
        <v>310</v>
      </c>
      <c r="G40" s="218" t="s">
        <v>534</v>
      </c>
      <c r="H40" s="582" t="s">
        <v>626</v>
      </c>
      <c r="I40" s="525" t="s">
        <v>627</v>
      </c>
      <c r="J40" s="582" t="s">
        <v>626</v>
      </c>
      <c r="K40" s="583">
        <v>165735</v>
      </c>
      <c r="L40" s="527" t="s">
        <v>313</v>
      </c>
      <c r="M40" s="219" t="s">
        <v>312</v>
      </c>
      <c r="N40" s="558">
        <v>97.404195925926004</v>
      </c>
      <c r="O40" s="558">
        <v>25.321710740740698</v>
      </c>
      <c r="P40" s="559">
        <v>0</v>
      </c>
      <c r="Q40" s="509">
        <v>110</v>
      </c>
      <c r="R40" s="531">
        <v>508</v>
      </c>
      <c r="S40" s="333">
        <f>IF(CampList[[#This Row],[HH]]&gt;0,CampList[[#This Row],[Total]]/CampList[[#This Row],[HH]],"NA")</f>
        <v>4.6181818181818182</v>
      </c>
      <c r="T40" s="581" t="s">
        <v>513</v>
      </c>
      <c r="U40" s="334" t="s">
        <v>1213</v>
      </c>
      <c r="V40" s="219" t="s">
        <v>556</v>
      </c>
      <c r="W40" s="562" t="s">
        <v>862</v>
      </c>
      <c r="X40" s="563">
        <v>40695</v>
      </c>
      <c r="Y40" s="564">
        <v>2</v>
      </c>
      <c r="Z40" s="563" t="s">
        <v>507</v>
      </c>
      <c r="AA40" s="521" t="s">
        <v>848</v>
      </c>
      <c r="AB40" s="219"/>
      <c r="AC40" s="565">
        <v>42317</v>
      </c>
      <c r="AD40" s="523" t="s">
        <v>1395</v>
      </c>
      <c r="AE40" s="564" t="s">
        <v>1100</v>
      </c>
      <c r="AF40" s="233">
        <f>IF(CampList[[#This Row],[Type of Accomodation]]="camp",MAX(0,CampList[[#This Row],[HH]]-SUMIF(Table_Shelter[Pcode],CampList[[#This Row],[CP_Pcode]],Table_Shelter[HH Covered])),0)</f>
        <v>5</v>
      </c>
      <c r="AG40" s="218"/>
      <c r="AH40" s="218">
        <f>MIN(CampList[[#This Row],[Shelter Gap]],CampList[[#This Row],[Land Status]])</f>
        <v>5</v>
      </c>
      <c r="AI40" s="218" t="str">
        <f ca="1">IFERROR(OFFSET(DistanceToCamp[Nearest Town],MATCH(CampList[[#This Row],[CP_Pcode]],DistanceToCamp[CP_Pcode],0)-1,0,1,1),"")</f>
        <v>Waingmaw Town</v>
      </c>
      <c r="AJ40" s="566">
        <f ca="1">IFERROR(OFFSET(DistanceToCamp[distance],MATCH(CampList[[#This Row],[CP_Pcode]],DistanceToCamp[CP_Pcode],0)-1,0,1,1),"")</f>
        <v>5.0655036329811631</v>
      </c>
      <c r="AK40" s="337">
        <f ca="1">IFERROR(INT(CampList[[#This Row],[Distance]]/5)+1,"")</f>
        <v>2</v>
      </c>
      <c r="AL40" s="727"/>
      <c r="AM40" s="727"/>
      <c r="AN40" s="727"/>
      <c r="BD40" s="5"/>
      <c r="BE40" s="5"/>
    </row>
    <row r="41" spans="1:57" s="4" customFormat="1" ht="15.6" customHeight="1" x14ac:dyDescent="0.25">
      <c r="A41" s="590" t="s">
        <v>502</v>
      </c>
      <c r="B41" s="527" t="s">
        <v>380</v>
      </c>
      <c r="C41" s="527" t="s">
        <v>527</v>
      </c>
      <c r="D41" s="527" t="s">
        <v>237</v>
      </c>
      <c r="E41" s="527" t="s">
        <v>533</v>
      </c>
      <c r="F41" s="527" t="s">
        <v>310</v>
      </c>
      <c r="G41" s="525" t="s">
        <v>534</v>
      </c>
      <c r="H41" s="582" t="s">
        <v>1146</v>
      </c>
      <c r="I41" s="525" t="s">
        <v>1275</v>
      </c>
      <c r="J41" s="576"/>
      <c r="K41" s="587"/>
      <c r="L41" s="527" t="s">
        <v>336</v>
      </c>
      <c r="M41" s="527" t="s">
        <v>335</v>
      </c>
      <c r="N41" s="558">
        <v>97.807182999999995</v>
      </c>
      <c r="O41" s="558">
        <v>25.200333000000001</v>
      </c>
      <c r="P41" s="559">
        <v>1023</v>
      </c>
      <c r="Q41" s="509">
        <v>136</v>
      </c>
      <c r="R41" s="531">
        <v>1116</v>
      </c>
      <c r="S41" s="333">
        <f>IF(CampList[[#This Row],[HH]]&gt;0,CampList[[#This Row],[Total]]/CampList[[#This Row],[HH]],"NA")</f>
        <v>8.2058823529411757</v>
      </c>
      <c r="T41" s="581" t="s">
        <v>515</v>
      </c>
      <c r="U41" s="562" t="s">
        <v>1213</v>
      </c>
      <c r="V41" s="527" t="s">
        <v>556</v>
      </c>
      <c r="W41" s="527" t="s">
        <v>862</v>
      </c>
      <c r="X41" s="563">
        <v>40878</v>
      </c>
      <c r="Y41" s="564">
        <v>3</v>
      </c>
      <c r="Z41" s="563" t="s">
        <v>462</v>
      </c>
      <c r="AA41" s="516" t="s">
        <v>848</v>
      </c>
      <c r="AB41" s="527"/>
      <c r="AC41" s="565">
        <v>42340</v>
      </c>
      <c r="AD41" s="523" t="s">
        <v>1462</v>
      </c>
      <c r="AE41" s="564" t="s">
        <v>1084</v>
      </c>
      <c r="AF41" s="535">
        <f>IF(CampList[[#This Row],[Type of Accomodation]]="camp",MAX(0,CampList[[#This Row],[HH]]-SUMIF(Table_Shelter[Pcode],CampList[[#This Row],[CP_Pcode]],Table_Shelter[HH Covered])),0)</f>
        <v>36</v>
      </c>
      <c r="AG41" s="525"/>
      <c r="AH41" s="525">
        <f>MIN(CampList[[#This Row],[Shelter Gap]],CampList[[#This Row],[Land Status]])</f>
        <v>36</v>
      </c>
      <c r="AI41" s="525" t="str">
        <f ca="1">IFERROR(OFFSET(DistanceToCamp[Nearest Town],MATCH(CampList[[#This Row],[CP_Pcode]],DistanceToCamp[CP_Pcode],0)-1,0,1,1),"")</f>
        <v>Sadung Town</v>
      </c>
      <c r="AJ41" s="566">
        <f ca="1">IFERROR(OFFSET(DistanceToCamp[distance],MATCH(CampList[[#This Row],[CP_Pcode]],DistanceToCamp[CP_Pcode],0)-1,0,1,1),"")</f>
        <v>21.287604662770121</v>
      </c>
      <c r="AK41" s="567">
        <f ca="1">IFERROR(INT(CampList[[#This Row],[Distance]]/5)+1,"")</f>
        <v>5</v>
      </c>
      <c r="AL41" s="727"/>
      <c r="AM41" s="727"/>
      <c r="AN41" s="727"/>
      <c r="BD41" s="5"/>
      <c r="BE41" s="5"/>
    </row>
    <row r="42" spans="1:57" s="4" customFormat="1" ht="15.6" customHeight="1" x14ac:dyDescent="0.25">
      <c r="A42" s="555" t="s">
        <v>502</v>
      </c>
      <c r="B42" s="219" t="s">
        <v>380</v>
      </c>
      <c r="C42" s="527" t="s">
        <v>527</v>
      </c>
      <c r="D42" s="527" t="s">
        <v>180</v>
      </c>
      <c r="E42" s="527" t="s">
        <v>528</v>
      </c>
      <c r="F42" s="527" t="s">
        <v>529</v>
      </c>
      <c r="G42" s="218" t="s">
        <v>530</v>
      </c>
      <c r="H42" s="527" t="s">
        <v>1141</v>
      </c>
      <c r="I42" s="525" t="s">
        <v>1278</v>
      </c>
      <c r="J42" s="527"/>
      <c r="K42" s="557"/>
      <c r="L42" s="527" t="s">
        <v>88</v>
      </c>
      <c r="M42" s="219" t="s">
        <v>87</v>
      </c>
      <c r="N42" s="558">
        <v>96.705960000000005</v>
      </c>
      <c r="O42" s="558">
        <v>25.51352</v>
      </c>
      <c r="P42" s="559">
        <v>0</v>
      </c>
      <c r="Q42" s="509">
        <v>12</v>
      </c>
      <c r="R42" s="531">
        <v>52</v>
      </c>
      <c r="S42" s="333">
        <f>IF(CampList[[#This Row],[HH]]&gt;0,CampList[[#This Row],[Total]]/CampList[[#This Row],[HH]],"NA")</f>
        <v>4.333333333333333</v>
      </c>
      <c r="T42" s="581" t="s">
        <v>513</v>
      </c>
      <c r="U42" s="334" t="s">
        <v>1213</v>
      </c>
      <c r="V42" s="219" t="s">
        <v>556</v>
      </c>
      <c r="W42" s="527" t="s">
        <v>808</v>
      </c>
      <c r="X42" s="563">
        <v>41183</v>
      </c>
      <c r="Y42" s="564">
        <v>1</v>
      </c>
      <c r="Z42" s="563" t="s">
        <v>462</v>
      </c>
      <c r="AA42" s="516" t="s">
        <v>848</v>
      </c>
      <c r="AB42" s="219"/>
      <c r="AC42" s="565">
        <v>42340</v>
      </c>
      <c r="AD42" s="523" t="s">
        <v>1448</v>
      </c>
      <c r="AE42" s="564" t="s">
        <v>1100</v>
      </c>
      <c r="AF42" s="233">
        <f>IF(CampList[[#This Row],[Type of Accomodation]]="camp",MAX(0,CampList[[#This Row],[HH]]-SUMIF(Table_Shelter[Pcode],CampList[[#This Row],[CP_Pcode]],Table_Shelter[HH Covered])),0)</f>
        <v>12</v>
      </c>
      <c r="AG42" s="525"/>
      <c r="AH42" s="218">
        <f>MIN(CampList[[#This Row],[Shelter Gap]],CampList[[#This Row],[Land Status]])</f>
        <v>12</v>
      </c>
      <c r="AI42" s="218" t="str">
        <f ca="1">IFERROR(OFFSET(DistanceToCamp[Nearest Town],MATCH(CampList[[#This Row],[CP_Pcode]],DistanceToCamp[CP_Pcode],0)-1,0,1,1),"")</f>
        <v>Kamaing Town</v>
      </c>
      <c r="AJ42" s="566">
        <f ca="1">IFERROR(OFFSET(DistanceToCamp[distance],MATCH(CampList[[#This Row],[CP_Pcode]],DistanceToCamp[CP_Pcode],0)-1,0,1,1),"")</f>
        <v>1.1537462444167914</v>
      </c>
      <c r="AK42" s="337">
        <f ca="1">IFERROR(INT(CampList[[#This Row],[Distance]]/5)+1,"")</f>
        <v>1</v>
      </c>
      <c r="AL42" s="727"/>
      <c r="AM42" s="727"/>
      <c r="AN42" s="727"/>
      <c r="BD42" s="5"/>
      <c r="BE42" s="5"/>
    </row>
    <row r="43" spans="1:57" s="4" customFormat="1" ht="15.6" customHeight="1" x14ac:dyDescent="0.25">
      <c r="A43" s="555" t="s">
        <v>502</v>
      </c>
      <c r="B43" s="527" t="s">
        <v>380</v>
      </c>
      <c r="C43" s="527" t="s">
        <v>527</v>
      </c>
      <c r="D43" s="527" t="s">
        <v>180</v>
      </c>
      <c r="E43" s="527" t="s">
        <v>528</v>
      </c>
      <c r="F43" s="527" t="s">
        <v>529</v>
      </c>
      <c r="G43" s="218" t="s">
        <v>530</v>
      </c>
      <c r="H43" s="556" t="s">
        <v>605</v>
      </c>
      <c r="I43" s="556" t="s">
        <v>606</v>
      </c>
      <c r="J43" s="556" t="s">
        <v>609</v>
      </c>
      <c r="K43" s="557" t="s">
        <v>610</v>
      </c>
      <c r="L43" s="527" t="s">
        <v>44</v>
      </c>
      <c r="M43" s="527" t="s">
        <v>45</v>
      </c>
      <c r="N43" s="558">
        <v>96.316564</v>
      </c>
      <c r="O43" s="558">
        <v>25.615960999999999</v>
      </c>
      <c r="P43" s="559">
        <v>281</v>
      </c>
      <c r="Q43" s="509">
        <v>13</v>
      </c>
      <c r="R43" s="531">
        <v>75</v>
      </c>
      <c r="S43" s="333">
        <f>IF(CampList[[#This Row],[HH]]&gt;0,CampList[[#This Row],[Total]]/CampList[[#This Row],[HH]],"NA")</f>
        <v>5.7692307692307692</v>
      </c>
      <c r="T43" s="581" t="s">
        <v>513</v>
      </c>
      <c r="U43" s="334" t="s">
        <v>1213</v>
      </c>
      <c r="V43" s="527" t="s">
        <v>556</v>
      </c>
      <c r="W43" s="527" t="s">
        <v>808</v>
      </c>
      <c r="X43" s="563">
        <v>41122</v>
      </c>
      <c r="Y43" s="564">
        <v>1</v>
      </c>
      <c r="Z43" s="563" t="s">
        <v>507</v>
      </c>
      <c r="AA43" s="521" t="s">
        <v>848</v>
      </c>
      <c r="AB43" s="527"/>
      <c r="AC43" s="579">
        <v>42317</v>
      </c>
      <c r="AD43" s="523" t="s">
        <v>1399</v>
      </c>
      <c r="AE43" s="564" t="s">
        <v>1100</v>
      </c>
      <c r="AF43" s="233">
        <f>IF(CampList[[#This Row],[Type of Accomodation]]="camp",MAX(0,CampList[[#This Row],[HH]]-SUMIF(Table_Shelter[Pcode],CampList[[#This Row],[CP_Pcode]],Table_Shelter[HH Covered])),0)</f>
        <v>0</v>
      </c>
      <c r="AG43" s="525"/>
      <c r="AH43" s="218">
        <f>MIN(CampList[[#This Row],[Shelter Gap]],CampList[[#This Row],[Land Status]])</f>
        <v>0</v>
      </c>
      <c r="AI43" s="218" t="str">
        <f ca="1">IFERROR(OFFSET(DistanceToCamp[Nearest Town],MATCH(CampList[[#This Row],[CP_Pcode]],DistanceToCamp[CP_Pcode],0)-1,0,1,1),"")</f>
        <v>Hpakant Town</v>
      </c>
      <c r="AJ43" s="336">
        <f ca="1">IFERROR(OFFSET(DistanceToCamp[distance],MATCH(CampList[[#This Row],[CP_Pcode]],DistanceToCamp[CP_Pcode],0)-1,0,1,1),"")</f>
        <v>0.56771790814545575</v>
      </c>
      <c r="AK43" s="337">
        <f ca="1">IFERROR(INT(CampList[[#This Row],[Distance]]/5)+1,"")</f>
        <v>1</v>
      </c>
      <c r="AL43" s="727"/>
      <c r="AM43" s="727"/>
      <c r="AN43" s="727"/>
      <c r="BD43" s="5"/>
      <c r="BE43" s="5"/>
    </row>
    <row r="44" spans="1:57" s="4" customFormat="1" ht="15.6" hidden="1" customHeight="1" x14ac:dyDescent="0.25">
      <c r="A44" s="555" t="s">
        <v>849</v>
      </c>
      <c r="B44" s="527" t="s">
        <v>380</v>
      </c>
      <c r="C44" s="527" t="s">
        <v>527</v>
      </c>
      <c r="D44" s="527" t="s">
        <v>180</v>
      </c>
      <c r="E44" s="527" t="s">
        <v>528</v>
      </c>
      <c r="F44" s="527" t="s">
        <v>529</v>
      </c>
      <c r="G44" s="218" t="s">
        <v>530</v>
      </c>
      <c r="H44" s="556" t="s">
        <v>605</v>
      </c>
      <c r="I44" s="556" t="s">
        <v>606</v>
      </c>
      <c r="J44" s="556" t="s">
        <v>609</v>
      </c>
      <c r="K44" s="557" t="s">
        <v>610</v>
      </c>
      <c r="L44" s="527" t="s">
        <v>56</v>
      </c>
      <c r="M44" s="527" t="s">
        <v>55</v>
      </c>
      <c r="N44" s="568"/>
      <c r="O44" s="568"/>
      <c r="P44" s="569"/>
      <c r="Q44" s="509">
        <v>0</v>
      </c>
      <c r="R44" s="531">
        <v>0</v>
      </c>
      <c r="S44" s="333" t="str">
        <f>IF(CampList[[#This Row],[HH]]&gt;0,CampList[[#This Row],[Total]]/CampList[[#This Row],[HH]],"NA")</f>
        <v>NA</v>
      </c>
      <c r="T44" s="561" t="s">
        <v>513</v>
      </c>
      <c r="U44" s="334" t="s">
        <v>1213</v>
      </c>
      <c r="V44" s="527" t="s">
        <v>556</v>
      </c>
      <c r="W44" s="562"/>
      <c r="X44" s="570"/>
      <c r="Y44" s="571"/>
      <c r="Z44" s="562"/>
      <c r="AA44" s="515"/>
      <c r="AB44" s="527"/>
      <c r="AC44" s="572"/>
      <c r="AD44" s="523"/>
      <c r="AE44" s="571" t="s">
        <v>1014</v>
      </c>
      <c r="AF44" s="535">
        <f>IF(CampList[[#This Row],[Type of Accomodation]]="camp",MAX(0,CampList[[#This Row],[HH]]-SUMIF(Table_Shelter[Pcode],CampList[[#This Row],[CP_Pcode]],Table_Shelter[HH Covered])),0)</f>
        <v>0</v>
      </c>
      <c r="AG44" s="525"/>
      <c r="AH44" s="218">
        <f>MIN(CampList[[#This Row],[Shelter Gap]],CampList[[#This Row],[Land Status]])</f>
        <v>0</v>
      </c>
      <c r="AI44" s="218" t="str">
        <f ca="1">IFERROR(OFFSET(DistanceToCamp[Nearest Town],MATCH(CampList[[#This Row],[CP_Pcode]],DistanceToCamp[CP_Pcode],0)-1,0,1,1),"")</f>
        <v/>
      </c>
      <c r="AJ44" s="566" t="str">
        <f ca="1">IFERROR(OFFSET(DistanceToCamp[distance],MATCH(CampList[[#This Row],[CP_Pcode]],DistanceToCamp[CP_Pcode],0)-1,0,1,1),"")</f>
        <v/>
      </c>
      <c r="AK44" s="567" t="str">
        <f ca="1">IFERROR(INT(CampList[[#This Row],[Distance]]/5)+1,"")</f>
        <v/>
      </c>
      <c r="AL44" s="727"/>
      <c r="AM44" s="727"/>
      <c r="AN44" s="727"/>
      <c r="BD44" s="5"/>
      <c r="BE44" s="5"/>
    </row>
    <row r="45" spans="1:57" s="4" customFormat="1" ht="15.6" customHeight="1" x14ac:dyDescent="0.25">
      <c r="A45" s="555" t="s">
        <v>502</v>
      </c>
      <c r="B45" s="525" t="s">
        <v>380</v>
      </c>
      <c r="C45" s="525" t="s">
        <v>527</v>
      </c>
      <c r="D45" s="525" t="s">
        <v>180</v>
      </c>
      <c r="E45" s="525" t="s">
        <v>528</v>
      </c>
      <c r="F45" s="525" t="s">
        <v>180</v>
      </c>
      <c r="G45" s="218" t="s">
        <v>553</v>
      </c>
      <c r="H45" s="525" t="s">
        <v>1142</v>
      </c>
      <c r="I45" s="525" t="s">
        <v>1277</v>
      </c>
      <c r="J45" s="525"/>
      <c r="K45" s="525"/>
      <c r="L45" s="525" t="s">
        <v>1172</v>
      </c>
      <c r="M45" s="525" t="s">
        <v>1174</v>
      </c>
      <c r="N45" s="508">
        <v>96.52534</v>
      </c>
      <c r="O45" s="508">
        <v>24.996279999999999</v>
      </c>
      <c r="P45" s="569"/>
      <c r="Q45" s="511">
        <v>36</v>
      </c>
      <c r="R45" s="532">
        <v>153</v>
      </c>
      <c r="S45" s="333">
        <f>IF(CampList[[#This Row],[HH]]&gt;0,CampList[[#This Row],[Total]]/CampList[[#This Row],[HH]],"NA")</f>
        <v>4.25</v>
      </c>
      <c r="T45" s="581" t="s">
        <v>513</v>
      </c>
      <c r="U45" s="334" t="s">
        <v>1213</v>
      </c>
      <c r="V45" s="523" t="s">
        <v>12</v>
      </c>
      <c r="W45" s="527"/>
      <c r="X45" s="577"/>
      <c r="Y45" s="571"/>
      <c r="Z45" s="562"/>
      <c r="AA45" s="520" t="s">
        <v>848</v>
      </c>
      <c r="AB45" s="525"/>
      <c r="AC45" s="579">
        <v>42082</v>
      </c>
      <c r="AD45" s="525" t="s">
        <v>1261</v>
      </c>
      <c r="AE45" s="564"/>
      <c r="AF45" s="598">
        <f>IF(CampList[[#This Row],[Type of Accomodation]]="camp",MAX(0,CampList[[#This Row],[HH]]-SUMIF(Table_Shelter[Pcode],CampList[[#This Row],[CP_Pcode]],Table_Shelter[HH Covered])),0)</f>
        <v>0</v>
      </c>
      <c r="AG45" s="218"/>
      <c r="AH45" s="218">
        <f>MIN(CampList[[#This Row],[Shelter Gap]],CampList[[#This Row],[Land Status]])</f>
        <v>0</v>
      </c>
      <c r="AI45" s="218" t="str">
        <f ca="1">IFERROR(OFFSET(DistanceToCamp[Nearest Town],MATCH(CampList[[#This Row],[CP_Pcode]],DistanceToCamp[CP_Pcode],0)-1,0,1,1),"")</f>
        <v/>
      </c>
      <c r="AJ45" s="566" t="str">
        <f ca="1">IFERROR(OFFSET(DistanceToCamp[distance],MATCH(CampList[[#This Row],[CP_Pcode]],DistanceToCamp[CP_Pcode],0)-1,0,1,1),"")</f>
        <v/>
      </c>
      <c r="AK45" s="567" t="str">
        <f ca="1">IFERROR(INT(CampList[[#This Row],[Distance]]/5)+1,"")</f>
        <v/>
      </c>
      <c r="AL45" s="727"/>
      <c r="AM45" s="727"/>
      <c r="AN45" s="727"/>
      <c r="BD45" s="5"/>
      <c r="BE45" s="5"/>
    </row>
    <row r="46" spans="1:57" s="4" customFormat="1" ht="15.6" customHeight="1" x14ac:dyDescent="0.25">
      <c r="A46" s="555" t="s">
        <v>502</v>
      </c>
      <c r="B46" s="527" t="s">
        <v>380</v>
      </c>
      <c r="C46" s="527" t="s">
        <v>527</v>
      </c>
      <c r="D46" s="527" t="s">
        <v>5</v>
      </c>
      <c r="E46" s="527" t="s">
        <v>531</v>
      </c>
      <c r="F46" s="527" t="s">
        <v>5</v>
      </c>
      <c r="G46" s="218" t="s">
        <v>532</v>
      </c>
      <c r="H46" s="556" t="s">
        <v>639</v>
      </c>
      <c r="I46" s="556" t="s">
        <v>640</v>
      </c>
      <c r="J46" s="527"/>
      <c r="K46" s="573"/>
      <c r="L46" s="574" t="s">
        <v>12</v>
      </c>
      <c r="M46" s="219" t="s">
        <v>11</v>
      </c>
      <c r="N46" s="568">
        <v>97.228835000000004</v>
      </c>
      <c r="O46" s="568">
        <v>24.263786</v>
      </c>
      <c r="P46" s="569"/>
      <c r="Q46" s="509">
        <v>211</v>
      </c>
      <c r="R46" s="531">
        <v>989</v>
      </c>
      <c r="S46" s="333">
        <f>IF(CampList[[#This Row],[HH]]&gt;0,CampList[[#This Row],[Total]]/CampList[[#This Row],[HH]],"NA")</f>
        <v>4.6872037914691944</v>
      </c>
      <c r="T46" s="581" t="s">
        <v>513</v>
      </c>
      <c r="U46" s="334" t="s">
        <v>1213</v>
      </c>
      <c r="V46" s="523" t="s">
        <v>12</v>
      </c>
      <c r="W46" s="527" t="s">
        <v>808</v>
      </c>
      <c r="X46" s="570"/>
      <c r="Y46" s="571"/>
      <c r="Z46" s="562"/>
      <c r="AA46" s="516" t="s">
        <v>848</v>
      </c>
      <c r="AB46" s="527"/>
      <c r="AC46" s="592">
        <v>42317</v>
      </c>
      <c r="AD46" s="523" t="s">
        <v>1411</v>
      </c>
      <c r="AE46" s="571" t="s">
        <v>1100</v>
      </c>
      <c r="AF46" s="233">
        <f>IF(CampList[[#This Row],[Type of Accomodation]]="camp",MAX(0,CampList[[#This Row],[HH]]-SUMIF(Table_Shelter[Pcode],CampList[[#This Row],[CP_Pcode]],Table_Shelter[HH Covered])),0)</f>
        <v>0</v>
      </c>
      <c r="AG46" s="218"/>
      <c r="AH46" s="218">
        <f>MIN(CampList[[#This Row],[Shelter Gap]],CampList[[#This Row],[Land Status]])</f>
        <v>0</v>
      </c>
      <c r="AI46" s="218" t="str">
        <f ca="1">IFERROR(OFFSET(DistanceToCamp[Nearest Town],MATCH(CampList[[#This Row],[CP_Pcode]],DistanceToCamp[CP_Pcode],0)-1,0,1,1),"")</f>
        <v>Bhamo Town</v>
      </c>
      <c r="AJ46" s="566">
        <f ca="1">IFERROR(OFFSET(DistanceToCamp[distance],MATCH(CampList[[#This Row],[CP_Pcode]],DistanceToCamp[CP_Pcode],0)-1,0,1,1),"")</f>
        <v>1.1354007641426449</v>
      </c>
      <c r="AK46" s="567">
        <f ca="1">IFERROR(INT(CampList[[#This Row],[Distance]]/5)+1,"")</f>
        <v>1</v>
      </c>
      <c r="AL46" s="727"/>
      <c r="AM46" s="727"/>
      <c r="AN46" s="727"/>
      <c r="BD46" s="5"/>
      <c r="BE46" s="5"/>
    </row>
    <row r="47" spans="1:57" s="4" customFormat="1" ht="15.6" customHeight="1" x14ac:dyDescent="0.25">
      <c r="A47" s="332" t="s">
        <v>502</v>
      </c>
      <c r="B47" s="219" t="s">
        <v>380</v>
      </c>
      <c r="C47" s="527" t="s">
        <v>527</v>
      </c>
      <c r="D47" s="527" t="s">
        <v>5</v>
      </c>
      <c r="E47" s="527" t="s">
        <v>531</v>
      </c>
      <c r="F47" s="527" t="s">
        <v>151</v>
      </c>
      <c r="G47" s="218" t="s">
        <v>541</v>
      </c>
      <c r="H47" s="556" t="s">
        <v>652</v>
      </c>
      <c r="I47" s="556" t="s">
        <v>653</v>
      </c>
      <c r="J47" s="527"/>
      <c r="K47" s="573"/>
      <c r="L47" s="527" t="s">
        <v>12</v>
      </c>
      <c r="M47" s="219" t="s">
        <v>391</v>
      </c>
      <c r="N47" s="568">
        <v>97.298055000000005</v>
      </c>
      <c r="O47" s="568">
        <v>24.118618999999999</v>
      </c>
      <c r="P47" s="569"/>
      <c r="Q47" s="509">
        <v>76</v>
      </c>
      <c r="R47" s="531">
        <v>256</v>
      </c>
      <c r="S47" s="333">
        <f>IF(CampList[[#This Row],[HH]]&gt;0,CampList[[#This Row],[Total]]/CampList[[#This Row],[HH]],"NA")</f>
        <v>3.3684210526315788</v>
      </c>
      <c r="T47" s="581" t="s">
        <v>513</v>
      </c>
      <c r="U47" s="334" t="s">
        <v>1213</v>
      </c>
      <c r="V47" s="523" t="s">
        <v>12</v>
      </c>
      <c r="W47" s="527" t="s">
        <v>808</v>
      </c>
      <c r="X47" s="570"/>
      <c r="Y47" s="571"/>
      <c r="Z47" s="562"/>
      <c r="AA47" s="516" t="s">
        <v>848</v>
      </c>
      <c r="AB47" s="219"/>
      <c r="AC47" s="592">
        <v>42317</v>
      </c>
      <c r="AD47" s="523" t="s">
        <v>1413</v>
      </c>
      <c r="AE47" s="571" t="s">
        <v>1100</v>
      </c>
      <c r="AF47" s="233">
        <f>IF(CampList[[#This Row],[Type of Accomodation]]="camp",MAX(0,CampList[[#This Row],[HH]]-SUMIF(Table_Shelter[Pcode],CampList[[#This Row],[CP_Pcode]],Table_Shelter[HH Covered])),0)</f>
        <v>0</v>
      </c>
      <c r="AG47" s="218"/>
      <c r="AH47" s="218">
        <f>MIN(CampList[[#This Row],[Shelter Gap]],CampList[[#This Row],[Land Status]])</f>
        <v>0</v>
      </c>
      <c r="AI47" s="218" t="str">
        <f ca="1">IFERROR(OFFSET(DistanceToCamp[Nearest Town],MATCH(CampList[[#This Row],[CP_Pcode]],DistanceToCamp[CP_Pcode],0)-1,0,1,1),"")</f>
        <v>Mansi Town</v>
      </c>
      <c r="AJ47" s="566">
        <f ca="1">IFERROR(OFFSET(DistanceToCamp[distance],MATCH(CampList[[#This Row],[CP_Pcode]],DistanceToCamp[CP_Pcode],0)-1,0,1,1),"")</f>
        <v>0.51447052329458698</v>
      </c>
      <c r="AK47" s="567">
        <f ca="1">IFERROR(INT(CampList[[#This Row],[Distance]]/5)+1,"")</f>
        <v>1</v>
      </c>
      <c r="AL47" s="727"/>
      <c r="AM47" s="727"/>
      <c r="AN47" s="727"/>
      <c r="BD47" s="5"/>
      <c r="BE47" s="5"/>
    </row>
    <row r="48" spans="1:57" s="4" customFormat="1" ht="15.6" customHeight="1" x14ac:dyDescent="0.25">
      <c r="A48" s="555" t="s">
        <v>502</v>
      </c>
      <c r="B48" s="527" t="s">
        <v>380</v>
      </c>
      <c r="C48" s="527" t="s">
        <v>527</v>
      </c>
      <c r="D48" s="527" t="s">
        <v>5</v>
      </c>
      <c r="E48" s="527" t="s">
        <v>531</v>
      </c>
      <c r="F48" s="527" t="s">
        <v>185</v>
      </c>
      <c r="G48" s="218" t="s">
        <v>535</v>
      </c>
      <c r="H48" s="582" t="s">
        <v>664</v>
      </c>
      <c r="I48" s="582" t="s">
        <v>665</v>
      </c>
      <c r="J48" s="527"/>
      <c r="K48" s="573"/>
      <c r="L48" s="574" t="s">
        <v>12</v>
      </c>
      <c r="M48" s="219" t="s">
        <v>392</v>
      </c>
      <c r="N48" s="568">
        <v>97.348405</v>
      </c>
      <c r="O48" s="568">
        <v>24.251232000000002</v>
      </c>
      <c r="P48" s="569"/>
      <c r="Q48" s="104">
        <v>320</v>
      </c>
      <c r="R48" s="232">
        <v>1125</v>
      </c>
      <c r="S48" s="333">
        <f>IF(CampList[[#This Row],[HH]]&gt;0,CampList[[#This Row],[Total]]/CampList[[#This Row],[HH]],"NA")</f>
        <v>3.515625</v>
      </c>
      <c r="T48" s="581" t="s">
        <v>513</v>
      </c>
      <c r="U48" s="334" t="s">
        <v>1213</v>
      </c>
      <c r="V48" s="523" t="s">
        <v>12</v>
      </c>
      <c r="W48" s="527" t="s">
        <v>808</v>
      </c>
      <c r="X48" s="570"/>
      <c r="Y48" s="571"/>
      <c r="Z48" s="562"/>
      <c r="AA48" s="515" t="s">
        <v>847</v>
      </c>
      <c r="AB48" s="527"/>
      <c r="AC48" s="592">
        <v>42317</v>
      </c>
      <c r="AD48" s="523" t="s">
        <v>1412</v>
      </c>
      <c r="AE48" s="571" t="s">
        <v>1100</v>
      </c>
      <c r="AF48" s="233">
        <f>IF(CampList[[#This Row],[Type of Accomodation]]="camp",MAX(0,CampList[[#This Row],[HH]]-SUMIF(Table_Shelter[Pcode],CampList[[#This Row],[CP_Pcode]],Table_Shelter[HH Covered])),0)</f>
        <v>0</v>
      </c>
      <c r="AG48" s="218"/>
      <c r="AH48" s="218">
        <f>MIN(CampList[[#This Row],[Shelter Gap]],CampList[[#This Row],[Land Status]])</f>
        <v>0</v>
      </c>
      <c r="AI48" s="218" t="str">
        <f ca="1">IFERROR(OFFSET(DistanceToCamp[Nearest Town],MATCH(CampList[[#This Row],[CP_Pcode]],DistanceToCamp[CP_Pcode],0)-1,0,1,1),"")</f>
        <v>Momauk Town</v>
      </c>
      <c r="AJ48" s="566">
        <f ca="1">IFERROR(OFFSET(DistanceToCamp[distance],MATCH(CampList[[#This Row],[CP_Pcode]],DistanceToCamp[CP_Pcode],0)-1,0,1,1),"")</f>
        <v>0.60629049139006752</v>
      </c>
      <c r="AK48" s="337">
        <f ca="1">IFERROR(INT(CampList[[#This Row],[Distance]]/5)+1,"")</f>
        <v>1</v>
      </c>
      <c r="AL48" s="727"/>
      <c r="AM48" s="727"/>
      <c r="AN48" s="727"/>
      <c r="BD48" s="5"/>
      <c r="BE48" s="5"/>
    </row>
    <row r="49" spans="1:57" s="4" customFormat="1" ht="15.6" customHeight="1" x14ac:dyDescent="0.25">
      <c r="A49" s="590" t="s">
        <v>502</v>
      </c>
      <c r="B49" s="527" t="s">
        <v>380</v>
      </c>
      <c r="C49" s="527" t="s">
        <v>527</v>
      </c>
      <c r="D49" s="527" t="s">
        <v>5</v>
      </c>
      <c r="E49" s="527" t="s">
        <v>531</v>
      </c>
      <c r="F49" s="527" t="s">
        <v>302</v>
      </c>
      <c r="G49" s="218" t="s">
        <v>542</v>
      </c>
      <c r="H49" s="582" t="s">
        <v>623</v>
      </c>
      <c r="I49" s="582" t="s">
        <v>624</v>
      </c>
      <c r="J49" s="527"/>
      <c r="K49" s="573"/>
      <c r="L49" s="527" t="s">
        <v>12</v>
      </c>
      <c r="M49" s="219" t="s">
        <v>394</v>
      </c>
      <c r="N49" s="568">
        <v>96.793177</v>
      </c>
      <c r="O49" s="568">
        <v>24.224830999999998</v>
      </c>
      <c r="P49" s="569"/>
      <c r="Q49" s="104">
        <v>9</v>
      </c>
      <c r="R49" s="232">
        <v>30</v>
      </c>
      <c r="S49" s="333">
        <f>IF(CampList[[#This Row],[HH]]&gt;0,CampList[[#This Row],[Total]]/CampList[[#This Row],[HH]],"NA")</f>
        <v>3.3333333333333335</v>
      </c>
      <c r="T49" s="581" t="s">
        <v>513</v>
      </c>
      <c r="U49" s="334" t="s">
        <v>1213</v>
      </c>
      <c r="V49" s="689" t="s">
        <v>12</v>
      </c>
      <c r="W49" s="527" t="s">
        <v>808</v>
      </c>
      <c r="X49" s="570"/>
      <c r="Y49" s="571"/>
      <c r="Z49" s="562"/>
      <c r="AA49" s="515" t="s">
        <v>847</v>
      </c>
      <c r="AB49" s="527"/>
      <c r="AC49" s="579"/>
      <c r="AD49" s="689"/>
      <c r="AE49" s="571" t="s">
        <v>1100</v>
      </c>
      <c r="AF49" s="233">
        <f>IF(CampList[[#This Row],[Type of Accomodation]]="camp",MAX(0,CampList[[#This Row],[HH]]-SUMIF(Table_Shelter[Pcode],CampList[[#This Row],[CP_Pcode]],Table_Shelter[HH Covered])),0)</f>
        <v>0</v>
      </c>
      <c r="AG49" s="218"/>
      <c r="AH49" s="218">
        <f>MIN(CampList[[#This Row],[Shelter Gap]],CampList[[#This Row],[Land Status]])</f>
        <v>0</v>
      </c>
      <c r="AI49" s="218" t="str">
        <f ca="1">IFERROR(OFFSET(DistanceToCamp[Nearest Town],MATCH(CampList[[#This Row],[CP_Pcode]],DistanceToCamp[CP_Pcode],0)-1,0,1,1),"")</f>
        <v>Shwegu Town</v>
      </c>
      <c r="AJ49" s="566">
        <f ca="1">IFERROR(OFFSET(DistanceToCamp[distance],MATCH(CampList[[#This Row],[CP_Pcode]],DistanceToCamp[CP_Pcode],0)-1,0,1,1),"")</f>
        <v>2.3794331620169178</v>
      </c>
      <c r="AK49" s="337">
        <f ca="1">IFERROR(INT(CampList[[#This Row],[Distance]]/5)+1,"")</f>
        <v>1</v>
      </c>
      <c r="AL49" s="727"/>
      <c r="AM49" s="727"/>
      <c r="AN49" s="727"/>
      <c r="BD49" s="5"/>
      <c r="BE49" s="5"/>
    </row>
    <row r="50" spans="1:57" s="4" customFormat="1" ht="15.6" customHeight="1" x14ac:dyDescent="0.25">
      <c r="A50" s="555" t="s">
        <v>502</v>
      </c>
      <c r="B50" s="527" t="s">
        <v>555</v>
      </c>
      <c r="C50" s="525" t="s">
        <v>538</v>
      </c>
      <c r="D50" s="525" t="s">
        <v>230</v>
      </c>
      <c r="E50" s="525" t="s">
        <v>544</v>
      </c>
      <c r="F50" s="525" t="s">
        <v>230</v>
      </c>
      <c r="G50" s="218" t="s">
        <v>545</v>
      </c>
      <c r="H50" s="525" t="s">
        <v>1079</v>
      </c>
      <c r="I50" s="525" t="s">
        <v>1080</v>
      </c>
      <c r="J50" s="525" t="s">
        <v>1081</v>
      </c>
      <c r="K50" s="573"/>
      <c r="L50" s="527" t="s">
        <v>169</v>
      </c>
      <c r="M50" s="219" t="s">
        <v>168</v>
      </c>
      <c r="N50" s="568">
        <v>98.116817999999995</v>
      </c>
      <c r="O50" s="568">
        <v>23.917631</v>
      </c>
      <c r="P50" s="569"/>
      <c r="Q50" s="509">
        <v>32</v>
      </c>
      <c r="R50" s="531"/>
      <c r="S50" s="333">
        <f>IF(CampList[[#This Row],[HH]]&gt;0,CampList[[#This Row],[Total]]/CampList[[#This Row],[HH]],"NA")</f>
        <v>0</v>
      </c>
      <c r="T50" s="581" t="s">
        <v>513</v>
      </c>
      <c r="U50" s="334" t="s">
        <v>1213</v>
      </c>
      <c r="V50" s="219" t="s">
        <v>12</v>
      </c>
      <c r="W50" s="527" t="s">
        <v>862</v>
      </c>
      <c r="X50" s="570"/>
      <c r="Y50" s="571"/>
      <c r="Z50" s="562"/>
      <c r="AA50" s="519"/>
      <c r="AB50" s="527"/>
      <c r="AC50" s="565">
        <v>41701</v>
      </c>
      <c r="AD50" s="523" t="s">
        <v>1018</v>
      </c>
      <c r="AE50" s="571" t="s">
        <v>1086</v>
      </c>
      <c r="AF50" s="233">
        <f>IF(CampList[[#This Row],[Type of Accomodation]]="camp",MAX(0,CampList[[#This Row],[HH]]-SUMIF(Table_Shelter[Pcode],CampList[[#This Row],[CP_Pcode]],Table_Shelter[HH Covered])),0)</f>
        <v>0</v>
      </c>
      <c r="AG50" s="525"/>
      <c r="AH50" s="218">
        <f>MIN(CampList[[#This Row],[Shelter Gap]],CampList[[#This Row],[Land Status]])</f>
        <v>0</v>
      </c>
      <c r="AI50" s="218" t="str">
        <f ca="1">IFERROR(OFFSET(DistanceToCamp[Nearest Town],MATCH(CampList[[#This Row],[CP_Pcode]],DistanceToCamp[CP_Pcode],0)-1,0,1,1),"")</f>
        <v>Pang Hseng (Kyu Koke) Town</v>
      </c>
      <c r="AJ50" s="566">
        <f ca="1">IFERROR(OFFSET(DistanceToCamp[distance],MATCH(CampList[[#This Row],[CP_Pcode]],DistanceToCamp[CP_Pcode],0)-1,0,1,1),"")</f>
        <v>18.405283544772924</v>
      </c>
      <c r="AK50" s="337">
        <f ca="1">IFERROR(INT(CampList[[#This Row],[Distance]]/5)+1,"")</f>
        <v>4</v>
      </c>
      <c r="AL50" s="727"/>
      <c r="AM50" s="727"/>
      <c r="AN50" s="727"/>
      <c r="BD50" s="5"/>
      <c r="BE50" s="5"/>
    </row>
    <row r="51" spans="1:57" s="4" customFormat="1" ht="15.6" customHeight="1" x14ac:dyDescent="0.25">
      <c r="A51" s="555" t="s">
        <v>502</v>
      </c>
      <c r="B51" s="527" t="s">
        <v>555</v>
      </c>
      <c r="C51" s="525" t="s">
        <v>538</v>
      </c>
      <c r="D51" s="527" t="s">
        <v>230</v>
      </c>
      <c r="E51" s="527" t="s">
        <v>539</v>
      </c>
      <c r="F51" s="527" t="s">
        <v>230</v>
      </c>
      <c r="G51" s="218" t="s">
        <v>540</v>
      </c>
      <c r="H51" s="582" t="s">
        <v>779</v>
      </c>
      <c r="I51" s="582" t="s">
        <v>780</v>
      </c>
      <c r="J51" s="582" t="s">
        <v>781</v>
      </c>
      <c r="K51" s="583">
        <v>208156</v>
      </c>
      <c r="L51" s="527" t="s">
        <v>231</v>
      </c>
      <c r="M51" s="527" t="s">
        <v>388</v>
      </c>
      <c r="N51" s="558">
        <v>98.115809999999996</v>
      </c>
      <c r="O51" s="558">
        <v>24.08738</v>
      </c>
      <c r="P51" s="569"/>
      <c r="Q51" s="509">
        <v>32</v>
      </c>
      <c r="R51" s="531">
        <v>187</v>
      </c>
      <c r="S51" s="333">
        <f>IF(CampList[[#This Row],[HH]]&gt;0,CampList[[#This Row],[Total]]/CampList[[#This Row],[HH]],"NA")</f>
        <v>5.84375</v>
      </c>
      <c r="T51" s="581" t="s">
        <v>515</v>
      </c>
      <c r="U51" s="334" t="s">
        <v>1213</v>
      </c>
      <c r="V51" s="219" t="s">
        <v>12</v>
      </c>
      <c r="W51" s="527" t="s">
        <v>862</v>
      </c>
      <c r="X51" s="570"/>
      <c r="Y51" s="571"/>
      <c r="Z51" s="562"/>
      <c r="AA51" s="517" t="s">
        <v>574</v>
      </c>
      <c r="AB51" s="527"/>
      <c r="AC51" s="565">
        <v>41701</v>
      </c>
      <c r="AD51" s="523" t="s">
        <v>1018</v>
      </c>
      <c r="AE51" s="571" t="s">
        <v>1100</v>
      </c>
      <c r="AF51" s="233">
        <f>IF(CampList[[#This Row],[Type of Accomodation]]="camp",MAX(0,CampList[[#This Row],[HH]]-SUMIF(Table_Shelter[Pcode],CampList[[#This Row],[CP_Pcode]],Table_Shelter[HH Covered])),0)</f>
        <v>0</v>
      </c>
      <c r="AG51" s="525"/>
      <c r="AH51" s="218">
        <f>MIN(CampList[[#This Row],[Shelter Gap]],CampList[[#This Row],[Land Status]])</f>
        <v>0</v>
      </c>
      <c r="AI51" s="218" t="str">
        <f ca="1">IFERROR(OFFSET(DistanceToCamp[Nearest Town],MATCH(CampList[[#This Row],[CP_Pcode]],DistanceToCamp[CP_Pcode],0)-1,0,1,1),"")</f>
        <v>Pang Hseng (Kyu Koke) Town</v>
      </c>
      <c r="AJ51" s="566">
        <f ca="1">IFERROR(OFFSET(DistanceToCamp[distance],MATCH(CampList[[#This Row],[CP_Pcode]],DistanceToCamp[CP_Pcode],0)-1,0,1,1),"")</f>
        <v>5.5919136174199959</v>
      </c>
      <c r="AK51" s="337">
        <f ca="1">IFERROR(INT(CampList[[#This Row],[Distance]]/5)+1,"")</f>
        <v>2</v>
      </c>
      <c r="AL51" s="727"/>
      <c r="AM51" s="727"/>
      <c r="AN51" s="727"/>
      <c r="BD51" s="5"/>
      <c r="BE51" s="5"/>
    </row>
    <row r="52" spans="1:57" s="4" customFormat="1" ht="15.6" customHeight="1" x14ac:dyDescent="0.25">
      <c r="A52" s="555" t="s">
        <v>502</v>
      </c>
      <c r="B52" s="527" t="s">
        <v>380</v>
      </c>
      <c r="C52" s="527" t="s">
        <v>527</v>
      </c>
      <c r="D52" s="527" t="s">
        <v>180</v>
      </c>
      <c r="E52" s="527" t="s">
        <v>528</v>
      </c>
      <c r="F52" s="527" t="s">
        <v>529</v>
      </c>
      <c r="G52" s="218" t="s">
        <v>530</v>
      </c>
      <c r="H52" s="556" t="s">
        <v>611</v>
      </c>
      <c r="I52" s="556" t="s">
        <v>612</v>
      </c>
      <c r="J52" s="556" t="s">
        <v>611</v>
      </c>
      <c r="K52" s="557">
        <v>166776</v>
      </c>
      <c r="L52" s="530" t="s">
        <v>1072</v>
      </c>
      <c r="M52" s="525" t="s">
        <v>1073</v>
      </c>
      <c r="N52" s="558">
        <v>96.312790000000007</v>
      </c>
      <c r="O52" s="558">
        <v>25.611160000000002</v>
      </c>
      <c r="P52" s="569"/>
      <c r="Q52" s="511">
        <v>116</v>
      </c>
      <c r="R52" s="532">
        <v>530</v>
      </c>
      <c r="S52" s="333">
        <f>IF(CampList[[#This Row],[HH]]&gt;0,CampList[[#This Row],[Total]]/CampList[[#This Row],[HH]],"NA")</f>
        <v>4.568965517241379</v>
      </c>
      <c r="T52" s="581" t="s">
        <v>513</v>
      </c>
      <c r="U52" s="334" t="s">
        <v>1213</v>
      </c>
      <c r="V52" s="527" t="s">
        <v>556</v>
      </c>
      <c r="W52" s="527" t="s">
        <v>808</v>
      </c>
      <c r="X52" s="577"/>
      <c r="Y52" s="571"/>
      <c r="Z52" s="562" t="s">
        <v>462</v>
      </c>
      <c r="AA52" s="520" t="s">
        <v>848</v>
      </c>
      <c r="AB52" s="525"/>
      <c r="AC52" s="565">
        <v>42291</v>
      </c>
      <c r="AD52" s="528" t="s">
        <v>1372</v>
      </c>
      <c r="AE52" s="571" t="s">
        <v>1100</v>
      </c>
      <c r="AF52" s="233">
        <f>IF(CampList[[#This Row],[Type of Accomodation]]="camp",MAX(0,CampList[[#This Row],[HH]]-SUMIF(Table_Shelter[Pcode],CampList[[#This Row],[CP_Pcode]],Table_Shelter[HH Covered])),0)</f>
        <v>116</v>
      </c>
      <c r="AG52" s="525"/>
      <c r="AH52" s="218">
        <f>MIN(CampList[[#This Row],[Shelter Gap]],CampList[[#This Row],[Land Status]])</f>
        <v>116</v>
      </c>
      <c r="AI52" s="218" t="str">
        <f ca="1">IFERROR(OFFSET(DistanceToCamp[Nearest Town],MATCH(CampList[[#This Row],[CP_Pcode]],DistanceToCamp[CP_Pcode],0)-1,0,1,1),"")</f>
        <v>Hpakant Town</v>
      </c>
      <c r="AJ52" s="566">
        <f ca="1">IFERROR(OFFSET(DistanceToCamp[distance],MATCH(CampList[[#This Row],[CP_Pcode]],DistanceToCamp[CP_Pcode],0)-1,0,1,1),"")</f>
        <v>0.19374952337076978</v>
      </c>
      <c r="AK52" s="337">
        <f ca="1">IFERROR(INT(CampList[[#This Row],[Distance]]/5)+1,"")</f>
        <v>1</v>
      </c>
      <c r="AL52" s="727"/>
      <c r="AM52" s="727"/>
      <c r="AN52" s="727"/>
      <c r="BD52" s="5"/>
      <c r="BE52" s="5"/>
    </row>
    <row r="53" spans="1:57" s="4" customFormat="1" ht="15.6" customHeight="1" x14ac:dyDescent="0.25">
      <c r="A53" s="555" t="s">
        <v>502</v>
      </c>
      <c r="B53" s="527" t="s">
        <v>380</v>
      </c>
      <c r="C53" s="527" t="s">
        <v>527</v>
      </c>
      <c r="D53" s="527" t="s">
        <v>237</v>
      </c>
      <c r="E53" s="527" t="s">
        <v>533</v>
      </c>
      <c r="F53" s="527" t="s">
        <v>27</v>
      </c>
      <c r="G53" s="525" t="s">
        <v>536</v>
      </c>
      <c r="H53" s="556" t="s">
        <v>798</v>
      </c>
      <c r="I53" s="556" t="s">
        <v>799</v>
      </c>
      <c r="J53" s="556" t="s">
        <v>800</v>
      </c>
      <c r="K53" s="557">
        <v>166355</v>
      </c>
      <c r="L53" s="527" t="s">
        <v>364</v>
      </c>
      <c r="M53" s="527" t="s">
        <v>29</v>
      </c>
      <c r="N53" s="568">
        <v>98.475719999999995</v>
      </c>
      <c r="O53" s="568">
        <v>25.754110000000001</v>
      </c>
      <c r="P53" s="559">
        <v>2785</v>
      </c>
      <c r="Q53" s="509">
        <v>154</v>
      </c>
      <c r="R53" s="531">
        <v>920</v>
      </c>
      <c r="S53" s="333">
        <f>IF(CampList[[#This Row],[HH]]&gt;0,CampList[[#This Row],[Total]]/CampList[[#This Row],[HH]],"NA")</f>
        <v>5.9740259740259738</v>
      </c>
      <c r="T53" s="581" t="s">
        <v>515</v>
      </c>
      <c r="U53" s="562" t="s">
        <v>1213</v>
      </c>
      <c r="V53" s="527" t="s">
        <v>556</v>
      </c>
      <c r="W53" s="562" t="s">
        <v>863</v>
      </c>
      <c r="X53" s="563">
        <v>41030</v>
      </c>
      <c r="Y53" s="564">
        <v>2</v>
      </c>
      <c r="Z53" s="563" t="s">
        <v>462</v>
      </c>
      <c r="AA53" s="521" t="s">
        <v>848</v>
      </c>
      <c r="AB53" s="527"/>
      <c r="AC53" s="565">
        <v>42340</v>
      </c>
      <c r="AD53" s="529" t="s">
        <v>1463</v>
      </c>
      <c r="AE53" s="564" t="s">
        <v>1084</v>
      </c>
      <c r="AF53" s="535">
        <f>IF(CampList[[#This Row],[Type of Accomodation]]="camp",MAX(0,CampList[[#This Row],[HH]]-SUMIF(Table_Shelter[Pcode],CampList[[#This Row],[CP_Pcode]],Table_Shelter[HH Covered])),0)</f>
        <v>154</v>
      </c>
      <c r="AG53" s="525"/>
      <c r="AH53" s="525">
        <f>MIN(CampList[[#This Row],[Shelter Gap]],CampList[[#This Row],[Land Status]])</f>
        <v>154</v>
      </c>
      <c r="AI53" s="525" t="str">
        <f ca="1">IFERROR(OFFSET(DistanceToCamp[Nearest Town],MATCH(CampList[[#This Row],[CP_Pcode]],DistanceToCamp[CP_Pcode],0)-1,0,1,1),"")</f>
        <v>Pang War Town</v>
      </c>
      <c r="AJ53" s="566">
        <f ca="1">IFERROR(OFFSET(DistanceToCamp[distance],MATCH(CampList[[#This Row],[CP_Pcode]],DistanceToCamp[CP_Pcode],0)-1,0,1,1),"")</f>
        <v>19.834999342466848</v>
      </c>
      <c r="AK53" s="567">
        <f ca="1">IFERROR(INT(CampList[[#This Row],[Distance]]/5)+1,"")</f>
        <v>4</v>
      </c>
      <c r="AL53" s="727"/>
      <c r="AM53" s="727"/>
      <c r="AN53" s="727"/>
      <c r="BD53" s="5"/>
      <c r="BE53" s="5"/>
    </row>
    <row r="54" spans="1:57" s="4" customFormat="1" ht="15.6" customHeight="1" x14ac:dyDescent="0.25">
      <c r="A54" s="495" t="s">
        <v>502</v>
      </c>
      <c r="B54" s="535" t="s">
        <v>380</v>
      </c>
      <c r="C54" s="535" t="s">
        <v>527</v>
      </c>
      <c r="D54" s="535" t="s">
        <v>5</v>
      </c>
      <c r="E54" s="535" t="s">
        <v>531</v>
      </c>
      <c r="F54" s="535" t="s">
        <v>185</v>
      </c>
      <c r="G54" s="535" t="s">
        <v>535</v>
      </c>
      <c r="H54" s="535" t="s">
        <v>736</v>
      </c>
      <c r="I54" s="598" t="s">
        <v>737</v>
      </c>
      <c r="J54" s="535" t="s">
        <v>738</v>
      </c>
      <c r="K54" s="535">
        <v>167223</v>
      </c>
      <c r="L54" s="535" t="s">
        <v>194</v>
      </c>
      <c r="M54" s="535" t="s">
        <v>193</v>
      </c>
      <c r="N54" s="508">
        <v>97.573126000000002</v>
      </c>
      <c r="O54" s="508">
        <v>24.661905999999998</v>
      </c>
      <c r="P54" s="569">
        <v>415</v>
      </c>
      <c r="Q54" s="511">
        <v>613</v>
      </c>
      <c r="R54" s="532">
        <v>2969</v>
      </c>
      <c r="S54" s="333">
        <f>IF(CampList[[#This Row],[HH]]&gt;0,CampList[[#This Row],[Total]]/CampList[[#This Row],[HH]],"NA")</f>
        <v>4.8433931484502448</v>
      </c>
      <c r="T54" s="599" t="s">
        <v>515</v>
      </c>
      <c r="U54" s="561" t="s">
        <v>1213</v>
      </c>
      <c r="V54" s="496" t="s">
        <v>556</v>
      </c>
      <c r="W54" s="508" t="s">
        <v>862</v>
      </c>
      <c r="X54" s="577">
        <v>40695</v>
      </c>
      <c r="Y54" s="571">
        <v>5</v>
      </c>
      <c r="Z54" s="571" t="s">
        <v>1097</v>
      </c>
      <c r="AA54" s="511" t="s">
        <v>574</v>
      </c>
      <c r="AB54" s="599"/>
      <c r="AC54" s="565">
        <v>42340</v>
      </c>
      <c r="AD54" s="711" t="s">
        <v>1360</v>
      </c>
      <c r="AE54" s="597" t="s">
        <v>1085</v>
      </c>
      <c r="AF54" s="598">
        <f>IF(CampList[[#This Row],[Type of Accomodation]]="camp",MAX(0,CampList[[#This Row],[HH]]-SUMIF(Table_Shelter[Pcode],CampList[[#This Row],[CP_Pcode]],Table_Shelter[HH Covered])),0)</f>
        <v>0</v>
      </c>
      <c r="AG54" s="535"/>
      <c r="AH54" s="598">
        <f>MIN(CampList[[#This Row],[Shelter Gap]],CampList[[#This Row],[Land Status]])</f>
        <v>0</v>
      </c>
      <c r="AI54" s="598" t="str">
        <f ca="1">IFERROR(OFFSET(DistanceToCamp[Nearest Town],MATCH(CampList[[#This Row],[CP_Pcode]],DistanceToCamp[CP_Pcode],0)-1,0,1,1),"")</f>
        <v>Laiza town</v>
      </c>
      <c r="AJ54" s="566">
        <f ca="1">IFERROR(OFFSET(DistanceToCamp[distance],MATCH(CampList[[#This Row],[CP_Pcode]],DistanceToCamp[CP_Pcode],0)-1,0,1,1),"")</f>
        <v>10.953347686331073</v>
      </c>
      <c r="AK54" s="600">
        <f ca="1">IFERROR(INT(CampList[[#This Row],[Distance]]/5)+1,"")</f>
        <v>3</v>
      </c>
      <c r="AL54" s="727"/>
      <c r="AM54" s="727"/>
      <c r="AN54" s="727"/>
      <c r="BD54" s="5"/>
      <c r="BE54" s="5"/>
    </row>
    <row r="55" spans="1:57" s="4" customFormat="1" ht="15.6" customHeight="1" x14ac:dyDescent="0.25">
      <c r="A55" s="555" t="s">
        <v>502</v>
      </c>
      <c r="B55" s="527" t="s">
        <v>380</v>
      </c>
      <c r="C55" s="527" t="s">
        <v>527</v>
      </c>
      <c r="D55" s="527" t="s">
        <v>5</v>
      </c>
      <c r="E55" s="527" t="s">
        <v>531</v>
      </c>
      <c r="F55" s="527" t="s">
        <v>5</v>
      </c>
      <c r="G55" s="525" t="s">
        <v>532</v>
      </c>
      <c r="H55" s="556" t="s">
        <v>639</v>
      </c>
      <c r="I55" s="556" t="s">
        <v>640</v>
      </c>
      <c r="J55" s="556" t="s">
        <v>645</v>
      </c>
      <c r="K55" s="557" t="s">
        <v>646</v>
      </c>
      <c r="L55" s="574" t="s">
        <v>14</v>
      </c>
      <c r="M55" s="527" t="s">
        <v>13</v>
      </c>
      <c r="N55" s="558">
        <v>97.236919999999998</v>
      </c>
      <c r="O55" s="558">
        <v>24.24766</v>
      </c>
      <c r="P55" s="559">
        <v>0</v>
      </c>
      <c r="Q55" s="509">
        <v>43</v>
      </c>
      <c r="R55" s="531">
        <v>237</v>
      </c>
      <c r="S55" s="560">
        <f>IF(CampList[[#This Row],[HH]]&gt;0,CampList[[#This Row],[Total]]/CampList[[#This Row],[HH]],"NA")</f>
        <v>5.5116279069767442</v>
      </c>
      <c r="T55" s="581" t="s">
        <v>513</v>
      </c>
      <c r="U55" s="562" t="s">
        <v>1213</v>
      </c>
      <c r="V55" s="527" t="s">
        <v>556</v>
      </c>
      <c r="W55" s="562" t="s">
        <v>808</v>
      </c>
      <c r="X55" s="563">
        <v>40878</v>
      </c>
      <c r="Y55" s="564">
        <v>1</v>
      </c>
      <c r="Z55" s="563" t="s">
        <v>462</v>
      </c>
      <c r="AA55" s="515" t="s">
        <v>848</v>
      </c>
      <c r="AB55" s="527"/>
      <c r="AC55" s="565">
        <v>42340</v>
      </c>
      <c r="AD55" s="523" t="s">
        <v>1449</v>
      </c>
      <c r="AE55" s="564" t="s">
        <v>1100</v>
      </c>
      <c r="AF55" s="535">
        <f>IF(CampList[[#This Row],[Type of Accomodation]]="camp",MAX(0,CampList[[#This Row],[HH]]-SUMIF(Table_Shelter[Pcode],CampList[[#This Row],[CP_Pcode]],Table_Shelter[HH Covered])),0)</f>
        <v>5</v>
      </c>
      <c r="AG55" s="525"/>
      <c r="AH55" s="525">
        <f>MIN(CampList[[#This Row],[Shelter Gap]],CampList[[#This Row],[Land Status]])</f>
        <v>5</v>
      </c>
      <c r="AI55" s="525" t="str">
        <f ca="1">IFERROR(OFFSET(DistanceToCamp[Nearest Town],MATCH(CampList[[#This Row],[CP_Pcode]],DistanceToCamp[CP_Pcode],0)-1,0,1,1),"")</f>
        <v>Bhamo Town</v>
      </c>
      <c r="AJ55" s="566">
        <f ca="1">IFERROR(OFFSET(DistanceToCamp[distance],MATCH(CampList[[#This Row],[CP_Pcode]],DistanceToCamp[CP_Pcode],0)-1,0,1,1),"")</f>
        <v>0.84749304721635399</v>
      </c>
      <c r="AK55" s="567">
        <f ca="1">IFERROR(INT(CampList[[#This Row],[Distance]]/5)+1,"")</f>
        <v>1</v>
      </c>
      <c r="AL55" s="727"/>
      <c r="AM55" s="727"/>
      <c r="AN55" s="727"/>
      <c r="BD55" s="5"/>
      <c r="BE55" s="5"/>
    </row>
    <row r="56" spans="1:57" s="4" customFormat="1" ht="15.6" customHeight="1" x14ac:dyDescent="0.25">
      <c r="A56" s="590" t="s">
        <v>502</v>
      </c>
      <c r="B56" s="219" t="s">
        <v>380</v>
      </c>
      <c r="C56" s="525" t="s">
        <v>527</v>
      </c>
      <c r="D56" s="525" t="s">
        <v>237</v>
      </c>
      <c r="E56" s="525" t="s">
        <v>533</v>
      </c>
      <c r="F56" s="525" t="s">
        <v>310</v>
      </c>
      <c r="G56" s="218" t="s">
        <v>534</v>
      </c>
      <c r="H56" s="525" t="s">
        <v>729</v>
      </c>
      <c r="I56" s="525" t="s">
        <v>730</v>
      </c>
      <c r="J56" s="525"/>
      <c r="K56" s="587"/>
      <c r="L56" s="527" t="s">
        <v>818</v>
      </c>
      <c r="M56" s="219" t="s">
        <v>819</v>
      </c>
      <c r="N56" s="558">
        <v>97.541793999999996</v>
      </c>
      <c r="O56" s="558">
        <v>24.752471</v>
      </c>
      <c r="P56" s="569"/>
      <c r="Q56" s="508"/>
      <c r="R56" s="533">
        <v>1047</v>
      </c>
      <c r="S56" s="333" t="str">
        <f>IF(CampList[[#This Row],[HH]]&gt;0,CampList[[#This Row],[Total]]/CampList[[#This Row],[HH]],"NA")</f>
        <v>NA</v>
      </c>
      <c r="T56" s="581" t="s">
        <v>515</v>
      </c>
      <c r="U56" s="334" t="s">
        <v>1213</v>
      </c>
      <c r="V56" s="219" t="s">
        <v>993</v>
      </c>
      <c r="W56" s="334" t="s">
        <v>808</v>
      </c>
      <c r="X56" s="570"/>
      <c r="Y56" s="571"/>
      <c r="Z56" s="562"/>
      <c r="AA56" s="516" t="s">
        <v>574</v>
      </c>
      <c r="AB56" s="219"/>
      <c r="AC56" s="335">
        <v>41899</v>
      </c>
      <c r="AD56" s="527" t="s">
        <v>1124</v>
      </c>
      <c r="AE56" s="571" t="s">
        <v>1085</v>
      </c>
      <c r="AF56" s="233">
        <f>IF(CampList[[#This Row],[Type of Accomodation]]="camp",MAX(0,CampList[[#This Row],[HH]]-SUMIF(Table_Shelter[Pcode],CampList[[#This Row],[CP_Pcode]],Table_Shelter[HH Covered])),0)</f>
        <v>0</v>
      </c>
      <c r="AG56" s="218"/>
      <c r="AH56" s="218">
        <f>MIN(CampList[[#This Row],[Shelter Gap]],CampList[[#This Row],[Land Status]])</f>
        <v>0</v>
      </c>
      <c r="AI56" s="218" t="str">
        <f ca="1">IFERROR(OFFSET(DistanceToCamp[Nearest Town],MATCH(CampList[[#This Row],[CP_Pcode]],DistanceToCamp[CP_Pcode],0)-1,0,1,1),"")</f>
        <v>Laiza town</v>
      </c>
      <c r="AJ56" s="336">
        <f ca="1">IFERROR(OFFSET(DistanceToCamp[distance],MATCH(CampList[[#This Row],[CP_Pcode]],DistanceToCamp[CP_Pcode],0)-1,0,1,1),"")</f>
        <v>2.3307568207764655</v>
      </c>
      <c r="AK56" s="337">
        <f ca="1">IFERROR(INT(CampList[[#This Row],[Distance]]/5)+1,"")</f>
        <v>1</v>
      </c>
      <c r="AL56" s="727"/>
      <c r="AM56" s="727"/>
      <c r="AN56" s="727"/>
      <c r="BD56" s="5"/>
      <c r="BE56" s="5"/>
    </row>
    <row r="57" spans="1:57" s="4" customFormat="1" ht="15.6" hidden="1" customHeight="1" x14ac:dyDescent="0.25">
      <c r="A57" s="555" t="s">
        <v>849</v>
      </c>
      <c r="B57" s="527" t="s">
        <v>380</v>
      </c>
      <c r="C57" s="527" t="s">
        <v>527</v>
      </c>
      <c r="D57" s="527" t="s">
        <v>5</v>
      </c>
      <c r="E57" s="527" t="s">
        <v>531</v>
      </c>
      <c r="F57" s="527" t="s">
        <v>151</v>
      </c>
      <c r="G57" s="525" t="s">
        <v>541</v>
      </c>
      <c r="H57" s="556"/>
      <c r="I57" s="556"/>
      <c r="J57" s="556"/>
      <c r="K57" s="557"/>
      <c r="L57" s="527" t="s">
        <v>890</v>
      </c>
      <c r="M57" s="527" t="s">
        <v>889</v>
      </c>
      <c r="N57" s="558"/>
      <c r="O57" s="580"/>
      <c r="P57" s="569"/>
      <c r="Q57" s="509">
        <v>0</v>
      </c>
      <c r="R57" s="531">
        <v>0</v>
      </c>
      <c r="S57" s="333" t="str">
        <f>IF(CampList[[#This Row],[HH]]&gt;0,CampList[[#This Row],[Total]]/CampList[[#This Row],[HH]],"NA")</f>
        <v>NA</v>
      </c>
      <c r="T57" s="561" t="s">
        <v>513</v>
      </c>
      <c r="U57" s="562" t="s">
        <v>1213</v>
      </c>
      <c r="V57" s="527" t="s">
        <v>862</v>
      </c>
      <c r="W57" s="562"/>
      <c r="X57" s="570"/>
      <c r="Y57" s="571"/>
      <c r="Z57" s="562"/>
      <c r="AA57" s="516" t="s">
        <v>848</v>
      </c>
      <c r="AB57" s="527"/>
      <c r="AC57" s="565">
        <v>41677</v>
      </c>
      <c r="AD57" s="523" t="s">
        <v>950</v>
      </c>
      <c r="AE57" s="571" t="s">
        <v>1014</v>
      </c>
      <c r="AF57" s="535">
        <f>IF(CampList[[#This Row],[Type of Accomodation]]="camp",MAX(0,CampList[[#This Row],[HH]]-SUMIF(Table_Shelter[Pcode],CampList[[#This Row],[CP_Pcode]],Table_Shelter[HH Covered])),0)</f>
        <v>0</v>
      </c>
      <c r="AG57" s="525"/>
      <c r="AH57" s="525">
        <f>MIN(CampList[[#This Row],[Shelter Gap]],CampList[[#This Row],[Land Status]])</f>
        <v>0</v>
      </c>
      <c r="AI57" s="525" t="str">
        <f ca="1">IFERROR(OFFSET(DistanceToCamp[Nearest Town],MATCH(CampList[[#This Row],[CP_Pcode]],DistanceToCamp[CP_Pcode],0)-1,0,1,1),"")</f>
        <v/>
      </c>
      <c r="AJ57" s="566" t="str">
        <f ca="1">IFERROR(OFFSET(DistanceToCamp[distance],MATCH(CampList[[#This Row],[CP_Pcode]],DistanceToCamp[CP_Pcode],0)-1,0,1,1),"")</f>
        <v/>
      </c>
      <c r="AK57" s="567" t="str">
        <f ca="1">IFERROR(INT(CampList[[#This Row],[Distance]]/5)+1,"")</f>
        <v/>
      </c>
      <c r="AL57" s="727"/>
      <c r="AM57" s="727"/>
      <c r="AN57" s="727"/>
      <c r="BD57" s="5"/>
      <c r="BE57" s="5"/>
    </row>
    <row r="58" spans="1:57" s="4" customFormat="1" ht="15.6" customHeight="1" x14ac:dyDescent="0.25">
      <c r="A58" s="555" t="s">
        <v>502</v>
      </c>
      <c r="B58" s="525" t="s">
        <v>380</v>
      </c>
      <c r="C58" s="525" t="s">
        <v>527</v>
      </c>
      <c r="D58" s="525" t="s">
        <v>300</v>
      </c>
      <c r="E58" s="525" t="s">
        <v>548</v>
      </c>
      <c r="F58" s="525" t="s">
        <v>300</v>
      </c>
      <c r="G58" s="525" t="s">
        <v>554</v>
      </c>
      <c r="H58" s="525" t="s">
        <v>1036</v>
      </c>
      <c r="I58" s="525" t="s">
        <v>1037</v>
      </c>
      <c r="J58" s="525" t="s">
        <v>1047</v>
      </c>
      <c r="K58" s="525">
        <v>217032</v>
      </c>
      <c r="L58" s="525" t="s">
        <v>1048</v>
      </c>
      <c r="M58" s="525" t="s">
        <v>1050</v>
      </c>
      <c r="N58" s="508">
        <v>97.561105999999995</v>
      </c>
      <c r="O58" s="508">
        <v>27.248964999999998</v>
      </c>
      <c r="P58" s="532">
        <v>398</v>
      </c>
      <c r="Q58" s="511">
        <v>10</v>
      </c>
      <c r="R58" s="532">
        <v>56</v>
      </c>
      <c r="S58" s="333">
        <f>IF(CampList[[#This Row],[HH]]&gt;0,CampList[[#This Row],[Total]]/CampList[[#This Row],[HH]],"NA")</f>
        <v>5.6</v>
      </c>
      <c r="T58" s="581" t="s">
        <v>513</v>
      </c>
      <c r="U58" s="562" t="s">
        <v>1213</v>
      </c>
      <c r="V58" s="527" t="s">
        <v>12</v>
      </c>
      <c r="W58" s="527" t="s">
        <v>862</v>
      </c>
      <c r="X58" s="577">
        <v>41487</v>
      </c>
      <c r="Y58" s="533"/>
      <c r="Z58" s="527"/>
      <c r="AA58" s="520" t="s">
        <v>848</v>
      </c>
      <c r="AB58" s="525"/>
      <c r="AC58" s="565">
        <v>41736</v>
      </c>
      <c r="AD58" s="525" t="s">
        <v>1049</v>
      </c>
      <c r="AE58" s="533" t="s">
        <v>1086</v>
      </c>
      <c r="AF58" s="535">
        <f>IF(CampList[[#This Row],[Type of Accomodation]]="camp",MAX(0,CampList[[#This Row],[HH]]-SUMIF(Table_Shelter[Pcode],CampList[[#This Row],[CP_Pcode]],Table_Shelter[HH Covered])),0)</f>
        <v>0</v>
      </c>
      <c r="AG58" s="525"/>
      <c r="AH58" s="525">
        <f>MIN(CampList[[#This Row],[Shelter Gap]],CampList[[#This Row],[Land Status]])</f>
        <v>0</v>
      </c>
      <c r="AI58" s="525" t="str">
        <f ca="1">IFERROR(OFFSET(DistanceToCamp[Nearest Town],MATCH(CampList[[#This Row],[CP_Pcode]],DistanceToCamp[CP_Pcode],0)-1,0,1,1),"")</f>
        <v>Machanbaw Town</v>
      </c>
      <c r="AJ58" s="566">
        <f ca="1">IFERROR(OFFSET(DistanceToCamp[distance],MATCH(CampList[[#This Row],[CP_Pcode]],DistanceToCamp[CP_Pcode],0)-1,0,1,1),"")</f>
        <v>4.789460146835963</v>
      </c>
      <c r="AK58" s="567">
        <f ca="1">IFERROR(INT(CampList[[#This Row],[Distance]]/5)+1,"")</f>
        <v>1</v>
      </c>
      <c r="AL58" s="727"/>
      <c r="AM58" s="727"/>
      <c r="AN58" s="727"/>
      <c r="BD58" s="5"/>
      <c r="BE58" s="5"/>
    </row>
    <row r="59" spans="1:57" s="4" customFormat="1" ht="15.6" customHeight="1" x14ac:dyDescent="0.25">
      <c r="A59" s="555" t="s">
        <v>502</v>
      </c>
      <c r="B59" s="527" t="s">
        <v>380</v>
      </c>
      <c r="C59" s="527" t="s">
        <v>527</v>
      </c>
      <c r="D59" s="527" t="s">
        <v>237</v>
      </c>
      <c r="E59" s="527" t="s">
        <v>533</v>
      </c>
      <c r="F59" s="527" t="s">
        <v>237</v>
      </c>
      <c r="G59" s="525" t="s">
        <v>537</v>
      </c>
      <c r="H59" s="556" t="s">
        <v>673</v>
      </c>
      <c r="I59" s="556" t="s">
        <v>674</v>
      </c>
      <c r="J59" s="525"/>
      <c r="K59" s="573"/>
      <c r="L59" s="527" t="s">
        <v>253</v>
      </c>
      <c r="M59" s="527" t="s">
        <v>252</v>
      </c>
      <c r="N59" s="588">
        <v>97.373361000000003</v>
      </c>
      <c r="O59" s="588">
        <v>25.403476999999999</v>
      </c>
      <c r="P59" s="559">
        <v>0</v>
      </c>
      <c r="Q59" s="509">
        <v>203</v>
      </c>
      <c r="R59" s="531">
        <v>1072</v>
      </c>
      <c r="S59" s="560">
        <f>IF(CampList[[#This Row],[HH]]&gt;0,CampList[[#This Row],[Total]]/CampList[[#This Row],[HH]],"NA")</f>
        <v>5.2807881773399012</v>
      </c>
      <c r="T59" s="581" t="s">
        <v>513</v>
      </c>
      <c r="U59" s="562" t="s">
        <v>1213</v>
      </c>
      <c r="V59" s="527" t="s">
        <v>556</v>
      </c>
      <c r="W59" s="562" t="s">
        <v>808</v>
      </c>
      <c r="X59" s="563">
        <v>40725</v>
      </c>
      <c r="Y59" s="564">
        <v>2</v>
      </c>
      <c r="Z59" s="563" t="s">
        <v>462</v>
      </c>
      <c r="AA59" s="516" t="s">
        <v>848</v>
      </c>
      <c r="AB59" s="527"/>
      <c r="AC59" s="579">
        <v>42340</v>
      </c>
      <c r="AD59" s="523" t="s">
        <v>1444</v>
      </c>
      <c r="AE59" s="564" t="s">
        <v>1100</v>
      </c>
      <c r="AF59" s="535">
        <f>IF(CampList[[#This Row],[Type of Accomodation]]="camp",MAX(0,CampList[[#This Row],[HH]]-SUMIF(Table_Shelter[Pcode],CampList[[#This Row],[CP_Pcode]],Table_Shelter[HH Covered])),0)</f>
        <v>43</v>
      </c>
      <c r="AG59" s="525"/>
      <c r="AH59" s="525">
        <f>MIN(CampList[[#This Row],[Shelter Gap]],CampList[[#This Row],[Land Status]])</f>
        <v>43</v>
      </c>
      <c r="AI59" s="525" t="str">
        <f ca="1">IFERROR(OFFSET(DistanceToCamp[Nearest Town],MATCH(CampList[[#This Row],[CP_Pcode]],DistanceToCamp[CP_Pcode],0)-1,0,1,1),"")</f>
        <v>Myitkyina Town</v>
      </c>
      <c r="AJ59" s="566">
        <f ca="1">IFERROR(OFFSET(DistanceToCamp[distance],MATCH(CampList[[#This Row],[CP_Pcode]],DistanceToCamp[CP_Pcode],0)-1,0,1,1),"")</f>
        <v>2.4647367211404561</v>
      </c>
      <c r="AK59" s="567">
        <f ca="1">IFERROR(INT(CampList[[#This Row],[Distance]]/5)+1,"")</f>
        <v>1</v>
      </c>
      <c r="AL59" s="727"/>
      <c r="AM59" s="727"/>
      <c r="AN59" s="727"/>
      <c r="BD59" s="5"/>
      <c r="BE59" s="5"/>
    </row>
    <row r="60" spans="1:57" s="4" customFormat="1" ht="15.6" customHeight="1" x14ac:dyDescent="0.25">
      <c r="A60" s="495" t="s">
        <v>502</v>
      </c>
      <c r="B60" s="535" t="s">
        <v>380</v>
      </c>
      <c r="C60" s="535" t="s">
        <v>527</v>
      </c>
      <c r="D60" s="535" t="s">
        <v>237</v>
      </c>
      <c r="E60" s="535" t="s">
        <v>533</v>
      </c>
      <c r="F60" s="535" t="s">
        <v>237</v>
      </c>
      <c r="G60" s="535" t="s">
        <v>537</v>
      </c>
      <c r="H60" s="535" t="s">
        <v>673</v>
      </c>
      <c r="I60" s="598" t="s">
        <v>674</v>
      </c>
      <c r="J60" s="535" t="s">
        <v>675</v>
      </c>
      <c r="K60" s="535"/>
      <c r="L60" s="535" t="s">
        <v>255</v>
      </c>
      <c r="M60" s="535" t="s">
        <v>254</v>
      </c>
      <c r="N60" s="508">
        <v>97.379594999999995</v>
      </c>
      <c r="O60" s="508">
        <v>25.401061110000001</v>
      </c>
      <c r="P60" s="569"/>
      <c r="Q60" s="511">
        <v>109</v>
      </c>
      <c r="R60" s="532">
        <v>493</v>
      </c>
      <c r="S60" s="333">
        <f>IF(CampList[[#This Row],[HH]]&gt;0,CampList[[#This Row],[Total]]/CampList[[#This Row],[HH]],"NA")</f>
        <v>4.522935779816514</v>
      </c>
      <c r="T60" s="599" t="s">
        <v>513</v>
      </c>
      <c r="U60" s="561" t="s">
        <v>1213</v>
      </c>
      <c r="V60" s="496" t="s">
        <v>556</v>
      </c>
      <c r="W60" s="508" t="s">
        <v>808</v>
      </c>
      <c r="X60" s="577">
        <v>40725</v>
      </c>
      <c r="Y60" s="571">
        <v>3</v>
      </c>
      <c r="Z60" s="571" t="s">
        <v>1097</v>
      </c>
      <c r="AA60" s="511" t="s">
        <v>848</v>
      </c>
      <c r="AB60" s="599"/>
      <c r="AC60" s="565">
        <v>42340</v>
      </c>
      <c r="AD60" s="711" t="s">
        <v>1429</v>
      </c>
      <c r="AE60" s="597" t="s">
        <v>1100</v>
      </c>
      <c r="AF60" s="598">
        <f>IF(CampList[[#This Row],[Type of Accomodation]]="camp",MAX(0,CampList[[#This Row],[HH]]-SUMIF(Table_Shelter[Pcode],CampList[[#This Row],[CP_Pcode]],Table_Shelter[HH Covered])),0)</f>
        <v>29</v>
      </c>
      <c r="AG60" s="535"/>
      <c r="AH60" s="598">
        <f>MIN(CampList[[#This Row],[Shelter Gap]],CampList[[#This Row],[Land Status]])</f>
        <v>29</v>
      </c>
      <c r="AI60" s="598" t="str">
        <f ca="1">IFERROR(OFFSET(DistanceToCamp[Nearest Town],MATCH(CampList[[#This Row],[CP_Pcode]],DistanceToCamp[CP_Pcode],0)-1,0,1,1),"")</f>
        <v>Myitkyina Town</v>
      </c>
      <c r="AJ60" s="566">
        <f ca="1">IFERROR(OFFSET(DistanceToCamp[distance],MATCH(CampList[[#This Row],[CP_Pcode]],DistanceToCamp[CP_Pcode],0)-1,0,1,1),"")</f>
        <v>1.8563710010113432</v>
      </c>
      <c r="AK60" s="600">
        <f ca="1">IFERROR(INT(CampList[[#This Row],[Distance]]/5)+1,"")</f>
        <v>1</v>
      </c>
      <c r="AL60" s="727"/>
      <c r="AM60" s="727"/>
      <c r="AN60" s="727"/>
      <c r="BD60" s="5"/>
      <c r="BE60" s="5"/>
    </row>
    <row r="61" spans="1:57" s="4" customFormat="1" ht="15.6" customHeight="1" x14ac:dyDescent="0.25">
      <c r="A61" s="495" t="s">
        <v>502</v>
      </c>
      <c r="B61" s="535" t="s">
        <v>380</v>
      </c>
      <c r="C61" s="535" t="s">
        <v>527</v>
      </c>
      <c r="D61" s="535" t="s">
        <v>5</v>
      </c>
      <c r="E61" s="535" t="s">
        <v>531</v>
      </c>
      <c r="F61" s="535" t="s">
        <v>185</v>
      </c>
      <c r="G61" s="535" t="s">
        <v>535</v>
      </c>
      <c r="H61" s="535" t="s">
        <v>1144</v>
      </c>
      <c r="I61" s="598" t="s">
        <v>1284</v>
      </c>
      <c r="J61" s="535"/>
      <c r="K61" s="535"/>
      <c r="L61" s="535" t="s">
        <v>196</v>
      </c>
      <c r="M61" s="535" t="s">
        <v>195</v>
      </c>
      <c r="N61" s="508">
        <v>97.568331999999998</v>
      </c>
      <c r="O61" s="508">
        <v>24.688338999999999</v>
      </c>
      <c r="P61" s="569">
        <v>314</v>
      </c>
      <c r="Q61" s="511">
        <v>1692</v>
      </c>
      <c r="R61" s="532">
        <v>8818</v>
      </c>
      <c r="S61" s="333">
        <f>IF(CampList[[#This Row],[HH]]&gt;0,CampList[[#This Row],[Total]]/CampList[[#This Row],[HH]],"NA")</f>
        <v>5.211583924349882</v>
      </c>
      <c r="T61" s="599" t="s">
        <v>515</v>
      </c>
      <c r="U61" s="561" t="s">
        <v>1213</v>
      </c>
      <c r="V61" s="496" t="s">
        <v>556</v>
      </c>
      <c r="W61" s="508" t="s">
        <v>862</v>
      </c>
      <c r="X61" s="577">
        <v>41061</v>
      </c>
      <c r="Y61" s="571">
        <v>7</v>
      </c>
      <c r="Z61" s="571" t="s">
        <v>1097</v>
      </c>
      <c r="AA61" s="511" t="s">
        <v>848</v>
      </c>
      <c r="AB61" s="599"/>
      <c r="AC61" s="579">
        <v>42340</v>
      </c>
      <c r="AD61" s="711" t="s">
        <v>1428</v>
      </c>
      <c r="AE61" s="597" t="s">
        <v>1085</v>
      </c>
      <c r="AF61" s="598">
        <f>IF(CampList[[#This Row],[Type of Accomodation]]="camp",MAX(0,CampList[[#This Row],[HH]]-SUMIF(Table_Shelter[Pcode],CampList[[#This Row],[CP_Pcode]],Table_Shelter[HH Covered])),0)</f>
        <v>497</v>
      </c>
      <c r="AG61" s="535"/>
      <c r="AH61" s="598">
        <f>MIN(CampList[[#This Row],[Shelter Gap]],CampList[[#This Row],[Land Status]])</f>
        <v>497</v>
      </c>
      <c r="AI61" s="598" t="str">
        <f ca="1">IFERROR(OFFSET(DistanceToCamp[Nearest Town],MATCH(CampList[[#This Row],[CP_Pcode]],DistanceToCamp[CP_Pcode],0)-1,0,1,1),"")</f>
        <v>Laiza town</v>
      </c>
      <c r="AJ61" s="336">
        <f ca="1">IFERROR(OFFSET(DistanceToCamp[distance],MATCH(CampList[[#This Row],[CP_Pcode]],DistanceToCamp[CP_Pcode],0)-1,0,1,1),"")</f>
        <v>7.985347533011188</v>
      </c>
      <c r="AK61" s="600">
        <f ca="1">IFERROR(INT(CampList[[#This Row],[Distance]]/5)+1,"")</f>
        <v>2</v>
      </c>
      <c r="AL61" s="727"/>
      <c r="AM61" s="727"/>
      <c r="AN61" s="727"/>
      <c r="BD61" s="5"/>
      <c r="BE61" s="5"/>
    </row>
    <row r="62" spans="1:57" s="4" customFormat="1" ht="15.6" hidden="1" customHeight="1" x14ac:dyDescent="0.25">
      <c r="A62" s="332" t="s">
        <v>849</v>
      </c>
      <c r="B62" s="219" t="s">
        <v>380</v>
      </c>
      <c r="C62" s="527" t="s">
        <v>527</v>
      </c>
      <c r="D62" s="527" t="s">
        <v>5</v>
      </c>
      <c r="E62" s="527" t="s">
        <v>531</v>
      </c>
      <c r="F62" s="527" t="s">
        <v>5</v>
      </c>
      <c r="G62" s="218" t="s">
        <v>532</v>
      </c>
      <c r="H62" s="525"/>
      <c r="I62" s="525"/>
      <c r="J62" s="525"/>
      <c r="K62" s="573"/>
      <c r="L62" s="574" t="s">
        <v>16</v>
      </c>
      <c r="M62" s="219" t="s">
        <v>15</v>
      </c>
      <c r="N62" s="558">
        <v>97.221556500999995</v>
      </c>
      <c r="O62" s="558">
        <v>24.262418020999998</v>
      </c>
      <c r="P62" s="569"/>
      <c r="Q62" s="509">
        <v>0</v>
      </c>
      <c r="R62" s="531">
        <v>0</v>
      </c>
      <c r="S62" s="333" t="str">
        <f>IF(CampList[[#This Row],[HH]]&gt;0,CampList[[#This Row],[Total]]/CampList[[#This Row],[HH]],"NA")</f>
        <v>NA</v>
      </c>
      <c r="T62" s="561" t="s">
        <v>513</v>
      </c>
      <c r="U62" s="334" t="s">
        <v>1213</v>
      </c>
      <c r="V62" s="527" t="s">
        <v>556</v>
      </c>
      <c r="W62" s="334"/>
      <c r="X62" s="570"/>
      <c r="Y62" s="571"/>
      <c r="Z62" s="562"/>
      <c r="AA62" s="515" t="s">
        <v>848</v>
      </c>
      <c r="AB62" s="219"/>
      <c r="AC62" s="579">
        <v>41661</v>
      </c>
      <c r="AD62" s="523" t="s">
        <v>944</v>
      </c>
      <c r="AE62" s="571" t="s">
        <v>1014</v>
      </c>
      <c r="AF62" s="233">
        <f>IF(CampList[[#This Row],[Type of Accomodation]]="camp",MAX(0,CampList[[#This Row],[HH]]-SUMIF(Table_Shelter[Pcode],CampList[[#This Row],[CP_Pcode]],Table_Shelter[HH Covered])),0)</f>
        <v>0</v>
      </c>
      <c r="AG62" s="218"/>
      <c r="AH62" s="218">
        <f>MIN(CampList[[#This Row],[Shelter Gap]],CampList[[#This Row],[Land Status]])</f>
        <v>0</v>
      </c>
      <c r="AI62" s="218" t="str">
        <f ca="1">IFERROR(OFFSET(DistanceToCamp[Nearest Town],MATCH(CampList[[#This Row],[CP_Pcode]],DistanceToCamp[CP_Pcode],0)-1,0,1,1),"")</f>
        <v/>
      </c>
      <c r="AJ62" s="566" t="str">
        <f ca="1">IFERROR(OFFSET(DistanceToCamp[distance],MATCH(CampList[[#This Row],[CP_Pcode]],DistanceToCamp[CP_Pcode],0)-1,0,1,1),"")</f>
        <v/>
      </c>
      <c r="AK62" s="337" t="str">
        <f ca="1">IFERROR(INT(CampList[[#This Row],[Distance]]/5)+1,"")</f>
        <v/>
      </c>
      <c r="AL62" s="727"/>
      <c r="AM62" s="727"/>
      <c r="AN62" s="727"/>
      <c r="BD62" s="5"/>
      <c r="BE62" s="5"/>
    </row>
    <row r="63" spans="1:57" s="4" customFormat="1" ht="15.6" customHeight="1" x14ac:dyDescent="0.25">
      <c r="A63" s="332" t="s">
        <v>502</v>
      </c>
      <c r="B63" s="527" t="s">
        <v>380</v>
      </c>
      <c r="C63" s="527" t="s">
        <v>527</v>
      </c>
      <c r="D63" s="527" t="s">
        <v>5</v>
      </c>
      <c r="E63" s="527" t="s">
        <v>531</v>
      </c>
      <c r="F63" s="527" t="s">
        <v>185</v>
      </c>
      <c r="G63" s="218" t="s">
        <v>535</v>
      </c>
      <c r="H63" s="525" t="s">
        <v>1083</v>
      </c>
      <c r="I63" s="527" t="s">
        <v>1082</v>
      </c>
      <c r="J63" s="527" t="s">
        <v>1083</v>
      </c>
      <c r="K63" s="573">
        <v>167060</v>
      </c>
      <c r="L63" s="574" t="s">
        <v>523</v>
      </c>
      <c r="M63" s="527" t="s">
        <v>524</v>
      </c>
      <c r="N63" s="593">
        <v>97.343406999999999</v>
      </c>
      <c r="O63" s="568">
        <v>24.377054000000001</v>
      </c>
      <c r="P63" s="569"/>
      <c r="Q63" s="509">
        <v>4</v>
      </c>
      <c r="R63" s="531">
        <v>26</v>
      </c>
      <c r="S63" s="333">
        <f>IF(CampList[[#This Row],[HH]]&gt;0,CampList[[#This Row],[Total]]/CampList[[#This Row],[HH]],"NA")</f>
        <v>6.5</v>
      </c>
      <c r="T63" s="581" t="s">
        <v>513</v>
      </c>
      <c r="U63" s="334" t="s">
        <v>1213</v>
      </c>
      <c r="V63" s="219" t="s">
        <v>12</v>
      </c>
      <c r="W63" s="562" t="s">
        <v>862</v>
      </c>
      <c r="X63" s="570"/>
      <c r="Y63" s="571"/>
      <c r="Z63" s="562"/>
      <c r="AA63" s="515" t="s">
        <v>847</v>
      </c>
      <c r="AB63" s="527"/>
      <c r="AC63" s="565">
        <v>41701</v>
      </c>
      <c r="AD63" s="523" t="s">
        <v>1018</v>
      </c>
      <c r="AE63" s="571" t="s">
        <v>1100</v>
      </c>
      <c r="AF63" s="233">
        <f>IF(CampList[[#This Row],[Type of Accomodation]]="camp",MAX(0,CampList[[#This Row],[HH]]-SUMIF(Table_Shelter[Pcode],CampList[[#This Row],[CP_Pcode]],Table_Shelter[HH Covered])),0)</f>
        <v>0</v>
      </c>
      <c r="AG63" s="218"/>
      <c r="AH63" s="218">
        <f>MIN(CampList[[#This Row],[Shelter Gap]],CampList[[#This Row],[Land Status]])</f>
        <v>0</v>
      </c>
      <c r="AI63" s="218" t="str">
        <f ca="1">IFERROR(OFFSET(DistanceToCamp[Nearest Town],MATCH(CampList[[#This Row],[CP_Pcode]],DistanceToCamp[CP_Pcode],0)-1,0,1,1),"")</f>
        <v>Momauk Town</v>
      </c>
      <c r="AJ63" s="566">
        <f ca="1">IFERROR(OFFSET(DistanceToCamp[distance],MATCH(CampList[[#This Row],[CP_Pcode]],DistanceToCamp[CP_Pcode],0)-1,0,1,1),"")</f>
        <v>13.446032768350749</v>
      </c>
      <c r="AK63" s="337">
        <f ca="1">IFERROR(INT(CampList[[#This Row],[Distance]]/5)+1,"")</f>
        <v>3</v>
      </c>
      <c r="AL63" s="727"/>
      <c r="AM63" s="727"/>
      <c r="AN63" s="727"/>
      <c r="BD63" s="5"/>
      <c r="BE63" s="5"/>
    </row>
    <row r="64" spans="1:57" s="4" customFormat="1" ht="15.6" customHeight="1" x14ac:dyDescent="0.25">
      <c r="A64" s="332" t="s">
        <v>502</v>
      </c>
      <c r="B64" s="527" t="s">
        <v>555</v>
      </c>
      <c r="C64" s="525" t="s">
        <v>538</v>
      </c>
      <c r="D64" s="525" t="s">
        <v>230</v>
      </c>
      <c r="E64" s="525" t="s">
        <v>539</v>
      </c>
      <c r="F64" s="525" t="s">
        <v>146</v>
      </c>
      <c r="G64" s="218" t="s">
        <v>546</v>
      </c>
      <c r="H64" s="585" t="s">
        <v>771</v>
      </c>
      <c r="I64" s="525" t="s">
        <v>772</v>
      </c>
      <c r="J64" s="585" t="s">
        <v>773</v>
      </c>
      <c r="K64" s="586">
        <v>208557</v>
      </c>
      <c r="L64" s="527" t="s">
        <v>372</v>
      </c>
      <c r="M64" s="527" t="s">
        <v>382</v>
      </c>
      <c r="N64" s="568">
        <v>97.848529999999997</v>
      </c>
      <c r="O64" s="568">
        <v>23.4008</v>
      </c>
      <c r="P64" s="559">
        <v>0</v>
      </c>
      <c r="Q64" s="509">
        <v>87</v>
      </c>
      <c r="R64" s="531">
        <v>488</v>
      </c>
      <c r="S64" s="333">
        <f>IF(CampList[[#This Row],[HH]]&gt;0,CampList[[#This Row],[Total]]/CampList[[#This Row],[HH]],"NA")</f>
        <v>5.6091954022988508</v>
      </c>
      <c r="T64" s="581" t="s">
        <v>513</v>
      </c>
      <c r="U64" s="334" t="s">
        <v>1213</v>
      </c>
      <c r="V64" s="219" t="s">
        <v>556</v>
      </c>
      <c r="W64" s="562" t="s">
        <v>862</v>
      </c>
      <c r="X64" s="563">
        <v>41275</v>
      </c>
      <c r="Y64" s="564"/>
      <c r="Z64" s="563" t="s">
        <v>462</v>
      </c>
      <c r="AA64" s="516" t="s">
        <v>848</v>
      </c>
      <c r="AB64" s="527"/>
      <c r="AC64" s="565">
        <v>42180</v>
      </c>
      <c r="AD64" s="523" t="s">
        <v>1286</v>
      </c>
      <c r="AE64" s="564" t="s">
        <v>1086</v>
      </c>
      <c r="AF64" s="233">
        <f>IF(CampList[[#This Row],[Type of Accomodation]]="camp",MAX(0,CampList[[#This Row],[HH]]-SUMIF(Table_Shelter[Pcode],CampList[[#This Row],[CP_Pcode]],Table_Shelter[HH Covered])),0)</f>
        <v>0</v>
      </c>
      <c r="AG64" s="525"/>
      <c r="AH64" s="218">
        <f>MIN(CampList[[#This Row],[Shelter Gap]],CampList[[#This Row],[Land Status]])</f>
        <v>0</v>
      </c>
      <c r="AI64" s="218" t="str">
        <f ca="1">IFERROR(OFFSET(DistanceToCamp[Nearest Town],MATCH(CampList[[#This Row],[CP_Pcode]],DistanceToCamp[CP_Pcode],0)-1,0,1,1),"")</f>
        <v>Kutkai Town</v>
      </c>
      <c r="AJ64" s="566">
        <f ca="1">IFERROR(OFFSET(DistanceToCamp[distance],MATCH(CampList[[#This Row],[CP_Pcode]],DistanceToCamp[CP_Pcode],0)-1,0,1,1),"")</f>
        <v>11.65743881259678</v>
      </c>
      <c r="AK64" s="337">
        <f ca="1">IFERROR(INT(CampList[[#This Row],[Distance]]/5)+1,"")</f>
        <v>3</v>
      </c>
      <c r="AL64" s="727"/>
      <c r="AM64" s="727"/>
      <c r="AN64" s="727"/>
      <c r="BD64" s="5"/>
      <c r="BE64" s="5"/>
    </row>
    <row r="65" spans="1:57" s="4" customFormat="1" ht="15.6" customHeight="1" x14ac:dyDescent="0.25">
      <c r="A65" s="332" t="s">
        <v>502</v>
      </c>
      <c r="B65" s="525" t="s">
        <v>380</v>
      </c>
      <c r="C65" s="525" t="s">
        <v>527</v>
      </c>
      <c r="D65" s="525" t="s">
        <v>180</v>
      </c>
      <c r="E65" s="525" t="s">
        <v>528</v>
      </c>
      <c r="F65" s="525" t="s">
        <v>529</v>
      </c>
      <c r="G65" s="218" t="s">
        <v>530</v>
      </c>
      <c r="H65" s="525" t="s">
        <v>614</v>
      </c>
      <c r="I65" s="525" t="s">
        <v>1131</v>
      </c>
      <c r="J65" s="525" t="s">
        <v>762</v>
      </c>
      <c r="K65" s="573">
        <v>216877</v>
      </c>
      <c r="L65" s="525" t="s">
        <v>1129</v>
      </c>
      <c r="M65" s="525" t="s">
        <v>1130</v>
      </c>
      <c r="N65" s="596"/>
      <c r="O65" s="596"/>
      <c r="P65" s="532"/>
      <c r="Q65" s="511">
        <v>50</v>
      </c>
      <c r="R65" s="532">
        <v>226</v>
      </c>
      <c r="S65" s="333">
        <f>IF(CampList[[#This Row],[HH]]&gt;0,CampList[[#This Row],[Total]]/CampList[[#This Row],[HH]],"NA")</f>
        <v>4.5199999999999996</v>
      </c>
      <c r="T65" s="581" t="s">
        <v>513</v>
      </c>
      <c r="U65" s="334" t="s">
        <v>1213</v>
      </c>
      <c r="V65" s="219" t="s">
        <v>556</v>
      </c>
      <c r="W65" s="527" t="s">
        <v>862</v>
      </c>
      <c r="X65" s="595">
        <v>42019</v>
      </c>
      <c r="Y65" s="533"/>
      <c r="Z65" s="562" t="s">
        <v>462</v>
      </c>
      <c r="AA65" s="520" t="s">
        <v>848</v>
      </c>
      <c r="AB65" s="525"/>
      <c r="AC65" s="565">
        <v>42340</v>
      </c>
      <c r="AD65" s="528" t="s">
        <v>1461</v>
      </c>
      <c r="AE65" s="597"/>
      <c r="AF65" s="233">
        <f>IF(CampList[[#This Row],[Type of Accomodation]]="camp",MAX(0,CampList[[#This Row],[HH]]-SUMIF(Table_Shelter[Pcode],CampList[[#This Row],[CP_Pcode]],Table_Shelter[HH Covered])),0)</f>
        <v>0</v>
      </c>
      <c r="AG65" s="525"/>
      <c r="AH65" s="218">
        <f>MIN(CampList[[#This Row],[Shelter Gap]],CampList[[#This Row],[Land Status]])</f>
        <v>0</v>
      </c>
      <c r="AI65" s="218" t="str">
        <f ca="1">IFERROR(OFFSET(DistanceToCamp[Nearest Town],MATCH(CampList[[#This Row],[CP_Pcode]],DistanceToCamp[CP_Pcode],0)-1,0,1,1),"")</f>
        <v/>
      </c>
      <c r="AJ65" s="566" t="str">
        <f ca="1">IFERROR(OFFSET(DistanceToCamp[distance],MATCH(CampList[[#This Row],[CP_Pcode]],DistanceToCamp[CP_Pcode],0)-1,0,1,1),"")</f>
        <v/>
      </c>
      <c r="AK65" s="337" t="str">
        <f ca="1">IFERROR(INT(CampList[[#This Row],[Distance]]/5)+1,"")</f>
        <v/>
      </c>
      <c r="AL65" s="727"/>
      <c r="AM65" s="727"/>
      <c r="AN65" s="727"/>
      <c r="BD65" s="5"/>
      <c r="BE65" s="5"/>
    </row>
    <row r="66" spans="1:57" s="4" customFormat="1" ht="15.6" customHeight="1" x14ac:dyDescent="0.25">
      <c r="A66" s="555" t="s">
        <v>502</v>
      </c>
      <c r="B66" s="527" t="s">
        <v>555</v>
      </c>
      <c r="C66" s="525" t="s">
        <v>538</v>
      </c>
      <c r="D66" s="525" t="s">
        <v>230</v>
      </c>
      <c r="E66" s="525" t="s">
        <v>539</v>
      </c>
      <c r="F66" s="525" t="s">
        <v>146</v>
      </c>
      <c r="G66" s="525" t="s">
        <v>546</v>
      </c>
      <c r="H66" s="582" t="s">
        <v>731</v>
      </c>
      <c r="I66" s="582" t="s">
        <v>732</v>
      </c>
      <c r="J66" s="582" t="s">
        <v>733</v>
      </c>
      <c r="K66" s="583" t="s">
        <v>734</v>
      </c>
      <c r="L66" s="527" t="s">
        <v>369</v>
      </c>
      <c r="M66" s="527" t="s">
        <v>383</v>
      </c>
      <c r="N66" s="558">
        <v>97.926813999999993</v>
      </c>
      <c r="O66" s="558">
        <v>23.450914000000001</v>
      </c>
      <c r="P66" s="559">
        <v>4336</v>
      </c>
      <c r="Q66" s="509">
        <v>64</v>
      </c>
      <c r="R66" s="531">
        <v>305</v>
      </c>
      <c r="S66" s="333">
        <f>IF(CampList[[#This Row],[HH]]&gt;0,CampList[[#This Row],[Total]]/CampList[[#This Row],[HH]],"NA")</f>
        <v>4.765625</v>
      </c>
      <c r="T66" s="581" t="s">
        <v>513</v>
      </c>
      <c r="U66" s="562" t="s">
        <v>1213</v>
      </c>
      <c r="V66" s="527" t="s">
        <v>556</v>
      </c>
      <c r="W66" s="562" t="s">
        <v>808</v>
      </c>
      <c r="X66" s="563">
        <v>41244</v>
      </c>
      <c r="Y66" s="564">
        <v>2</v>
      </c>
      <c r="Z66" s="563" t="s">
        <v>462</v>
      </c>
      <c r="AA66" s="516" t="s">
        <v>848</v>
      </c>
      <c r="AB66" s="527"/>
      <c r="AC66" s="565">
        <v>42180</v>
      </c>
      <c r="AD66" s="523" t="s">
        <v>1286</v>
      </c>
      <c r="AE66" s="564" t="s">
        <v>1086</v>
      </c>
      <c r="AF66" s="535">
        <f>IF(CampList[[#This Row],[Type of Accomodation]]="camp",MAX(0,CampList[[#This Row],[HH]]-SUMIF(Table_Shelter[Pcode],CampList[[#This Row],[CP_Pcode]],Table_Shelter[HH Covered])),0)</f>
        <v>0</v>
      </c>
      <c r="AG66" s="525"/>
      <c r="AH66" s="525">
        <f>MIN(CampList[[#This Row],[Shelter Gap]],CampList[[#This Row],[Land Status]])</f>
        <v>0</v>
      </c>
      <c r="AI66" s="525" t="str">
        <f ca="1">IFERROR(OFFSET(DistanceToCamp[Nearest Town],MATCH(CampList[[#This Row],[CP_Pcode]],DistanceToCamp[CP_Pcode],0)-1,0,1,1),"")</f>
        <v>Kutkai Town</v>
      </c>
      <c r="AJ66" s="566">
        <f ca="1">IFERROR(OFFSET(DistanceToCamp[distance],MATCH(CampList[[#This Row],[CP_Pcode]],DistanceToCamp[CP_Pcode],0)-1,0,1,1),"")</f>
        <v>1.9281430163271129</v>
      </c>
      <c r="AK66" s="567">
        <f ca="1">IFERROR(INT(CampList[[#This Row],[Distance]]/5)+1,"")</f>
        <v>1</v>
      </c>
      <c r="AL66" s="727"/>
      <c r="AM66" s="727"/>
      <c r="AN66" s="727"/>
      <c r="BD66" s="5"/>
      <c r="BE66" s="5"/>
    </row>
    <row r="67" spans="1:57" s="4" customFormat="1" ht="15.6" customHeight="1" x14ac:dyDescent="0.25">
      <c r="A67" s="495" t="s">
        <v>502</v>
      </c>
      <c r="B67" s="535" t="s">
        <v>555</v>
      </c>
      <c r="C67" s="535" t="s">
        <v>538</v>
      </c>
      <c r="D67" s="535" t="s">
        <v>230</v>
      </c>
      <c r="E67" s="535" t="s">
        <v>539</v>
      </c>
      <c r="F67" s="535" t="s">
        <v>146</v>
      </c>
      <c r="G67" s="535" t="s">
        <v>546</v>
      </c>
      <c r="H67" s="535" t="s">
        <v>731</v>
      </c>
      <c r="I67" s="598" t="s">
        <v>732</v>
      </c>
      <c r="J67" s="535" t="s">
        <v>716</v>
      </c>
      <c r="K67" s="535" t="s">
        <v>735</v>
      </c>
      <c r="L67" s="535" t="s">
        <v>370</v>
      </c>
      <c r="M67" s="535" t="s">
        <v>384</v>
      </c>
      <c r="N67" s="508">
        <v>97.947360000000003</v>
      </c>
      <c r="O67" s="508">
        <v>23.460349999999998</v>
      </c>
      <c r="P67" s="569">
        <v>4430</v>
      </c>
      <c r="Q67" s="511">
        <v>30</v>
      </c>
      <c r="R67" s="532">
        <v>139</v>
      </c>
      <c r="S67" s="333">
        <f>IF(CampList[[#This Row],[HH]]&gt;0,CampList[[#This Row],[Total]]/CampList[[#This Row],[HH]],"NA")</f>
        <v>4.6333333333333337</v>
      </c>
      <c r="T67" s="599" t="s">
        <v>513</v>
      </c>
      <c r="U67" s="561" t="s">
        <v>1213</v>
      </c>
      <c r="V67" s="496" t="s">
        <v>556</v>
      </c>
      <c r="W67" s="508" t="s">
        <v>808</v>
      </c>
      <c r="X67" s="577">
        <v>41244</v>
      </c>
      <c r="Y67" s="571"/>
      <c r="Z67" s="571" t="s">
        <v>1296</v>
      </c>
      <c r="AA67" s="511" t="s">
        <v>848</v>
      </c>
      <c r="AB67" s="599"/>
      <c r="AC67" s="565">
        <v>42235</v>
      </c>
      <c r="AD67" s="535" t="s">
        <v>1342</v>
      </c>
      <c r="AE67" s="597" t="s">
        <v>1086</v>
      </c>
      <c r="AF67" s="598">
        <f>IF(CampList[[#This Row],[Type of Accomodation]]="camp",MAX(0,CampList[[#This Row],[HH]]-SUMIF(Table_Shelter[Pcode],CampList[[#This Row],[CP_Pcode]],Table_Shelter[HH Covered])),0)</f>
        <v>0</v>
      </c>
      <c r="AG67" s="535"/>
      <c r="AH67" s="598">
        <f>MIN(CampList[[#This Row],[Shelter Gap]],CampList[[#This Row],[Land Status]])</f>
        <v>0</v>
      </c>
      <c r="AI67" s="598" t="str">
        <f ca="1">IFERROR(OFFSET(DistanceToCamp[Nearest Town],MATCH(CampList[[#This Row],[CP_Pcode]],DistanceToCamp[CP_Pcode],0)-1,0,1,1),"")</f>
        <v>Kutkai Town</v>
      </c>
      <c r="AJ67" s="566">
        <f ca="1">IFERROR(OFFSET(DistanceToCamp[distance],MATCH(CampList[[#This Row],[CP_Pcode]],DistanceToCamp[CP_Pcode],0)-1,0,1,1),"")</f>
        <v>0.42212558305526549</v>
      </c>
      <c r="AK67" s="600">
        <f ca="1">IFERROR(INT(CampList[[#This Row],[Distance]]/5)+1,"")</f>
        <v>1</v>
      </c>
      <c r="AL67" s="727"/>
      <c r="AM67" s="727"/>
      <c r="AN67" s="727"/>
      <c r="BD67" s="5"/>
      <c r="BE67" s="5"/>
    </row>
    <row r="68" spans="1:57" s="4" customFormat="1" ht="15.6" customHeight="1" x14ac:dyDescent="0.25">
      <c r="A68" s="332" t="s">
        <v>502</v>
      </c>
      <c r="B68" s="527" t="s">
        <v>380</v>
      </c>
      <c r="C68" s="527" t="s">
        <v>527</v>
      </c>
      <c r="D68" s="527" t="s">
        <v>237</v>
      </c>
      <c r="E68" s="527" t="s">
        <v>533</v>
      </c>
      <c r="F68" s="527" t="s">
        <v>237</v>
      </c>
      <c r="G68" s="218" t="s">
        <v>537</v>
      </c>
      <c r="H68" s="556" t="s">
        <v>673</v>
      </c>
      <c r="I68" s="556" t="s">
        <v>674</v>
      </c>
      <c r="J68" s="556" t="s">
        <v>687</v>
      </c>
      <c r="K68" s="557" t="s">
        <v>688</v>
      </c>
      <c r="L68" s="527" t="s">
        <v>257</v>
      </c>
      <c r="M68" s="219" t="s">
        <v>256</v>
      </c>
      <c r="N68" s="558">
        <v>97.405202777777802</v>
      </c>
      <c r="O68" s="558">
        <v>25.3660036111111</v>
      </c>
      <c r="P68" s="559">
        <v>0</v>
      </c>
      <c r="Q68" s="509">
        <v>45</v>
      </c>
      <c r="R68" s="531">
        <v>194</v>
      </c>
      <c r="S68" s="333">
        <f>IF(CampList[[#This Row],[HH]]&gt;0,CampList[[#This Row],[Total]]/CampList[[#This Row],[HH]],"NA")</f>
        <v>4.3111111111111109</v>
      </c>
      <c r="T68" s="581" t="s">
        <v>513</v>
      </c>
      <c r="U68" s="334" t="s">
        <v>1213</v>
      </c>
      <c r="V68" s="527" t="s">
        <v>556</v>
      </c>
      <c r="W68" s="562" t="s">
        <v>808</v>
      </c>
      <c r="X68" s="563">
        <v>40909</v>
      </c>
      <c r="Y68" s="564">
        <v>1</v>
      </c>
      <c r="Z68" s="563" t="s">
        <v>462</v>
      </c>
      <c r="AA68" s="516" t="s">
        <v>848</v>
      </c>
      <c r="AB68" s="527"/>
      <c r="AC68" s="565">
        <v>42340</v>
      </c>
      <c r="AD68" s="523" t="s">
        <v>1438</v>
      </c>
      <c r="AE68" s="564" t="s">
        <v>1100</v>
      </c>
      <c r="AF68" s="233">
        <f>IF(CampList[[#This Row],[Type of Accomodation]]="camp",MAX(0,CampList[[#This Row],[HH]]-SUMIF(Table_Shelter[Pcode],CampList[[#This Row],[CP_Pcode]],Table_Shelter[HH Covered])),0)</f>
        <v>40</v>
      </c>
      <c r="AG68" s="218"/>
      <c r="AH68" s="218">
        <f>MIN(CampList[[#This Row],[Shelter Gap]],CampList[[#This Row],[Land Status]])</f>
        <v>40</v>
      </c>
      <c r="AI68" s="218" t="str">
        <f ca="1">IFERROR(OFFSET(DistanceToCamp[Nearest Town],MATCH(CampList[[#This Row],[CP_Pcode]],DistanceToCamp[CP_Pcode],0)-1,0,1,1),"")</f>
        <v>Myitkyina Town</v>
      </c>
      <c r="AJ68" s="566">
        <f ca="1">IFERROR(OFFSET(DistanceToCamp[distance],MATCH(CampList[[#This Row],[CP_Pcode]],DistanceToCamp[CP_Pcode],0)-1,0,1,1),"")</f>
        <v>2.8164250706222882</v>
      </c>
      <c r="AK68" s="337">
        <f ca="1">IFERROR(INT(CampList[[#This Row],[Distance]]/5)+1,"")</f>
        <v>1</v>
      </c>
      <c r="AL68" s="727"/>
      <c r="AM68" s="727"/>
      <c r="AN68" s="727"/>
      <c r="BD68" s="5"/>
      <c r="BE68" s="5"/>
    </row>
    <row r="69" spans="1:57" s="4" customFormat="1" ht="15.6" customHeight="1" x14ac:dyDescent="0.25">
      <c r="A69" s="555" t="s">
        <v>502</v>
      </c>
      <c r="B69" s="527" t="s">
        <v>380</v>
      </c>
      <c r="C69" s="527" t="s">
        <v>527</v>
      </c>
      <c r="D69" s="527" t="s">
        <v>180</v>
      </c>
      <c r="E69" s="527" t="s">
        <v>528</v>
      </c>
      <c r="F69" s="527" t="s">
        <v>173</v>
      </c>
      <c r="G69" s="525" t="s">
        <v>547</v>
      </c>
      <c r="H69" s="556" t="s">
        <v>632</v>
      </c>
      <c r="I69" s="556" t="s">
        <v>633</v>
      </c>
      <c r="J69" s="576"/>
      <c r="K69" s="587"/>
      <c r="L69" s="527" t="s">
        <v>174</v>
      </c>
      <c r="M69" s="527" t="s">
        <v>172</v>
      </c>
      <c r="N69" s="558">
        <v>96.922619999999995</v>
      </c>
      <c r="O69" s="558">
        <v>25.305669999999999</v>
      </c>
      <c r="P69" s="559">
        <v>470</v>
      </c>
      <c r="Q69" s="509">
        <v>16</v>
      </c>
      <c r="R69" s="531">
        <v>69</v>
      </c>
      <c r="S69" s="333">
        <f>IF(CampList[[#This Row],[HH]]&gt;0,CampList[[#This Row],[Total]]/CampList[[#This Row],[HH]],"NA")</f>
        <v>4.3125</v>
      </c>
      <c r="T69" s="581" t="s">
        <v>513</v>
      </c>
      <c r="U69" s="562" t="s">
        <v>1213</v>
      </c>
      <c r="V69" s="527" t="s">
        <v>556</v>
      </c>
      <c r="W69" s="562" t="s">
        <v>808</v>
      </c>
      <c r="X69" s="563">
        <v>41030</v>
      </c>
      <c r="Y69" s="564">
        <v>1</v>
      </c>
      <c r="Z69" s="563" t="s">
        <v>462</v>
      </c>
      <c r="AA69" s="515" t="s">
        <v>848</v>
      </c>
      <c r="AB69" s="527"/>
      <c r="AC69" s="565">
        <v>42340</v>
      </c>
      <c r="AD69" s="523" t="s">
        <v>1447</v>
      </c>
      <c r="AE69" s="564" t="s">
        <v>1100</v>
      </c>
      <c r="AF69" s="535">
        <f>IF(CampList[[#This Row],[Type of Accomodation]]="camp",MAX(0,CampList[[#This Row],[HH]]-SUMIF(Table_Shelter[Pcode],CampList[[#This Row],[CP_Pcode]],Table_Shelter[HH Covered])),0)</f>
        <v>1</v>
      </c>
      <c r="AG69" s="525"/>
      <c r="AH69" s="525">
        <f>MIN(CampList[[#This Row],[Shelter Gap]],CampList[[#This Row],[Land Status]])</f>
        <v>1</v>
      </c>
      <c r="AI69" s="525" t="str">
        <f ca="1">IFERROR(OFFSET(DistanceToCamp[Nearest Town],MATCH(CampList[[#This Row],[CP_Pcode]],DistanceToCamp[CP_Pcode],0)-1,0,1,1),"")</f>
        <v>Mogaung Town</v>
      </c>
      <c r="AJ69" s="566">
        <f ca="1">IFERROR(OFFSET(DistanceToCamp[distance],MATCH(CampList[[#This Row],[CP_Pcode]],DistanceToCamp[CP_Pcode],0)-1,0,1,1),"")</f>
        <v>1.815139598767344</v>
      </c>
      <c r="AK69" s="567">
        <f ca="1">IFERROR(INT(CampList[[#This Row],[Distance]]/5)+1,"")</f>
        <v>1</v>
      </c>
      <c r="AL69" s="727"/>
      <c r="AM69" s="727"/>
      <c r="AN69" s="727"/>
      <c r="BD69" s="5"/>
      <c r="BE69" s="5"/>
    </row>
    <row r="70" spans="1:57" s="4" customFormat="1" ht="15.6" customHeight="1" x14ac:dyDescent="0.25">
      <c r="A70" s="332" t="s">
        <v>502</v>
      </c>
      <c r="B70" s="527" t="s">
        <v>380</v>
      </c>
      <c r="C70" s="527" t="s">
        <v>527</v>
      </c>
      <c r="D70" s="527" t="s">
        <v>300</v>
      </c>
      <c r="E70" s="527" t="s">
        <v>548</v>
      </c>
      <c r="F70" s="527" t="s">
        <v>144</v>
      </c>
      <c r="G70" s="218" t="s">
        <v>549</v>
      </c>
      <c r="H70" s="556" t="s">
        <v>788</v>
      </c>
      <c r="I70" s="556" t="s">
        <v>789</v>
      </c>
      <c r="J70" s="556" t="s">
        <v>145</v>
      </c>
      <c r="K70" s="557">
        <v>168236</v>
      </c>
      <c r="L70" s="527" t="s">
        <v>145</v>
      </c>
      <c r="M70" s="219" t="s">
        <v>143</v>
      </c>
      <c r="N70" s="568">
        <v>98.144502500000002</v>
      </c>
      <c r="O70" s="568">
        <v>26.890058</v>
      </c>
      <c r="P70" s="569">
        <v>1393</v>
      </c>
      <c r="Q70" s="104">
        <v>11</v>
      </c>
      <c r="R70" s="232">
        <v>17</v>
      </c>
      <c r="S70" s="333">
        <f>IF(CampList[[#This Row],[HH]]&gt;0,CampList[[#This Row],[Total]]/CampList[[#This Row],[HH]],"NA")</f>
        <v>1.5454545454545454</v>
      </c>
      <c r="T70" s="581" t="s">
        <v>513</v>
      </c>
      <c r="U70" s="334" t="s">
        <v>1213</v>
      </c>
      <c r="V70" s="527" t="s">
        <v>556</v>
      </c>
      <c r="W70" s="334" t="s">
        <v>862</v>
      </c>
      <c r="X70" s="570"/>
      <c r="Y70" s="571"/>
      <c r="Z70" s="562"/>
      <c r="AA70" s="515" t="s">
        <v>847</v>
      </c>
      <c r="AB70" s="527"/>
      <c r="AC70" s="565">
        <v>41646</v>
      </c>
      <c r="AD70" s="523" t="s">
        <v>896</v>
      </c>
      <c r="AE70" s="571" t="s">
        <v>1100</v>
      </c>
      <c r="AF70" s="233">
        <f>IF(CampList[[#This Row],[Type of Accomodation]]="camp",MAX(0,CampList[[#This Row],[HH]]-SUMIF(Table_Shelter[Pcode],CampList[[#This Row],[CP_Pcode]],Table_Shelter[HH Covered])),0)</f>
        <v>11</v>
      </c>
      <c r="AG70" s="218"/>
      <c r="AH70" s="218">
        <f>MIN(CampList[[#This Row],[Shelter Gap]],CampList[[#This Row],[Land Status]])</f>
        <v>11</v>
      </c>
      <c r="AI70" s="218" t="str">
        <f ca="1">IFERROR(OFFSET(DistanceToCamp[Nearest Town],MATCH(CampList[[#This Row],[CP_Pcode]],DistanceToCamp[CP_Pcode],0)-1,0,1,1),"")</f>
        <v>Khaunglanhpu Town</v>
      </c>
      <c r="AJ70" s="336">
        <f ca="1">IFERROR(OFFSET(DistanceToCamp[distance],MATCH(CampList[[#This Row],[CP_Pcode]],DistanceToCamp[CP_Pcode],0)-1,0,1,1),"")</f>
        <v>28.422357500443528</v>
      </c>
      <c r="AK70" s="337">
        <f ca="1">IFERROR(INT(CampList[[#This Row],[Distance]]/5)+1,"")</f>
        <v>6</v>
      </c>
      <c r="AL70" s="727"/>
      <c r="AM70" s="727"/>
      <c r="AN70" s="727"/>
      <c r="BD70" s="5"/>
      <c r="BE70" s="5"/>
    </row>
    <row r="71" spans="1:57" s="4" customFormat="1" ht="15.6" hidden="1" customHeight="1" x14ac:dyDescent="0.25">
      <c r="A71" s="555" t="s">
        <v>849</v>
      </c>
      <c r="B71" s="527" t="s">
        <v>380</v>
      </c>
      <c r="C71" s="527" t="s">
        <v>527</v>
      </c>
      <c r="D71" s="527" t="s">
        <v>5</v>
      </c>
      <c r="E71" s="527" t="s">
        <v>531</v>
      </c>
      <c r="F71" s="527" t="s">
        <v>151</v>
      </c>
      <c r="G71" s="218" t="s">
        <v>541</v>
      </c>
      <c r="H71" s="556" t="s">
        <v>743</v>
      </c>
      <c r="I71" s="556" t="s">
        <v>744</v>
      </c>
      <c r="J71" s="556"/>
      <c r="K71" s="557"/>
      <c r="L71" s="574" t="s">
        <v>518</v>
      </c>
      <c r="M71" s="527" t="s">
        <v>519</v>
      </c>
      <c r="N71" s="558">
        <v>97.601243999999994</v>
      </c>
      <c r="O71" s="558">
        <v>23.867713999999999</v>
      </c>
      <c r="P71" s="559">
        <v>755</v>
      </c>
      <c r="Q71" s="509">
        <v>0</v>
      </c>
      <c r="R71" s="531">
        <v>0</v>
      </c>
      <c r="S71" s="333" t="str">
        <f>IF(CampList[[#This Row],[HH]]&gt;0,CampList[[#This Row],[Total]]/CampList[[#This Row],[HH]],"NA")</f>
        <v>NA</v>
      </c>
      <c r="T71" s="561" t="s">
        <v>515</v>
      </c>
      <c r="U71" s="334" t="s">
        <v>1213</v>
      </c>
      <c r="V71" s="219" t="s">
        <v>556</v>
      </c>
      <c r="W71" s="562" t="s">
        <v>862</v>
      </c>
      <c r="X71" s="563">
        <v>41365</v>
      </c>
      <c r="Y71" s="564">
        <v>2</v>
      </c>
      <c r="Z71" s="563" t="s">
        <v>1096</v>
      </c>
      <c r="AA71" s="516" t="s">
        <v>848</v>
      </c>
      <c r="AB71" s="527"/>
      <c r="AC71" s="565">
        <v>41811</v>
      </c>
      <c r="AD71" s="523" t="s">
        <v>1109</v>
      </c>
      <c r="AE71" s="564" t="s">
        <v>1100</v>
      </c>
      <c r="AF71" s="233">
        <f>IF(CampList[[#This Row],[Type of Accomodation]]="camp",MAX(0,CampList[[#This Row],[HH]]-SUMIF(Table_Shelter[Pcode],CampList[[#This Row],[CP_Pcode]],Table_Shelter[HH Covered])),0)</f>
        <v>0</v>
      </c>
      <c r="AG71" s="218"/>
      <c r="AH71" s="218">
        <f>MIN(CampList[[#This Row],[Shelter Gap]],CampList[[#This Row],[Land Status]])</f>
        <v>0</v>
      </c>
      <c r="AI71" s="218" t="str">
        <f ca="1">IFERROR(OFFSET(DistanceToCamp[Nearest Town],MATCH(CampList[[#This Row],[CP_Pcode]],DistanceToCamp[CP_Pcode],0)-1,0,1,1),"")</f>
        <v/>
      </c>
      <c r="AJ71" s="336" t="str">
        <f ca="1">IFERROR(OFFSET(DistanceToCamp[distance],MATCH(CampList[[#This Row],[CP_Pcode]],DistanceToCamp[CP_Pcode],0)-1,0,1,1),"")</f>
        <v/>
      </c>
      <c r="AK71" s="337" t="str">
        <f ca="1">IFERROR(INT(CampList[[#This Row],[Distance]]/5)+1,"")</f>
        <v/>
      </c>
      <c r="AL71" s="727"/>
      <c r="AM71" s="727"/>
      <c r="AN71" s="727"/>
      <c r="BD71" s="5"/>
      <c r="BE71" s="5"/>
    </row>
    <row r="72" spans="1:57" s="4" customFormat="1" ht="15.6" hidden="1" customHeight="1" x14ac:dyDescent="0.25">
      <c r="A72" s="555" t="s">
        <v>849</v>
      </c>
      <c r="B72" s="527" t="s">
        <v>380</v>
      </c>
      <c r="C72" s="527" t="s">
        <v>527</v>
      </c>
      <c r="D72" s="527" t="s">
        <v>237</v>
      </c>
      <c r="E72" s="527" t="s">
        <v>533</v>
      </c>
      <c r="F72" s="527" t="s">
        <v>310</v>
      </c>
      <c r="G72" s="525" t="s">
        <v>534</v>
      </c>
      <c r="H72" s="556" t="s">
        <v>729</v>
      </c>
      <c r="I72" s="556" t="s">
        <v>730</v>
      </c>
      <c r="J72" s="556" t="s">
        <v>729</v>
      </c>
      <c r="K72" s="557">
        <v>165772</v>
      </c>
      <c r="L72" s="527" t="s">
        <v>1271</v>
      </c>
      <c r="M72" s="527" t="s">
        <v>314</v>
      </c>
      <c r="N72" s="558">
        <v>97.551507000000001</v>
      </c>
      <c r="O72" s="558">
        <v>24.747212999999999</v>
      </c>
      <c r="P72" s="559">
        <v>221</v>
      </c>
      <c r="Q72" s="513">
        <v>0</v>
      </c>
      <c r="R72" s="534">
        <v>0</v>
      </c>
      <c r="S72" s="333" t="str">
        <f>IF(CampList[[#This Row],[HH]]&gt;0,CampList[[#This Row],[Total]]/CampList[[#This Row],[HH]],"NA")</f>
        <v>NA</v>
      </c>
      <c r="T72" s="561" t="s">
        <v>515</v>
      </c>
      <c r="U72" s="562" t="s">
        <v>1213</v>
      </c>
      <c r="V72" s="527" t="s">
        <v>556</v>
      </c>
      <c r="W72" s="562" t="s">
        <v>862</v>
      </c>
      <c r="X72" s="563">
        <v>40695</v>
      </c>
      <c r="Y72" s="564">
        <v>3</v>
      </c>
      <c r="Z72" s="563" t="s">
        <v>1097</v>
      </c>
      <c r="AA72" s="516" t="s">
        <v>848</v>
      </c>
      <c r="AB72" s="527"/>
      <c r="AC72" s="565">
        <v>42180</v>
      </c>
      <c r="AD72" s="523" t="s">
        <v>1297</v>
      </c>
      <c r="AE72" s="564" t="s">
        <v>1085</v>
      </c>
      <c r="AF72" s="535">
        <f>IF(CampList[[#This Row],[Type of Accomodation]]="camp",MAX(0,CampList[[#This Row],[HH]]-SUMIF(Table_Shelter[Pcode],CampList[[#This Row],[CP_Pcode]],Table_Shelter[HH Covered])),0)</f>
        <v>0</v>
      </c>
      <c r="AG72" s="525">
        <v>0</v>
      </c>
      <c r="AH72" s="525">
        <f>MIN(CampList[[#This Row],[Shelter Gap]],CampList[[#This Row],[Land Status]])</f>
        <v>0</v>
      </c>
      <c r="AI72" s="525" t="str">
        <f ca="1">IFERROR(OFFSET(DistanceToCamp[Nearest Town],MATCH(CampList[[#This Row],[CP_Pcode]],DistanceToCamp[CP_Pcode],0)-1,0,1,1),"")</f>
        <v>Laiza town</v>
      </c>
      <c r="AJ72" s="566">
        <f ca="1">IFERROR(OFFSET(DistanceToCamp[distance],MATCH(CampList[[#This Row],[CP_Pcode]],DistanceToCamp[CP_Pcode],0)-1,0,1,1),"")</f>
        <v>1.857513522619473</v>
      </c>
      <c r="AK72" s="567">
        <f ca="1">IFERROR(INT(CampList[[#This Row],[Distance]]/5)+1,"")</f>
        <v>1</v>
      </c>
      <c r="AL72" s="727"/>
      <c r="AM72" s="727"/>
      <c r="AN72" s="727"/>
      <c r="BD72" s="5"/>
      <c r="BE72" s="5"/>
    </row>
    <row r="73" spans="1:57" s="4" customFormat="1" ht="15.6" customHeight="1" x14ac:dyDescent="0.25">
      <c r="A73" s="590" t="s">
        <v>502</v>
      </c>
      <c r="B73" s="219" t="s">
        <v>380</v>
      </c>
      <c r="C73" s="527" t="s">
        <v>527</v>
      </c>
      <c r="D73" s="527" t="s">
        <v>237</v>
      </c>
      <c r="E73" s="527" t="s">
        <v>533</v>
      </c>
      <c r="F73" s="527" t="s">
        <v>310</v>
      </c>
      <c r="G73" s="218" t="s">
        <v>534</v>
      </c>
      <c r="H73" s="582" t="s">
        <v>768</v>
      </c>
      <c r="I73" s="582" t="s">
        <v>769</v>
      </c>
      <c r="J73" s="582" t="s">
        <v>807</v>
      </c>
      <c r="K73" s="583">
        <v>165816</v>
      </c>
      <c r="L73" s="527" t="s">
        <v>340</v>
      </c>
      <c r="M73" s="219" t="s">
        <v>339</v>
      </c>
      <c r="N73" s="724">
        <v>97.718008999999995</v>
      </c>
      <c r="O73" s="724">
        <v>25.108011999999999</v>
      </c>
      <c r="P73" s="569"/>
      <c r="Q73" s="509">
        <v>355</v>
      </c>
      <c r="R73" s="531">
        <v>4450</v>
      </c>
      <c r="S73" s="333">
        <f>IF(CampList[[#This Row],[HH]]&gt;0,CampList[[#This Row],[Total]]/CampList[[#This Row],[HH]],"NA")</f>
        <v>12.535211267605634</v>
      </c>
      <c r="T73" s="581" t="s">
        <v>515</v>
      </c>
      <c r="U73" s="334" t="s">
        <v>1259</v>
      </c>
      <c r="V73" s="689" t="s">
        <v>1258</v>
      </c>
      <c r="W73" s="562" t="s">
        <v>808</v>
      </c>
      <c r="X73" s="570"/>
      <c r="Y73" s="571"/>
      <c r="Z73" s="562"/>
      <c r="AA73" s="517" t="s">
        <v>574</v>
      </c>
      <c r="AB73" s="219"/>
      <c r="AC73" s="579">
        <v>41803</v>
      </c>
      <c r="AD73" s="689" t="s">
        <v>1257</v>
      </c>
      <c r="AE73" s="571" t="s">
        <v>1100</v>
      </c>
      <c r="AF73" s="233">
        <f>IF(CampList[[#This Row],[Type of Accomodation]]="camp",MAX(0,CampList[[#This Row],[HH]]-SUMIF(Table_Shelter[Pcode],CampList[[#This Row],[CP_Pcode]],Table_Shelter[HH Covered])),0)</f>
        <v>0</v>
      </c>
      <c r="AG73" s="218"/>
      <c r="AH73" s="218">
        <f>MIN(CampList[[#This Row],[Shelter Gap]],CampList[[#This Row],[Land Status]])</f>
        <v>0</v>
      </c>
      <c r="AI73" s="218" t="str">
        <f ca="1">IFERROR(OFFSET(DistanceToCamp[Nearest Town],MATCH(CampList[[#This Row],[CP_Pcode]],DistanceToCamp[CP_Pcode],0)-1,0,1,1),"")</f>
        <v>Sadung Town</v>
      </c>
      <c r="AJ73" s="566">
        <f ca="1">IFERROR(OFFSET(DistanceToCamp[distance],MATCH(CampList[[#This Row],[CP_Pcode]],DistanceToCamp[CP_Pcode],0)-1,0,1,1),"")</f>
        <v>34.344689881690819</v>
      </c>
      <c r="AK73" s="337">
        <f ca="1">IFERROR(INT(CampList[[#This Row],[Distance]]/5)+1,"")</f>
        <v>7</v>
      </c>
      <c r="AL73" s="727"/>
      <c r="AM73" s="727"/>
      <c r="AN73" s="727"/>
      <c r="BD73" s="5"/>
      <c r="BE73" s="5"/>
    </row>
    <row r="74" spans="1:57" s="4" customFormat="1" ht="15.6" customHeight="1" x14ac:dyDescent="0.25">
      <c r="A74" s="555" t="s">
        <v>502</v>
      </c>
      <c r="B74" s="527" t="s">
        <v>380</v>
      </c>
      <c r="C74" s="527" t="s">
        <v>527</v>
      </c>
      <c r="D74" s="527" t="s">
        <v>237</v>
      </c>
      <c r="E74" s="527" t="s">
        <v>533</v>
      </c>
      <c r="F74" s="527" t="s">
        <v>27</v>
      </c>
      <c r="G74" s="525" t="s">
        <v>536</v>
      </c>
      <c r="H74" s="556" t="s">
        <v>793</v>
      </c>
      <c r="I74" s="556" t="s">
        <v>794</v>
      </c>
      <c r="J74" s="556" t="s">
        <v>795</v>
      </c>
      <c r="K74" s="557">
        <v>166337</v>
      </c>
      <c r="L74" s="527" t="s">
        <v>34</v>
      </c>
      <c r="M74" s="527" t="s">
        <v>33</v>
      </c>
      <c r="N74" s="558">
        <v>98.354146999999998</v>
      </c>
      <c r="O74" s="558">
        <v>25.708763000000001</v>
      </c>
      <c r="P74" s="569"/>
      <c r="Q74" s="509"/>
      <c r="R74" s="531"/>
      <c r="S74" s="333" t="str">
        <f>IF(CampList[[#This Row],[HH]]&gt;0,CampList[[#This Row],[Total]]/CampList[[#This Row],[HH]],"NA")</f>
        <v>NA</v>
      </c>
      <c r="T74" s="581" t="s">
        <v>513</v>
      </c>
      <c r="U74" s="562" t="s">
        <v>1213</v>
      </c>
      <c r="V74" s="523" t="s">
        <v>12</v>
      </c>
      <c r="W74" s="562" t="s">
        <v>862</v>
      </c>
      <c r="X74" s="570"/>
      <c r="Y74" s="571"/>
      <c r="Z74" s="562"/>
      <c r="AA74" s="512"/>
      <c r="AB74" s="527"/>
      <c r="AC74" s="589"/>
      <c r="AD74" s="523"/>
      <c r="AE74" s="571" t="s">
        <v>1084</v>
      </c>
      <c r="AF74" s="535">
        <f>IF(CampList[[#This Row],[Type of Accomodation]]="camp",MAX(0,CampList[[#This Row],[HH]]-SUMIF(Table_Shelter[Pcode],CampList[[#This Row],[CP_Pcode]],Table_Shelter[HH Covered])),0)</f>
        <v>0</v>
      </c>
      <c r="AG74" s="525"/>
      <c r="AH74" s="525">
        <f>MIN(CampList[[#This Row],[Shelter Gap]],CampList[[#This Row],[Land Status]])</f>
        <v>0</v>
      </c>
      <c r="AI74" s="525" t="str">
        <f ca="1">IFERROR(OFFSET(DistanceToCamp[Nearest Town],MATCH(CampList[[#This Row],[CP_Pcode]],DistanceToCamp[CP_Pcode],0)-1,0,1,1),"")</f>
        <v>Pang War Town</v>
      </c>
      <c r="AJ74" s="566">
        <f ca="1">IFERROR(OFFSET(DistanceToCamp[distance],MATCH(CampList[[#This Row],[CP_Pcode]],DistanceToCamp[CP_Pcode],0)-1,0,1,1),"")</f>
        <v>12.486065224161463</v>
      </c>
      <c r="AK74" s="567">
        <f ca="1">IFERROR(INT(CampList[[#This Row],[Distance]]/5)+1,"")</f>
        <v>3</v>
      </c>
      <c r="AL74" s="727"/>
      <c r="AM74" s="727"/>
      <c r="AN74" s="727"/>
      <c r="BD74" s="5"/>
      <c r="BE74" s="5"/>
    </row>
    <row r="75" spans="1:57" s="4" customFormat="1" ht="15.6" customHeight="1" x14ac:dyDescent="0.25">
      <c r="A75" s="495" t="s">
        <v>502</v>
      </c>
      <c r="B75" s="535" t="s">
        <v>380</v>
      </c>
      <c r="C75" s="535" t="s">
        <v>527</v>
      </c>
      <c r="D75" s="535" t="s">
        <v>5</v>
      </c>
      <c r="E75" s="535" t="s">
        <v>531</v>
      </c>
      <c r="F75" s="535" t="s">
        <v>151</v>
      </c>
      <c r="G75" s="535" t="s">
        <v>541</v>
      </c>
      <c r="H75" s="535" t="s">
        <v>745</v>
      </c>
      <c r="I75" s="598" t="s">
        <v>746</v>
      </c>
      <c r="J75" s="535" t="s">
        <v>747</v>
      </c>
      <c r="K75" s="535">
        <v>216948</v>
      </c>
      <c r="L75" s="535" t="s">
        <v>198</v>
      </c>
      <c r="M75" s="535" t="s">
        <v>197</v>
      </c>
      <c r="N75" s="508">
        <v>97.625617000000005</v>
      </c>
      <c r="O75" s="508">
        <v>24.056132999999999</v>
      </c>
      <c r="P75" s="569">
        <v>866</v>
      </c>
      <c r="Q75" s="511">
        <v>541</v>
      </c>
      <c r="R75" s="532">
        <v>2607</v>
      </c>
      <c r="S75" s="333">
        <f>IF(CampList[[#This Row],[HH]]&gt;0,CampList[[#This Row],[Total]]/CampList[[#This Row],[HH]],"NA")</f>
        <v>4.8188539741219962</v>
      </c>
      <c r="T75" s="599" t="s">
        <v>515</v>
      </c>
      <c r="U75" s="561" t="s">
        <v>1213</v>
      </c>
      <c r="V75" s="496" t="s">
        <v>556</v>
      </c>
      <c r="W75" s="508" t="s">
        <v>862</v>
      </c>
      <c r="X75" s="577">
        <v>40817</v>
      </c>
      <c r="Y75" s="571">
        <v>2</v>
      </c>
      <c r="Z75" s="571" t="s">
        <v>1096</v>
      </c>
      <c r="AA75" s="511" t="s">
        <v>848</v>
      </c>
      <c r="AB75" s="599"/>
      <c r="AC75" s="565">
        <v>42235</v>
      </c>
      <c r="AD75" s="535" t="s">
        <v>1337</v>
      </c>
      <c r="AE75" s="597" t="s">
        <v>1085</v>
      </c>
      <c r="AF75" s="598">
        <f>IF(CampList[[#This Row],[Type of Accomodation]]="camp",MAX(0,CampList[[#This Row],[HH]]-SUMIF(Table_Shelter[Pcode],CampList[[#This Row],[CP_Pcode]],Table_Shelter[HH Covered])),0)</f>
        <v>47</v>
      </c>
      <c r="AG75" s="535"/>
      <c r="AH75" s="598">
        <f>MIN(CampList[[#This Row],[Shelter Gap]],CampList[[#This Row],[Land Status]])</f>
        <v>47</v>
      </c>
      <c r="AI75" s="598" t="str">
        <f ca="1">IFERROR(OFFSET(DistanceToCamp[Nearest Town],MATCH(CampList[[#This Row],[CP_Pcode]],DistanceToCamp[CP_Pcode],0)-1,0,1,1),"")</f>
        <v>Lwegel Town</v>
      </c>
      <c r="AJ75" s="566">
        <f ca="1">IFERROR(OFFSET(DistanceToCamp[distance],MATCH(CampList[[#This Row],[CP_Pcode]],DistanceToCamp[CP_Pcode],0)-1,0,1,1),"")</f>
        <v>18.620903555062636</v>
      </c>
      <c r="AK75" s="600">
        <f ca="1">IFERROR(INT(CampList[[#This Row],[Distance]]/5)+1,"")</f>
        <v>4</v>
      </c>
      <c r="AL75" s="727"/>
      <c r="AM75" s="727"/>
      <c r="AN75" s="727"/>
      <c r="BD75" s="5"/>
      <c r="BE75" s="5"/>
    </row>
    <row r="76" spans="1:57" s="4" customFormat="1" ht="15.6" customHeight="1" x14ac:dyDescent="0.25">
      <c r="A76" s="590" t="s">
        <v>502</v>
      </c>
      <c r="B76" s="527" t="s">
        <v>380</v>
      </c>
      <c r="C76" s="527" t="s">
        <v>527</v>
      </c>
      <c r="D76" s="527" t="s">
        <v>5</v>
      </c>
      <c r="E76" s="527" t="s">
        <v>531</v>
      </c>
      <c r="F76" s="527" t="s">
        <v>302</v>
      </c>
      <c r="G76" s="218" t="s">
        <v>542</v>
      </c>
      <c r="H76" s="525"/>
      <c r="I76" s="527"/>
      <c r="J76" s="527"/>
      <c r="K76" s="573"/>
      <c r="L76" s="527" t="s">
        <v>304</v>
      </c>
      <c r="M76" s="219" t="s">
        <v>303</v>
      </c>
      <c r="N76" s="591"/>
      <c r="O76" s="591"/>
      <c r="P76" s="569"/>
      <c r="Q76" s="509">
        <v>375</v>
      </c>
      <c r="R76" s="531">
        <v>1691</v>
      </c>
      <c r="S76" s="333">
        <f>IF(CampList[[#This Row],[HH]]&gt;0,CampList[[#This Row],[Total]]/CampList[[#This Row],[HH]],"NA")</f>
        <v>4.5093333333333332</v>
      </c>
      <c r="T76" s="581" t="s">
        <v>515</v>
      </c>
      <c r="U76" s="334" t="s">
        <v>1213</v>
      </c>
      <c r="V76" s="219" t="s">
        <v>12</v>
      </c>
      <c r="W76" s="562" t="s">
        <v>862</v>
      </c>
      <c r="X76" s="570"/>
      <c r="Y76" s="571"/>
      <c r="Z76" s="562"/>
      <c r="AA76" s="517" t="s">
        <v>574</v>
      </c>
      <c r="AB76" s="527"/>
      <c r="AC76" s="565">
        <v>41701</v>
      </c>
      <c r="AD76" s="689" t="s">
        <v>1018</v>
      </c>
      <c r="AE76" s="571" t="s">
        <v>1100</v>
      </c>
      <c r="AF76" s="233">
        <f>IF(CampList[[#This Row],[Type of Accomodation]]="camp",MAX(0,CampList[[#This Row],[HH]]-SUMIF(Table_Shelter[Pcode],CampList[[#This Row],[CP_Pcode]],Table_Shelter[HH Covered])),0)</f>
        <v>0</v>
      </c>
      <c r="AG76" s="218"/>
      <c r="AH76" s="218">
        <f>MIN(CampList[[#This Row],[Shelter Gap]],CampList[[#This Row],[Land Status]])</f>
        <v>0</v>
      </c>
      <c r="AI76" s="218" t="str">
        <f ca="1">IFERROR(OFFSET(DistanceToCamp[Nearest Town],MATCH(CampList[[#This Row],[CP_Pcode]],DistanceToCamp[CP_Pcode],0)-1,0,1,1),"")</f>
        <v/>
      </c>
      <c r="AJ76" s="336" t="str">
        <f ca="1">IFERROR(OFFSET(DistanceToCamp[distance],MATCH(CampList[[#This Row],[CP_Pcode]],DistanceToCamp[CP_Pcode],0)-1,0,1,1),"")</f>
        <v/>
      </c>
      <c r="AK76" s="337" t="str">
        <f ca="1">IFERROR(INT(CampList[[#This Row],[Distance]]/5)+1,"")</f>
        <v/>
      </c>
      <c r="AL76" s="727"/>
      <c r="AM76" s="727"/>
      <c r="AN76" s="727"/>
      <c r="BD76" s="5"/>
      <c r="BE76" s="5"/>
    </row>
    <row r="77" spans="1:57" s="4" customFormat="1" ht="15.6" hidden="1" customHeight="1" x14ac:dyDescent="0.25">
      <c r="A77" s="555" t="s">
        <v>849</v>
      </c>
      <c r="B77" s="527" t="s">
        <v>380</v>
      </c>
      <c r="C77" s="527" t="s">
        <v>527</v>
      </c>
      <c r="D77" s="527" t="s">
        <v>237</v>
      </c>
      <c r="E77" s="527" t="s">
        <v>533</v>
      </c>
      <c r="F77" s="527" t="s">
        <v>363</v>
      </c>
      <c r="G77" s="525" t="s">
        <v>550</v>
      </c>
      <c r="H77" s="525"/>
      <c r="I77" s="527"/>
      <c r="J77" s="527"/>
      <c r="K77" s="573"/>
      <c r="L77" s="527" t="s">
        <v>35</v>
      </c>
      <c r="M77" s="527" t="s">
        <v>362</v>
      </c>
      <c r="N77" s="568"/>
      <c r="O77" s="568"/>
      <c r="P77" s="569"/>
      <c r="Q77" s="509">
        <v>0</v>
      </c>
      <c r="R77" s="531">
        <v>0</v>
      </c>
      <c r="S77" s="333" t="str">
        <f>IF(CampList[[#This Row],[HH]]&gt;0,CampList[[#This Row],[Total]]/CampList[[#This Row],[HH]],"NA")</f>
        <v>NA</v>
      </c>
      <c r="T77" s="561" t="s">
        <v>513</v>
      </c>
      <c r="U77" s="562" t="s">
        <v>1213</v>
      </c>
      <c r="V77" s="527" t="s">
        <v>556</v>
      </c>
      <c r="W77" s="562"/>
      <c r="X77" s="570"/>
      <c r="Y77" s="571"/>
      <c r="Z77" s="562"/>
      <c r="AA77" s="517"/>
      <c r="AB77" s="527"/>
      <c r="AC77" s="565">
        <v>41712</v>
      </c>
      <c r="AD77" s="523" t="s">
        <v>1030</v>
      </c>
      <c r="AE77" s="571" t="s">
        <v>1014</v>
      </c>
      <c r="AF77" s="535">
        <f>IF(CampList[[#This Row],[Type of Accomodation]]="camp",MAX(0,CampList[[#This Row],[HH]]-SUMIF(Table_Shelter[Pcode],CampList[[#This Row],[CP_Pcode]],Table_Shelter[HH Covered])),0)</f>
        <v>0</v>
      </c>
      <c r="AG77" s="525"/>
      <c r="AH77" s="525">
        <f>MIN(CampList[[#This Row],[Shelter Gap]],CampList[[#This Row],[Land Status]])</f>
        <v>0</v>
      </c>
      <c r="AI77" s="525" t="str">
        <f ca="1">IFERROR(OFFSET(DistanceToCamp[Nearest Town],MATCH(CampList[[#This Row],[CP_Pcode]],DistanceToCamp[CP_Pcode],0)-1,0,1,1),"")</f>
        <v/>
      </c>
      <c r="AJ77" s="566" t="str">
        <f ca="1">IFERROR(OFFSET(DistanceToCamp[distance],MATCH(CampList[[#This Row],[CP_Pcode]],DistanceToCamp[CP_Pcode],0)-1,0,1,1),"")</f>
        <v/>
      </c>
      <c r="AK77" s="567" t="str">
        <f ca="1">IFERROR(INT(CampList[[#This Row],[Distance]]/5)+1,"")</f>
        <v/>
      </c>
      <c r="AL77" s="727"/>
      <c r="AM77" s="727"/>
      <c r="AN77" s="727"/>
      <c r="BD77" s="5"/>
      <c r="BE77" s="5"/>
    </row>
    <row r="78" spans="1:57" s="4" customFormat="1" ht="15.6" customHeight="1" x14ac:dyDescent="0.25">
      <c r="A78" s="555" t="s">
        <v>502</v>
      </c>
      <c r="B78" s="527" t="s">
        <v>380</v>
      </c>
      <c r="C78" s="527" t="s">
        <v>527</v>
      </c>
      <c r="D78" s="527" t="s">
        <v>237</v>
      </c>
      <c r="E78" s="527" t="s">
        <v>533</v>
      </c>
      <c r="F78" s="527" t="s">
        <v>237</v>
      </c>
      <c r="G78" s="525" t="s">
        <v>537</v>
      </c>
      <c r="H78" s="556" t="s">
        <v>673</v>
      </c>
      <c r="I78" s="556" t="s">
        <v>674</v>
      </c>
      <c r="J78" s="556" t="s">
        <v>689</v>
      </c>
      <c r="K78" s="557" t="s">
        <v>690</v>
      </c>
      <c r="L78" s="527" t="s">
        <v>240</v>
      </c>
      <c r="M78" s="527" t="s">
        <v>239</v>
      </c>
      <c r="N78" s="558">
        <v>97.409035000000003</v>
      </c>
      <c r="O78" s="558">
        <v>25.362420757575801</v>
      </c>
      <c r="P78" s="559">
        <v>0</v>
      </c>
      <c r="Q78" s="509">
        <v>108</v>
      </c>
      <c r="R78" s="531">
        <v>605</v>
      </c>
      <c r="S78" s="333">
        <f>IF(CampList[[#This Row],[HH]]&gt;0,CampList[[#This Row],[Total]]/CampList[[#This Row],[HH]],"NA")</f>
        <v>5.6018518518518521</v>
      </c>
      <c r="T78" s="581" t="s">
        <v>513</v>
      </c>
      <c r="U78" s="562" t="s">
        <v>1213</v>
      </c>
      <c r="V78" s="527" t="s">
        <v>556</v>
      </c>
      <c r="W78" s="562" t="s">
        <v>808</v>
      </c>
      <c r="X78" s="563">
        <v>40603</v>
      </c>
      <c r="Y78" s="564">
        <v>2</v>
      </c>
      <c r="Z78" s="563" t="s">
        <v>462</v>
      </c>
      <c r="AA78" s="516" t="s">
        <v>848</v>
      </c>
      <c r="AB78" s="527"/>
      <c r="AC78" s="565">
        <v>42340</v>
      </c>
      <c r="AD78" s="523" t="s">
        <v>1441</v>
      </c>
      <c r="AE78" s="564" t="s">
        <v>1100</v>
      </c>
      <c r="AF78" s="535">
        <f>IF(CampList[[#This Row],[Type of Accomodation]]="camp",MAX(0,CampList[[#This Row],[HH]]-SUMIF(Table_Shelter[Pcode],CampList[[#This Row],[CP_Pcode]],Table_Shelter[HH Covered])),0)</f>
        <v>84</v>
      </c>
      <c r="AG78" s="525"/>
      <c r="AH78" s="525">
        <f>MIN(CampList[[#This Row],[Shelter Gap]],CampList[[#This Row],[Land Status]])</f>
        <v>84</v>
      </c>
      <c r="AI78" s="525" t="str">
        <f ca="1">IFERROR(OFFSET(DistanceToCamp[Nearest Town],MATCH(CampList[[#This Row],[CP_Pcode]],DistanceToCamp[CP_Pcode],0)-1,0,1,1),"")</f>
        <v>Myitkyina Town</v>
      </c>
      <c r="AJ78" s="566">
        <f ca="1">IFERROR(OFFSET(DistanceToCamp[distance],MATCH(CampList[[#This Row],[CP_Pcode]],DistanceToCamp[CP_Pcode],0)-1,0,1,1),"")</f>
        <v>3.3602711423118103</v>
      </c>
      <c r="AK78" s="567">
        <f ca="1">IFERROR(INT(CampList[[#This Row],[Distance]]/5)+1,"")</f>
        <v>1</v>
      </c>
      <c r="AL78" s="727"/>
      <c r="AM78" s="727"/>
      <c r="AN78" s="727"/>
      <c r="BD78" s="5"/>
      <c r="BE78" s="5"/>
    </row>
    <row r="79" spans="1:57" s="4" customFormat="1" ht="15.6" customHeight="1" x14ac:dyDescent="0.25">
      <c r="A79" s="555" t="s">
        <v>502</v>
      </c>
      <c r="B79" s="527" t="s">
        <v>380</v>
      </c>
      <c r="C79" s="527" t="s">
        <v>527</v>
      </c>
      <c r="D79" s="527" t="s">
        <v>237</v>
      </c>
      <c r="E79" s="527" t="s">
        <v>533</v>
      </c>
      <c r="F79" s="527" t="s">
        <v>237</v>
      </c>
      <c r="G79" s="525" t="s">
        <v>537</v>
      </c>
      <c r="H79" s="556" t="s">
        <v>673</v>
      </c>
      <c r="I79" s="556" t="s">
        <v>674</v>
      </c>
      <c r="J79" s="556" t="s">
        <v>689</v>
      </c>
      <c r="K79" s="557" t="s">
        <v>690</v>
      </c>
      <c r="L79" s="527" t="s">
        <v>285</v>
      </c>
      <c r="M79" s="527" t="s">
        <v>284</v>
      </c>
      <c r="N79" s="558">
        <v>97.403402307692303</v>
      </c>
      <c r="O79" s="558">
        <v>25.3510167948718</v>
      </c>
      <c r="P79" s="559">
        <v>0</v>
      </c>
      <c r="Q79" s="509">
        <v>163</v>
      </c>
      <c r="R79" s="531">
        <v>712</v>
      </c>
      <c r="S79" s="333">
        <f>IF(CampList[[#This Row],[HH]]&gt;0,CampList[[#This Row],[Total]]/CampList[[#This Row],[HH]],"NA")</f>
        <v>4.3680981595092021</v>
      </c>
      <c r="T79" s="581" t="s">
        <v>513</v>
      </c>
      <c r="U79" s="562" t="s">
        <v>1213</v>
      </c>
      <c r="V79" s="527" t="s">
        <v>556</v>
      </c>
      <c r="W79" s="562" t="s">
        <v>808</v>
      </c>
      <c r="X79" s="563">
        <v>40695</v>
      </c>
      <c r="Y79" s="564">
        <v>2</v>
      </c>
      <c r="Z79" s="563" t="s">
        <v>462</v>
      </c>
      <c r="AA79" s="516" t="s">
        <v>848</v>
      </c>
      <c r="AB79" s="527"/>
      <c r="AC79" s="565">
        <v>42235</v>
      </c>
      <c r="AD79" s="523" t="s">
        <v>1327</v>
      </c>
      <c r="AE79" s="564" t="s">
        <v>1100</v>
      </c>
      <c r="AF79" s="535">
        <f>IF(CampList[[#This Row],[Type of Accomodation]]="camp",MAX(0,CampList[[#This Row],[HH]]-SUMIF(Table_Shelter[Pcode],CampList[[#This Row],[CP_Pcode]],Table_Shelter[HH Covered])),0)</f>
        <v>38</v>
      </c>
      <c r="AG79" s="525"/>
      <c r="AH79" s="525">
        <f>MIN(CampList[[#This Row],[Shelter Gap]],CampList[[#This Row],[Land Status]])</f>
        <v>38</v>
      </c>
      <c r="AI79" s="525" t="str">
        <f ca="1">IFERROR(OFFSET(DistanceToCamp[Nearest Town],MATCH(CampList[[#This Row],[CP_Pcode]],DistanceToCamp[CP_Pcode],0)-1,0,1,1),"")</f>
        <v>Myitkyina Town</v>
      </c>
      <c r="AJ79" s="566">
        <f ca="1">IFERROR(OFFSET(DistanceToCamp[distance],MATCH(CampList[[#This Row],[CP_Pcode]],DistanceToCamp[CP_Pcode],0)-1,0,1,1),"")</f>
        <v>4.262018365878137</v>
      </c>
      <c r="AK79" s="567">
        <f ca="1">IFERROR(INT(CampList[[#This Row],[Distance]]/5)+1,"")</f>
        <v>1</v>
      </c>
      <c r="AL79" s="727"/>
      <c r="AM79" s="727"/>
      <c r="AN79" s="727"/>
      <c r="BD79" s="5"/>
      <c r="BE79" s="5"/>
    </row>
    <row r="80" spans="1:57" s="4" customFormat="1" ht="15.6" customHeight="1" x14ac:dyDescent="0.25">
      <c r="A80" s="555" t="s">
        <v>502</v>
      </c>
      <c r="B80" s="527" t="s">
        <v>380</v>
      </c>
      <c r="C80" s="527" t="s">
        <v>527</v>
      </c>
      <c r="D80" s="527" t="s">
        <v>237</v>
      </c>
      <c r="E80" s="527" t="s">
        <v>533</v>
      </c>
      <c r="F80" s="527" t="s">
        <v>27</v>
      </c>
      <c r="G80" s="525" t="s">
        <v>536</v>
      </c>
      <c r="H80" s="585" t="s">
        <v>808</v>
      </c>
      <c r="I80" s="525" t="s">
        <v>797</v>
      </c>
      <c r="J80" s="585" t="s">
        <v>809</v>
      </c>
      <c r="K80" s="586"/>
      <c r="L80" s="527" t="s">
        <v>365</v>
      </c>
      <c r="M80" s="527" t="s">
        <v>378</v>
      </c>
      <c r="N80" s="568">
        <v>98.129990000000006</v>
      </c>
      <c r="O80" s="568">
        <v>25.887339999999998</v>
      </c>
      <c r="P80" s="569">
        <v>259.10000000000002</v>
      </c>
      <c r="Q80" s="509">
        <v>144</v>
      </c>
      <c r="R80" s="531">
        <v>645</v>
      </c>
      <c r="S80" s="333">
        <f>IF(CampList[[#This Row],[HH]]&gt;0,CampList[[#This Row],[Total]]/CampList[[#This Row],[HH]],"NA")</f>
        <v>4.479166666666667</v>
      </c>
      <c r="T80" s="581" t="s">
        <v>513</v>
      </c>
      <c r="U80" s="562" t="s">
        <v>1213</v>
      </c>
      <c r="V80" s="527" t="s">
        <v>556</v>
      </c>
      <c r="W80" s="562" t="s">
        <v>862</v>
      </c>
      <c r="X80" s="563">
        <v>40940</v>
      </c>
      <c r="Y80" s="564">
        <v>1</v>
      </c>
      <c r="Z80" s="563" t="s">
        <v>507</v>
      </c>
      <c r="AA80" s="521" t="s">
        <v>848</v>
      </c>
      <c r="AB80" s="527"/>
      <c r="AC80" s="565">
        <v>42317</v>
      </c>
      <c r="AD80" s="523" t="s">
        <v>1396</v>
      </c>
      <c r="AE80" s="564" t="s">
        <v>1084</v>
      </c>
      <c r="AF80" s="535">
        <f>IF(CampList[[#This Row],[Type of Accomodation]]="camp",MAX(0,CampList[[#This Row],[HH]]-SUMIF(Table_Shelter[Pcode],CampList[[#This Row],[CP_Pcode]],Table_Shelter[HH Covered])),0)</f>
        <v>71</v>
      </c>
      <c r="AG80" s="525"/>
      <c r="AH80" s="525">
        <f>MIN(CampList[[#This Row],[Shelter Gap]],CampList[[#This Row],[Land Status]])</f>
        <v>71</v>
      </c>
      <c r="AI80" s="525" t="str">
        <f ca="1">IFERROR(OFFSET(DistanceToCamp[Nearest Town],MATCH(CampList[[#This Row],[CP_Pcode]],DistanceToCamp[CP_Pcode],0)-1,0,1,1),"")</f>
        <v/>
      </c>
      <c r="AJ80" s="566" t="str">
        <f ca="1">IFERROR(OFFSET(DistanceToCamp[distance],MATCH(CampList[[#This Row],[CP_Pcode]],DistanceToCamp[CP_Pcode],0)-1,0,1,1),"")</f>
        <v/>
      </c>
      <c r="AK80" s="567" t="str">
        <f ca="1">IFERROR(INT(CampList[[#This Row],[Distance]]/5)+1,"")</f>
        <v/>
      </c>
      <c r="AL80" s="727"/>
      <c r="AM80" s="727"/>
      <c r="AN80" s="727"/>
      <c r="BD80" s="5"/>
      <c r="BE80" s="5"/>
    </row>
    <row r="81" spans="1:57" s="4" customFormat="1" ht="15.6" customHeight="1" x14ac:dyDescent="0.25">
      <c r="A81" s="332" t="s">
        <v>502</v>
      </c>
      <c r="B81" s="219" t="s">
        <v>380</v>
      </c>
      <c r="C81" s="527" t="s">
        <v>527</v>
      </c>
      <c r="D81" s="527" t="s">
        <v>180</v>
      </c>
      <c r="E81" s="527" t="s">
        <v>528</v>
      </c>
      <c r="F81" s="527" t="s">
        <v>529</v>
      </c>
      <c r="G81" s="218" t="s">
        <v>530</v>
      </c>
      <c r="H81" s="525" t="s">
        <v>600</v>
      </c>
      <c r="I81" s="525" t="s">
        <v>601</v>
      </c>
      <c r="J81" s="556" t="s">
        <v>602</v>
      </c>
      <c r="K81" s="557">
        <v>166785</v>
      </c>
      <c r="L81" s="527" t="s">
        <v>90</v>
      </c>
      <c r="M81" s="219" t="s">
        <v>89</v>
      </c>
      <c r="N81" s="558">
        <v>96.269199999999998</v>
      </c>
      <c r="O81" s="558">
        <v>25.566510000000001</v>
      </c>
      <c r="P81" s="559">
        <v>278</v>
      </c>
      <c r="Q81" s="509">
        <v>25</v>
      </c>
      <c r="R81" s="531">
        <v>133</v>
      </c>
      <c r="S81" s="333">
        <f>IF(CampList[[#This Row],[HH]]&gt;0,CampList[[#This Row],[Total]]/CampList[[#This Row],[HH]],"NA")</f>
        <v>5.32</v>
      </c>
      <c r="T81" s="581" t="s">
        <v>513</v>
      </c>
      <c r="U81" s="334" t="s">
        <v>1213</v>
      </c>
      <c r="V81" s="527" t="s">
        <v>556</v>
      </c>
      <c r="W81" s="562" t="s">
        <v>862</v>
      </c>
      <c r="X81" s="563">
        <v>41275</v>
      </c>
      <c r="Y81" s="564">
        <v>1</v>
      </c>
      <c r="Z81" s="563" t="s">
        <v>507</v>
      </c>
      <c r="AA81" s="521" t="s">
        <v>848</v>
      </c>
      <c r="AB81" s="219"/>
      <c r="AC81" s="565">
        <v>42291</v>
      </c>
      <c r="AD81" s="523" t="s">
        <v>1370</v>
      </c>
      <c r="AE81" s="564" t="s">
        <v>1100</v>
      </c>
      <c r="AF81" s="233">
        <f>IF(CampList[[#This Row],[Type of Accomodation]]="camp",MAX(0,CampList[[#This Row],[HH]]-SUMIF(Table_Shelter[Pcode],CampList[[#This Row],[CP_Pcode]],Table_Shelter[HH Covered])),0)</f>
        <v>0</v>
      </c>
      <c r="AG81" s="218"/>
      <c r="AH81" s="218">
        <f>MIN(CampList[[#This Row],[Shelter Gap]],CampList[[#This Row],[Land Status]])</f>
        <v>0</v>
      </c>
      <c r="AI81" s="218" t="str">
        <f ca="1">IFERROR(OFFSET(DistanceToCamp[Nearest Town],MATCH(CampList[[#This Row],[CP_Pcode]],DistanceToCamp[CP_Pcode],0)-1,0,1,1),"")</f>
        <v>Hpakant Town</v>
      </c>
      <c r="AJ81" s="566">
        <f ca="1">IFERROR(OFFSET(DistanceToCamp[distance],MATCH(CampList[[#This Row],[CP_Pcode]],DistanceToCamp[CP_Pcode],0)-1,0,1,1),"")</f>
        <v>6.7094919928483892</v>
      </c>
      <c r="AK81" s="337">
        <f ca="1">IFERROR(INT(CampList[[#This Row],[Distance]]/5)+1,"")</f>
        <v>2</v>
      </c>
      <c r="AL81" s="727"/>
      <c r="AM81" s="727"/>
      <c r="AN81" s="727"/>
      <c r="BD81" s="5"/>
      <c r="BE81" s="5"/>
    </row>
    <row r="82" spans="1:57" s="4" customFormat="1" ht="15.6" customHeight="1" x14ac:dyDescent="0.25">
      <c r="A82" s="555" t="s">
        <v>502</v>
      </c>
      <c r="B82" s="527" t="s">
        <v>380</v>
      </c>
      <c r="C82" s="527" t="s">
        <v>527</v>
      </c>
      <c r="D82" s="527" t="s">
        <v>180</v>
      </c>
      <c r="E82" s="527" t="s">
        <v>528</v>
      </c>
      <c r="F82" s="527" t="s">
        <v>529</v>
      </c>
      <c r="G82" s="525" t="s">
        <v>530</v>
      </c>
      <c r="H82" s="527" t="s">
        <v>605</v>
      </c>
      <c r="I82" s="525" t="s">
        <v>606</v>
      </c>
      <c r="J82" s="527" t="s">
        <v>609</v>
      </c>
      <c r="K82" s="573" t="s">
        <v>610</v>
      </c>
      <c r="L82" s="527" t="s">
        <v>92</v>
      </c>
      <c r="M82" s="527" t="s">
        <v>91</v>
      </c>
      <c r="N82" s="558">
        <v>96.316400000000002</v>
      </c>
      <c r="O82" s="558">
        <v>25.61842</v>
      </c>
      <c r="P82" s="559">
        <v>250</v>
      </c>
      <c r="Q82" s="509">
        <v>15</v>
      </c>
      <c r="R82" s="531">
        <v>74</v>
      </c>
      <c r="S82" s="333">
        <f>IF(CampList[[#This Row],[HH]]&gt;0,CampList[[#This Row],[Total]]/CampList[[#This Row],[HH]],"NA")</f>
        <v>4.9333333333333336</v>
      </c>
      <c r="T82" s="581" t="s">
        <v>513</v>
      </c>
      <c r="U82" s="562" t="s">
        <v>1213</v>
      </c>
      <c r="V82" s="527" t="s">
        <v>556</v>
      </c>
      <c r="W82" s="527" t="s">
        <v>808</v>
      </c>
      <c r="X82" s="563">
        <v>41275</v>
      </c>
      <c r="Y82" s="564">
        <v>1</v>
      </c>
      <c r="Z82" s="563" t="s">
        <v>507</v>
      </c>
      <c r="AA82" s="521" t="s">
        <v>848</v>
      </c>
      <c r="AB82" s="527"/>
      <c r="AC82" s="565">
        <v>42235</v>
      </c>
      <c r="AD82" s="523" t="s">
        <v>1331</v>
      </c>
      <c r="AE82" s="564" t="s">
        <v>1100</v>
      </c>
      <c r="AF82" s="535">
        <f>IF(CampList[[#This Row],[Type of Accomodation]]="camp",MAX(0,CampList[[#This Row],[HH]]-SUMIF(Table_Shelter[Pcode],CampList[[#This Row],[CP_Pcode]],Table_Shelter[HH Covered])),0)</f>
        <v>0</v>
      </c>
      <c r="AG82" s="525"/>
      <c r="AH82" s="525">
        <f>MIN(CampList[[#This Row],[Shelter Gap]],CampList[[#This Row],[Land Status]])</f>
        <v>0</v>
      </c>
      <c r="AI82" s="525" t="str">
        <f ca="1">IFERROR(OFFSET(DistanceToCamp[Nearest Town],MATCH(CampList[[#This Row],[CP_Pcode]],DistanceToCamp[CP_Pcode],0)-1,0,1,1),"")</f>
        <v>Hpakant Town</v>
      </c>
      <c r="AJ82" s="566">
        <f ca="1">IFERROR(OFFSET(DistanceToCamp[distance],MATCH(CampList[[#This Row],[CP_Pcode]],DistanceToCamp[CP_Pcode],0)-1,0,1,1),"")</f>
        <v>0.75842119772531946</v>
      </c>
      <c r="AK82" s="567">
        <f ca="1">IFERROR(INT(CampList[[#This Row],[Distance]]/5)+1,"")</f>
        <v>1</v>
      </c>
      <c r="AL82" s="727"/>
      <c r="AM82" s="727"/>
      <c r="AN82" s="727"/>
      <c r="BD82" s="5"/>
      <c r="BE82" s="5"/>
    </row>
    <row r="83" spans="1:57" s="4" customFormat="1" ht="15.6" customHeight="1" x14ac:dyDescent="0.25">
      <c r="A83" s="555" t="s">
        <v>502</v>
      </c>
      <c r="B83" s="527" t="s">
        <v>380</v>
      </c>
      <c r="C83" s="527" t="s">
        <v>527</v>
      </c>
      <c r="D83" s="527" t="s">
        <v>5</v>
      </c>
      <c r="E83" s="527" t="s">
        <v>531</v>
      </c>
      <c r="F83" s="527" t="s">
        <v>5</v>
      </c>
      <c r="G83" s="525" t="s">
        <v>532</v>
      </c>
      <c r="H83" s="556" t="s">
        <v>639</v>
      </c>
      <c r="I83" s="556" t="s">
        <v>640</v>
      </c>
      <c r="J83" s="556"/>
      <c r="K83" s="557"/>
      <c r="L83" s="574" t="s">
        <v>18</v>
      </c>
      <c r="M83" s="527" t="s">
        <v>17</v>
      </c>
      <c r="N83" s="558">
        <v>97.240183461538507</v>
      </c>
      <c r="O83" s="558">
        <v>24.2631743589744</v>
      </c>
      <c r="P83" s="559">
        <v>0</v>
      </c>
      <c r="Q83" s="509">
        <v>116</v>
      </c>
      <c r="R83" s="531">
        <v>659</v>
      </c>
      <c r="S83" s="333">
        <f>IF(CampList[[#This Row],[HH]]&gt;0,CampList[[#This Row],[Total]]/CampList[[#This Row],[HH]],"NA")</f>
        <v>5.681034482758621</v>
      </c>
      <c r="T83" s="581" t="s">
        <v>513</v>
      </c>
      <c r="U83" s="562" t="s">
        <v>1213</v>
      </c>
      <c r="V83" s="527" t="s">
        <v>556</v>
      </c>
      <c r="W83" s="562" t="s">
        <v>808</v>
      </c>
      <c r="X83" s="563">
        <v>40695</v>
      </c>
      <c r="Y83" s="564">
        <v>2</v>
      </c>
      <c r="Z83" s="563" t="s">
        <v>507</v>
      </c>
      <c r="AA83" s="515" t="s">
        <v>848</v>
      </c>
      <c r="AB83" s="527"/>
      <c r="AC83" s="565">
        <v>42235</v>
      </c>
      <c r="AD83" s="523" t="s">
        <v>1330</v>
      </c>
      <c r="AE83" s="564" t="s">
        <v>1100</v>
      </c>
      <c r="AF83" s="535">
        <f>IF(CampList[[#This Row],[Type of Accomodation]]="camp",MAX(0,CampList[[#This Row],[HH]]-SUMIF(Table_Shelter[Pcode],CampList[[#This Row],[CP_Pcode]],Table_Shelter[HH Covered])),0)</f>
        <v>29</v>
      </c>
      <c r="AG83" s="525"/>
      <c r="AH83" s="525">
        <f>MIN(CampList[[#This Row],[Shelter Gap]],CampList[[#This Row],[Land Status]])</f>
        <v>29</v>
      </c>
      <c r="AI83" s="525" t="str">
        <f ca="1">IFERROR(OFFSET(DistanceToCamp[Nearest Town],MATCH(CampList[[#This Row],[CP_Pcode]],DistanceToCamp[CP_Pcode],0)-1,0,1,1),"")</f>
        <v>Bhamo Town</v>
      </c>
      <c r="AJ83" s="566">
        <f ca="1">IFERROR(OFFSET(DistanceToCamp[distance],MATCH(CampList[[#This Row],[CP_Pcode]],DistanceToCamp[CP_Pcode],0)-1,0,1,1),"")</f>
        <v>1.0876401420946245</v>
      </c>
      <c r="AK83" s="567">
        <f ca="1">IFERROR(INT(CampList[[#This Row],[Distance]]/5)+1,"")</f>
        <v>1</v>
      </c>
      <c r="AL83" s="727"/>
      <c r="AM83" s="727"/>
      <c r="AN83" s="727"/>
      <c r="BD83" s="5"/>
      <c r="BE83" s="5"/>
    </row>
    <row r="84" spans="1:57" s="4" customFormat="1" ht="15.6" customHeight="1" x14ac:dyDescent="0.25">
      <c r="A84" s="555" t="s">
        <v>502</v>
      </c>
      <c r="B84" s="527" t="s">
        <v>380</v>
      </c>
      <c r="C84" s="527" t="s">
        <v>527</v>
      </c>
      <c r="D84" s="527" t="s">
        <v>5</v>
      </c>
      <c r="E84" s="527" t="s">
        <v>531</v>
      </c>
      <c r="F84" s="527" t="s">
        <v>185</v>
      </c>
      <c r="G84" s="525" t="s">
        <v>535</v>
      </c>
      <c r="H84" s="556" t="s">
        <v>755</v>
      </c>
      <c r="I84" s="556" t="s">
        <v>756</v>
      </c>
      <c r="J84" s="525"/>
      <c r="K84" s="573"/>
      <c r="L84" s="574" t="s">
        <v>186</v>
      </c>
      <c r="M84" s="527" t="s">
        <v>184</v>
      </c>
      <c r="N84" s="558">
        <v>97.718582999999995</v>
      </c>
      <c r="O84" s="558">
        <v>24.200972</v>
      </c>
      <c r="P84" s="569"/>
      <c r="Q84" s="509">
        <v>29</v>
      </c>
      <c r="R84" s="531">
        <v>182</v>
      </c>
      <c r="S84" s="333">
        <f>IF(CampList[[#This Row],[HH]]&gt;0,CampList[[#This Row],[Total]]/CampList[[#This Row],[HH]],"NA")</f>
        <v>6.2758620689655169</v>
      </c>
      <c r="T84" s="581" t="s">
        <v>513</v>
      </c>
      <c r="U84" s="562" t="s">
        <v>1213</v>
      </c>
      <c r="V84" s="527" t="s">
        <v>556</v>
      </c>
      <c r="W84" s="562" t="s">
        <v>808</v>
      </c>
      <c r="X84" s="570"/>
      <c r="Y84" s="564">
        <v>1</v>
      </c>
      <c r="Z84" s="563" t="s">
        <v>462</v>
      </c>
      <c r="AA84" s="515" t="s">
        <v>848</v>
      </c>
      <c r="AB84" s="527"/>
      <c r="AC84" s="565">
        <v>42340</v>
      </c>
      <c r="AD84" s="523" t="s">
        <v>1449</v>
      </c>
      <c r="AE84" s="564" t="s">
        <v>1086</v>
      </c>
      <c r="AF84" s="535">
        <f>IF(CampList[[#This Row],[Type of Accomodation]]="camp",MAX(0,CampList[[#This Row],[HH]]-SUMIF(Table_Shelter[Pcode],CampList[[#This Row],[CP_Pcode]],Table_Shelter[HH Covered])),0)</f>
        <v>0</v>
      </c>
      <c r="AG84" s="525"/>
      <c r="AH84" s="525">
        <f>MIN(CampList[[#This Row],[Shelter Gap]],CampList[[#This Row],[Land Status]])</f>
        <v>0</v>
      </c>
      <c r="AI84" s="525" t="str">
        <f ca="1">IFERROR(OFFSET(DistanceToCamp[Nearest Town],MATCH(CampList[[#This Row],[CP_Pcode]],DistanceToCamp[CP_Pcode],0)-1,0,1,1),"")</f>
        <v>Lwegel Town</v>
      </c>
      <c r="AJ84" s="566">
        <f ca="1">IFERROR(OFFSET(DistanceToCamp[distance],MATCH(CampList[[#This Row],[CP_Pcode]],DistanceToCamp[CP_Pcode],0)-1,0,1,1),"")</f>
        <v>0.28829825866869707</v>
      </c>
      <c r="AK84" s="567">
        <f ca="1">IFERROR(INT(CampList[[#This Row],[Distance]]/5)+1,"")</f>
        <v>1</v>
      </c>
      <c r="AL84" s="727"/>
      <c r="AM84" s="727"/>
      <c r="AN84" s="727"/>
      <c r="BD84" s="5"/>
      <c r="BE84" s="5"/>
    </row>
    <row r="85" spans="1:57" s="4" customFormat="1" ht="15.6" customHeight="1" x14ac:dyDescent="0.25">
      <c r="A85" s="495" t="s">
        <v>502</v>
      </c>
      <c r="B85" s="535" t="s">
        <v>380</v>
      </c>
      <c r="C85" s="535" t="s">
        <v>527</v>
      </c>
      <c r="D85" s="535" t="s">
        <v>5</v>
      </c>
      <c r="E85" s="535" t="s">
        <v>531</v>
      </c>
      <c r="F85" s="535" t="s">
        <v>185</v>
      </c>
      <c r="G85" s="535" t="s">
        <v>535</v>
      </c>
      <c r="H85" s="535" t="s">
        <v>755</v>
      </c>
      <c r="I85" s="598" t="s">
        <v>756</v>
      </c>
      <c r="J85" s="535" t="s">
        <v>763</v>
      </c>
      <c r="K85" s="535"/>
      <c r="L85" s="535" t="s">
        <v>223</v>
      </c>
      <c r="M85" s="535" t="s">
        <v>222</v>
      </c>
      <c r="N85" s="508">
        <v>97.724566999999993</v>
      </c>
      <c r="O85" s="508">
        <v>24.205417000000001</v>
      </c>
      <c r="P85" s="569"/>
      <c r="Q85" s="511">
        <v>70</v>
      </c>
      <c r="R85" s="532">
        <v>609</v>
      </c>
      <c r="S85" s="333">
        <f>IF(CampList[[#This Row],[HH]]&gt;0,CampList[[#This Row],[Total]]/CampList[[#This Row],[HH]],"NA")</f>
        <v>8.6999999999999993</v>
      </c>
      <c r="T85" s="599" t="s">
        <v>513</v>
      </c>
      <c r="U85" s="561" t="s">
        <v>1213</v>
      </c>
      <c r="V85" s="496" t="s">
        <v>556</v>
      </c>
      <c r="W85" s="508" t="s">
        <v>808</v>
      </c>
      <c r="X85" s="577">
        <v>40848</v>
      </c>
      <c r="Y85" s="571">
        <v>2</v>
      </c>
      <c r="Z85" s="571" t="s">
        <v>1096</v>
      </c>
      <c r="AA85" s="511" t="s">
        <v>848</v>
      </c>
      <c r="AB85" s="599"/>
      <c r="AC85" s="565">
        <v>42235</v>
      </c>
      <c r="AD85" s="535" t="s">
        <v>1350</v>
      </c>
      <c r="AE85" s="597" t="s">
        <v>1086</v>
      </c>
      <c r="AF85" s="598">
        <f>IF(CampList[[#This Row],[Type of Accomodation]]="camp",MAX(0,CampList[[#This Row],[HH]]-SUMIF(Table_Shelter[Pcode],CampList[[#This Row],[CP_Pcode]],Table_Shelter[HH Covered])),0)</f>
        <v>3</v>
      </c>
      <c r="AG85" s="535"/>
      <c r="AH85" s="598">
        <f>MIN(CampList[[#This Row],[Shelter Gap]],CampList[[#This Row],[Land Status]])</f>
        <v>3</v>
      </c>
      <c r="AI85" s="598" t="str">
        <f ca="1">IFERROR(OFFSET(DistanceToCamp[Nearest Town],MATCH(CampList[[#This Row],[CP_Pcode]],DistanceToCamp[CP_Pcode],0)-1,0,1,1),"")</f>
        <v>Lwegel Town</v>
      </c>
      <c r="AJ85" s="566">
        <f ca="1">IFERROR(OFFSET(DistanceToCamp[distance],MATCH(CampList[[#This Row],[CP_Pcode]],DistanceToCamp[CP_Pcode],0)-1,0,1,1),"")</f>
        <v>0.77978735578277303</v>
      </c>
      <c r="AK85" s="600">
        <f ca="1">IFERROR(INT(CampList[[#This Row],[Distance]]/5)+1,"")</f>
        <v>1</v>
      </c>
      <c r="AL85" s="727"/>
      <c r="AM85" s="727"/>
      <c r="AN85" s="727"/>
      <c r="BD85" s="5"/>
      <c r="BE85" s="5"/>
    </row>
    <row r="86" spans="1:57" s="4" customFormat="1" ht="15.6" customHeight="1" x14ac:dyDescent="0.25">
      <c r="A86" s="555" t="s">
        <v>502</v>
      </c>
      <c r="B86" s="527" t="s">
        <v>380</v>
      </c>
      <c r="C86" s="527" t="s">
        <v>527</v>
      </c>
      <c r="D86" s="527" t="s">
        <v>5</v>
      </c>
      <c r="E86" s="527" t="s">
        <v>531</v>
      </c>
      <c r="F86" s="527" t="s">
        <v>185</v>
      </c>
      <c r="G86" s="525" t="s">
        <v>535</v>
      </c>
      <c r="H86" s="556" t="s">
        <v>755</v>
      </c>
      <c r="I86" s="556" t="s">
        <v>756</v>
      </c>
      <c r="J86" s="556" t="s">
        <v>760</v>
      </c>
      <c r="K86" s="557" t="s">
        <v>761</v>
      </c>
      <c r="L86" s="574" t="s">
        <v>190</v>
      </c>
      <c r="M86" s="527" t="s">
        <v>189</v>
      </c>
      <c r="N86" s="558">
        <v>97.717133000000004</v>
      </c>
      <c r="O86" s="558">
        <v>24.200433</v>
      </c>
      <c r="P86" s="559">
        <v>0</v>
      </c>
      <c r="Q86" s="509">
        <v>188</v>
      </c>
      <c r="R86" s="531">
        <v>993</v>
      </c>
      <c r="S86" s="333">
        <f>IF(CampList[[#This Row],[HH]]&gt;0,CampList[[#This Row],[Total]]/CampList[[#This Row],[HH]],"NA")</f>
        <v>5.2819148936170217</v>
      </c>
      <c r="T86" s="581" t="s">
        <v>513</v>
      </c>
      <c r="U86" s="562" t="s">
        <v>1213</v>
      </c>
      <c r="V86" s="527" t="s">
        <v>556</v>
      </c>
      <c r="W86" s="562" t="s">
        <v>808</v>
      </c>
      <c r="X86" s="563">
        <v>41000</v>
      </c>
      <c r="Y86" s="564">
        <v>2</v>
      </c>
      <c r="Z86" s="563" t="s">
        <v>462</v>
      </c>
      <c r="AA86" s="515" t="s">
        <v>848</v>
      </c>
      <c r="AB86" s="527"/>
      <c r="AC86" s="565">
        <v>42340</v>
      </c>
      <c r="AD86" s="523" t="s">
        <v>1449</v>
      </c>
      <c r="AE86" s="564" t="s">
        <v>1086</v>
      </c>
      <c r="AF86" s="535">
        <f>IF(CampList[[#This Row],[Type of Accomodation]]="camp",MAX(0,CampList[[#This Row],[HH]]-SUMIF(Table_Shelter[Pcode],CampList[[#This Row],[CP_Pcode]],Table_Shelter[HH Covered])),0)</f>
        <v>106</v>
      </c>
      <c r="AG86" s="525"/>
      <c r="AH86" s="525">
        <f>MIN(CampList[[#This Row],[Shelter Gap]],CampList[[#This Row],[Land Status]])</f>
        <v>106</v>
      </c>
      <c r="AI86" s="525" t="str">
        <f ca="1">IFERROR(OFFSET(DistanceToCamp[Nearest Town],MATCH(CampList[[#This Row],[CP_Pcode]],DistanceToCamp[CP_Pcode],0)-1,0,1,1),"")</f>
        <v>Lwegel Town</v>
      </c>
      <c r="AJ86" s="336">
        <f ca="1">IFERROR(OFFSET(DistanceToCamp[distance],MATCH(CampList[[#This Row],[CP_Pcode]],DistanceToCamp[CP_Pcode],0)-1,0,1,1),"")</f>
        <v>0.38934692601696641</v>
      </c>
      <c r="AK86" s="567">
        <f ca="1">IFERROR(INT(CampList[[#This Row],[Distance]]/5)+1,"")</f>
        <v>1</v>
      </c>
      <c r="AL86" s="727"/>
      <c r="AM86" s="727"/>
      <c r="AN86" s="727"/>
      <c r="BD86" s="5"/>
      <c r="BE86" s="5"/>
    </row>
    <row r="87" spans="1:57" s="4" customFormat="1" ht="15.6" hidden="1" customHeight="1" x14ac:dyDescent="0.25">
      <c r="A87" s="555" t="s">
        <v>849</v>
      </c>
      <c r="B87" s="527" t="s">
        <v>380</v>
      </c>
      <c r="C87" s="527" t="s">
        <v>527</v>
      </c>
      <c r="D87" s="527" t="s">
        <v>5</v>
      </c>
      <c r="E87" s="527" t="s">
        <v>531</v>
      </c>
      <c r="F87" s="527" t="s">
        <v>151</v>
      </c>
      <c r="G87" s="525" t="s">
        <v>541</v>
      </c>
      <c r="H87" s="556" t="s">
        <v>739</v>
      </c>
      <c r="I87" s="556" t="s">
        <v>740</v>
      </c>
      <c r="J87" s="556"/>
      <c r="K87" s="557"/>
      <c r="L87" s="574" t="s">
        <v>158</v>
      </c>
      <c r="M87" s="527" t="s">
        <v>157</v>
      </c>
      <c r="N87" s="735">
        <v>97.585667000000001</v>
      </c>
      <c r="O87" s="735">
        <v>23.9055</v>
      </c>
      <c r="P87" s="559">
        <v>745</v>
      </c>
      <c r="Q87" s="509">
        <v>0</v>
      </c>
      <c r="R87" s="531">
        <v>0</v>
      </c>
      <c r="S87" s="333" t="str">
        <f>IF(CampList[[#This Row],[HH]]&gt;0,CampList[[#This Row],[Total]]/CampList[[#This Row],[HH]],"NA")</f>
        <v>NA</v>
      </c>
      <c r="T87" s="561" t="s">
        <v>515</v>
      </c>
      <c r="U87" s="334" t="s">
        <v>1213</v>
      </c>
      <c r="V87" s="219" t="s">
        <v>556</v>
      </c>
      <c r="W87" s="562" t="s">
        <v>863</v>
      </c>
      <c r="X87" s="563">
        <v>41122</v>
      </c>
      <c r="Y87" s="564">
        <v>2</v>
      </c>
      <c r="Z87" s="563" t="s">
        <v>1096</v>
      </c>
      <c r="AA87" s="516" t="s">
        <v>848</v>
      </c>
      <c r="AB87" s="527"/>
      <c r="AC87" s="565">
        <v>42235</v>
      </c>
      <c r="AD87" s="523" t="s">
        <v>1351</v>
      </c>
      <c r="AE87" s="564" t="s">
        <v>1085</v>
      </c>
      <c r="AF87" s="535">
        <f>IF(CampList[[#This Row],[Type of Accomodation]]="camp",MAX(0,CampList[[#This Row],[HH]]-SUMIF(Table_Shelter[Pcode],CampList[[#This Row],[CP_Pcode]],Table_Shelter[HH Covered])),0)</f>
        <v>0</v>
      </c>
      <c r="AG87" s="525"/>
      <c r="AH87" s="525">
        <f>MIN(CampList[[#This Row],[Shelter Gap]],CampList[[#This Row],[Land Status]])</f>
        <v>0</v>
      </c>
      <c r="AI87" s="525" t="str">
        <f ca="1">IFERROR(OFFSET(DistanceToCamp[Nearest Town],MATCH(CampList[[#This Row],[CP_Pcode]],DistanceToCamp[CP_Pcode],0)-1,0,1,1),"")</f>
        <v>Namhkan Town</v>
      </c>
      <c r="AJ87" s="566">
        <f ca="1">IFERROR(OFFSET(DistanceToCamp[distance],MATCH(CampList[[#This Row],[CP_Pcode]],DistanceToCamp[CP_Pcode],0)-1,0,1,1),"")</f>
        <v>12.392289083396149</v>
      </c>
      <c r="AK87" s="567">
        <f ca="1">IFERROR(INT(CampList[[#This Row],[Distance]]/5)+1,"")</f>
        <v>3</v>
      </c>
      <c r="AL87" s="727"/>
      <c r="AM87" s="727"/>
      <c r="AN87" s="727"/>
      <c r="BD87" s="5"/>
      <c r="BE87" s="5"/>
    </row>
    <row r="88" spans="1:57" s="4" customFormat="1" ht="15.6" customHeight="1" x14ac:dyDescent="0.25">
      <c r="A88" s="555" t="s">
        <v>502</v>
      </c>
      <c r="B88" s="527" t="s">
        <v>380</v>
      </c>
      <c r="C88" s="525" t="s">
        <v>527</v>
      </c>
      <c r="D88" s="525" t="s">
        <v>300</v>
      </c>
      <c r="E88" s="525" t="s">
        <v>548</v>
      </c>
      <c r="F88" s="525" t="s">
        <v>300</v>
      </c>
      <c r="G88" s="525" t="s">
        <v>554</v>
      </c>
      <c r="H88" s="535" t="s">
        <v>805</v>
      </c>
      <c r="I88" s="598" t="s">
        <v>806</v>
      </c>
      <c r="J88" s="535" t="s">
        <v>1300</v>
      </c>
      <c r="K88" s="557" t="s">
        <v>1301</v>
      </c>
      <c r="L88" s="535" t="s">
        <v>1292</v>
      </c>
      <c r="M88" s="525" t="s">
        <v>1291</v>
      </c>
      <c r="N88" s="26">
        <v>97.416121000000004</v>
      </c>
      <c r="O88" s="26">
        <v>27.337499999999999</v>
      </c>
      <c r="P88" s="569"/>
      <c r="Q88" s="511">
        <v>59</v>
      </c>
      <c r="R88" s="532">
        <v>274</v>
      </c>
      <c r="S88" s="333">
        <f>IF(CampList[[#This Row],[HH]]&gt;0,CampList[[#This Row],[Total]]/CampList[[#This Row],[HH]],"NA")</f>
        <v>4.6440677966101696</v>
      </c>
      <c r="T88" s="581" t="s">
        <v>513</v>
      </c>
      <c r="U88" s="562" t="s">
        <v>1213</v>
      </c>
      <c r="V88" s="527" t="s">
        <v>556</v>
      </c>
      <c r="W88" s="508" t="s">
        <v>808</v>
      </c>
      <c r="X88" s="577"/>
      <c r="Y88" s="571"/>
      <c r="Z88" s="571" t="s">
        <v>462</v>
      </c>
      <c r="AA88" s="520" t="s">
        <v>848</v>
      </c>
      <c r="AB88" s="599"/>
      <c r="AC88" s="565">
        <v>42351</v>
      </c>
      <c r="AD88" s="711" t="s">
        <v>1472</v>
      </c>
      <c r="AE88" s="597"/>
      <c r="AF88" s="598">
        <f>IF(CampList[[#This Row],[Type of Accomodation]]="camp",MAX(0,CampList[[#This Row],[HH]]-SUMIF(Table_Shelter[Pcode],CampList[[#This Row],[CP_Pcode]],Table_Shelter[HH Covered])),0)</f>
        <v>59</v>
      </c>
      <c r="AG88" s="535"/>
      <c r="AH88" s="598">
        <f>MIN(CampList[[#This Row],[Shelter Gap]],CampList[[#This Row],[Land Status]])</f>
        <v>59</v>
      </c>
      <c r="AI88" s="598" t="str">
        <f ca="1">IFERROR(OFFSET(DistanceToCamp[Nearest Town],MATCH(CampList[[#This Row],[CP_Pcode]],DistanceToCamp[CP_Pcode],0)-1,0,1,1),"")</f>
        <v/>
      </c>
      <c r="AJ88" s="566" t="str">
        <f ca="1">IFERROR(OFFSET(DistanceToCamp[distance],MATCH(CampList[[#This Row],[CP_Pcode]],DistanceToCamp[CP_Pcode],0)-1,0,1,1),"")</f>
        <v/>
      </c>
      <c r="AK88" s="600" t="str">
        <f ca="1">IFERROR(INT(CampList[[#This Row],[Distance]]/5)+1,"")</f>
        <v/>
      </c>
      <c r="AL88" s="727"/>
      <c r="AM88" s="727"/>
      <c r="AN88" s="727"/>
      <c r="BD88" s="5"/>
      <c r="BE88" s="5"/>
    </row>
    <row r="89" spans="1:57" s="4" customFormat="1" ht="15.6" customHeight="1" x14ac:dyDescent="0.25">
      <c r="A89" s="495" t="s">
        <v>502</v>
      </c>
      <c r="B89" s="535" t="s">
        <v>380</v>
      </c>
      <c r="C89" s="535"/>
      <c r="D89" s="535"/>
      <c r="E89" s="535"/>
      <c r="F89" s="535" t="s">
        <v>173</v>
      </c>
      <c r="G89" s="535" t="s">
        <v>547</v>
      </c>
      <c r="H89" s="535" t="s">
        <v>634</v>
      </c>
      <c r="I89" s="598" t="s">
        <v>635</v>
      </c>
      <c r="J89" s="535" t="s">
        <v>636</v>
      </c>
      <c r="K89" s="535">
        <v>166676</v>
      </c>
      <c r="L89" s="535" t="s">
        <v>1302</v>
      </c>
      <c r="M89" s="535" t="s">
        <v>1305</v>
      </c>
      <c r="N89" s="508"/>
      <c r="O89" s="508"/>
      <c r="P89" s="569"/>
      <c r="Q89" s="511">
        <v>9</v>
      </c>
      <c r="R89" s="532">
        <v>39</v>
      </c>
      <c r="S89" s="333">
        <f>IF(CampList[[#This Row],[HH]]&gt;0,CampList[[#This Row],[Total]]/CampList[[#This Row],[HH]],"NA")</f>
        <v>4.333333333333333</v>
      </c>
      <c r="T89" s="599" t="s">
        <v>513</v>
      </c>
      <c r="U89" s="561" t="s">
        <v>1213</v>
      </c>
      <c r="V89" s="496" t="s">
        <v>556</v>
      </c>
      <c r="W89" s="508" t="s">
        <v>808</v>
      </c>
      <c r="X89" s="577">
        <v>42125</v>
      </c>
      <c r="Y89" s="571"/>
      <c r="Z89" s="571" t="s">
        <v>1097</v>
      </c>
      <c r="AA89" s="511" t="s">
        <v>847</v>
      </c>
      <c r="AB89" s="599"/>
      <c r="AC89" s="579">
        <v>42317</v>
      </c>
      <c r="AD89" s="711" t="s">
        <v>1407</v>
      </c>
      <c r="AE89" s="597"/>
      <c r="AF89" s="598">
        <f>IF(CampList[[#This Row],[Type of Accomodation]]="camp",MAX(0,CampList[[#This Row],[HH]]-SUMIF(Table_Shelter[Pcode],CampList[[#This Row],[CP_Pcode]],Table_Shelter[HH Covered])),0)</f>
        <v>9</v>
      </c>
      <c r="AG89" s="535"/>
      <c r="AH89" s="598">
        <f>MIN(CampList[[#This Row],[Shelter Gap]],CampList[[#This Row],[Land Status]])</f>
        <v>9</v>
      </c>
      <c r="AI89" s="598" t="str">
        <f ca="1">IFERROR(OFFSET(DistanceToCamp[Nearest Town],MATCH(CampList[[#This Row],[CP_Pcode]],DistanceToCamp[CP_Pcode],0)-1,0,1,1),"")</f>
        <v/>
      </c>
      <c r="AJ89" s="336" t="str">
        <f ca="1">IFERROR(OFFSET(DistanceToCamp[distance],MATCH(CampList[[#This Row],[CP_Pcode]],DistanceToCamp[CP_Pcode],0)-1,0,1,1),"")</f>
        <v/>
      </c>
      <c r="AK89" s="600" t="str">
        <f ca="1">IFERROR(INT(CampList[[#This Row],[Distance]]/5)+1,"")</f>
        <v/>
      </c>
      <c r="AL89" s="727"/>
      <c r="AM89" s="727"/>
      <c r="AN89" s="727"/>
      <c r="BD89" s="5"/>
      <c r="BE89" s="5"/>
    </row>
    <row r="90" spans="1:57" s="4" customFormat="1" ht="15.6" hidden="1" customHeight="1" x14ac:dyDescent="0.25">
      <c r="A90" s="332" t="s">
        <v>849</v>
      </c>
      <c r="B90" s="527" t="s">
        <v>380</v>
      </c>
      <c r="C90" s="527" t="s">
        <v>527</v>
      </c>
      <c r="D90" s="527" t="s">
        <v>180</v>
      </c>
      <c r="E90" s="527" t="s">
        <v>528</v>
      </c>
      <c r="F90" s="527" t="s">
        <v>529</v>
      </c>
      <c r="G90" s="218" t="s">
        <v>530</v>
      </c>
      <c r="H90" s="556" t="s">
        <v>600</v>
      </c>
      <c r="I90" s="556" t="s">
        <v>601</v>
      </c>
      <c r="J90" s="556" t="s">
        <v>710</v>
      </c>
      <c r="K90" s="557">
        <v>166790</v>
      </c>
      <c r="L90" s="527" t="s">
        <v>94</v>
      </c>
      <c r="M90" s="219" t="s">
        <v>93</v>
      </c>
      <c r="N90" s="568"/>
      <c r="O90" s="568"/>
      <c r="P90" s="569"/>
      <c r="Q90" s="509">
        <v>0</v>
      </c>
      <c r="R90" s="531">
        <v>0</v>
      </c>
      <c r="S90" s="333" t="str">
        <f>IF(CampList[[#This Row],[HH]]&gt;0,CampList[[#This Row],[Total]]/CampList[[#This Row],[HH]],"NA")</f>
        <v>NA</v>
      </c>
      <c r="T90" s="561" t="s">
        <v>513</v>
      </c>
      <c r="U90" s="334" t="s">
        <v>1213</v>
      </c>
      <c r="V90" s="527" t="s">
        <v>556</v>
      </c>
      <c r="W90" s="562"/>
      <c r="X90" s="570"/>
      <c r="Y90" s="571"/>
      <c r="Z90" s="562"/>
      <c r="AA90" s="512"/>
      <c r="AB90" s="527"/>
      <c r="AC90" s="572"/>
      <c r="AD90" s="523" t="s">
        <v>603</v>
      </c>
      <c r="AE90" s="571" t="s">
        <v>1014</v>
      </c>
      <c r="AF90" s="233">
        <f>IF(CampList[[#This Row],[Type of Accomodation]]="camp",MAX(0,CampList[[#This Row],[HH]]-SUMIF(Table_Shelter[Pcode],CampList[[#This Row],[CP_Pcode]],Table_Shelter[HH Covered])),0)</f>
        <v>0</v>
      </c>
      <c r="AG90" s="218"/>
      <c r="AH90" s="218">
        <f>MIN(CampList[[#This Row],[Shelter Gap]],CampList[[#This Row],[Land Status]])</f>
        <v>0</v>
      </c>
      <c r="AI90" s="218" t="str">
        <f ca="1">IFERROR(OFFSET(DistanceToCamp[Nearest Town],MATCH(CampList[[#This Row],[CP_Pcode]],DistanceToCamp[CP_Pcode],0)-1,0,1,1),"")</f>
        <v/>
      </c>
      <c r="AJ90" s="336" t="str">
        <f ca="1">IFERROR(OFFSET(DistanceToCamp[distance],MATCH(CampList[[#This Row],[CP_Pcode]],DistanceToCamp[CP_Pcode],0)-1,0,1,1),"")</f>
        <v/>
      </c>
      <c r="AK90" s="337" t="str">
        <f ca="1">IFERROR(INT(CampList[[#This Row],[Distance]]/5)+1,"")</f>
        <v/>
      </c>
      <c r="AL90" s="727"/>
      <c r="AM90" s="727"/>
      <c r="AN90" s="727"/>
      <c r="BD90" s="5"/>
      <c r="BE90" s="5"/>
    </row>
    <row r="91" spans="1:57" s="4" customFormat="1" ht="15.6" hidden="1" customHeight="1" x14ac:dyDescent="0.25">
      <c r="A91" s="555" t="s">
        <v>849</v>
      </c>
      <c r="B91" s="525" t="s">
        <v>380</v>
      </c>
      <c r="C91" s="525" t="s">
        <v>527</v>
      </c>
      <c r="D91" s="525" t="s">
        <v>300</v>
      </c>
      <c r="E91" s="525" t="s">
        <v>548</v>
      </c>
      <c r="F91" s="525" t="s">
        <v>899</v>
      </c>
      <c r="G91" s="525" t="s">
        <v>900</v>
      </c>
      <c r="H91" s="525"/>
      <c r="I91" s="525"/>
      <c r="J91" s="525"/>
      <c r="K91" s="525"/>
      <c r="L91" s="525" t="s">
        <v>901</v>
      </c>
      <c r="M91" s="527" t="s">
        <v>902</v>
      </c>
      <c r="N91" s="568">
        <v>97.586470000000006</v>
      </c>
      <c r="O91" s="568">
        <v>27.274059999999999</v>
      </c>
      <c r="P91" s="532">
        <v>403</v>
      </c>
      <c r="Q91" s="511">
        <v>0</v>
      </c>
      <c r="R91" s="532">
        <v>0</v>
      </c>
      <c r="S91" s="560" t="str">
        <f>IF(CampList[[#This Row],[HH]]&gt;0,CampList[[#This Row],[Total]]/CampList[[#This Row],[HH]],"NA")</f>
        <v>NA</v>
      </c>
      <c r="T91" s="561" t="s">
        <v>513</v>
      </c>
      <c r="U91" s="562" t="s">
        <v>1213</v>
      </c>
      <c r="V91" s="527" t="s">
        <v>556</v>
      </c>
      <c r="W91" s="527" t="s">
        <v>862</v>
      </c>
      <c r="X91" s="577">
        <v>41518</v>
      </c>
      <c r="Y91" s="533"/>
      <c r="Z91" s="584"/>
      <c r="AA91" s="520" t="s">
        <v>848</v>
      </c>
      <c r="AB91" s="581"/>
      <c r="AC91" s="565">
        <v>42180</v>
      </c>
      <c r="AD91" s="523" t="s">
        <v>1298</v>
      </c>
      <c r="AE91" s="533" t="s">
        <v>1086</v>
      </c>
      <c r="AF91" s="535">
        <f>IF(CampList[[#This Row],[Type of Accomodation]]="camp",MAX(0,CampList[[#This Row],[HH]]-SUMIF(Table_Shelter[Pcode],CampList[[#This Row],[CP_Pcode]],Table_Shelter[HH Covered])),0)</f>
        <v>0</v>
      </c>
      <c r="AG91" s="525"/>
      <c r="AH91" s="525">
        <f>MIN(CampList[[#This Row],[Shelter Gap]],CampList[[#This Row],[Land Status]])</f>
        <v>0</v>
      </c>
      <c r="AI91" s="525" t="str">
        <f ca="1">IFERROR(OFFSET(DistanceToCamp[Nearest Town],MATCH(CampList[[#This Row],[CP_Pcode]],DistanceToCamp[CP_Pcode],0)-1,0,1,1),"")</f>
        <v>Machanbaw Town</v>
      </c>
      <c r="AJ91" s="566">
        <f ca="1">IFERROR(OFFSET(DistanceToCamp[distance],MATCH(CampList[[#This Row],[CP_Pcode]],DistanceToCamp[CP_Pcode],0)-1,0,1,1),"")</f>
        <v>1.136583238544624</v>
      </c>
      <c r="AK91" s="567">
        <f ca="1">IFERROR(INT(CampList[[#This Row],[Distance]]/5)+1,"")</f>
        <v>1</v>
      </c>
      <c r="AL91" s="727"/>
      <c r="AM91" s="727"/>
      <c r="AN91" s="727"/>
      <c r="BD91" s="5"/>
      <c r="BE91" s="5"/>
    </row>
    <row r="92" spans="1:57" s="4" customFormat="1" ht="15.6" customHeight="1" x14ac:dyDescent="0.25">
      <c r="A92" s="590" t="s">
        <v>502</v>
      </c>
      <c r="B92" s="527" t="s">
        <v>380</v>
      </c>
      <c r="C92" s="527" t="s">
        <v>527</v>
      </c>
      <c r="D92" s="527" t="s">
        <v>237</v>
      </c>
      <c r="E92" s="527" t="s">
        <v>533</v>
      </c>
      <c r="F92" s="527" t="s">
        <v>310</v>
      </c>
      <c r="G92" s="525" t="s">
        <v>534</v>
      </c>
      <c r="H92" s="582" t="s">
        <v>721</v>
      </c>
      <c r="I92" s="582" t="s">
        <v>722</v>
      </c>
      <c r="J92" s="582" t="s">
        <v>723</v>
      </c>
      <c r="K92" s="583">
        <v>165730</v>
      </c>
      <c r="L92" s="527" t="s">
        <v>320</v>
      </c>
      <c r="M92" s="527" t="s">
        <v>319</v>
      </c>
      <c r="N92" s="558">
        <v>97.451965000000001</v>
      </c>
      <c r="O92" s="558">
        <v>25.356632000000001</v>
      </c>
      <c r="P92" s="559">
        <v>0</v>
      </c>
      <c r="Q92" s="509">
        <v>25</v>
      </c>
      <c r="R92" s="531">
        <v>138</v>
      </c>
      <c r="S92" s="333">
        <f>IF(CampList[[#This Row],[HH]]&gt;0,CampList[[#This Row],[Total]]/CampList[[#This Row],[HH]],"NA")</f>
        <v>5.52</v>
      </c>
      <c r="T92" s="581" t="s">
        <v>513</v>
      </c>
      <c r="U92" s="562" t="s">
        <v>1213</v>
      </c>
      <c r="V92" s="527" t="s">
        <v>556</v>
      </c>
      <c r="W92" s="527" t="s">
        <v>808</v>
      </c>
      <c r="X92" s="563">
        <v>41030</v>
      </c>
      <c r="Y92" s="564">
        <v>1</v>
      </c>
      <c r="Z92" s="563" t="s">
        <v>462</v>
      </c>
      <c r="AA92" s="516" t="s">
        <v>848</v>
      </c>
      <c r="AB92" s="527"/>
      <c r="AC92" s="565">
        <v>42340</v>
      </c>
      <c r="AD92" s="523" t="s">
        <v>1436</v>
      </c>
      <c r="AE92" s="564" t="s">
        <v>1100</v>
      </c>
      <c r="AF92" s="535">
        <f>IF(CampList[[#This Row],[Type of Accomodation]]="camp",MAX(0,CampList[[#This Row],[HH]]-SUMIF(Table_Shelter[Pcode],CampList[[#This Row],[CP_Pcode]],Table_Shelter[HH Covered])),0)</f>
        <v>0</v>
      </c>
      <c r="AG92" s="525"/>
      <c r="AH92" s="525">
        <f>MIN(CampList[[#This Row],[Shelter Gap]],CampList[[#This Row],[Land Status]])</f>
        <v>0</v>
      </c>
      <c r="AI92" s="525" t="str">
        <f ca="1">IFERROR(OFFSET(DistanceToCamp[Nearest Town],MATCH(CampList[[#This Row],[CP_Pcode]],DistanceToCamp[CP_Pcode],0)-1,0,1,1),"")</f>
        <v>Waingmaw Town</v>
      </c>
      <c r="AJ92" s="566">
        <f ca="1">IFERROR(OFFSET(DistanceToCamp[distance],MATCH(CampList[[#This Row],[CP_Pcode]],DistanceToCamp[CP_Pcode],0)-1,0,1,1),"")</f>
        <v>1.1134935940025397</v>
      </c>
      <c r="AK92" s="567">
        <f ca="1">IFERROR(INT(CampList[[#This Row],[Distance]]/5)+1,"")</f>
        <v>1</v>
      </c>
      <c r="AL92" s="727"/>
      <c r="AM92" s="727"/>
      <c r="AN92" s="727"/>
      <c r="BD92" s="5"/>
      <c r="BE92" s="5"/>
    </row>
    <row r="93" spans="1:57" s="4" customFormat="1" ht="15.6" customHeight="1" x14ac:dyDescent="0.25">
      <c r="A93" s="690" t="s">
        <v>502</v>
      </c>
      <c r="B93" s="535" t="s">
        <v>380</v>
      </c>
      <c r="C93" s="535" t="s">
        <v>527</v>
      </c>
      <c r="D93" s="535" t="s">
        <v>237</v>
      </c>
      <c r="E93" s="535" t="s">
        <v>533</v>
      </c>
      <c r="F93" s="535" t="s">
        <v>310</v>
      </c>
      <c r="G93" s="535" t="s">
        <v>534</v>
      </c>
      <c r="H93" s="535" t="s">
        <v>757</v>
      </c>
      <c r="I93" s="598" t="s">
        <v>758</v>
      </c>
      <c r="J93" s="535" t="s">
        <v>759</v>
      </c>
      <c r="K93" s="535">
        <v>165790</v>
      </c>
      <c r="L93" s="535" t="s">
        <v>322</v>
      </c>
      <c r="M93" s="535" t="s">
        <v>321</v>
      </c>
      <c r="N93" s="508">
        <v>97.715230000000005</v>
      </c>
      <c r="O93" s="508">
        <v>24.980250000000002</v>
      </c>
      <c r="P93" s="569">
        <v>984</v>
      </c>
      <c r="Q93" s="511">
        <v>609</v>
      </c>
      <c r="R93" s="532">
        <v>2627</v>
      </c>
      <c r="S93" s="333">
        <f>IF(CampList[[#This Row],[HH]]&gt;0,CampList[[#This Row],[Total]]/CampList[[#This Row],[HH]],"NA")</f>
        <v>4.3136288998357966</v>
      </c>
      <c r="T93" s="599" t="s">
        <v>515</v>
      </c>
      <c r="U93" s="561" t="s">
        <v>1213</v>
      </c>
      <c r="V93" s="496" t="s">
        <v>556</v>
      </c>
      <c r="W93" s="508" t="s">
        <v>862</v>
      </c>
      <c r="X93" s="577">
        <v>40695</v>
      </c>
      <c r="Y93" s="571">
        <v>5</v>
      </c>
      <c r="Z93" s="571" t="s">
        <v>1097</v>
      </c>
      <c r="AA93" s="511" t="s">
        <v>848</v>
      </c>
      <c r="AB93" s="599"/>
      <c r="AC93" s="565">
        <v>42300</v>
      </c>
      <c r="AD93" s="711" t="s">
        <v>1382</v>
      </c>
      <c r="AE93" s="597" t="s">
        <v>1085</v>
      </c>
      <c r="AF93" s="598">
        <f>IF(CampList[[#This Row],[Type of Accomodation]]="camp",MAX(0,CampList[[#This Row],[HH]]-SUMIF(Table_Shelter[Pcode],CampList[[#This Row],[CP_Pcode]],Table_Shelter[HH Covered])),0)</f>
        <v>5</v>
      </c>
      <c r="AG93" s="535"/>
      <c r="AH93" s="598">
        <f>MIN(CampList[[#This Row],[Shelter Gap]],CampList[[#This Row],[Land Status]])</f>
        <v>5</v>
      </c>
      <c r="AI93" s="598" t="str">
        <f ca="1">IFERROR(OFFSET(DistanceToCamp[Nearest Town],MATCH(CampList[[#This Row],[CP_Pcode]],DistanceToCamp[CP_Pcode],0)-1,0,1,1),"")</f>
        <v>Laiza town</v>
      </c>
      <c r="AJ93" s="566">
        <f ca="1">IFERROR(OFFSET(DistanceToCamp[distance],MATCH(CampList[[#This Row],[CP_Pcode]],DistanceToCamp[CP_Pcode],0)-1,0,1,1),"")</f>
        <v>28.888856599204185</v>
      </c>
      <c r="AK93" s="600">
        <f ca="1">IFERROR(INT(CampList[[#This Row],[Distance]]/5)+1,"")</f>
        <v>6</v>
      </c>
      <c r="AL93" s="727"/>
      <c r="AM93" s="727"/>
      <c r="AN93" s="727"/>
      <c r="BD93" s="5"/>
      <c r="BE93" s="5"/>
    </row>
    <row r="94" spans="1:57" s="4" customFormat="1" ht="15.6" customHeight="1" x14ac:dyDescent="0.25">
      <c r="A94" s="555" t="s">
        <v>502</v>
      </c>
      <c r="B94" s="527" t="s">
        <v>380</v>
      </c>
      <c r="C94" s="527" t="s">
        <v>527</v>
      </c>
      <c r="D94" s="527" t="s">
        <v>5</v>
      </c>
      <c r="E94" s="527" t="s">
        <v>531</v>
      </c>
      <c r="F94" s="527" t="s">
        <v>185</v>
      </c>
      <c r="G94" s="525" t="s">
        <v>535</v>
      </c>
      <c r="H94" s="556" t="s">
        <v>1143</v>
      </c>
      <c r="I94" s="556" t="s">
        <v>1283</v>
      </c>
      <c r="J94" s="556"/>
      <c r="K94" s="557"/>
      <c r="L94" s="574" t="s">
        <v>200</v>
      </c>
      <c r="M94" s="527" t="s">
        <v>199</v>
      </c>
      <c r="N94" s="568">
        <v>97.409474000000003</v>
      </c>
      <c r="O94" s="568">
        <v>24.441697000000001</v>
      </c>
      <c r="P94" s="569"/>
      <c r="Q94" s="509">
        <v>2</v>
      </c>
      <c r="R94" s="531">
        <v>9</v>
      </c>
      <c r="S94" s="333">
        <f>IF(CampList[[#This Row],[HH]]&gt;0,CampList[[#This Row],[Total]]/CampList[[#This Row],[HH]],"NA")</f>
        <v>4.5</v>
      </c>
      <c r="T94" s="581" t="s">
        <v>513</v>
      </c>
      <c r="U94" s="562" t="s">
        <v>1213</v>
      </c>
      <c r="V94" s="523" t="s">
        <v>12</v>
      </c>
      <c r="W94" s="562" t="s">
        <v>862</v>
      </c>
      <c r="X94" s="570"/>
      <c r="Y94" s="571"/>
      <c r="Z94" s="562"/>
      <c r="AA94" s="515" t="s">
        <v>847</v>
      </c>
      <c r="AB94" s="527"/>
      <c r="AC94" s="565">
        <v>41803</v>
      </c>
      <c r="AD94" s="523" t="s">
        <v>1075</v>
      </c>
      <c r="AE94" s="571" t="s">
        <v>1100</v>
      </c>
      <c r="AF94" s="535">
        <f>IF(CampList[[#This Row],[Type of Accomodation]]="camp",MAX(0,CampList[[#This Row],[HH]]-SUMIF(Table_Shelter[Pcode],CampList[[#This Row],[CP_Pcode]],Table_Shelter[HH Covered])),0)</f>
        <v>0</v>
      </c>
      <c r="AG94" s="535"/>
      <c r="AH94" s="525">
        <f>MIN(CampList[[#This Row],[Shelter Gap]],CampList[[#This Row],[Land Status]])</f>
        <v>0</v>
      </c>
      <c r="AI94" s="525" t="str">
        <f ca="1">IFERROR(OFFSET(DistanceToCamp[Nearest Town],MATCH(CampList[[#This Row],[CP_Pcode]],DistanceToCamp[CP_Pcode],0)-1,0,1,1),"")</f>
        <v>Dawthponeyan  Town</v>
      </c>
      <c r="AJ94" s="566">
        <f ca="1">IFERROR(OFFSET(DistanceToCamp[distance],MATCH(CampList[[#This Row],[CP_Pcode]],DistanceToCamp[CP_Pcode],0)-1,0,1,1),"")</f>
        <v>19.860265975801305</v>
      </c>
      <c r="AK94" s="567">
        <f ca="1">IFERROR(INT(CampList[[#This Row],[Distance]]/5)+1,"")</f>
        <v>4</v>
      </c>
      <c r="AL94" s="727"/>
      <c r="AM94" s="727"/>
      <c r="AN94" s="727"/>
      <c r="BD94" s="5"/>
      <c r="BE94" s="5"/>
    </row>
    <row r="95" spans="1:57" s="4" customFormat="1" ht="15.6" customHeight="1" x14ac:dyDescent="0.25">
      <c r="A95" s="590" t="s">
        <v>502</v>
      </c>
      <c r="B95" s="527" t="s">
        <v>380</v>
      </c>
      <c r="C95" s="527" t="s">
        <v>527</v>
      </c>
      <c r="D95" s="527" t="s">
        <v>237</v>
      </c>
      <c r="E95" s="527" t="s">
        <v>533</v>
      </c>
      <c r="F95" s="527" t="s">
        <v>310</v>
      </c>
      <c r="G95" s="525" t="s">
        <v>534</v>
      </c>
      <c r="H95" s="582" t="s">
        <v>695</v>
      </c>
      <c r="I95" s="582" t="s">
        <v>696</v>
      </c>
      <c r="J95" s="582" t="s">
        <v>695</v>
      </c>
      <c r="K95" s="583">
        <v>165740</v>
      </c>
      <c r="L95" s="527" t="s">
        <v>328</v>
      </c>
      <c r="M95" s="527" t="s">
        <v>327</v>
      </c>
      <c r="N95" s="558">
        <v>97.433419259259296</v>
      </c>
      <c r="O95" s="558">
        <v>25.424529444444399</v>
      </c>
      <c r="P95" s="559">
        <v>0</v>
      </c>
      <c r="Q95" s="509">
        <v>135</v>
      </c>
      <c r="R95" s="531">
        <v>738</v>
      </c>
      <c r="S95" s="560">
        <f>IF(CampList[[#This Row],[HH]]&gt;0,CampList[[#This Row],[Total]]/CampList[[#This Row],[HH]],"NA")</f>
        <v>5.4666666666666668</v>
      </c>
      <c r="T95" s="581" t="s">
        <v>513</v>
      </c>
      <c r="U95" s="562" t="s">
        <v>1213</v>
      </c>
      <c r="V95" s="527" t="s">
        <v>556</v>
      </c>
      <c r="W95" s="562" t="s">
        <v>862</v>
      </c>
      <c r="X95" s="563">
        <v>41456</v>
      </c>
      <c r="Y95" s="564">
        <v>1</v>
      </c>
      <c r="Z95" s="563" t="s">
        <v>507</v>
      </c>
      <c r="AA95" s="521" t="s">
        <v>848</v>
      </c>
      <c r="AB95" s="527"/>
      <c r="AC95" s="579">
        <v>42317</v>
      </c>
      <c r="AD95" s="523" t="s">
        <v>1393</v>
      </c>
      <c r="AE95" s="564" t="s">
        <v>1100</v>
      </c>
      <c r="AF95" s="535">
        <f>IF(CampList[[#This Row],[Type of Accomodation]]="camp",MAX(0,CampList[[#This Row],[HH]]-SUMIF(Table_Shelter[Pcode],CampList[[#This Row],[CP_Pcode]],Table_Shelter[HH Covered])),0)</f>
        <v>28</v>
      </c>
      <c r="AG95" s="535"/>
      <c r="AH95" s="525">
        <f>MIN(CampList[[#This Row],[Shelter Gap]],CampList[[#This Row],[Land Status]])</f>
        <v>28</v>
      </c>
      <c r="AI95" s="525" t="str">
        <f ca="1">IFERROR(OFFSET(DistanceToCamp[Nearest Town],MATCH(CampList[[#This Row],[CP_Pcode]],DistanceToCamp[CP_Pcode],0)-1,0,1,1),"")</f>
        <v>Myitkyina Town</v>
      </c>
      <c r="AJ95" s="566">
        <f ca="1">IFERROR(OFFSET(DistanceToCamp[distance],MATCH(CampList[[#This Row],[CP_Pcode]],DistanceToCamp[CP_Pcode],0)-1,0,1,1),"")</f>
        <v>5.9727739497559158</v>
      </c>
      <c r="AK95" s="567">
        <f ca="1">IFERROR(INT(CampList[[#This Row],[Distance]]/5)+1,"")</f>
        <v>2</v>
      </c>
      <c r="AL95" s="727"/>
      <c r="AM95" s="727"/>
      <c r="AN95" s="727"/>
      <c r="BD95" s="5"/>
      <c r="BE95" s="5"/>
    </row>
    <row r="96" spans="1:57" s="4" customFormat="1" ht="15.6" customHeight="1" x14ac:dyDescent="0.25">
      <c r="A96" s="690" t="s">
        <v>502</v>
      </c>
      <c r="B96" s="535" t="s">
        <v>380</v>
      </c>
      <c r="C96" s="535" t="s">
        <v>527</v>
      </c>
      <c r="D96" s="535" t="s">
        <v>237</v>
      </c>
      <c r="E96" s="535" t="s">
        <v>533</v>
      </c>
      <c r="F96" s="535" t="s">
        <v>310</v>
      </c>
      <c r="G96" s="535" t="s">
        <v>534</v>
      </c>
      <c r="H96" s="535" t="s">
        <v>695</v>
      </c>
      <c r="I96" s="598" t="s">
        <v>696</v>
      </c>
      <c r="J96" s="535" t="s">
        <v>695</v>
      </c>
      <c r="K96" s="535">
        <v>165740</v>
      </c>
      <c r="L96" s="535" t="s">
        <v>330</v>
      </c>
      <c r="M96" s="535" t="s">
        <v>329</v>
      </c>
      <c r="N96" s="508">
        <v>97.437782499999997</v>
      </c>
      <c r="O96" s="508">
        <v>25.415667500000001</v>
      </c>
      <c r="P96" s="569"/>
      <c r="Q96" s="511">
        <v>227</v>
      </c>
      <c r="R96" s="532">
        <v>1218</v>
      </c>
      <c r="S96" s="333">
        <f>IF(CampList[[#This Row],[HH]]&gt;0,CampList[[#This Row],[Total]]/CampList[[#This Row],[HH]],"NA")</f>
        <v>5.3656387665198242</v>
      </c>
      <c r="T96" s="599" t="s">
        <v>513</v>
      </c>
      <c r="U96" s="561" t="s">
        <v>1213</v>
      </c>
      <c r="V96" s="496" t="s">
        <v>556</v>
      </c>
      <c r="W96" s="508" t="s">
        <v>808</v>
      </c>
      <c r="X96" s="577">
        <v>41426</v>
      </c>
      <c r="Y96" s="571">
        <v>4</v>
      </c>
      <c r="Z96" s="571" t="s">
        <v>1097</v>
      </c>
      <c r="AA96" s="511" t="s">
        <v>848</v>
      </c>
      <c r="AB96" s="599"/>
      <c r="AC96" s="565">
        <v>42340</v>
      </c>
      <c r="AD96" s="711" t="s">
        <v>1431</v>
      </c>
      <c r="AE96" s="597" t="s">
        <v>1100</v>
      </c>
      <c r="AF96" s="598">
        <f>IF(CampList[[#This Row],[Type of Accomodation]]="camp",MAX(0,CampList[[#This Row],[HH]]-SUMIF(Table_Shelter[Pcode],CampList[[#This Row],[CP_Pcode]],Table_Shelter[HH Covered])),0)</f>
        <v>17</v>
      </c>
      <c r="AG96" s="535"/>
      <c r="AH96" s="598">
        <f>MIN(CampList[[#This Row],[Shelter Gap]],CampList[[#This Row],[Land Status]])</f>
        <v>17</v>
      </c>
      <c r="AI96" s="598" t="str">
        <f ca="1">IFERROR(OFFSET(DistanceToCamp[Nearest Town],MATCH(CampList[[#This Row],[CP_Pcode]],DistanceToCamp[CP_Pcode],0)-1,0,1,1),"")</f>
        <v>Myitkyina Town</v>
      </c>
      <c r="AJ96" s="566">
        <f ca="1">IFERROR(OFFSET(DistanceToCamp[distance],MATCH(CampList[[#This Row],[CP_Pcode]],DistanceToCamp[CP_Pcode],0)-1,0,1,1),"")</f>
        <v>5.7019834469756479</v>
      </c>
      <c r="AK96" s="600">
        <f ca="1">IFERROR(INT(CampList[[#This Row],[Distance]]/5)+1,"")</f>
        <v>2</v>
      </c>
      <c r="AL96" s="727"/>
      <c r="AM96" s="727"/>
      <c r="AN96" s="727"/>
      <c r="BD96" s="5"/>
      <c r="BE96" s="5"/>
    </row>
    <row r="97" spans="1:57" s="4" customFormat="1" ht="15.6" customHeight="1" x14ac:dyDescent="0.25">
      <c r="A97" s="590" t="s">
        <v>502</v>
      </c>
      <c r="B97" s="527" t="s">
        <v>380</v>
      </c>
      <c r="C97" s="527" t="s">
        <v>527</v>
      </c>
      <c r="D97" s="527" t="s">
        <v>237</v>
      </c>
      <c r="E97" s="527" t="s">
        <v>533</v>
      </c>
      <c r="F97" s="527" t="s">
        <v>310</v>
      </c>
      <c r="G97" s="218" t="s">
        <v>534</v>
      </c>
      <c r="H97" s="582" t="s">
        <v>695</v>
      </c>
      <c r="I97" s="582" t="s">
        <v>696</v>
      </c>
      <c r="J97" s="582" t="s">
        <v>695</v>
      </c>
      <c r="K97" s="583">
        <v>165740</v>
      </c>
      <c r="L97" s="527" t="s">
        <v>324</v>
      </c>
      <c r="M97" s="219" t="s">
        <v>323</v>
      </c>
      <c r="N97" s="558">
        <v>97.434855869565197</v>
      </c>
      <c r="O97" s="558">
        <v>25.4118005797101</v>
      </c>
      <c r="P97" s="559">
        <v>0</v>
      </c>
      <c r="Q97" s="509">
        <v>428</v>
      </c>
      <c r="R97" s="531">
        <v>2219</v>
      </c>
      <c r="S97" s="333">
        <f>IF(CampList[[#This Row],[HH]]&gt;0,CampList[[#This Row],[Total]]/CampList[[#This Row],[HH]],"NA")</f>
        <v>5.1845794392523361</v>
      </c>
      <c r="T97" s="581" t="s">
        <v>513</v>
      </c>
      <c r="U97" s="334" t="s">
        <v>1213</v>
      </c>
      <c r="V97" s="219" t="s">
        <v>556</v>
      </c>
      <c r="W97" s="562" t="s">
        <v>862</v>
      </c>
      <c r="X97" s="563">
        <v>41061</v>
      </c>
      <c r="Y97" s="564">
        <v>3</v>
      </c>
      <c r="Z97" s="563" t="s">
        <v>462</v>
      </c>
      <c r="AA97" s="516" t="s">
        <v>848</v>
      </c>
      <c r="AB97" s="527"/>
      <c r="AC97" s="335">
        <v>42340</v>
      </c>
      <c r="AD97" s="523" t="s">
        <v>1435</v>
      </c>
      <c r="AE97" s="564" t="s">
        <v>1100</v>
      </c>
      <c r="AF97" s="233">
        <f>IF(CampList[[#This Row],[Type of Accomodation]]="camp",MAX(0,CampList[[#This Row],[HH]]-SUMIF(Table_Shelter[Pcode],CampList[[#This Row],[CP_Pcode]],Table_Shelter[HH Covered])),0)</f>
        <v>0</v>
      </c>
      <c r="AG97" s="218"/>
      <c r="AH97" s="218">
        <f>MIN(CampList[[#This Row],[Shelter Gap]],CampList[[#This Row],[Land Status]])</f>
        <v>0</v>
      </c>
      <c r="AI97" s="218" t="str">
        <f ca="1">IFERROR(OFFSET(DistanceToCamp[Nearest Town],MATCH(CampList[[#This Row],[CP_Pcode]],DistanceToCamp[CP_Pcode],0)-1,0,1,1),"")</f>
        <v>Myitkyina Town</v>
      </c>
      <c r="AJ97" s="566">
        <f ca="1">IFERROR(OFFSET(DistanceToCamp[distance],MATCH(CampList[[#This Row],[CP_Pcode]],DistanceToCamp[CP_Pcode],0)-1,0,1,1),"")</f>
        <v>5.2238983299151851</v>
      </c>
      <c r="AK97" s="337">
        <f ca="1">IFERROR(INT(CampList[[#This Row],[Distance]]/5)+1,"")</f>
        <v>2</v>
      </c>
      <c r="AL97" s="727"/>
      <c r="AM97" s="727"/>
      <c r="AN97" s="727"/>
      <c r="BD97" s="5"/>
      <c r="BE97" s="5"/>
    </row>
    <row r="98" spans="1:57" s="4" customFormat="1" ht="15.6" customHeight="1" x14ac:dyDescent="0.25">
      <c r="A98" s="590" t="s">
        <v>502</v>
      </c>
      <c r="B98" s="527" t="s">
        <v>380</v>
      </c>
      <c r="C98" s="527" t="s">
        <v>527</v>
      </c>
      <c r="D98" s="527" t="s">
        <v>237</v>
      </c>
      <c r="E98" s="527" t="s">
        <v>533</v>
      </c>
      <c r="F98" s="527" t="s">
        <v>310</v>
      </c>
      <c r="G98" s="218" t="s">
        <v>534</v>
      </c>
      <c r="H98" s="582" t="s">
        <v>695</v>
      </c>
      <c r="I98" s="582" t="s">
        <v>696</v>
      </c>
      <c r="J98" s="582" t="s">
        <v>695</v>
      </c>
      <c r="K98" s="583">
        <v>165740</v>
      </c>
      <c r="L98" s="527" t="s">
        <v>326</v>
      </c>
      <c r="M98" s="219" t="s">
        <v>325</v>
      </c>
      <c r="N98" s="558">
        <v>97.426536944444507</v>
      </c>
      <c r="O98" s="558">
        <v>25.409612685185198</v>
      </c>
      <c r="P98" s="559">
        <v>0</v>
      </c>
      <c r="Q98" s="509">
        <v>48</v>
      </c>
      <c r="R98" s="531">
        <v>199</v>
      </c>
      <c r="S98" s="333">
        <f>IF(CampList[[#This Row],[HH]]&gt;0,CampList[[#This Row],[Total]]/CampList[[#This Row],[HH]],"NA")</f>
        <v>4.145833333333333</v>
      </c>
      <c r="T98" s="581" t="s">
        <v>513</v>
      </c>
      <c r="U98" s="334" t="s">
        <v>1213</v>
      </c>
      <c r="V98" s="219" t="s">
        <v>556</v>
      </c>
      <c r="W98" s="562" t="s">
        <v>808</v>
      </c>
      <c r="X98" s="563">
        <v>40878</v>
      </c>
      <c r="Y98" s="564">
        <v>1</v>
      </c>
      <c r="Z98" s="563" t="s">
        <v>462</v>
      </c>
      <c r="AA98" s="516" t="s">
        <v>848</v>
      </c>
      <c r="AB98" s="527"/>
      <c r="AC98" s="565">
        <v>42340</v>
      </c>
      <c r="AD98" s="523" t="s">
        <v>1435</v>
      </c>
      <c r="AE98" s="564" t="s">
        <v>1100</v>
      </c>
      <c r="AF98" s="233">
        <f>IF(CampList[[#This Row],[Type of Accomodation]]="camp",MAX(0,CampList[[#This Row],[HH]]-SUMIF(Table_Shelter[Pcode],CampList[[#This Row],[CP_Pcode]],Table_Shelter[HH Covered])),0)</f>
        <v>8</v>
      </c>
      <c r="AG98" s="218"/>
      <c r="AH98" s="218">
        <f>MIN(CampList[[#This Row],[Shelter Gap]],CampList[[#This Row],[Land Status]])</f>
        <v>8</v>
      </c>
      <c r="AI98" s="218" t="str">
        <f ca="1">IFERROR(OFFSET(DistanceToCamp[Nearest Town],MATCH(CampList[[#This Row],[CP_Pcode]],DistanceToCamp[CP_Pcode],0)-1,0,1,1),"")</f>
        <v>Myitkyina Town</v>
      </c>
      <c r="AJ98" s="566">
        <f ca="1">IFERROR(OFFSET(DistanceToCamp[distance],MATCH(CampList[[#This Row],[CP_Pcode]],DistanceToCamp[CP_Pcode],0)-1,0,1,1),"")</f>
        <v>4.3887485673235673</v>
      </c>
      <c r="AK98" s="337">
        <f ca="1">IFERROR(INT(CampList[[#This Row],[Distance]]/5)+1,"")</f>
        <v>1</v>
      </c>
      <c r="AL98" s="727"/>
      <c r="AM98" s="727"/>
      <c r="AN98" s="727"/>
      <c r="BD98" s="5"/>
      <c r="BE98" s="5"/>
    </row>
    <row r="99" spans="1:57" s="4" customFormat="1" ht="15.6" customHeight="1" x14ac:dyDescent="0.25">
      <c r="A99" s="555" t="s">
        <v>502</v>
      </c>
      <c r="B99" s="525" t="s">
        <v>380</v>
      </c>
      <c r="C99" s="525" t="s">
        <v>527</v>
      </c>
      <c r="D99" s="525" t="s">
        <v>5</v>
      </c>
      <c r="E99" s="525" t="s">
        <v>531</v>
      </c>
      <c r="F99" s="525" t="s">
        <v>151</v>
      </c>
      <c r="G99" s="525" t="s">
        <v>541</v>
      </c>
      <c r="H99" s="594" t="s">
        <v>891</v>
      </c>
      <c r="I99" s="594">
        <v>167301</v>
      </c>
      <c r="J99" s="594" t="s">
        <v>891</v>
      </c>
      <c r="K99" s="594"/>
      <c r="L99" s="525" t="s">
        <v>891</v>
      </c>
      <c r="M99" s="527" t="s">
        <v>892</v>
      </c>
      <c r="N99" s="568">
        <v>97.225881000000001</v>
      </c>
      <c r="O99" s="568">
        <v>23.972453000000002</v>
      </c>
      <c r="P99" s="569">
        <v>466</v>
      </c>
      <c r="Q99" s="509">
        <v>372</v>
      </c>
      <c r="R99" s="531">
        <v>1141</v>
      </c>
      <c r="S99" s="333">
        <f>IF(CampList[[#This Row],[HH]]&gt;0,CampList[[#This Row],[Total]]/CampList[[#This Row],[HH]],"NA")</f>
        <v>3.067204301075269</v>
      </c>
      <c r="T99" s="581" t="s">
        <v>513</v>
      </c>
      <c r="U99" s="562" t="s">
        <v>1213</v>
      </c>
      <c r="V99" s="527" t="s">
        <v>556</v>
      </c>
      <c r="W99" s="527" t="s">
        <v>862</v>
      </c>
      <c r="X99" s="595"/>
      <c r="Y99" s="564">
        <v>2</v>
      </c>
      <c r="Z99" s="563" t="s">
        <v>462</v>
      </c>
      <c r="AA99" s="521" t="s">
        <v>848</v>
      </c>
      <c r="AB99" s="525"/>
      <c r="AC99" s="565">
        <v>42351</v>
      </c>
      <c r="AD99" s="523" t="s">
        <v>1469</v>
      </c>
      <c r="AE99" s="564" t="s">
        <v>1100</v>
      </c>
      <c r="AF99" s="535">
        <f>IF(CampList[[#This Row],[Type of Accomodation]]="camp",MAX(0,CampList[[#This Row],[HH]]-SUMIF(Table_Shelter[Pcode],CampList[[#This Row],[CP_Pcode]],Table_Shelter[HH Covered])),0)</f>
        <v>148</v>
      </c>
      <c r="AG99" s="525"/>
      <c r="AH99" s="525">
        <f>MIN(CampList[[#This Row],[Shelter Gap]],CampList[[#This Row],[Land Status]])</f>
        <v>148</v>
      </c>
      <c r="AI99" s="525" t="str">
        <f ca="1">IFERROR(OFFSET(DistanceToCamp[Nearest Town],MATCH(CampList[[#This Row],[CP_Pcode]],DistanceToCamp[CP_Pcode],0)-1,0,1,1),"")</f>
        <v>Mansi Town</v>
      </c>
      <c r="AJ99" s="566">
        <f ca="1">IFERROR(OFFSET(DistanceToCamp[distance],MATCH(CampList[[#This Row],[CP_Pcode]],DistanceToCamp[CP_Pcode],0)-1,0,1,1),"")</f>
        <v>17.731070777343263</v>
      </c>
      <c r="AK99" s="567">
        <f ca="1">IFERROR(INT(CampList[[#This Row],[Distance]]/5)+1,"")</f>
        <v>4</v>
      </c>
      <c r="AL99" s="727"/>
      <c r="AM99" s="727"/>
      <c r="AN99" s="727"/>
      <c r="BD99" s="5"/>
      <c r="BE99" s="5"/>
    </row>
    <row r="100" spans="1:57" s="4" customFormat="1" ht="15.6" customHeight="1" x14ac:dyDescent="0.25">
      <c r="A100" s="341" t="s">
        <v>502</v>
      </c>
      <c r="B100" s="525" t="s">
        <v>380</v>
      </c>
      <c r="C100" s="525" t="s">
        <v>527</v>
      </c>
      <c r="D100" s="525" t="s">
        <v>5</v>
      </c>
      <c r="E100" s="525" t="s">
        <v>531</v>
      </c>
      <c r="F100" s="525" t="s">
        <v>151</v>
      </c>
      <c r="G100" s="525" t="s">
        <v>541</v>
      </c>
      <c r="H100" s="525" t="s">
        <v>891</v>
      </c>
      <c r="I100" s="525">
        <v>167301</v>
      </c>
      <c r="J100" s="525" t="s">
        <v>891</v>
      </c>
      <c r="K100" s="525"/>
      <c r="L100" s="530" t="s">
        <v>949</v>
      </c>
      <c r="M100" s="527" t="s">
        <v>948</v>
      </c>
      <c r="N100" s="568">
        <v>97.227057000000002</v>
      </c>
      <c r="O100" s="568">
        <v>23.976571</v>
      </c>
      <c r="P100" s="532">
        <v>478</v>
      </c>
      <c r="Q100" s="511">
        <v>121</v>
      </c>
      <c r="R100" s="532">
        <v>596</v>
      </c>
      <c r="S100" s="333">
        <f>IF(CampList[[#This Row],[HH]]&gt;0,CampList[[#This Row],[Total]]/CampList[[#This Row],[HH]],"NA")</f>
        <v>4.9256198347107434</v>
      </c>
      <c r="T100" s="581" t="s">
        <v>513</v>
      </c>
      <c r="U100" s="562" t="s">
        <v>1213</v>
      </c>
      <c r="V100" s="527" t="s">
        <v>556</v>
      </c>
      <c r="W100" s="527" t="s">
        <v>862</v>
      </c>
      <c r="X100" s="577"/>
      <c r="Y100" s="533">
        <v>2</v>
      </c>
      <c r="Z100" s="563" t="s">
        <v>1096</v>
      </c>
      <c r="AA100" s="520" t="s">
        <v>848</v>
      </c>
      <c r="AB100" s="525"/>
      <c r="AC100" s="565">
        <v>42235</v>
      </c>
      <c r="AD100" s="528" t="s">
        <v>1352</v>
      </c>
      <c r="AE100" s="533" t="s">
        <v>1100</v>
      </c>
      <c r="AF100" s="535">
        <f>IF(CampList[[#This Row],[Type of Accomodation]]="camp",MAX(0,CampList[[#This Row],[HH]]-SUMIF(Table_Shelter[Pcode],CampList[[#This Row],[CP_Pcode]],Table_Shelter[HH Covered])),0)</f>
        <v>71</v>
      </c>
      <c r="AG100" s="525"/>
      <c r="AH100" s="525">
        <f>MIN(CampList[[#This Row],[Shelter Gap]],CampList[[#This Row],[Land Status]])</f>
        <v>71</v>
      </c>
      <c r="AI100" s="525" t="str">
        <f ca="1">IFERROR(OFFSET(DistanceToCamp[Nearest Town],MATCH(CampList[[#This Row],[CP_Pcode]],DistanceToCamp[CP_Pcode],0)-1,0,1,1),"")</f>
        <v>Kamaing Town</v>
      </c>
      <c r="AJ100" s="566">
        <f ca="1">IFERROR(OFFSET(DistanceToCamp[distance],MATCH(CampList[[#This Row],[CP_Pcode]],DistanceToCamp[CP_Pcode],0)-1,0,1,1),"")</f>
        <v>12.257552920582597</v>
      </c>
      <c r="AK100" s="567">
        <f ca="1">IFERROR(INT(CampList[[#This Row],[Distance]]/5)+1,"")</f>
        <v>3</v>
      </c>
      <c r="AL100" s="727"/>
      <c r="AM100" s="727"/>
      <c r="AN100" s="727"/>
      <c r="BD100" s="5"/>
      <c r="BE100" s="5"/>
    </row>
    <row r="101" spans="1:57" s="4" customFormat="1" ht="15.6" customHeight="1" x14ac:dyDescent="0.25">
      <c r="A101" s="555" t="s">
        <v>502</v>
      </c>
      <c r="B101" s="527" t="s">
        <v>380</v>
      </c>
      <c r="C101" s="527" t="s">
        <v>527</v>
      </c>
      <c r="D101" s="527" t="s">
        <v>237</v>
      </c>
      <c r="E101" s="527" t="s">
        <v>533</v>
      </c>
      <c r="F101" s="527" t="s">
        <v>237</v>
      </c>
      <c r="G101" s="525" t="s">
        <v>537</v>
      </c>
      <c r="H101" s="556" t="s">
        <v>673</v>
      </c>
      <c r="I101" s="556" t="s">
        <v>674</v>
      </c>
      <c r="J101" s="576"/>
      <c r="K101" s="587"/>
      <c r="L101" s="527" t="s">
        <v>259</v>
      </c>
      <c r="M101" s="527" t="s">
        <v>258</v>
      </c>
      <c r="N101" s="558">
        <v>97.4113064583333</v>
      </c>
      <c r="O101" s="558">
        <v>25.360463124999999</v>
      </c>
      <c r="P101" s="559">
        <v>0</v>
      </c>
      <c r="Q101" s="509">
        <v>72</v>
      </c>
      <c r="R101" s="531">
        <v>375</v>
      </c>
      <c r="S101" s="333">
        <f>IF(CampList[[#This Row],[HH]]&gt;0,CampList[[#This Row],[Total]]/CampList[[#This Row],[HH]],"NA")</f>
        <v>5.208333333333333</v>
      </c>
      <c r="T101" s="581" t="s">
        <v>513</v>
      </c>
      <c r="U101" s="562" t="s">
        <v>1213</v>
      </c>
      <c r="V101" s="527" t="s">
        <v>556</v>
      </c>
      <c r="W101" s="562" t="s">
        <v>808</v>
      </c>
      <c r="X101" s="563">
        <v>40756</v>
      </c>
      <c r="Y101" s="564">
        <v>2</v>
      </c>
      <c r="Z101" s="563" t="s">
        <v>462</v>
      </c>
      <c r="AA101" s="516" t="s">
        <v>848</v>
      </c>
      <c r="AB101" s="527"/>
      <c r="AC101" s="565">
        <v>42340</v>
      </c>
      <c r="AD101" s="523" t="s">
        <v>1441</v>
      </c>
      <c r="AE101" s="564" t="s">
        <v>1100</v>
      </c>
      <c r="AF101" s="535">
        <f>IF(CampList[[#This Row],[Type of Accomodation]]="camp",MAX(0,CampList[[#This Row],[HH]]-SUMIF(Table_Shelter[Pcode],CampList[[#This Row],[CP_Pcode]],Table_Shelter[HH Covered])),0)</f>
        <v>52</v>
      </c>
      <c r="AG101" s="525"/>
      <c r="AH101" s="525">
        <f>MIN(CampList[[#This Row],[Shelter Gap]],CampList[[#This Row],[Land Status]])</f>
        <v>52</v>
      </c>
      <c r="AI101" s="525" t="str">
        <f ca="1">IFERROR(OFFSET(DistanceToCamp[Nearest Town],MATCH(CampList[[#This Row],[CP_Pcode]],DistanceToCamp[CP_Pcode],0)-1,0,1,1),"")</f>
        <v>Waingmaw Town</v>
      </c>
      <c r="AJ101" s="566">
        <f ca="1">IFERROR(OFFSET(DistanceToCamp[distance],MATCH(CampList[[#This Row],[CP_Pcode]],DistanceToCamp[CP_Pcode],0)-1,0,1,1),"")</f>
        <v>3.3362307375127798</v>
      </c>
      <c r="AK101" s="567">
        <f ca="1">IFERROR(INT(CampList[[#This Row],[Distance]]/5)+1,"")</f>
        <v>1</v>
      </c>
      <c r="AL101" s="727"/>
      <c r="AM101" s="727"/>
      <c r="AN101" s="727"/>
      <c r="BD101" s="5"/>
      <c r="BE101" s="5"/>
    </row>
    <row r="102" spans="1:57" s="4" customFormat="1" ht="15.6" customHeight="1" x14ac:dyDescent="0.25">
      <c r="A102" s="495" t="s">
        <v>502</v>
      </c>
      <c r="B102" s="535" t="s">
        <v>380</v>
      </c>
      <c r="C102" s="535" t="s">
        <v>527</v>
      </c>
      <c r="D102" s="535" t="s">
        <v>5</v>
      </c>
      <c r="E102" s="535" t="s">
        <v>531</v>
      </c>
      <c r="F102" s="535" t="s">
        <v>185</v>
      </c>
      <c r="G102" s="535" t="s">
        <v>535</v>
      </c>
      <c r="H102" s="535" t="s">
        <v>660</v>
      </c>
      <c r="I102" s="598" t="s">
        <v>661</v>
      </c>
      <c r="J102" s="535" t="s">
        <v>660</v>
      </c>
      <c r="K102" s="535">
        <v>167009</v>
      </c>
      <c r="L102" s="535" t="s">
        <v>202</v>
      </c>
      <c r="M102" s="535" t="s">
        <v>201</v>
      </c>
      <c r="N102" s="508">
        <v>97.325019999999995</v>
      </c>
      <c r="O102" s="508">
        <v>24.245100000000001</v>
      </c>
      <c r="P102" s="569"/>
      <c r="Q102" s="511">
        <v>265</v>
      </c>
      <c r="R102" s="532">
        <v>1084</v>
      </c>
      <c r="S102" s="333">
        <f>IF(CampList[[#This Row],[HH]]&gt;0,CampList[[#This Row],[Total]]/CampList[[#This Row],[HH]],"NA")</f>
        <v>4.090566037735849</v>
      </c>
      <c r="T102" s="599" t="s">
        <v>513</v>
      </c>
      <c r="U102" s="561" t="s">
        <v>1213</v>
      </c>
      <c r="V102" s="496" t="s">
        <v>556</v>
      </c>
      <c r="W102" s="508" t="s">
        <v>808</v>
      </c>
      <c r="X102" s="577">
        <v>41030</v>
      </c>
      <c r="Y102" s="571">
        <v>2</v>
      </c>
      <c r="Z102" s="571" t="s">
        <v>1096</v>
      </c>
      <c r="AA102" s="511" t="s">
        <v>848</v>
      </c>
      <c r="AB102" s="599"/>
      <c r="AC102" s="565">
        <v>42235</v>
      </c>
      <c r="AD102" s="535" t="s">
        <v>1341</v>
      </c>
      <c r="AE102" s="597" t="s">
        <v>1100</v>
      </c>
      <c r="AF102" s="598">
        <f>IF(CampList[[#This Row],[Type of Accomodation]]="camp",MAX(0,CampList[[#This Row],[HH]]-SUMIF(Table_Shelter[Pcode],CampList[[#This Row],[CP_Pcode]],Table_Shelter[HH Covered])),0)</f>
        <v>112</v>
      </c>
      <c r="AG102" s="535"/>
      <c r="AH102" s="598">
        <f>MIN(CampList[[#This Row],[Shelter Gap]],CampList[[#This Row],[Land Status]])</f>
        <v>112</v>
      </c>
      <c r="AI102" s="598" t="str">
        <f ca="1">IFERROR(OFFSET(DistanceToCamp[Nearest Town],MATCH(CampList[[#This Row],[CP_Pcode]],DistanceToCamp[CP_Pcode],0)-1,0,1,1),"")</f>
        <v>Momauk Town</v>
      </c>
      <c r="AJ102" s="336">
        <f ca="1">IFERROR(OFFSET(DistanceToCamp[distance],MATCH(CampList[[#This Row],[CP_Pcode]],DistanceToCamp[CP_Pcode],0)-1,0,1,1),"")</f>
        <v>2.4411071835305544</v>
      </c>
      <c r="AK102" s="600">
        <f ca="1">IFERROR(INT(CampList[[#This Row],[Distance]]/5)+1,"")</f>
        <v>1</v>
      </c>
      <c r="AL102" s="727"/>
      <c r="AM102" s="727"/>
      <c r="AN102" s="727"/>
      <c r="BD102" s="5"/>
      <c r="BE102" s="5"/>
    </row>
    <row r="103" spans="1:57" s="4" customFormat="1" ht="15.6" customHeight="1" x14ac:dyDescent="0.25">
      <c r="A103" s="555" t="s">
        <v>502</v>
      </c>
      <c r="B103" s="219" t="s">
        <v>380</v>
      </c>
      <c r="C103" s="219" t="s">
        <v>527</v>
      </c>
      <c r="D103" s="219" t="s">
        <v>237</v>
      </c>
      <c r="E103" s="219" t="s">
        <v>533</v>
      </c>
      <c r="F103" s="219" t="s">
        <v>237</v>
      </c>
      <c r="G103" s="218" t="s">
        <v>537</v>
      </c>
      <c r="H103" s="556" t="s">
        <v>673</v>
      </c>
      <c r="I103" s="556" t="s">
        <v>674</v>
      </c>
      <c r="J103" s="556" t="s">
        <v>691</v>
      </c>
      <c r="K103" s="557" t="s">
        <v>692</v>
      </c>
      <c r="L103" s="527" t="s">
        <v>261</v>
      </c>
      <c r="M103" s="219" t="s">
        <v>260</v>
      </c>
      <c r="N103" s="558">
        <v>97.418694000000002</v>
      </c>
      <c r="O103" s="558">
        <v>25.428910999999999</v>
      </c>
      <c r="P103" s="559">
        <v>0</v>
      </c>
      <c r="Q103" s="104">
        <v>96</v>
      </c>
      <c r="R103" s="232">
        <v>505</v>
      </c>
      <c r="S103" s="333">
        <f>IF(CampList[[#This Row],[HH]]&gt;0,CampList[[#This Row],[Total]]/CampList[[#This Row],[HH]],"NA")</f>
        <v>5.260416666666667</v>
      </c>
      <c r="T103" s="581" t="s">
        <v>513</v>
      </c>
      <c r="U103" s="334" t="s">
        <v>1213</v>
      </c>
      <c r="V103" s="527" t="s">
        <v>556</v>
      </c>
      <c r="W103" s="562" t="s">
        <v>808</v>
      </c>
      <c r="X103" s="563">
        <v>40725</v>
      </c>
      <c r="Y103" s="564">
        <v>2</v>
      </c>
      <c r="Z103" s="563" t="s">
        <v>462</v>
      </c>
      <c r="AA103" s="516" t="s">
        <v>848</v>
      </c>
      <c r="AB103" s="219"/>
      <c r="AC103" s="579">
        <v>42340</v>
      </c>
      <c r="AD103" s="523" t="s">
        <v>1442</v>
      </c>
      <c r="AE103" s="564" t="s">
        <v>1100</v>
      </c>
      <c r="AF103" s="233">
        <f>IF(CampList[[#This Row],[Type of Accomodation]]="camp",MAX(0,CampList[[#This Row],[HH]]-SUMIF(Table_Shelter[Pcode],CampList[[#This Row],[CP_Pcode]],Table_Shelter[HH Covered])),0)</f>
        <v>16</v>
      </c>
      <c r="AG103" s="218"/>
      <c r="AH103" s="218">
        <f>MIN(CampList[[#This Row],[Shelter Gap]],CampList[[#This Row],[Land Status]])</f>
        <v>16</v>
      </c>
      <c r="AI103" s="218" t="str">
        <f ca="1">IFERROR(OFFSET(DistanceToCamp[Nearest Town],MATCH(CampList[[#This Row],[CP_Pcode]],DistanceToCamp[CP_Pcode],0)-1,0,1,1),"")</f>
        <v>Myitkyina Town</v>
      </c>
      <c r="AJ103" s="336">
        <f ca="1">IFERROR(OFFSET(DistanceToCamp[distance],MATCH(CampList[[#This Row],[CP_Pcode]],DistanceToCamp[CP_Pcode],0)-1,0,1,1),"")</f>
        <v>5.4145379230647226</v>
      </c>
      <c r="AK103" s="337">
        <f ca="1">IFERROR(INT(CampList[[#This Row],[Distance]]/5)+1,"")</f>
        <v>2</v>
      </c>
      <c r="AL103" s="727"/>
      <c r="AM103" s="727"/>
      <c r="AN103" s="727"/>
      <c r="BD103" s="5"/>
      <c r="BE103" s="5"/>
    </row>
    <row r="104" spans="1:57" s="4" customFormat="1" ht="15.6" hidden="1" customHeight="1" x14ac:dyDescent="0.25">
      <c r="A104" s="555" t="s">
        <v>849</v>
      </c>
      <c r="B104" s="219" t="s">
        <v>380</v>
      </c>
      <c r="C104" s="527" t="s">
        <v>527</v>
      </c>
      <c r="D104" s="527" t="s">
        <v>5</v>
      </c>
      <c r="E104" s="527" t="s">
        <v>531</v>
      </c>
      <c r="F104" s="527" t="s">
        <v>151</v>
      </c>
      <c r="G104" s="218" t="s">
        <v>541</v>
      </c>
      <c r="H104" s="556" t="s">
        <v>878</v>
      </c>
      <c r="I104" s="556" t="s">
        <v>879</v>
      </c>
      <c r="J104" s="556" t="s">
        <v>877</v>
      </c>
      <c r="K104" s="557">
        <v>167391</v>
      </c>
      <c r="L104" s="527" t="s">
        <v>882</v>
      </c>
      <c r="M104" s="527" t="s">
        <v>876</v>
      </c>
      <c r="N104" s="558">
        <v>97.710989999999995</v>
      </c>
      <c r="O104" s="580">
        <v>24.181640000000002</v>
      </c>
      <c r="P104" s="569"/>
      <c r="Q104" s="509">
        <v>0</v>
      </c>
      <c r="R104" s="531">
        <v>0</v>
      </c>
      <c r="S104" s="333" t="str">
        <f>IF(CampList[[#This Row],[HH]]&gt;0,CampList[[#This Row],[Total]]/CampList[[#This Row],[HH]],"NA")</f>
        <v>NA</v>
      </c>
      <c r="T104" s="561" t="s">
        <v>513</v>
      </c>
      <c r="U104" s="334" t="s">
        <v>1213</v>
      </c>
      <c r="V104" s="527" t="s">
        <v>556</v>
      </c>
      <c r="W104" s="562"/>
      <c r="X104" s="570"/>
      <c r="Y104" s="571"/>
      <c r="Z104" s="562"/>
      <c r="AA104" s="516" t="s">
        <v>848</v>
      </c>
      <c r="AB104" s="527"/>
      <c r="AC104" s="579">
        <v>41701</v>
      </c>
      <c r="AD104" s="523" t="s">
        <v>1019</v>
      </c>
      <c r="AE104" s="571" t="s">
        <v>1014</v>
      </c>
      <c r="AF104" s="233">
        <f>IF(CampList[[#This Row],[Type of Accomodation]]="camp",MAX(0,CampList[[#This Row],[HH]]-SUMIF(Table_Shelter[Pcode],CampList[[#This Row],[CP_Pcode]],Table_Shelter[HH Covered])),0)</f>
        <v>0</v>
      </c>
      <c r="AG104" s="218"/>
      <c r="AH104" s="218">
        <f>MIN(CampList[[#This Row],[Shelter Gap]],CampList[[#This Row],[Land Status]])</f>
        <v>0</v>
      </c>
      <c r="AI104" s="218" t="str">
        <f ca="1">IFERROR(OFFSET(DistanceToCamp[Nearest Town],MATCH(CampList[[#This Row],[CP_Pcode]],DistanceToCamp[CP_Pcode],0)-1,0,1,1),"")</f>
        <v/>
      </c>
      <c r="AJ104" s="336" t="str">
        <f ca="1">IFERROR(OFFSET(DistanceToCamp[distance],MATCH(CampList[[#This Row],[CP_Pcode]],DistanceToCamp[CP_Pcode],0)-1,0,1,1),"")</f>
        <v/>
      </c>
      <c r="AK104" s="337" t="str">
        <f ca="1">IFERROR(INT(CampList[[#This Row],[Distance]]/5)+1,"")</f>
        <v/>
      </c>
      <c r="AL104" s="727"/>
      <c r="AM104" s="727"/>
      <c r="AN104" s="727"/>
      <c r="BD104" s="5"/>
      <c r="BE104" s="5"/>
    </row>
    <row r="105" spans="1:57" s="4" customFormat="1" ht="15.6" hidden="1" customHeight="1" x14ac:dyDescent="0.25">
      <c r="A105" s="555" t="s">
        <v>849</v>
      </c>
      <c r="B105" s="527" t="s">
        <v>380</v>
      </c>
      <c r="C105" s="527" t="s">
        <v>527</v>
      </c>
      <c r="D105" s="527" t="s">
        <v>5</v>
      </c>
      <c r="E105" s="527" t="s">
        <v>531</v>
      </c>
      <c r="F105" s="527" t="s">
        <v>151</v>
      </c>
      <c r="G105" s="525" t="s">
        <v>541</v>
      </c>
      <c r="H105" s="556" t="s">
        <v>878</v>
      </c>
      <c r="I105" s="556" t="s">
        <v>879</v>
      </c>
      <c r="J105" s="556" t="s">
        <v>877</v>
      </c>
      <c r="K105" s="557">
        <v>167391</v>
      </c>
      <c r="L105" s="527" t="s">
        <v>881</v>
      </c>
      <c r="M105" s="527" t="s">
        <v>880</v>
      </c>
      <c r="N105" s="558">
        <v>97.710989999999995</v>
      </c>
      <c r="O105" s="580">
        <v>24.181640000000002</v>
      </c>
      <c r="P105" s="569"/>
      <c r="Q105" s="509">
        <v>0</v>
      </c>
      <c r="R105" s="531">
        <v>0</v>
      </c>
      <c r="S105" s="333" t="str">
        <f>IF(CampList[[#This Row],[HH]]&gt;0,CampList[[#This Row],[Total]]/CampList[[#This Row],[HH]],"NA")</f>
        <v>NA</v>
      </c>
      <c r="T105" s="561" t="s">
        <v>513</v>
      </c>
      <c r="U105" s="562" t="s">
        <v>1213</v>
      </c>
      <c r="V105" s="527" t="s">
        <v>556</v>
      </c>
      <c r="W105" s="562"/>
      <c r="X105" s="570"/>
      <c r="Y105" s="571"/>
      <c r="Z105" s="562"/>
      <c r="AA105" s="516" t="s">
        <v>848</v>
      </c>
      <c r="AB105" s="527"/>
      <c r="AC105" s="565">
        <v>41701</v>
      </c>
      <c r="AD105" s="523" t="s">
        <v>1019</v>
      </c>
      <c r="AE105" s="571" t="s">
        <v>1014</v>
      </c>
      <c r="AF105" s="535">
        <f>IF(CampList[[#This Row],[Type of Accomodation]]="camp",MAX(0,CampList[[#This Row],[HH]]-SUMIF(Table_Shelter[Pcode],CampList[[#This Row],[CP_Pcode]],Table_Shelter[HH Covered])),0)</f>
        <v>0</v>
      </c>
      <c r="AG105" s="525"/>
      <c r="AH105" s="525">
        <f>MIN(CampList[[#This Row],[Shelter Gap]],CampList[[#This Row],[Land Status]])</f>
        <v>0</v>
      </c>
      <c r="AI105" s="525" t="str">
        <f ca="1">IFERROR(OFFSET(DistanceToCamp[Nearest Town],MATCH(CampList[[#This Row],[CP_Pcode]],DistanceToCamp[CP_Pcode],0)-1,0,1,1),"")</f>
        <v/>
      </c>
      <c r="AJ105" s="336" t="str">
        <f ca="1">IFERROR(OFFSET(DistanceToCamp[distance],MATCH(CampList[[#This Row],[CP_Pcode]],DistanceToCamp[CP_Pcode],0)-1,0,1,1),"")</f>
        <v/>
      </c>
      <c r="AK105" s="567" t="str">
        <f ca="1">IFERROR(INT(CampList[[#This Row],[Distance]]/5)+1,"")</f>
        <v/>
      </c>
      <c r="AL105" s="727"/>
      <c r="AM105" s="727"/>
      <c r="AN105" s="727"/>
      <c r="BD105" s="5"/>
      <c r="BE105" s="5"/>
    </row>
    <row r="106" spans="1:57" s="4" customFormat="1" ht="15.6" customHeight="1" x14ac:dyDescent="0.25">
      <c r="A106" s="555" t="s">
        <v>502</v>
      </c>
      <c r="B106" s="527" t="s">
        <v>380</v>
      </c>
      <c r="C106" s="527" t="s">
        <v>527</v>
      </c>
      <c r="D106" s="527" t="s">
        <v>5</v>
      </c>
      <c r="E106" s="527" t="s">
        <v>531</v>
      </c>
      <c r="F106" s="527" t="s">
        <v>185</v>
      </c>
      <c r="G106" s="525" t="s">
        <v>535</v>
      </c>
      <c r="H106" s="556" t="s">
        <v>658</v>
      </c>
      <c r="I106" s="556" t="s">
        <v>659</v>
      </c>
      <c r="J106" s="556" t="s">
        <v>658</v>
      </c>
      <c r="K106" s="557">
        <v>167063</v>
      </c>
      <c r="L106" s="574" t="s">
        <v>204</v>
      </c>
      <c r="M106" s="527" t="s">
        <v>203</v>
      </c>
      <c r="N106" s="558">
        <v>97.321659999999994</v>
      </c>
      <c r="O106" s="558">
        <v>24.410008999999999</v>
      </c>
      <c r="P106" s="569"/>
      <c r="Q106" s="509">
        <v>28</v>
      </c>
      <c r="R106" s="531">
        <v>136</v>
      </c>
      <c r="S106" s="333">
        <f>IF(CampList[[#This Row],[HH]]&gt;0,CampList[[#This Row],[Total]]/CampList[[#This Row],[HH]],"NA")</f>
        <v>4.8571428571428568</v>
      </c>
      <c r="T106" s="581" t="s">
        <v>513</v>
      </c>
      <c r="U106" s="562" t="s">
        <v>1213</v>
      </c>
      <c r="V106" s="523" t="s">
        <v>12</v>
      </c>
      <c r="W106" s="562" t="s">
        <v>862</v>
      </c>
      <c r="X106" s="570"/>
      <c r="Y106" s="571"/>
      <c r="Z106" s="562"/>
      <c r="AA106" s="515" t="s">
        <v>847</v>
      </c>
      <c r="AB106" s="527"/>
      <c r="AC106" s="579"/>
      <c r="AD106" s="523"/>
      <c r="AE106" s="571" t="s">
        <v>1100</v>
      </c>
      <c r="AF106" s="535">
        <f>IF(CampList[[#This Row],[Type of Accomodation]]="camp",MAX(0,CampList[[#This Row],[HH]]-SUMIF(Table_Shelter[Pcode],CampList[[#This Row],[CP_Pcode]],Table_Shelter[HH Covered])),0)</f>
        <v>0</v>
      </c>
      <c r="AG106" s="525"/>
      <c r="AH106" s="525">
        <f>MIN(CampList[[#This Row],[Shelter Gap]],CampList[[#This Row],[Land Status]])</f>
        <v>0</v>
      </c>
      <c r="AI106" s="525" t="str">
        <f ca="1">IFERROR(OFFSET(DistanceToCamp[Nearest Town],MATCH(CampList[[#This Row],[CP_Pcode]],DistanceToCamp[CP_Pcode],0)-1,0,1,1),"")</f>
        <v>Momauk Town</v>
      </c>
      <c r="AJ106" s="336">
        <f ca="1">IFERROR(OFFSET(DistanceToCamp[distance],MATCH(CampList[[#This Row],[CP_Pcode]],DistanceToCamp[CP_Pcode],0)-1,0,1,1),"")</f>
        <v>17.282528446236295</v>
      </c>
      <c r="AK106" s="567">
        <f ca="1">IFERROR(INT(CampList[[#This Row],[Distance]]/5)+1,"")</f>
        <v>4</v>
      </c>
      <c r="AL106" s="727"/>
      <c r="AM106" s="727"/>
      <c r="AN106" s="727"/>
      <c r="BD106" s="5"/>
      <c r="BE106" s="5"/>
    </row>
    <row r="107" spans="1:57" s="4" customFormat="1" ht="15.6" customHeight="1" x14ac:dyDescent="0.25">
      <c r="A107" s="555" t="s">
        <v>502</v>
      </c>
      <c r="B107" s="527" t="s">
        <v>380</v>
      </c>
      <c r="C107" s="527" t="s">
        <v>527</v>
      </c>
      <c r="D107" s="527" t="s">
        <v>5</v>
      </c>
      <c r="E107" s="527" t="s">
        <v>531</v>
      </c>
      <c r="F107" s="527" t="s">
        <v>185</v>
      </c>
      <c r="G107" s="525" t="s">
        <v>535</v>
      </c>
      <c r="H107" s="556" t="s">
        <v>810</v>
      </c>
      <c r="I107" s="556" t="s">
        <v>811</v>
      </c>
      <c r="J107" s="556" t="s">
        <v>812</v>
      </c>
      <c r="K107" s="557">
        <v>167270</v>
      </c>
      <c r="L107" s="527" t="s">
        <v>205</v>
      </c>
      <c r="M107" s="527" t="s">
        <v>393</v>
      </c>
      <c r="N107" s="568">
        <v>97.276591999999994</v>
      </c>
      <c r="O107" s="568">
        <v>24.759551999999999</v>
      </c>
      <c r="P107" s="569"/>
      <c r="Q107" s="509"/>
      <c r="R107" s="531"/>
      <c r="S107" s="333" t="str">
        <f>IF(CampList[[#This Row],[HH]]&gt;0,CampList[[#This Row],[Total]]/CampList[[#This Row],[HH]],"NA")</f>
        <v>NA</v>
      </c>
      <c r="T107" s="581" t="s">
        <v>513</v>
      </c>
      <c r="U107" s="562" t="s">
        <v>1213</v>
      </c>
      <c r="V107" s="523" t="s">
        <v>12</v>
      </c>
      <c r="W107" s="562" t="s">
        <v>862</v>
      </c>
      <c r="X107" s="570"/>
      <c r="Y107" s="571"/>
      <c r="Z107" s="562"/>
      <c r="AA107" s="515" t="s">
        <v>847</v>
      </c>
      <c r="AB107" s="527"/>
      <c r="AC107" s="579">
        <v>41803</v>
      </c>
      <c r="AD107" s="523" t="s">
        <v>1075</v>
      </c>
      <c r="AE107" s="571" t="s">
        <v>1100</v>
      </c>
      <c r="AF107" s="535">
        <f>IF(CampList[[#This Row],[Type of Accomodation]]="camp",MAX(0,CampList[[#This Row],[HH]]-SUMIF(Table_Shelter[Pcode],CampList[[#This Row],[CP_Pcode]],Table_Shelter[HH Covered])),0)</f>
        <v>0</v>
      </c>
      <c r="AG107" s="525"/>
      <c r="AH107" s="525">
        <f>MIN(CampList[[#This Row],[Shelter Gap]],CampList[[#This Row],[Land Status]])</f>
        <v>0</v>
      </c>
      <c r="AI107" s="525" t="str">
        <f ca="1">IFERROR(OFFSET(DistanceToCamp[Nearest Town],MATCH(CampList[[#This Row],[CP_Pcode]],DistanceToCamp[CP_Pcode],0)-1,0,1,1),"")</f>
        <v>Dawthponeyan  Town</v>
      </c>
      <c r="AJ107" s="336">
        <f ca="1">IFERROR(OFFSET(DistanceToCamp[distance],MATCH(CampList[[#This Row],[CP_Pcode]],DistanceToCamp[CP_Pcode],0)-1,0,1,1),"")</f>
        <v>24.701686141136339</v>
      </c>
      <c r="AK107" s="567">
        <f ca="1">IFERROR(INT(CampList[[#This Row],[Distance]]/5)+1,"")</f>
        <v>5</v>
      </c>
      <c r="AL107" s="727"/>
      <c r="AM107" s="727"/>
      <c r="AN107" s="727"/>
      <c r="BD107" s="5"/>
      <c r="BE107" s="5"/>
    </row>
    <row r="108" spans="1:57" s="4" customFormat="1" ht="15.6" customHeight="1" x14ac:dyDescent="0.25">
      <c r="A108" s="555" t="s">
        <v>502</v>
      </c>
      <c r="B108" s="527" t="s">
        <v>380</v>
      </c>
      <c r="C108" s="527" t="s">
        <v>527</v>
      </c>
      <c r="D108" s="527" t="s">
        <v>5</v>
      </c>
      <c r="E108" s="527" t="s">
        <v>531</v>
      </c>
      <c r="F108" s="527" t="s">
        <v>151</v>
      </c>
      <c r="G108" s="525" t="s">
        <v>541</v>
      </c>
      <c r="H108" s="556" t="s">
        <v>662</v>
      </c>
      <c r="I108" s="556" t="s">
        <v>663</v>
      </c>
      <c r="J108" s="556"/>
      <c r="K108" s="557"/>
      <c r="L108" s="527" t="s">
        <v>160</v>
      </c>
      <c r="M108" s="527" t="s">
        <v>159</v>
      </c>
      <c r="N108" s="558">
        <v>97.589979999999997</v>
      </c>
      <c r="O108" s="558">
        <v>23.83013</v>
      </c>
      <c r="P108" s="559">
        <v>741</v>
      </c>
      <c r="Q108" s="509">
        <v>114</v>
      </c>
      <c r="R108" s="531">
        <v>524</v>
      </c>
      <c r="S108" s="333">
        <f>IF(CampList[[#This Row],[HH]]&gt;0,CampList[[#This Row],[Total]]/CampList[[#This Row],[HH]],"NA")</f>
        <v>4.5964912280701755</v>
      </c>
      <c r="T108" s="581" t="s">
        <v>513</v>
      </c>
      <c r="U108" s="562" t="s">
        <v>1213</v>
      </c>
      <c r="V108" s="527" t="s">
        <v>556</v>
      </c>
      <c r="W108" s="562" t="s">
        <v>862</v>
      </c>
      <c r="X108" s="563">
        <v>40940</v>
      </c>
      <c r="Y108" s="564">
        <v>2</v>
      </c>
      <c r="Z108" s="563" t="s">
        <v>462</v>
      </c>
      <c r="AA108" s="516" t="s">
        <v>848</v>
      </c>
      <c r="AB108" s="527"/>
      <c r="AC108" s="579">
        <v>42351</v>
      </c>
      <c r="AD108" s="528" t="s">
        <v>1473</v>
      </c>
      <c r="AE108" s="564" t="s">
        <v>1100</v>
      </c>
      <c r="AF108" s="535">
        <f>IF(CampList[[#This Row],[Type of Accomodation]]="camp",MAX(0,CampList[[#This Row],[HH]]-SUMIF(Table_Shelter[Pcode],CampList[[#This Row],[CP_Pcode]],Table_Shelter[HH Covered])),0)</f>
        <v>40</v>
      </c>
      <c r="AG108" s="525"/>
      <c r="AH108" s="525">
        <f>MIN(CampList[[#This Row],[Shelter Gap]],CampList[[#This Row],[Land Status]])</f>
        <v>40</v>
      </c>
      <c r="AI108" s="525" t="str">
        <f ca="1">IFERROR(OFFSET(DistanceToCamp[Nearest Town],MATCH(CampList[[#This Row],[CP_Pcode]],DistanceToCamp[CP_Pcode],0)-1,0,1,1),"")</f>
        <v>Namhkan Town</v>
      </c>
      <c r="AJ108" s="336">
        <f ca="1">IFERROR(OFFSET(DistanceToCamp[distance],MATCH(CampList[[#This Row],[CP_Pcode]],DistanceToCamp[CP_Pcode],0)-1,0,1,1),"")</f>
        <v>9.3704379947870464</v>
      </c>
      <c r="AK108" s="567">
        <f ca="1">IFERROR(INT(CampList[[#This Row],[Distance]]/5)+1,"")</f>
        <v>2</v>
      </c>
      <c r="AL108" s="727"/>
      <c r="AM108" s="727"/>
      <c r="AN108" s="727"/>
      <c r="BD108" s="5"/>
      <c r="BE108" s="5"/>
    </row>
    <row r="109" spans="1:57" s="4" customFormat="1" ht="15.6" customHeight="1" x14ac:dyDescent="0.25">
      <c r="A109" s="555" t="s">
        <v>502</v>
      </c>
      <c r="B109" s="525" t="s">
        <v>380</v>
      </c>
      <c r="C109" s="525" t="s">
        <v>527</v>
      </c>
      <c r="D109" s="525" t="s">
        <v>5</v>
      </c>
      <c r="E109" s="525" t="s">
        <v>531</v>
      </c>
      <c r="F109" s="525" t="s">
        <v>151</v>
      </c>
      <c r="G109" s="525" t="s">
        <v>541</v>
      </c>
      <c r="H109" s="525" t="s">
        <v>662</v>
      </c>
      <c r="I109" s="525" t="s">
        <v>663</v>
      </c>
      <c r="J109" s="525" t="s">
        <v>662</v>
      </c>
      <c r="K109" s="525">
        <v>167405</v>
      </c>
      <c r="L109" s="525" t="s">
        <v>1102</v>
      </c>
      <c r="M109" s="527" t="s">
        <v>1103</v>
      </c>
      <c r="N109" s="508">
        <v>97.590767</v>
      </c>
      <c r="O109" s="508">
        <v>23.829599000000002</v>
      </c>
      <c r="P109" s="569"/>
      <c r="Q109" s="511">
        <v>114</v>
      </c>
      <c r="R109" s="532">
        <v>524</v>
      </c>
      <c r="S109" s="333">
        <f>IF(CampList[[#This Row],[HH]]&gt;0,CampList[[#This Row],[Total]]/CampList[[#This Row],[HH]],"NA")</f>
        <v>4.5964912280701755</v>
      </c>
      <c r="T109" s="581" t="s">
        <v>513</v>
      </c>
      <c r="U109" s="562" t="s">
        <v>1213</v>
      </c>
      <c r="V109" s="527" t="s">
        <v>556</v>
      </c>
      <c r="W109" s="527" t="s">
        <v>862</v>
      </c>
      <c r="X109" s="577"/>
      <c r="Y109" s="571"/>
      <c r="Z109" s="562" t="s">
        <v>462</v>
      </c>
      <c r="AA109" s="520" t="s">
        <v>848</v>
      </c>
      <c r="AB109" s="525"/>
      <c r="AC109" s="579">
        <v>42340</v>
      </c>
      <c r="AD109" s="528" t="s">
        <v>1453</v>
      </c>
      <c r="AE109" s="571" t="s">
        <v>1014</v>
      </c>
      <c r="AF109" s="535">
        <f>IF(CampList[[#This Row],[Type of Accomodation]]="camp",MAX(0,CampList[[#This Row],[HH]]-SUMIF(Table_Shelter[Pcode],CampList[[#This Row],[CP_Pcode]],Table_Shelter[HH Covered])),0)</f>
        <v>114</v>
      </c>
      <c r="AG109" s="525"/>
      <c r="AH109" s="525">
        <f>MIN(CampList[[#This Row],[Shelter Gap]],CampList[[#This Row],[Land Status]])</f>
        <v>114</v>
      </c>
      <c r="AI109" s="525" t="str">
        <f ca="1">IFERROR(OFFSET(DistanceToCamp[Nearest Town],MATCH(CampList[[#This Row],[CP_Pcode]],DistanceToCamp[CP_Pcode],0)-1,0,1,1),"")</f>
        <v>Namhkan Town</v>
      </c>
      <c r="AJ109" s="336">
        <f ca="1">IFERROR(OFFSET(DistanceToCamp[distance],MATCH(CampList[[#This Row],[CP_Pcode]],DistanceToCamp[CP_Pcode],0)-1,0,1,1),"")</f>
        <v>9.2957189123335944</v>
      </c>
      <c r="AK109" s="567">
        <f ca="1">IFERROR(INT(CampList[[#This Row],[Distance]]/5)+1,"")</f>
        <v>2</v>
      </c>
      <c r="AL109" s="727"/>
      <c r="AM109" s="727"/>
      <c r="AN109" s="727"/>
      <c r="BD109" s="5"/>
      <c r="BE109" s="5"/>
    </row>
    <row r="110" spans="1:57" s="4" customFormat="1" ht="15.6" customHeight="1" x14ac:dyDescent="0.25">
      <c r="A110" s="495" t="s">
        <v>502</v>
      </c>
      <c r="B110" s="535" t="s">
        <v>380</v>
      </c>
      <c r="C110" s="535" t="s">
        <v>527</v>
      </c>
      <c r="D110" s="535" t="s">
        <v>5</v>
      </c>
      <c r="E110" s="535" t="s">
        <v>531</v>
      </c>
      <c r="F110" s="535" t="s">
        <v>151</v>
      </c>
      <c r="G110" s="535" t="s">
        <v>541</v>
      </c>
      <c r="H110" s="535" t="s">
        <v>662</v>
      </c>
      <c r="I110" s="598" t="s">
        <v>663</v>
      </c>
      <c r="J110" s="535"/>
      <c r="K110" s="535"/>
      <c r="L110" s="535" t="s">
        <v>154</v>
      </c>
      <c r="M110" s="535" t="s">
        <v>153</v>
      </c>
      <c r="N110" s="508">
        <v>97.578490000000002</v>
      </c>
      <c r="O110" s="508">
        <v>23.835319999999999</v>
      </c>
      <c r="P110" s="569">
        <v>795</v>
      </c>
      <c r="Q110" s="511">
        <v>486</v>
      </c>
      <c r="R110" s="532">
        <v>2371</v>
      </c>
      <c r="S110" s="333">
        <f>IF(CampList[[#This Row],[HH]]&gt;0,CampList[[#This Row],[Total]]/CampList[[#This Row],[HH]],"NA")</f>
        <v>4.8786008230452671</v>
      </c>
      <c r="T110" s="599" t="s">
        <v>513</v>
      </c>
      <c r="U110" s="561" t="s">
        <v>1213</v>
      </c>
      <c r="V110" s="496" t="s">
        <v>556</v>
      </c>
      <c r="W110" s="508" t="s">
        <v>862</v>
      </c>
      <c r="X110" s="577">
        <v>40848</v>
      </c>
      <c r="Y110" s="571">
        <v>2</v>
      </c>
      <c r="Z110" s="571" t="s">
        <v>1096</v>
      </c>
      <c r="AA110" s="511" t="s">
        <v>848</v>
      </c>
      <c r="AB110" s="599"/>
      <c r="AC110" s="579">
        <v>42235</v>
      </c>
      <c r="AD110" s="535" t="s">
        <v>1339</v>
      </c>
      <c r="AE110" s="597" t="s">
        <v>1100</v>
      </c>
      <c r="AF110" s="598">
        <f>IF(CampList[[#This Row],[Type of Accomodation]]="camp",MAX(0,CampList[[#This Row],[HH]]-SUMIF(Table_Shelter[Pcode],CampList[[#This Row],[CP_Pcode]],Table_Shelter[HH Covered])),0)</f>
        <v>286</v>
      </c>
      <c r="AG110" s="525"/>
      <c r="AH110" s="525">
        <f>MIN(CampList[[#This Row],[Shelter Gap]],CampList[[#This Row],[Land Status]])</f>
        <v>286</v>
      </c>
      <c r="AI110" s="598" t="str">
        <f ca="1">IFERROR(OFFSET(DistanceToCamp[Nearest Town],MATCH(CampList[[#This Row],[CP_Pcode]],DistanceToCamp[CP_Pcode],0)-1,0,1,1),"")</f>
        <v>Namhkan Town</v>
      </c>
      <c r="AJ110" s="336">
        <f ca="1">IFERROR(OFFSET(DistanceToCamp[distance],MATCH(CampList[[#This Row],[CP_Pcode]],DistanceToCamp[CP_Pcode],0)-1,0,1,1),"")</f>
        <v>10.509375400480517</v>
      </c>
      <c r="AK110" s="600">
        <f ca="1">IFERROR(INT(CampList[[#This Row],[Distance]]/5)+1,"")</f>
        <v>3</v>
      </c>
      <c r="AL110" s="727"/>
      <c r="AM110" s="727"/>
      <c r="AN110" s="727"/>
      <c r="BD110" s="5"/>
      <c r="BE110" s="5"/>
    </row>
    <row r="111" spans="1:57" s="4" customFormat="1" ht="15.6" customHeight="1" x14ac:dyDescent="0.25">
      <c r="A111" s="495" t="s">
        <v>502</v>
      </c>
      <c r="B111" s="535" t="s">
        <v>380</v>
      </c>
      <c r="C111" s="535" t="s">
        <v>527</v>
      </c>
      <c r="D111" s="535" t="s">
        <v>5</v>
      </c>
      <c r="E111" s="535" t="s">
        <v>531</v>
      </c>
      <c r="F111" s="535" t="s">
        <v>151</v>
      </c>
      <c r="G111" s="535" t="s">
        <v>541</v>
      </c>
      <c r="H111" s="535" t="s">
        <v>662</v>
      </c>
      <c r="I111" s="598" t="s">
        <v>663</v>
      </c>
      <c r="J111" s="535"/>
      <c r="K111" s="535"/>
      <c r="L111" s="535" t="s">
        <v>1068</v>
      </c>
      <c r="M111" s="535" t="s">
        <v>1069</v>
      </c>
      <c r="N111" s="508">
        <v>97.578367</v>
      </c>
      <c r="O111" s="508">
        <v>23.833477999999999</v>
      </c>
      <c r="P111" s="569">
        <v>925</v>
      </c>
      <c r="Q111" s="511">
        <v>115</v>
      </c>
      <c r="R111" s="532">
        <v>502</v>
      </c>
      <c r="S111" s="333">
        <f>IF(CampList[[#This Row],[HH]]&gt;0,CampList[[#This Row],[Total]]/CampList[[#This Row],[HH]],"NA")</f>
        <v>4.3652173913043475</v>
      </c>
      <c r="T111" s="599" t="s">
        <v>513</v>
      </c>
      <c r="U111" s="561" t="s">
        <v>1213</v>
      </c>
      <c r="V111" s="496" t="s">
        <v>556</v>
      </c>
      <c r="W111" s="508" t="s">
        <v>862</v>
      </c>
      <c r="X111" s="577"/>
      <c r="Y111" s="571"/>
      <c r="Z111" s="571" t="s">
        <v>1096</v>
      </c>
      <c r="AA111" s="511" t="s">
        <v>848</v>
      </c>
      <c r="AB111" s="599"/>
      <c r="AC111" s="335">
        <v>42235</v>
      </c>
      <c r="AD111" s="535" t="s">
        <v>1336</v>
      </c>
      <c r="AE111" s="597" t="s">
        <v>1100</v>
      </c>
      <c r="AF111" s="598">
        <f>IF(CampList[[#This Row],[Type of Accomodation]]="camp",MAX(0,CampList[[#This Row],[HH]]-SUMIF(Table_Shelter[Pcode],CampList[[#This Row],[CP_Pcode]],Table_Shelter[HH Covered])),0)</f>
        <v>115</v>
      </c>
      <c r="AG111" s="525"/>
      <c r="AH111" s="525">
        <f>MIN(CampList[[#This Row],[Shelter Gap]],CampList[[#This Row],[Land Status]])</f>
        <v>115</v>
      </c>
      <c r="AI111" s="598" t="str">
        <f ca="1">IFERROR(OFFSET(DistanceToCamp[Nearest Town],MATCH(CampList[[#This Row],[CP_Pcode]],DistanceToCamp[CP_Pcode],0)-1,0,1,1),"")</f>
        <v>Namhkan Town</v>
      </c>
      <c r="AJ111" s="336">
        <f ca="1">IFERROR(OFFSET(DistanceToCamp[distance],MATCH(CampList[[#This Row],[CP_Pcode]],DistanceToCamp[CP_Pcode],0)-1,0,1,1),"")</f>
        <v>10.527586947557506</v>
      </c>
      <c r="AK111" s="600">
        <f ca="1">IFERROR(INT(CampList[[#This Row],[Distance]]/5)+1,"")</f>
        <v>3</v>
      </c>
      <c r="AL111" s="727"/>
      <c r="AM111" s="727"/>
      <c r="AN111" s="727"/>
      <c r="BD111" s="5"/>
      <c r="BE111" s="5"/>
    </row>
    <row r="112" spans="1:57" s="4" customFormat="1" ht="15.6" customHeight="1" x14ac:dyDescent="0.25">
      <c r="A112" s="555" t="s">
        <v>502</v>
      </c>
      <c r="B112" s="527" t="s">
        <v>380</v>
      </c>
      <c r="C112" s="527" t="s">
        <v>527</v>
      </c>
      <c r="D112" s="527" t="s">
        <v>5</v>
      </c>
      <c r="E112" s="527" t="s">
        <v>531</v>
      </c>
      <c r="F112" s="527" t="s">
        <v>151</v>
      </c>
      <c r="G112" s="218" t="s">
        <v>541</v>
      </c>
      <c r="H112" s="556" t="s">
        <v>662</v>
      </c>
      <c r="I112" s="556" t="s">
        <v>663</v>
      </c>
      <c r="J112" s="556" t="s">
        <v>662</v>
      </c>
      <c r="K112" s="557">
        <v>167405</v>
      </c>
      <c r="L112" s="527" t="s">
        <v>156</v>
      </c>
      <c r="M112" s="527" t="s">
        <v>155</v>
      </c>
      <c r="N112" s="568">
        <v>97.588291999999996</v>
      </c>
      <c r="O112" s="568">
        <v>23.827870999999998</v>
      </c>
      <c r="P112" s="569"/>
      <c r="Q112" s="509">
        <v>205</v>
      </c>
      <c r="R112" s="531">
        <v>1043</v>
      </c>
      <c r="S112" s="333">
        <f>IF(CampList[[#This Row],[HH]]&gt;0,CampList[[#This Row],[Total]]/CampList[[#This Row],[HH]],"NA")</f>
        <v>5.0878048780487806</v>
      </c>
      <c r="T112" s="581" t="s">
        <v>513</v>
      </c>
      <c r="U112" s="334" t="s">
        <v>1213</v>
      </c>
      <c r="V112" s="523" t="s">
        <v>12</v>
      </c>
      <c r="W112" s="562" t="s">
        <v>862</v>
      </c>
      <c r="X112" s="570"/>
      <c r="Y112" s="571"/>
      <c r="Z112" s="562"/>
      <c r="AA112" s="516" t="s">
        <v>848</v>
      </c>
      <c r="AB112" s="527"/>
      <c r="AC112" s="579">
        <v>42351</v>
      </c>
      <c r="AD112" s="528" t="s">
        <v>1474</v>
      </c>
      <c r="AE112" s="571" t="s">
        <v>1100</v>
      </c>
      <c r="AF112" s="233">
        <f>IF(CampList[[#This Row],[Type of Accomodation]]="camp",MAX(0,CampList[[#This Row],[HH]]-SUMIF(Table_Shelter[Pcode],CampList[[#This Row],[CP_Pcode]],Table_Shelter[HH Covered])),0)</f>
        <v>0</v>
      </c>
      <c r="AG112" s="218"/>
      <c r="AH112" s="218">
        <f>MIN(CampList[[#This Row],[Shelter Gap]],CampList[[#This Row],[Land Status]])</f>
        <v>0</v>
      </c>
      <c r="AI112" s="218" t="str">
        <f ca="1">IFERROR(OFFSET(DistanceToCamp[Nearest Town],MATCH(CampList[[#This Row],[CP_Pcode]],DistanceToCamp[CP_Pcode],0)-1,0,1,1),"")</f>
        <v>Namhkan Town</v>
      </c>
      <c r="AJ112" s="336">
        <f ca="1">IFERROR(OFFSET(DistanceToCamp[distance],MATCH(CampList[[#This Row],[CP_Pcode]],DistanceToCamp[CP_Pcode],0)-1,0,1,1),"")</f>
        <v>9.5650381623500511</v>
      </c>
      <c r="AK112" s="337">
        <f ca="1">IFERROR(INT(CampList[[#This Row],[Distance]]/5)+1,"")</f>
        <v>2</v>
      </c>
      <c r="AL112" s="727"/>
      <c r="AM112" s="727"/>
      <c r="AN112" s="727"/>
      <c r="BD112" s="5"/>
      <c r="BE112" s="5"/>
    </row>
    <row r="113" spans="1:57" s="4" customFormat="1" ht="15.6" hidden="1" customHeight="1" x14ac:dyDescent="0.25">
      <c r="A113" s="555" t="s">
        <v>849</v>
      </c>
      <c r="B113" s="527" t="s">
        <v>380</v>
      </c>
      <c r="C113" s="527" t="s">
        <v>527</v>
      </c>
      <c r="D113" s="527" t="s">
        <v>237</v>
      </c>
      <c r="E113" s="527" t="s">
        <v>533</v>
      </c>
      <c r="F113" s="527" t="s">
        <v>310</v>
      </c>
      <c r="G113" s="525" t="s">
        <v>534</v>
      </c>
      <c r="H113" s="556" t="s">
        <v>729</v>
      </c>
      <c r="I113" s="556" t="s">
        <v>730</v>
      </c>
      <c r="J113" s="556" t="s">
        <v>729</v>
      </c>
      <c r="K113" s="557">
        <v>165772</v>
      </c>
      <c r="L113" s="527" t="s">
        <v>332</v>
      </c>
      <c r="M113" s="527" t="s">
        <v>331</v>
      </c>
      <c r="N113" s="558">
        <v>97.550267000000005</v>
      </c>
      <c r="O113" s="558">
        <v>24.747966999999999</v>
      </c>
      <c r="P113" s="569"/>
      <c r="Q113" s="509">
        <v>0</v>
      </c>
      <c r="R113" s="531">
        <v>0</v>
      </c>
      <c r="S113" s="560" t="str">
        <f>IF(CampList[[#This Row],[HH]]&gt;0,CampList[[#This Row],[Total]]/CampList[[#This Row],[HH]],"NA")</f>
        <v>NA</v>
      </c>
      <c r="T113" s="561" t="s">
        <v>513</v>
      </c>
      <c r="U113" s="562" t="s">
        <v>1213</v>
      </c>
      <c r="V113" s="527" t="s">
        <v>556</v>
      </c>
      <c r="W113" s="562"/>
      <c r="X113" s="570"/>
      <c r="Y113" s="571"/>
      <c r="Z113" s="562"/>
      <c r="AA113" s="517"/>
      <c r="AB113" s="527"/>
      <c r="AC113" s="572"/>
      <c r="AD113" s="523" t="s">
        <v>850</v>
      </c>
      <c r="AE113" s="571" t="s">
        <v>1014</v>
      </c>
      <c r="AF113" s="535">
        <f>IF(CampList[[#This Row],[Type of Accomodation]]="camp",MAX(0,CampList[[#This Row],[HH]]-SUMIF(Table_Shelter[Pcode],CampList[[#This Row],[CP_Pcode]],Table_Shelter[HH Covered])),0)</f>
        <v>0</v>
      </c>
      <c r="AG113" s="525"/>
      <c r="AH113" s="525">
        <f>MIN(CampList[[#This Row],[Shelter Gap]],CampList[[#This Row],[Land Status]])</f>
        <v>0</v>
      </c>
      <c r="AI113" s="525" t="str">
        <f ca="1">IFERROR(OFFSET(DistanceToCamp[Nearest Town],MATCH(CampList[[#This Row],[CP_Pcode]],DistanceToCamp[CP_Pcode],0)-1,0,1,1),"")</f>
        <v/>
      </c>
      <c r="AJ113" s="566" t="str">
        <f ca="1">IFERROR(OFFSET(DistanceToCamp[distance],MATCH(CampList[[#This Row],[CP_Pcode]],DistanceToCamp[CP_Pcode],0)-1,0,1,1),"")</f>
        <v/>
      </c>
      <c r="AK113" s="567" t="str">
        <f ca="1">IFERROR(INT(CampList[[#This Row],[Distance]]/5)+1,"")</f>
        <v/>
      </c>
      <c r="AL113" s="727"/>
      <c r="AM113" s="727"/>
      <c r="AN113" s="727"/>
      <c r="BD113" s="5"/>
      <c r="BE113" s="5"/>
    </row>
    <row r="114" spans="1:57" s="4" customFormat="1" ht="15.6" hidden="1" customHeight="1" x14ac:dyDescent="0.25">
      <c r="A114" s="555" t="s">
        <v>849</v>
      </c>
      <c r="B114" s="527" t="s">
        <v>380</v>
      </c>
      <c r="C114" s="527" t="s">
        <v>527</v>
      </c>
      <c r="D114" s="527" t="s">
        <v>5</v>
      </c>
      <c r="E114" s="527" t="s">
        <v>531</v>
      </c>
      <c r="F114" s="527" t="s">
        <v>185</v>
      </c>
      <c r="G114" s="525" t="s">
        <v>535</v>
      </c>
      <c r="H114" s="556" t="s">
        <v>664</v>
      </c>
      <c r="I114" s="556" t="s">
        <v>665</v>
      </c>
      <c r="J114" s="556" t="s">
        <v>666</v>
      </c>
      <c r="K114" s="557" t="s">
        <v>667</v>
      </c>
      <c r="L114" s="527" t="s">
        <v>207</v>
      </c>
      <c r="M114" s="527" t="s">
        <v>206</v>
      </c>
      <c r="N114" s="558">
        <v>97.346940000000004</v>
      </c>
      <c r="O114" s="558">
        <v>24.251860000000001</v>
      </c>
      <c r="P114" s="559">
        <v>0</v>
      </c>
      <c r="Q114" s="509"/>
      <c r="R114" s="531"/>
      <c r="S114" s="333" t="str">
        <f>IF(CampList[[#This Row],[HH]]&gt;0,CampList[[#This Row],[Total]]/CampList[[#This Row],[HH]],"NA")</f>
        <v>NA</v>
      </c>
      <c r="T114" s="581" t="s">
        <v>513</v>
      </c>
      <c r="U114" s="562" t="s">
        <v>1213</v>
      </c>
      <c r="V114" s="527" t="s">
        <v>556</v>
      </c>
      <c r="W114" s="562" t="s">
        <v>808</v>
      </c>
      <c r="X114" s="563">
        <v>40817</v>
      </c>
      <c r="Y114" s="564"/>
      <c r="Z114" s="563"/>
      <c r="AA114" s="515" t="s">
        <v>848</v>
      </c>
      <c r="AB114" s="527"/>
      <c r="AC114" s="579">
        <v>42317</v>
      </c>
      <c r="AD114" s="523" t="s">
        <v>1388</v>
      </c>
      <c r="AE114" s="564" t="s">
        <v>1100</v>
      </c>
      <c r="AF114" s="535">
        <f>IF(CampList[[#This Row],[Type of Accomodation]]="camp",MAX(0,CampList[[#This Row],[HH]]-SUMIF(Table_Shelter[Pcode],CampList[[#This Row],[CP_Pcode]],Table_Shelter[HH Covered])),0)</f>
        <v>0</v>
      </c>
      <c r="AG114" s="525"/>
      <c r="AH114" s="525">
        <f>MIN(CampList[[#This Row],[Shelter Gap]],CampList[[#This Row],[Land Status]])</f>
        <v>0</v>
      </c>
      <c r="AI114" s="525"/>
      <c r="AJ114" s="336"/>
      <c r="AK114" s="567"/>
      <c r="AL114" s="727"/>
      <c r="AM114" s="727"/>
      <c r="AN114" s="727"/>
      <c r="BD114" s="5"/>
      <c r="BE114" s="5"/>
    </row>
    <row r="115" spans="1:57" s="4" customFormat="1" ht="15.6" customHeight="1" x14ac:dyDescent="0.25">
      <c r="A115" s="555" t="s">
        <v>502</v>
      </c>
      <c r="B115" s="527" t="s">
        <v>555</v>
      </c>
      <c r="C115" s="525" t="s">
        <v>538</v>
      </c>
      <c r="D115" s="525" t="s">
        <v>543</v>
      </c>
      <c r="E115" s="525" t="s">
        <v>544</v>
      </c>
      <c r="F115" s="525" t="s">
        <v>166</v>
      </c>
      <c r="G115" s="525" t="s">
        <v>545</v>
      </c>
      <c r="H115" s="585" t="s">
        <v>808</v>
      </c>
      <c r="I115" s="601" t="s">
        <v>1149</v>
      </c>
      <c r="J115" s="585" t="s">
        <v>820</v>
      </c>
      <c r="K115" s="586"/>
      <c r="L115" s="527" t="s">
        <v>167</v>
      </c>
      <c r="M115" s="527" t="s">
        <v>165</v>
      </c>
      <c r="N115" s="568">
        <v>97.124403000000001</v>
      </c>
      <c r="O115" s="568">
        <v>23.250678000000001</v>
      </c>
      <c r="P115" s="559">
        <v>1250</v>
      </c>
      <c r="Q115" s="509">
        <v>38</v>
      </c>
      <c r="R115" s="531">
        <v>164</v>
      </c>
      <c r="S115" s="333">
        <f>IF(CampList[[#This Row],[HH]]&gt;0,CampList[[#This Row],[Total]]/CampList[[#This Row],[HH]],"NA")</f>
        <v>4.3157894736842106</v>
      </c>
      <c r="T115" s="581" t="s">
        <v>513</v>
      </c>
      <c r="U115" s="562" t="s">
        <v>1213</v>
      </c>
      <c r="V115" s="527" t="s">
        <v>556</v>
      </c>
      <c r="W115" s="562" t="s">
        <v>808</v>
      </c>
      <c r="X115" s="563">
        <v>41000</v>
      </c>
      <c r="Y115" s="564">
        <v>1</v>
      </c>
      <c r="Z115" s="563" t="s">
        <v>462</v>
      </c>
      <c r="AA115" s="516" t="s">
        <v>848</v>
      </c>
      <c r="AB115" s="527"/>
      <c r="AC115" s="579">
        <v>42180</v>
      </c>
      <c r="AD115" s="523" t="s">
        <v>1287</v>
      </c>
      <c r="AE115" s="564" t="s">
        <v>1085</v>
      </c>
      <c r="AF115" s="535">
        <f>IF(CampList[[#This Row],[Type of Accomodation]]="camp",MAX(0,CampList[[#This Row],[HH]]-SUMIF(Table_Shelter[Pcode],CampList[[#This Row],[CP_Pcode]],Table_Shelter[HH Covered])),0)</f>
        <v>0</v>
      </c>
      <c r="AG115" s="525"/>
      <c r="AH115" s="525">
        <f>MIN(CampList[[#This Row],[Shelter Gap]],CampList[[#This Row],[Land Status]])</f>
        <v>0</v>
      </c>
      <c r="AI115" s="525" t="str">
        <f ca="1">IFERROR(OFFSET(DistanceToCamp[Nearest Town],MATCH(CampList[[#This Row],[CP_Pcode]],DistanceToCamp[CP_Pcode],0)-1,0,1,1),"")</f>
        <v>Manton Town</v>
      </c>
      <c r="AJ115" s="336">
        <f ca="1">IFERROR(OFFSET(DistanceToCamp[distance],MATCH(CampList[[#This Row],[CP_Pcode]],DistanceToCamp[CP_Pcode],0)-1,0,1,1),"")</f>
        <v>0.43878855438285824</v>
      </c>
      <c r="AK115" s="567">
        <f ca="1">IFERROR(INT(CampList[[#This Row],[Distance]]/5)+1,"")</f>
        <v>1</v>
      </c>
      <c r="AL115" s="727"/>
      <c r="AM115" s="727"/>
      <c r="AN115" s="727"/>
      <c r="BD115" s="5"/>
      <c r="BE115" s="5"/>
    </row>
    <row r="116" spans="1:57" s="4" customFormat="1" ht="15.6" customHeight="1" x14ac:dyDescent="0.25">
      <c r="A116" s="495" t="s">
        <v>502</v>
      </c>
      <c r="B116" s="535" t="s">
        <v>555</v>
      </c>
      <c r="C116" s="535" t="s">
        <v>538</v>
      </c>
      <c r="D116" s="535" t="s">
        <v>543</v>
      </c>
      <c r="E116" s="535" t="s">
        <v>544</v>
      </c>
      <c r="F116" s="535" t="s">
        <v>166</v>
      </c>
      <c r="G116" s="535" t="s">
        <v>545</v>
      </c>
      <c r="H116" s="535" t="s">
        <v>808</v>
      </c>
      <c r="I116" s="598" t="s">
        <v>1149</v>
      </c>
      <c r="J116" s="535"/>
      <c r="K116" s="535"/>
      <c r="L116" s="535" t="s">
        <v>828</v>
      </c>
      <c r="M116" s="535" t="s">
        <v>829</v>
      </c>
      <c r="N116" s="508">
        <v>97.116680000000002</v>
      </c>
      <c r="O116" s="508">
        <v>23.24661</v>
      </c>
      <c r="P116" s="569">
        <v>87.3</v>
      </c>
      <c r="Q116" s="511">
        <v>31</v>
      </c>
      <c r="R116" s="532">
        <v>191</v>
      </c>
      <c r="S116" s="333">
        <f>IF(CampList[[#This Row],[HH]]&gt;0,CampList[[#This Row],[Total]]/CampList[[#This Row],[HH]],"NA")</f>
        <v>6.161290322580645</v>
      </c>
      <c r="T116" s="599" t="s">
        <v>513</v>
      </c>
      <c r="U116" s="561" t="s">
        <v>1213</v>
      </c>
      <c r="V116" s="496" t="s">
        <v>556</v>
      </c>
      <c r="W116" s="508" t="s">
        <v>808</v>
      </c>
      <c r="X116" s="577"/>
      <c r="Y116" s="571"/>
      <c r="Z116" s="571" t="s">
        <v>1296</v>
      </c>
      <c r="AA116" s="511" t="s">
        <v>848</v>
      </c>
      <c r="AB116" s="599"/>
      <c r="AC116" s="579">
        <v>42235</v>
      </c>
      <c r="AD116" s="535" t="s">
        <v>1345</v>
      </c>
      <c r="AE116" s="597" t="s">
        <v>1086</v>
      </c>
      <c r="AF116" s="598">
        <f>IF(CampList[[#This Row],[Type of Accomodation]]="camp",MAX(0,CampList[[#This Row],[HH]]-SUMIF(Table_Shelter[Pcode],CampList[[#This Row],[CP_Pcode]],Table_Shelter[HH Covered])),0)</f>
        <v>1</v>
      </c>
      <c r="AG116" s="535"/>
      <c r="AH116" s="598">
        <f>MIN(CampList[[#This Row],[Shelter Gap]],CampList[[#This Row],[Land Status]])</f>
        <v>1</v>
      </c>
      <c r="AI116" s="598" t="str">
        <f ca="1">IFERROR(OFFSET(DistanceToCamp[Nearest Town],MATCH(CampList[[#This Row],[CP_Pcode]],DistanceToCamp[CP_Pcode],0)-1,0,1,1),"")</f>
        <v>Manton Town</v>
      </c>
      <c r="AJ116" s="336">
        <f ca="1">IFERROR(OFFSET(DistanceToCamp[distance],MATCH(CampList[[#This Row],[CP_Pcode]],DistanceToCamp[CP_Pcode],0)-1,0,1,1),"")</f>
        <v>0.71762888500316424</v>
      </c>
      <c r="AK116" s="600">
        <f ca="1">IFERROR(INT(CampList[[#This Row],[Distance]]/5)+1,"")</f>
        <v>1</v>
      </c>
      <c r="AL116" s="727"/>
      <c r="AM116" s="727"/>
      <c r="AN116" s="727"/>
      <c r="BD116" s="5"/>
      <c r="BE116" s="5"/>
    </row>
    <row r="117" spans="1:57" s="4" customFormat="1" ht="15.6" customHeight="1" x14ac:dyDescent="0.25">
      <c r="A117" s="555" t="s">
        <v>502</v>
      </c>
      <c r="B117" s="527" t="s">
        <v>380</v>
      </c>
      <c r="C117" s="527" t="s">
        <v>527</v>
      </c>
      <c r="D117" s="527" t="s">
        <v>180</v>
      </c>
      <c r="E117" s="527" t="s">
        <v>528</v>
      </c>
      <c r="F117" s="527" t="s">
        <v>173</v>
      </c>
      <c r="G117" s="525" t="s">
        <v>547</v>
      </c>
      <c r="H117" s="556" t="s">
        <v>634</v>
      </c>
      <c r="I117" s="556" t="s">
        <v>635</v>
      </c>
      <c r="J117" s="556" t="s">
        <v>636</v>
      </c>
      <c r="K117" s="557">
        <v>166676</v>
      </c>
      <c r="L117" s="527" t="s">
        <v>176</v>
      </c>
      <c r="M117" s="527" t="s">
        <v>175</v>
      </c>
      <c r="N117" s="558">
        <v>96.942279999999997</v>
      </c>
      <c r="O117" s="558">
        <v>25.296579999999999</v>
      </c>
      <c r="P117" s="559">
        <v>0</v>
      </c>
      <c r="Q117" s="509">
        <v>18</v>
      </c>
      <c r="R117" s="531">
        <v>79</v>
      </c>
      <c r="S117" s="333">
        <f>IF(CampList[[#This Row],[HH]]&gt;0,CampList[[#This Row],[Total]]/CampList[[#This Row],[HH]],"NA")</f>
        <v>4.3888888888888893</v>
      </c>
      <c r="T117" s="581" t="s">
        <v>513</v>
      </c>
      <c r="U117" s="562" t="s">
        <v>1213</v>
      </c>
      <c r="V117" s="527" t="s">
        <v>556</v>
      </c>
      <c r="W117" s="562" t="s">
        <v>808</v>
      </c>
      <c r="X117" s="563">
        <v>41030</v>
      </c>
      <c r="Y117" s="564">
        <v>1</v>
      </c>
      <c r="Z117" s="563" t="s">
        <v>462</v>
      </c>
      <c r="AA117" s="515" t="s">
        <v>848</v>
      </c>
      <c r="AB117" s="527"/>
      <c r="AC117" s="579">
        <v>42340</v>
      </c>
      <c r="AD117" s="523" t="s">
        <v>1447</v>
      </c>
      <c r="AE117" s="564" t="s">
        <v>1100</v>
      </c>
      <c r="AF117" s="535">
        <f>IF(CampList[[#This Row],[Type of Accomodation]]="camp",MAX(0,CampList[[#This Row],[HH]]-SUMIF(Table_Shelter[Pcode],CampList[[#This Row],[CP_Pcode]],Table_Shelter[HH Covered])),0)</f>
        <v>8</v>
      </c>
      <c r="AG117" s="525"/>
      <c r="AH117" s="525">
        <f>MIN(CampList[[#This Row],[Shelter Gap]],CampList[[#This Row],[Land Status]])</f>
        <v>8</v>
      </c>
      <c r="AI117" s="525" t="str">
        <f ca="1">IFERROR(OFFSET(DistanceToCamp[Nearest Town],MATCH(CampList[[#This Row],[CP_Pcode]],DistanceToCamp[CP_Pcode],0)-1,0,1,1),"")</f>
        <v>Mogaung Town</v>
      </c>
      <c r="AJ117" s="336">
        <f ca="1">IFERROR(OFFSET(DistanceToCamp[distance],MATCH(CampList[[#This Row],[CP_Pcode]],DistanceToCamp[CP_Pcode],0)-1,0,1,1),"")</f>
        <v>0.71141459237180937</v>
      </c>
      <c r="AK117" s="567">
        <f ca="1">IFERROR(INT(CampList[[#This Row],[Distance]]/5)+1,"")</f>
        <v>1</v>
      </c>
      <c r="AL117" s="727"/>
      <c r="AM117" s="727"/>
      <c r="AN117" s="727"/>
      <c r="BD117" s="5"/>
      <c r="BE117" s="5"/>
    </row>
    <row r="118" spans="1:57" s="4" customFormat="1" ht="15.6" customHeight="1" x14ac:dyDescent="0.25">
      <c r="A118" s="332" t="s">
        <v>502</v>
      </c>
      <c r="B118" s="527" t="s">
        <v>380</v>
      </c>
      <c r="C118" s="527" t="s">
        <v>527</v>
      </c>
      <c r="D118" s="527" t="s">
        <v>5</v>
      </c>
      <c r="E118" s="527" t="s">
        <v>531</v>
      </c>
      <c r="F118" s="527" t="s">
        <v>151</v>
      </c>
      <c r="G118" s="218" t="s">
        <v>541</v>
      </c>
      <c r="H118" s="556" t="s">
        <v>652</v>
      </c>
      <c r="I118" s="556" t="s">
        <v>653</v>
      </c>
      <c r="J118" s="556" t="s">
        <v>654</v>
      </c>
      <c r="K118" s="557" t="s">
        <v>655</v>
      </c>
      <c r="L118" s="527" t="s">
        <v>152</v>
      </c>
      <c r="M118" s="527" t="s">
        <v>150</v>
      </c>
      <c r="N118" s="558">
        <v>97.291820000000001</v>
      </c>
      <c r="O118" s="558">
        <v>24.129059999999999</v>
      </c>
      <c r="P118" s="559">
        <v>0</v>
      </c>
      <c r="Q118" s="509">
        <v>221</v>
      </c>
      <c r="R118" s="531">
        <v>1003</v>
      </c>
      <c r="S118" s="333">
        <f>IF(CampList[[#This Row],[HH]]&gt;0,CampList[[#This Row],[Total]]/CampList[[#This Row],[HH]],"NA")</f>
        <v>4.5384615384615383</v>
      </c>
      <c r="T118" s="581" t="s">
        <v>513</v>
      </c>
      <c r="U118" s="334" t="s">
        <v>1213</v>
      </c>
      <c r="V118" s="527" t="s">
        <v>556</v>
      </c>
      <c r="W118" s="562" t="s">
        <v>808</v>
      </c>
      <c r="X118" s="563">
        <v>41579</v>
      </c>
      <c r="Y118" s="564">
        <v>2</v>
      </c>
      <c r="Z118" s="563" t="s">
        <v>462</v>
      </c>
      <c r="AA118" s="515" t="s">
        <v>848</v>
      </c>
      <c r="AB118" s="527"/>
      <c r="AC118" s="579">
        <v>42351</v>
      </c>
      <c r="AD118" s="523" t="s">
        <v>1468</v>
      </c>
      <c r="AE118" s="564" t="s">
        <v>1100</v>
      </c>
      <c r="AF118" s="233">
        <f>IF(CampList[[#This Row],[Type of Accomodation]]="camp",MAX(0,CampList[[#This Row],[HH]]-SUMIF(Table_Shelter[Pcode],CampList[[#This Row],[CP_Pcode]],Table_Shelter[HH Covered])),0)</f>
        <v>116</v>
      </c>
      <c r="AG118" s="218"/>
      <c r="AH118" s="218">
        <f>MIN(CampList[[#This Row],[Shelter Gap]],CampList[[#This Row],[Land Status]])</f>
        <v>116</v>
      </c>
      <c r="AI118" s="218" t="str">
        <f ca="1">IFERROR(OFFSET(DistanceToCamp[Nearest Town],MATCH(CampList[[#This Row],[CP_Pcode]],DistanceToCamp[CP_Pcode],0)-1,0,1,1),"")</f>
        <v>Mansi Town</v>
      </c>
      <c r="AJ118" s="336">
        <f ca="1">IFERROR(OFFSET(DistanceToCamp[distance],MATCH(CampList[[#This Row],[CP_Pcode]],DistanceToCamp[CP_Pcode],0)-1,0,1,1),"")</f>
        <v>1.0576516850656514</v>
      </c>
      <c r="AK118" s="337">
        <f ca="1">IFERROR(INT(CampList[[#This Row],[Distance]]/5)+1,"")</f>
        <v>1</v>
      </c>
      <c r="AL118" s="727"/>
      <c r="AM118" s="727"/>
      <c r="AN118" s="727"/>
      <c r="BD118" s="5"/>
      <c r="BE118" s="5"/>
    </row>
    <row r="119" spans="1:57" s="4" customFormat="1" ht="15.6" hidden="1" customHeight="1" x14ac:dyDescent="0.25">
      <c r="A119" s="332" t="s">
        <v>849</v>
      </c>
      <c r="B119" s="527" t="s">
        <v>380</v>
      </c>
      <c r="C119" s="527" t="s">
        <v>527</v>
      </c>
      <c r="D119" s="527" t="s">
        <v>180</v>
      </c>
      <c r="E119" s="527" t="s">
        <v>528</v>
      </c>
      <c r="F119" s="527" t="s">
        <v>529</v>
      </c>
      <c r="G119" s="218" t="s">
        <v>530</v>
      </c>
      <c r="H119" s="556" t="s">
        <v>605</v>
      </c>
      <c r="I119" s="556" t="s">
        <v>606</v>
      </c>
      <c r="J119" s="556" t="s">
        <v>703</v>
      </c>
      <c r="K119" s="557" t="s">
        <v>704</v>
      </c>
      <c r="L119" s="527" t="s">
        <v>54</v>
      </c>
      <c r="M119" s="219" t="s">
        <v>53</v>
      </c>
      <c r="N119" s="558">
        <v>96.310928000000004</v>
      </c>
      <c r="O119" s="558">
        <v>25.609179999999999</v>
      </c>
      <c r="P119" s="569"/>
      <c r="Q119" s="509">
        <v>0</v>
      </c>
      <c r="R119" s="531">
        <v>0</v>
      </c>
      <c r="S119" s="333" t="str">
        <f>IF(CampList[[#This Row],[HH]]&gt;0,CampList[[#This Row],[Total]]/CampList[[#This Row],[HH]],"NA")</f>
        <v>NA</v>
      </c>
      <c r="T119" s="561" t="s">
        <v>513</v>
      </c>
      <c r="U119" s="334" t="s">
        <v>1213</v>
      </c>
      <c r="V119" s="219" t="s">
        <v>556</v>
      </c>
      <c r="W119" s="562"/>
      <c r="X119" s="570"/>
      <c r="Y119" s="571"/>
      <c r="Z119" s="562"/>
      <c r="AA119" s="515"/>
      <c r="AB119" s="527"/>
      <c r="AC119" s="572"/>
      <c r="AD119" s="523" t="s">
        <v>603</v>
      </c>
      <c r="AE119" s="571" t="s">
        <v>1014</v>
      </c>
      <c r="AF119" s="233">
        <f>IF(CampList[[#This Row],[Type of Accomodation]]="camp",MAX(0,CampList[[#This Row],[HH]]-SUMIF(Table_Shelter[Pcode],CampList[[#This Row],[CP_Pcode]],Table_Shelter[HH Covered])),0)</f>
        <v>0</v>
      </c>
      <c r="AG119" s="218"/>
      <c r="AH119" s="218">
        <f>MIN(CampList[[#This Row],[Shelter Gap]],CampList[[#This Row],[Land Status]])</f>
        <v>0</v>
      </c>
      <c r="AI119" s="218" t="str">
        <f ca="1">IFERROR(OFFSET(DistanceToCamp[Nearest Town],MATCH(CampList[[#This Row],[CP_Pcode]],DistanceToCamp[CP_Pcode],0)-1,0,1,1),"")</f>
        <v/>
      </c>
      <c r="AJ119" s="336" t="str">
        <f ca="1">IFERROR(OFFSET(DistanceToCamp[distance],MATCH(CampList[[#This Row],[CP_Pcode]],DistanceToCamp[CP_Pcode],0)-1,0,1,1),"")</f>
        <v/>
      </c>
      <c r="AK119" s="337" t="str">
        <f ca="1">IFERROR(INT(CampList[[#This Row],[Distance]]/5)+1,"")</f>
        <v/>
      </c>
      <c r="AL119" s="727"/>
      <c r="AM119" s="727"/>
      <c r="AN119" s="727"/>
      <c r="BD119" s="5"/>
      <c r="BE119" s="5"/>
    </row>
    <row r="120" spans="1:57" s="4" customFormat="1" ht="15.6" hidden="1" customHeight="1" x14ac:dyDescent="0.25">
      <c r="A120" s="555" t="s">
        <v>849</v>
      </c>
      <c r="B120" s="527" t="s">
        <v>380</v>
      </c>
      <c r="C120" s="527" t="s">
        <v>527</v>
      </c>
      <c r="D120" s="527" t="s">
        <v>180</v>
      </c>
      <c r="E120" s="527" t="s">
        <v>528</v>
      </c>
      <c r="F120" s="527" t="s">
        <v>529</v>
      </c>
      <c r="G120" s="525" t="s">
        <v>530</v>
      </c>
      <c r="H120" s="556" t="s">
        <v>605</v>
      </c>
      <c r="I120" s="556" t="s">
        <v>606</v>
      </c>
      <c r="J120" s="556" t="s">
        <v>703</v>
      </c>
      <c r="K120" s="557" t="s">
        <v>704</v>
      </c>
      <c r="L120" s="527" t="s">
        <v>66</v>
      </c>
      <c r="M120" s="527" t="s">
        <v>65</v>
      </c>
      <c r="N120" s="568"/>
      <c r="O120" s="568"/>
      <c r="P120" s="569"/>
      <c r="Q120" s="509">
        <v>0</v>
      </c>
      <c r="R120" s="531">
        <v>0</v>
      </c>
      <c r="S120" s="333" t="str">
        <f>IF(CampList[[#This Row],[HH]]&gt;0,CampList[[#This Row],[Total]]/CampList[[#This Row],[HH]],"NA")</f>
        <v>NA</v>
      </c>
      <c r="T120" s="561" t="s">
        <v>513</v>
      </c>
      <c r="U120" s="562" t="s">
        <v>1213</v>
      </c>
      <c r="V120" s="527" t="s">
        <v>556</v>
      </c>
      <c r="W120" s="562"/>
      <c r="X120" s="570"/>
      <c r="Y120" s="571"/>
      <c r="Z120" s="562"/>
      <c r="AA120" s="515"/>
      <c r="AB120" s="527"/>
      <c r="AC120" s="572"/>
      <c r="AD120" s="523" t="s">
        <v>603</v>
      </c>
      <c r="AE120" s="571" t="s">
        <v>1014</v>
      </c>
      <c r="AF120" s="535">
        <f>IF(CampList[[#This Row],[Type of Accomodation]]="camp",MAX(0,CampList[[#This Row],[HH]]-SUMIF(Table_Shelter[Pcode],CampList[[#This Row],[CP_Pcode]],Table_Shelter[HH Covered])),0)</f>
        <v>0</v>
      </c>
      <c r="AG120" s="525"/>
      <c r="AH120" s="525">
        <f>MIN(CampList[[#This Row],[Shelter Gap]],CampList[[#This Row],[Land Status]])</f>
        <v>0</v>
      </c>
      <c r="AI120" s="525" t="str">
        <f ca="1">IFERROR(OFFSET(DistanceToCamp[Nearest Town],MATCH(CampList[[#This Row],[CP_Pcode]],DistanceToCamp[CP_Pcode],0)-1,0,1,1),"")</f>
        <v/>
      </c>
      <c r="AJ120" s="336" t="str">
        <f ca="1">IFERROR(OFFSET(DistanceToCamp[distance],MATCH(CampList[[#This Row],[CP_Pcode]],DistanceToCamp[CP_Pcode],0)-1,0,1,1),"")</f>
        <v/>
      </c>
      <c r="AK120" s="567" t="str">
        <f ca="1">IFERROR(INT(CampList[[#This Row],[Distance]]/5)+1,"")</f>
        <v/>
      </c>
      <c r="AL120" s="727"/>
      <c r="AM120" s="727"/>
      <c r="AN120" s="727"/>
      <c r="BD120" s="5"/>
      <c r="BE120" s="5"/>
    </row>
    <row r="121" spans="1:57" s="4" customFormat="1" ht="15.6" hidden="1" customHeight="1" x14ac:dyDescent="0.25">
      <c r="A121" s="555" t="s">
        <v>849</v>
      </c>
      <c r="B121" s="527" t="s">
        <v>380</v>
      </c>
      <c r="C121" s="527" t="s">
        <v>527</v>
      </c>
      <c r="D121" s="527" t="s">
        <v>180</v>
      </c>
      <c r="E121" s="527" t="s">
        <v>528</v>
      </c>
      <c r="F121" s="527" t="s">
        <v>529</v>
      </c>
      <c r="G121" s="525" t="s">
        <v>530</v>
      </c>
      <c r="H121" s="556" t="s">
        <v>605</v>
      </c>
      <c r="I121" s="556" t="s">
        <v>606</v>
      </c>
      <c r="J121" s="556" t="s">
        <v>703</v>
      </c>
      <c r="K121" s="557" t="s">
        <v>704</v>
      </c>
      <c r="L121" s="527" t="s">
        <v>80</v>
      </c>
      <c r="M121" s="527" t="s">
        <v>79</v>
      </c>
      <c r="N121" s="568"/>
      <c r="O121" s="568"/>
      <c r="P121" s="569"/>
      <c r="Q121" s="509">
        <v>0</v>
      </c>
      <c r="R121" s="531">
        <v>0</v>
      </c>
      <c r="S121" s="333" t="str">
        <f>IF(CampList[[#This Row],[HH]]&gt;0,CampList[[#This Row],[Total]]/CampList[[#This Row],[HH]],"NA")</f>
        <v>NA</v>
      </c>
      <c r="T121" s="561" t="s">
        <v>513</v>
      </c>
      <c r="U121" s="562" t="s">
        <v>1213</v>
      </c>
      <c r="V121" s="527" t="s">
        <v>556</v>
      </c>
      <c r="W121" s="562"/>
      <c r="X121" s="570"/>
      <c r="Y121" s="571"/>
      <c r="Z121" s="562"/>
      <c r="AA121" s="515"/>
      <c r="AB121" s="527"/>
      <c r="AC121" s="572"/>
      <c r="AD121" s="523" t="s">
        <v>603</v>
      </c>
      <c r="AE121" s="571" t="s">
        <v>1014</v>
      </c>
      <c r="AF121" s="535">
        <f>IF(CampList[[#This Row],[Type of Accomodation]]="camp",MAX(0,CampList[[#This Row],[HH]]-SUMIF(Table_Shelter[Pcode],CampList[[#This Row],[CP_Pcode]],Table_Shelter[HH Covered])),0)</f>
        <v>0</v>
      </c>
      <c r="AG121" s="525"/>
      <c r="AH121" s="525">
        <f>MIN(CampList[[#This Row],[Shelter Gap]],CampList[[#This Row],[Land Status]])</f>
        <v>0</v>
      </c>
      <c r="AI121" s="525" t="str">
        <f ca="1">IFERROR(OFFSET(DistanceToCamp[Nearest Town],MATCH(CampList[[#This Row],[CP_Pcode]],DistanceToCamp[CP_Pcode],0)-1,0,1,1),"")</f>
        <v/>
      </c>
      <c r="AJ121" s="336" t="str">
        <f ca="1">IFERROR(OFFSET(DistanceToCamp[distance],MATCH(CampList[[#This Row],[CP_Pcode]],DistanceToCamp[CP_Pcode],0)-1,0,1,1),"")</f>
        <v/>
      </c>
      <c r="AK121" s="567" t="str">
        <f ca="1">IFERROR(INT(CampList[[#This Row],[Distance]]/5)+1,"")</f>
        <v/>
      </c>
      <c r="AL121" s="727"/>
      <c r="AM121" s="727"/>
      <c r="AN121" s="727"/>
      <c r="BD121" s="5"/>
      <c r="BE121" s="5"/>
    </row>
    <row r="122" spans="1:57" s="4" customFormat="1" ht="15.6" hidden="1" customHeight="1" x14ac:dyDescent="0.25">
      <c r="A122" s="332" t="s">
        <v>849</v>
      </c>
      <c r="B122" s="219" t="s">
        <v>380</v>
      </c>
      <c r="C122" s="527" t="s">
        <v>527</v>
      </c>
      <c r="D122" s="527" t="s">
        <v>180</v>
      </c>
      <c r="E122" s="527" t="s">
        <v>528</v>
      </c>
      <c r="F122" s="527" t="s">
        <v>529</v>
      </c>
      <c r="G122" s="525" t="s">
        <v>530</v>
      </c>
      <c r="H122" s="556" t="s">
        <v>605</v>
      </c>
      <c r="I122" s="556" t="s">
        <v>606</v>
      </c>
      <c r="J122" s="556" t="s">
        <v>703</v>
      </c>
      <c r="K122" s="557" t="s">
        <v>704</v>
      </c>
      <c r="L122" s="527" t="s">
        <v>102</v>
      </c>
      <c r="M122" s="219" t="s">
        <v>101</v>
      </c>
      <c r="N122" s="568"/>
      <c r="O122" s="568"/>
      <c r="P122" s="569"/>
      <c r="Q122" s="104">
        <v>0</v>
      </c>
      <c r="R122" s="232">
        <v>0</v>
      </c>
      <c r="S122" s="333" t="str">
        <f>IF(CampList[[#This Row],[HH]]&gt;0,CampList[[#This Row],[Total]]/CampList[[#This Row],[HH]],"NA")</f>
        <v>NA</v>
      </c>
      <c r="T122" s="561" t="s">
        <v>513</v>
      </c>
      <c r="U122" s="334" t="s">
        <v>1213</v>
      </c>
      <c r="V122" s="219" t="s">
        <v>556</v>
      </c>
      <c r="W122" s="334"/>
      <c r="X122" s="570"/>
      <c r="Y122" s="571"/>
      <c r="Z122" s="562"/>
      <c r="AA122" s="515"/>
      <c r="AB122" s="219"/>
      <c r="AC122" s="572"/>
      <c r="AD122" s="217" t="s">
        <v>603</v>
      </c>
      <c r="AE122" s="571" t="s">
        <v>1014</v>
      </c>
      <c r="AF122" s="233">
        <f>IF(CampList[[#This Row],[Type of Accomodation]]="camp",MAX(0,CampList[[#This Row],[HH]]-SUMIF(Table_Shelter[Pcode],CampList[[#This Row],[CP_Pcode]],Table_Shelter[HH Covered])),0)</f>
        <v>0</v>
      </c>
      <c r="AG122" s="218"/>
      <c r="AH122" s="218">
        <f>MIN(CampList[[#This Row],[Shelter Gap]],CampList[[#This Row],[Land Status]])</f>
        <v>0</v>
      </c>
      <c r="AI122" s="218" t="str">
        <f ca="1">IFERROR(OFFSET(DistanceToCamp[Nearest Town],MATCH(CampList[[#This Row],[CP_Pcode]],DistanceToCamp[CP_Pcode],0)-1,0,1,1),"")</f>
        <v/>
      </c>
      <c r="AJ122" s="336" t="str">
        <f ca="1">IFERROR(OFFSET(DistanceToCamp[distance],MATCH(CampList[[#This Row],[CP_Pcode]],DistanceToCamp[CP_Pcode],0)-1,0,1,1),"")</f>
        <v/>
      </c>
      <c r="AK122" s="337" t="str">
        <f ca="1">IFERROR(INT(CampList[[#This Row],[Distance]]/5)+1,"")</f>
        <v/>
      </c>
      <c r="AL122" s="727"/>
      <c r="AM122" s="727"/>
      <c r="AN122" s="727"/>
      <c r="BD122" s="5"/>
      <c r="BE122" s="5"/>
    </row>
    <row r="123" spans="1:57" s="4" customFormat="1" ht="15.6" hidden="1" customHeight="1" x14ac:dyDescent="0.25">
      <c r="A123" s="555" t="s">
        <v>849</v>
      </c>
      <c r="B123" s="527" t="s">
        <v>380</v>
      </c>
      <c r="C123" s="527" t="s">
        <v>527</v>
      </c>
      <c r="D123" s="527" t="s">
        <v>180</v>
      </c>
      <c r="E123" s="527" t="s">
        <v>528</v>
      </c>
      <c r="F123" s="527" t="s">
        <v>529</v>
      </c>
      <c r="G123" s="525" t="s">
        <v>530</v>
      </c>
      <c r="H123" s="556" t="s">
        <v>605</v>
      </c>
      <c r="I123" s="556" t="s">
        <v>606</v>
      </c>
      <c r="J123" s="556" t="s">
        <v>703</v>
      </c>
      <c r="K123" s="557" t="s">
        <v>704</v>
      </c>
      <c r="L123" s="527" t="s">
        <v>106</v>
      </c>
      <c r="M123" s="527" t="s">
        <v>105</v>
      </c>
      <c r="N123" s="568"/>
      <c r="O123" s="568"/>
      <c r="P123" s="569"/>
      <c r="Q123" s="509">
        <v>0</v>
      </c>
      <c r="R123" s="531">
        <v>0</v>
      </c>
      <c r="S123" s="333" t="str">
        <f>IF(CampList[[#This Row],[HH]]&gt;0,CampList[[#This Row],[Total]]/CampList[[#This Row],[HH]],"NA")</f>
        <v>NA</v>
      </c>
      <c r="T123" s="561" t="s">
        <v>513</v>
      </c>
      <c r="U123" s="562" t="s">
        <v>1213</v>
      </c>
      <c r="V123" s="527" t="s">
        <v>556</v>
      </c>
      <c r="W123" s="562"/>
      <c r="X123" s="570"/>
      <c r="Y123" s="571"/>
      <c r="Z123" s="562"/>
      <c r="AA123" s="515"/>
      <c r="AB123" s="527"/>
      <c r="AC123" s="572"/>
      <c r="AD123" s="523" t="s">
        <v>603</v>
      </c>
      <c r="AE123" s="571" t="s">
        <v>1014</v>
      </c>
      <c r="AF123" s="535">
        <f>IF(CampList[[#This Row],[Type of Accomodation]]="camp",MAX(0,CampList[[#This Row],[HH]]-SUMIF(Table_Shelter[Pcode],CampList[[#This Row],[CP_Pcode]],Table_Shelter[HH Covered])),0)</f>
        <v>0</v>
      </c>
      <c r="AG123" s="525"/>
      <c r="AH123" s="525">
        <f>MIN(CampList[[#This Row],[Shelter Gap]],CampList[[#This Row],[Land Status]])</f>
        <v>0</v>
      </c>
      <c r="AI123" s="525" t="str">
        <f ca="1">IFERROR(OFFSET(DistanceToCamp[Nearest Town],MATCH(CampList[[#This Row],[CP_Pcode]],DistanceToCamp[CP_Pcode],0)-1,0,1,1),"")</f>
        <v/>
      </c>
      <c r="AJ123" s="336" t="str">
        <f ca="1">IFERROR(OFFSET(DistanceToCamp[distance],MATCH(CampList[[#This Row],[CP_Pcode]],DistanceToCamp[CP_Pcode],0)-1,0,1,1),"")</f>
        <v/>
      </c>
      <c r="AK123" s="567" t="str">
        <f ca="1">IFERROR(INT(CampList[[#This Row],[Distance]]/5)+1,"")</f>
        <v/>
      </c>
      <c r="AL123" s="727"/>
      <c r="AM123" s="727"/>
      <c r="AN123" s="727"/>
      <c r="BD123" s="5"/>
      <c r="BE123" s="5"/>
    </row>
    <row r="124" spans="1:57" s="4" customFormat="1" ht="15.6" hidden="1" customHeight="1" x14ac:dyDescent="0.25">
      <c r="A124" s="555" t="s">
        <v>849</v>
      </c>
      <c r="B124" s="527" t="s">
        <v>380</v>
      </c>
      <c r="C124" s="527" t="s">
        <v>527</v>
      </c>
      <c r="D124" s="527" t="s">
        <v>180</v>
      </c>
      <c r="E124" s="527" t="s">
        <v>528</v>
      </c>
      <c r="F124" s="527" t="s">
        <v>529</v>
      </c>
      <c r="G124" s="525" t="s">
        <v>530</v>
      </c>
      <c r="H124" s="556" t="s">
        <v>605</v>
      </c>
      <c r="I124" s="556" t="s">
        <v>606</v>
      </c>
      <c r="J124" s="556" t="s">
        <v>703</v>
      </c>
      <c r="K124" s="557" t="s">
        <v>704</v>
      </c>
      <c r="L124" s="527" t="s">
        <v>116</v>
      </c>
      <c r="M124" s="527" t="s">
        <v>115</v>
      </c>
      <c r="N124" s="568"/>
      <c r="O124" s="568"/>
      <c r="P124" s="569"/>
      <c r="Q124" s="509">
        <v>0</v>
      </c>
      <c r="R124" s="531">
        <v>0</v>
      </c>
      <c r="S124" s="333" t="str">
        <f>IF(CampList[[#This Row],[HH]]&gt;0,CampList[[#This Row],[Total]]/CampList[[#This Row],[HH]],"NA")</f>
        <v>NA</v>
      </c>
      <c r="T124" s="561" t="s">
        <v>513</v>
      </c>
      <c r="U124" s="562" t="s">
        <v>1213</v>
      </c>
      <c r="V124" s="527" t="s">
        <v>556</v>
      </c>
      <c r="W124" s="562"/>
      <c r="X124" s="570"/>
      <c r="Y124" s="571"/>
      <c r="Z124" s="562"/>
      <c r="AA124" s="515"/>
      <c r="AB124" s="527"/>
      <c r="AC124" s="572"/>
      <c r="AD124" s="523" t="s">
        <v>603</v>
      </c>
      <c r="AE124" s="571" t="s">
        <v>1014</v>
      </c>
      <c r="AF124" s="535">
        <f>IF(CampList[[#This Row],[Type of Accomodation]]="camp",MAX(0,CampList[[#This Row],[HH]]-SUMIF(Table_Shelter[Pcode],CampList[[#This Row],[CP_Pcode]],Table_Shelter[HH Covered])),0)</f>
        <v>0</v>
      </c>
      <c r="AG124" s="525"/>
      <c r="AH124" s="525">
        <f>MIN(CampList[[#This Row],[Shelter Gap]],CampList[[#This Row],[Land Status]])</f>
        <v>0</v>
      </c>
      <c r="AI124" s="525" t="str">
        <f ca="1">IFERROR(OFFSET(DistanceToCamp[Nearest Town],MATCH(CampList[[#This Row],[CP_Pcode]],DistanceToCamp[CP_Pcode],0)-1,0,1,1),"")</f>
        <v/>
      </c>
      <c r="AJ124" s="336" t="str">
        <f ca="1">IFERROR(OFFSET(DistanceToCamp[distance],MATCH(CampList[[#This Row],[CP_Pcode]],DistanceToCamp[CP_Pcode],0)-1,0,1,1),"")</f>
        <v/>
      </c>
      <c r="AK124" s="567" t="str">
        <f ca="1">IFERROR(INT(CampList[[#This Row],[Distance]]/5)+1,"")</f>
        <v/>
      </c>
      <c r="AL124" s="727"/>
      <c r="AM124" s="727"/>
      <c r="AN124" s="727"/>
      <c r="BD124" s="5"/>
      <c r="BE124" s="5"/>
    </row>
    <row r="125" spans="1:57" s="4" customFormat="1" ht="15.6" hidden="1" customHeight="1" x14ac:dyDescent="0.25">
      <c r="A125" s="555" t="s">
        <v>849</v>
      </c>
      <c r="B125" s="527" t="s">
        <v>380</v>
      </c>
      <c r="C125" s="527" t="s">
        <v>527</v>
      </c>
      <c r="D125" s="527" t="s">
        <v>180</v>
      </c>
      <c r="E125" s="527" t="s">
        <v>528</v>
      </c>
      <c r="F125" s="527" t="s">
        <v>529</v>
      </c>
      <c r="G125" s="525" t="s">
        <v>530</v>
      </c>
      <c r="H125" s="556" t="s">
        <v>605</v>
      </c>
      <c r="I125" s="556" t="s">
        <v>606</v>
      </c>
      <c r="J125" s="556" t="s">
        <v>703</v>
      </c>
      <c r="K125" s="557" t="s">
        <v>704</v>
      </c>
      <c r="L125" s="527" t="s">
        <v>130</v>
      </c>
      <c r="M125" s="527" t="s">
        <v>129</v>
      </c>
      <c r="N125" s="568"/>
      <c r="O125" s="568"/>
      <c r="P125" s="569"/>
      <c r="Q125" s="509">
        <v>0</v>
      </c>
      <c r="R125" s="531">
        <v>0</v>
      </c>
      <c r="S125" s="333" t="str">
        <f>IF(CampList[[#This Row],[HH]]&gt;0,CampList[[#This Row],[Total]]/CampList[[#This Row],[HH]],"NA")</f>
        <v>NA</v>
      </c>
      <c r="T125" s="561" t="s">
        <v>513</v>
      </c>
      <c r="U125" s="562" t="s">
        <v>1213</v>
      </c>
      <c r="V125" s="527" t="s">
        <v>556</v>
      </c>
      <c r="W125" s="562"/>
      <c r="X125" s="570"/>
      <c r="Y125" s="571"/>
      <c r="Z125" s="562"/>
      <c r="AA125" s="515"/>
      <c r="AB125" s="527"/>
      <c r="AC125" s="572"/>
      <c r="AD125" s="523" t="s">
        <v>603</v>
      </c>
      <c r="AE125" s="571" t="s">
        <v>1014</v>
      </c>
      <c r="AF125" s="535">
        <f>IF(CampList[[#This Row],[Type of Accomodation]]="camp",MAX(0,CampList[[#This Row],[HH]]-SUMIF(Table_Shelter[Pcode],CampList[[#This Row],[CP_Pcode]],Table_Shelter[HH Covered])),0)</f>
        <v>0</v>
      </c>
      <c r="AG125" s="525"/>
      <c r="AH125" s="525">
        <f>MIN(CampList[[#This Row],[Shelter Gap]],CampList[[#This Row],[Land Status]])</f>
        <v>0</v>
      </c>
      <c r="AI125" s="525" t="str">
        <f ca="1">IFERROR(OFFSET(DistanceToCamp[Nearest Town],MATCH(CampList[[#This Row],[CP_Pcode]],DistanceToCamp[CP_Pcode],0)-1,0,1,1),"")</f>
        <v/>
      </c>
      <c r="AJ125" s="336" t="str">
        <f ca="1">IFERROR(OFFSET(DistanceToCamp[distance],MATCH(CampList[[#This Row],[CP_Pcode]],DistanceToCamp[CP_Pcode],0)-1,0,1,1),"")</f>
        <v/>
      </c>
      <c r="AK125" s="567" t="str">
        <f ca="1">IFERROR(INT(CampList[[#This Row],[Distance]]/5)+1,"")</f>
        <v/>
      </c>
      <c r="AL125" s="727"/>
      <c r="AM125" s="727"/>
      <c r="AN125" s="727"/>
      <c r="BD125" s="5"/>
      <c r="BE125" s="5"/>
    </row>
    <row r="126" spans="1:57" s="4" customFormat="1" ht="15.6" hidden="1" customHeight="1" x14ac:dyDescent="0.25">
      <c r="A126" s="555" t="s">
        <v>849</v>
      </c>
      <c r="B126" s="527" t="s">
        <v>380</v>
      </c>
      <c r="C126" s="527" t="s">
        <v>527</v>
      </c>
      <c r="D126" s="527" t="s">
        <v>180</v>
      </c>
      <c r="E126" s="527" t="s">
        <v>528</v>
      </c>
      <c r="F126" s="527" t="s">
        <v>529</v>
      </c>
      <c r="G126" s="525" t="s">
        <v>530</v>
      </c>
      <c r="H126" s="556" t="s">
        <v>605</v>
      </c>
      <c r="I126" s="556" t="s">
        <v>606</v>
      </c>
      <c r="J126" s="556" t="s">
        <v>703</v>
      </c>
      <c r="K126" s="557" t="s">
        <v>704</v>
      </c>
      <c r="L126" s="527" t="s">
        <v>138</v>
      </c>
      <c r="M126" s="527" t="s">
        <v>137</v>
      </c>
      <c r="N126" s="568"/>
      <c r="O126" s="568"/>
      <c r="P126" s="569"/>
      <c r="Q126" s="509">
        <v>0</v>
      </c>
      <c r="R126" s="531">
        <v>0</v>
      </c>
      <c r="S126" s="560" t="str">
        <f>IF(CampList[[#This Row],[HH]]&gt;0,CampList[[#This Row],[Total]]/CampList[[#This Row],[HH]],"NA")</f>
        <v>NA</v>
      </c>
      <c r="T126" s="561" t="s">
        <v>513</v>
      </c>
      <c r="U126" s="562" t="s">
        <v>1213</v>
      </c>
      <c r="V126" s="527" t="s">
        <v>556</v>
      </c>
      <c r="W126" s="562"/>
      <c r="X126" s="570"/>
      <c r="Y126" s="571"/>
      <c r="Z126" s="562"/>
      <c r="AA126" s="515"/>
      <c r="AB126" s="527"/>
      <c r="AC126" s="572"/>
      <c r="AD126" s="523" t="s">
        <v>603</v>
      </c>
      <c r="AE126" s="571" t="s">
        <v>1014</v>
      </c>
      <c r="AF126" s="535">
        <f>IF(CampList[[#This Row],[Type of Accomodation]]="camp",MAX(0,CampList[[#This Row],[HH]]-SUMIF(Table_Shelter[Pcode],CampList[[#This Row],[CP_Pcode]],Table_Shelter[HH Covered])),0)</f>
        <v>0</v>
      </c>
      <c r="AG126" s="525"/>
      <c r="AH126" s="525">
        <f>MIN(CampList[[#This Row],[Shelter Gap]],CampList[[#This Row],[Land Status]])</f>
        <v>0</v>
      </c>
      <c r="AI126" s="525" t="str">
        <f ca="1">IFERROR(OFFSET(DistanceToCamp[Nearest Town],MATCH(CampList[[#This Row],[CP_Pcode]],DistanceToCamp[CP_Pcode],0)-1,0,1,1),"")</f>
        <v/>
      </c>
      <c r="AJ126" s="566" t="str">
        <f ca="1">IFERROR(OFFSET(DistanceToCamp[distance],MATCH(CampList[[#This Row],[CP_Pcode]],DistanceToCamp[CP_Pcode],0)-1,0,1,1),"")</f>
        <v/>
      </c>
      <c r="AK126" s="567" t="str">
        <f ca="1">IFERROR(INT(CampList[[#This Row],[Distance]]/5)+1,"")</f>
        <v/>
      </c>
      <c r="AL126" s="727"/>
      <c r="AM126" s="727"/>
      <c r="AN126" s="727"/>
      <c r="BD126" s="5"/>
      <c r="BE126" s="5"/>
    </row>
    <row r="127" spans="1:57" s="4" customFormat="1" ht="15.6" customHeight="1" x14ac:dyDescent="0.25">
      <c r="A127" s="555" t="s">
        <v>502</v>
      </c>
      <c r="B127" s="527" t="s">
        <v>380</v>
      </c>
      <c r="C127" s="527" t="s">
        <v>527</v>
      </c>
      <c r="D127" s="527" t="s">
        <v>237</v>
      </c>
      <c r="E127" s="527" t="s">
        <v>533</v>
      </c>
      <c r="F127" s="527" t="s">
        <v>237</v>
      </c>
      <c r="G127" s="525" t="s">
        <v>537</v>
      </c>
      <c r="H127" s="556" t="s">
        <v>650</v>
      </c>
      <c r="I127" s="556" t="s">
        <v>651</v>
      </c>
      <c r="J127" s="556" t="s">
        <v>650</v>
      </c>
      <c r="K127" s="557">
        <v>165698</v>
      </c>
      <c r="L127" s="527" t="s">
        <v>263</v>
      </c>
      <c r="M127" s="527" t="s">
        <v>262</v>
      </c>
      <c r="N127" s="558">
        <v>97.2843958974359</v>
      </c>
      <c r="O127" s="558">
        <v>25.374343974359</v>
      </c>
      <c r="P127" s="559">
        <v>0</v>
      </c>
      <c r="Q127" s="509">
        <v>22</v>
      </c>
      <c r="R127" s="531">
        <v>103</v>
      </c>
      <c r="S127" s="560">
        <f>IF(CampList[[#This Row],[HH]]&gt;0,CampList[[#This Row],[Total]]/CampList[[#This Row],[HH]],"NA")</f>
        <v>4.6818181818181817</v>
      </c>
      <c r="T127" s="581" t="s">
        <v>513</v>
      </c>
      <c r="U127" s="562" t="s">
        <v>1213</v>
      </c>
      <c r="V127" s="527" t="s">
        <v>556</v>
      </c>
      <c r="W127" s="562" t="s">
        <v>862</v>
      </c>
      <c r="X127" s="563">
        <v>40817</v>
      </c>
      <c r="Y127" s="564">
        <v>1</v>
      </c>
      <c r="Z127" s="563" t="s">
        <v>507</v>
      </c>
      <c r="AA127" s="521" t="s">
        <v>848</v>
      </c>
      <c r="AB127" s="527"/>
      <c r="AC127" s="579">
        <v>42317</v>
      </c>
      <c r="AD127" s="523" t="s">
        <v>1390</v>
      </c>
      <c r="AE127" s="564" t="s">
        <v>1100</v>
      </c>
      <c r="AF127" s="535">
        <f>IF(CampList[[#This Row],[Type of Accomodation]]="camp",MAX(0,CampList[[#This Row],[HH]]-SUMIF(Table_Shelter[Pcode],CampList[[#This Row],[CP_Pcode]],Table_Shelter[HH Covered])),0)</f>
        <v>0</v>
      </c>
      <c r="AG127" s="525"/>
      <c r="AH127" s="525">
        <f>MIN(CampList[[#This Row],[Shelter Gap]],CampList[[#This Row],[Land Status]])</f>
        <v>0</v>
      </c>
      <c r="AI127" s="525" t="str">
        <f ca="1">IFERROR(OFFSET(DistanceToCamp[Nearest Town],MATCH(CampList[[#This Row],[CP_Pcode]],DistanceToCamp[CP_Pcode],0)-1,0,1,1),"")</f>
        <v>Myitkyina Town</v>
      </c>
      <c r="AJ127" s="566">
        <f ca="1">IFERROR(OFFSET(DistanceToCamp[distance],MATCH(CampList[[#This Row],[CP_Pcode]],DistanceToCamp[CP_Pcode],0)-1,0,1,1),"")</f>
        <v>10.744749696609457</v>
      </c>
      <c r="AK127" s="567">
        <f ca="1">IFERROR(INT(CampList[[#This Row],[Distance]]/5)+1,"")</f>
        <v>3</v>
      </c>
      <c r="AL127" s="727"/>
      <c r="AM127" s="727"/>
      <c r="AN127" s="727"/>
      <c r="BD127" s="5"/>
      <c r="BE127" s="5"/>
    </row>
    <row r="128" spans="1:57" s="4" customFormat="1" ht="15.6" customHeight="1" x14ac:dyDescent="0.25">
      <c r="A128" s="555" t="s">
        <v>502</v>
      </c>
      <c r="B128" s="527" t="s">
        <v>380</v>
      </c>
      <c r="C128" s="527" t="s">
        <v>527</v>
      </c>
      <c r="D128" s="527" t="s">
        <v>237</v>
      </c>
      <c r="E128" s="527" t="s">
        <v>533</v>
      </c>
      <c r="F128" s="527" t="s">
        <v>237</v>
      </c>
      <c r="G128" s="525" t="s">
        <v>537</v>
      </c>
      <c r="H128" s="556" t="s">
        <v>650</v>
      </c>
      <c r="I128" s="556" t="s">
        <v>651</v>
      </c>
      <c r="J128" s="556" t="s">
        <v>650</v>
      </c>
      <c r="K128" s="557">
        <v>165698</v>
      </c>
      <c r="L128" s="527" t="s">
        <v>265</v>
      </c>
      <c r="M128" s="527" t="s">
        <v>264</v>
      </c>
      <c r="N128" s="558">
        <v>97.290952037037002</v>
      </c>
      <c r="O128" s="558">
        <v>25.371049444444399</v>
      </c>
      <c r="P128" s="559">
        <v>476</v>
      </c>
      <c r="Q128" s="509">
        <v>14</v>
      </c>
      <c r="R128" s="531">
        <v>73</v>
      </c>
      <c r="S128" s="333">
        <f>IF(CampList[[#This Row],[HH]]&gt;0,CampList[[#This Row],[Total]]/CampList[[#This Row],[HH]],"NA")</f>
        <v>5.2142857142857144</v>
      </c>
      <c r="T128" s="581" t="s">
        <v>513</v>
      </c>
      <c r="U128" s="562" t="s">
        <v>1213</v>
      </c>
      <c r="V128" s="527" t="s">
        <v>556</v>
      </c>
      <c r="W128" s="562" t="s">
        <v>862</v>
      </c>
      <c r="X128" s="563">
        <v>40817</v>
      </c>
      <c r="Y128" s="564">
        <v>1</v>
      </c>
      <c r="Z128" s="563" t="s">
        <v>507</v>
      </c>
      <c r="AA128" s="521" t="s">
        <v>848</v>
      </c>
      <c r="AB128" s="527"/>
      <c r="AC128" s="579">
        <v>42180</v>
      </c>
      <c r="AD128" s="523" t="s">
        <v>1294</v>
      </c>
      <c r="AE128" s="564" t="s">
        <v>1100</v>
      </c>
      <c r="AF128" s="535">
        <f>IF(CampList[[#This Row],[Type of Accomodation]]="camp",MAX(0,CampList[[#This Row],[HH]]-SUMIF(Table_Shelter[Pcode],CampList[[#This Row],[CP_Pcode]],Table_Shelter[HH Covered])),0)</f>
        <v>0</v>
      </c>
      <c r="AG128" s="525"/>
      <c r="AH128" s="525">
        <f>MIN(CampList[[#This Row],[Shelter Gap]],CampList[[#This Row],[Land Status]])</f>
        <v>0</v>
      </c>
      <c r="AI128" s="525" t="str">
        <f ca="1">IFERROR(OFFSET(DistanceToCamp[Nearest Town],MATCH(CampList[[#This Row],[CP_Pcode]],DistanceToCamp[CP_Pcode],0)-1,0,1,1),"")</f>
        <v>Myitkyina Town</v>
      </c>
      <c r="AJ128" s="336">
        <f ca="1">IFERROR(OFFSET(DistanceToCamp[distance],MATCH(CampList[[#This Row],[CP_Pcode]],DistanceToCamp[CP_Pcode],0)-1,0,1,1),"")</f>
        <v>10.15228229456989</v>
      </c>
      <c r="AK128" s="567">
        <f ca="1">IFERROR(INT(CampList[[#This Row],[Distance]]/5)+1,"")</f>
        <v>3</v>
      </c>
      <c r="AL128" s="727"/>
      <c r="AM128" s="727"/>
      <c r="AN128" s="727"/>
      <c r="BD128" s="5"/>
      <c r="BE128" s="5"/>
    </row>
    <row r="129" spans="1:57" s="4" customFormat="1" ht="15.6" hidden="1" customHeight="1" x14ac:dyDescent="0.25">
      <c r="A129" s="555" t="s">
        <v>849</v>
      </c>
      <c r="B129" s="527" t="s">
        <v>380</v>
      </c>
      <c r="C129" s="527" t="s">
        <v>527</v>
      </c>
      <c r="D129" s="527" t="s">
        <v>180</v>
      </c>
      <c r="E129" s="527" t="s">
        <v>528</v>
      </c>
      <c r="F129" s="527" t="s">
        <v>529</v>
      </c>
      <c r="G129" s="525" t="s">
        <v>530</v>
      </c>
      <c r="H129" s="525"/>
      <c r="I129" s="527"/>
      <c r="J129" s="527"/>
      <c r="K129" s="573"/>
      <c r="L129" s="527" t="s">
        <v>136</v>
      </c>
      <c r="M129" s="527" t="s">
        <v>135</v>
      </c>
      <c r="N129" s="558">
        <v>96.343350000000001</v>
      </c>
      <c r="O129" s="558">
        <v>25.6447</v>
      </c>
      <c r="P129" s="569"/>
      <c r="Q129" s="509">
        <v>0</v>
      </c>
      <c r="R129" s="531">
        <v>0</v>
      </c>
      <c r="S129" s="333" t="str">
        <f>IF(CampList[[#This Row],[HH]]&gt;0,CampList[[#This Row],[Total]]/CampList[[#This Row],[HH]],"NA")</f>
        <v>NA</v>
      </c>
      <c r="T129" s="561" t="s">
        <v>513</v>
      </c>
      <c r="U129" s="562" t="s">
        <v>1213</v>
      </c>
      <c r="V129" s="527" t="s">
        <v>556</v>
      </c>
      <c r="W129" s="562"/>
      <c r="X129" s="570"/>
      <c r="Y129" s="571"/>
      <c r="Z129" s="562"/>
      <c r="AA129" s="512"/>
      <c r="AB129" s="527"/>
      <c r="AC129" s="572"/>
      <c r="AD129" s="523" t="s">
        <v>603</v>
      </c>
      <c r="AE129" s="571" t="s">
        <v>1014</v>
      </c>
      <c r="AF129" s="535">
        <f>IF(CampList[[#This Row],[Type of Accomodation]]="camp",MAX(0,CampList[[#This Row],[HH]]-SUMIF(Table_Shelter[Pcode],CampList[[#This Row],[CP_Pcode]],Table_Shelter[HH Covered])),0)</f>
        <v>0</v>
      </c>
      <c r="AG129" s="525"/>
      <c r="AH129" s="525">
        <f>MIN(CampList[[#This Row],[Shelter Gap]],CampList[[#This Row],[Land Status]])</f>
        <v>0</v>
      </c>
      <c r="AI129" s="525" t="str">
        <f ca="1">IFERROR(OFFSET(DistanceToCamp[Nearest Town],MATCH(CampList[[#This Row],[CP_Pcode]],DistanceToCamp[CP_Pcode],0)-1,0,1,1),"")</f>
        <v/>
      </c>
      <c r="AJ129" s="336" t="str">
        <f ca="1">IFERROR(OFFSET(DistanceToCamp[distance],MATCH(CampList[[#This Row],[CP_Pcode]],DistanceToCamp[CP_Pcode],0)-1,0,1,1),"")</f>
        <v/>
      </c>
      <c r="AK129" s="567" t="str">
        <f ca="1">IFERROR(INT(CampList[[#This Row],[Distance]]/5)+1,"")</f>
        <v/>
      </c>
      <c r="AL129" s="727"/>
      <c r="AM129" s="727"/>
      <c r="AN129" s="727"/>
      <c r="BD129" s="5"/>
      <c r="BE129" s="5"/>
    </row>
    <row r="130" spans="1:57" s="4" customFormat="1" ht="15.6" hidden="1" customHeight="1" x14ac:dyDescent="0.25">
      <c r="A130" s="555" t="s">
        <v>849</v>
      </c>
      <c r="B130" s="527" t="s">
        <v>380</v>
      </c>
      <c r="C130" s="527" t="s">
        <v>527</v>
      </c>
      <c r="D130" s="527" t="s">
        <v>180</v>
      </c>
      <c r="E130" s="527" t="s">
        <v>528</v>
      </c>
      <c r="F130" s="527" t="s">
        <v>529</v>
      </c>
      <c r="G130" s="525" t="s">
        <v>530</v>
      </c>
      <c r="H130" s="556" t="s">
        <v>605</v>
      </c>
      <c r="I130" s="556" t="s">
        <v>606</v>
      </c>
      <c r="J130" s="556" t="s">
        <v>609</v>
      </c>
      <c r="K130" s="557" t="s">
        <v>610</v>
      </c>
      <c r="L130" s="527" t="s">
        <v>68</v>
      </c>
      <c r="M130" s="527" t="s">
        <v>67</v>
      </c>
      <c r="N130" s="568"/>
      <c r="O130" s="568"/>
      <c r="P130" s="569"/>
      <c r="Q130" s="509">
        <v>0</v>
      </c>
      <c r="R130" s="531">
        <v>0</v>
      </c>
      <c r="S130" s="333" t="str">
        <f>IF(CampList[[#This Row],[HH]]&gt;0,CampList[[#This Row],[Total]]/CampList[[#This Row],[HH]],"NA")</f>
        <v>NA</v>
      </c>
      <c r="T130" s="561" t="s">
        <v>513</v>
      </c>
      <c r="U130" s="562" t="s">
        <v>1213</v>
      </c>
      <c r="V130" s="527" t="s">
        <v>556</v>
      </c>
      <c r="W130" s="562"/>
      <c r="X130" s="570"/>
      <c r="Y130" s="571"/>
      <c r="Z130" s="562"/>
      <c r="AA130" s="515"/>
      <c r="AB130" s="527"/>
      <c r="AC130" s="572"/>
      <c r="AD130" s="523" t="s">
        <v>603</v>
      </c>
      <c r="AE130" s="571" t="s">
        <v>1014</v>
      </c>
      <c r="AF130" s="535">
        <f>IF(CampList[[#This Row],[Type of Accomodation]]="camp",MAX(0,CampList[[#This Row],[HH]]-SUMIF(Table_Shelter[Pcode],CampList[[#This Row],[CP_Pcode]],Table_Shelter[HH Covered])),0)</f>
        <v>0</v>
      </c>
      <c r="AG130" s="525"/>
      <c r="AH130" s="525">
        <f>MIN(CampList[[#This Row],[Shelter Gap]],CampList[[#This Row],[Land Status]])</f>
        <v>0</v>
      </c>
      <c r="AI130" s="525" t="str">
        <f ca="1">IFERROR(OFFSET(DistanceToCamp[Nearest Town],MATCH(CampList[[#This Row],[CP_Pcode]],DistanceToCamp[CP_Pcode],0)-1,0,1,1),"")</f>
        <v/>
      </c>
      <c r="AJ130" s="336" t="str">
        <f ca="1">IFERROR(OFFSET(DistanceToCamp[distance],MATCH(CampList[[#This Row],[CP_Pcode]],DistanceToCamp[CP_Pcode],0)-1,0,1,1),"")</f>
        <v/>
      </c>
      <c r="AK130" s="567" t="str">
        <f ca="1">IFERROR(INT(CampList[[#This Row],[Distance]]/5)+1,"")</f>
        <v/>
      </c>
      <c r="AL130" s="727"/>
      <c r="AM130" s="727"/>
      <c r="AN130" s="727"/>
      <c r="BD130" s="5"/>
      <c r="BE130" s="5"/>
    </row>
    <row r="131" spans="1:57" s="4" customFormat="1" ht="15.6" hidden="1" customHeight="1" x14ac:dyDescent="0.25">
      <c r="A131" s="555" t="s">
        <v>849</v>
      </c>
      <c r="B131" s="527" t="s">
        <v>380</v>
      </c>
      <c r="C131" s="527" t="s">
        <v>527</v>
      </c>
      <c r="D131" s="527" t="s">
        <v>180</v>
      </c>
      <c r="E131" s="527" t="s">
        <v>528</v>
      </c>
      <c r="F131" s="527" t="s">
        <v>529</v>
      </c>
      <c r="G131" s="525" t="s">
        <v>530</v>
      </c>
      <c r="H131" s="556" t="s">
        <v>605</v>
      </c>
      <c r="I131" s="556" t="s">
        <v>606</v>
      </c>
      <c r="J131" s="556" t="s">
        <v>609</v>
      </c>
      <c r="K131" s="557" t="s">
        <v>610</v>
      </c>
      <c r="L131" s="527" t="s">
        <v>84</v>
      </c>
      <c r="M131" s="527" t="s">
        <v>83</v>
      </c>
      <c r="N131" s="558">
        <v>96.316210999999996</v>
      </c>
      <c r="O131" s="558">
        <v>25.619221</v>
      </c>
      <c r="P131" s="569"/>
      <c r="Q131" s="509">
        <v>0</v>
      </c>
      <c r="R131" s="531">
        <v>0</v>
      </c>
      <c r="S131" s="333" t="str">
        <f>IF(CampList[[#This Row],[HH]]&gt;0,CampList[[#This Row],[Total]]/CampList[[#This Row],[HH]],"NA")</f>
        <v>NA</v>
      </c>
      <c r="T131" s="561" t="s">
        <v>513</v>
      </c>
      <c r="U131" s="562" t="s">
        <v>1213</v>
      </c>
      <c r="V131" s="527" t="s">
        <v>556</v>
      </c>
      <c r="W131" s="562"/>
      <c r="X131" s="570"/>
      <c r="Y131" s="571"/>
      <c r="Z131" s="562"/>
      <c r="AA131" s="515"/>
      <c r="AB131" s="527"/>
      <c r="AC131" s="572"/>
      <c r="AD131" s="523" t="s">
        <v>603</v>
      </c>
      <c r="AE131" s="571" t="s">
        <v>1014</v>
      </c>
      <c r="AF131" s="535">
        <f>IF(CampList[[#This Row],[Type of Accomodation]]="camp",MAX(0,CampList[[#This Row],[HH]]-SUMIF(Table_Shelter[Pcode],CampList[[#This Row],[CP_Pcode]],Table_Shelter[HH Covered])),0)</f>
        <v>0</v>
      </c>
      <c r="AG131" s="525"/>
      <c r="AH131" s="525">
        <f>MIN(CampList[[#This Row],[Shelter Gap]],CampList[[#This Row],[Land Status]])</f>
        <v>0</v>
      </c>
      <c r="AI131" s="525" t="str">
        <f ca="1">IFERROR(OFFSET(DistanceToCamp[Nearest Town],MATCH(CampList[[#This Row],[CP_Pcode]],DistanceToCamp[CP_Pcode],0)-1,0,1,1),"")</f>
        <v/>
      </c>
      <c r="AJ131" s="336" t="str">
        <f ca="1">IFERROR(OFFSET(DistanceToCamp[distance],MATCH(CampList[[#This Row],[CP_Pcode]],DistanceToCamp[CP_Pcode],0)-1,0,1,1),"")</f>
        <v/>
      </c>
      <c r="AK131" s="567" t="str">
        <f ca="1">IFERROR(INT(CampList[[#This Row],[Distance]]/5)+1,"")</f>
        <v/>
      </c>
      <c r="AL131" s="727"/>
      <c r="AM131" s="727"/>
      <c r="AN131" s="727"/>
      <c r="BD131" s="5"/>
      <c r="BE131" s="5"/>
    </row>
    <row r="132" spans="1:57" s="4" customFormat="1" ht="15.6" hidden="1" customHeight="1" x14ac:dyDescent="0.25">
      <c r="A132" s="555" t="s">
        <v>849</v>
      </c>
      <c r="B132" s="527" t="s">
        <v>380</v>
      </c>
      <c r="C132" s="527" t="s">
        <v>527</v>
      </c>
      <c r="D132" s="527" t="s">
        <v>180</v>
      </c>
      <c r="E132" s="527" t="s">
        <v>528</v>
      </c>
      <c r="F132" s="527" t="s">
        <v>529</v>
      </c>
      <c r="G132" s="525" t="s">
        <v>530</v>
      </c>
      <c r="H132" s="556" t="s">
        <v>605</v>
      </c>
      <c r="I132" s="556" t="s">
        <v>606</v>
      </c>
      <c r="J132" s="556" t="s">
        <v>609</v>
      </c>
      <c r="K132" s="557" t="s">
        <v>610</v>
      </c>
      <c r="L132" s="527" t="s">
        <v>86</v>
      </c>
      <c r="M132" s="527" t="s">
        <v>85</v>
      </c>
      <c r="N132" s="568"/>
      <c r="O132" s="568"/>
      <c r="P132" s="569"/>
      <c r="Q132" s="509">
        <v>0</v>
      </c>
      <c r="R132" s="531">
        <v>0</v>
      </c>
      <c r="S132" s="333" t="str">
        <f>IF(CampList[[#This Row],[HH]]&gt;0,CampList[[#This Row],[Total]]/CampList[[#This Row],[HH]],"NA")</f>
        <v>NA</v>
      </c>
      <c r="T132" s="561" t="s">
        <v>513</v>
      </c>
      <c r="U132" s="562" t="s">
        <v>1213</v>
      </c>
      <c r="V132" s="527" t="s">
        <v>556</v>
      </c>
      <c r="W132" s="562"/>
      <c r="X132" s="570"/>
      <c r="Y132" s="571"/>
      <c r="Z132" s="562"/>
      <c r="AA132" s="515"/>
      <c r="AB132" s="527"/>
      <c r="AC132" s="572"/>
      <c r="AD132" s="523" t="s">
        <v>603</v>
      </c>
      <c r="AE132" s="571" t="s">
        <v>1014</v>
      </c>
      <c r="AF132" s="535">
        <f>IF(CampList[[#This Row],[Type of Accomodation]]="camp",MAX(0,CampList[[#This Row],[HH]]-SUMIF(Table_Shelter[Pcode],CampList[[#This Row],[CP_Pcode]],Table_Shelter[HH Covered])),0)</f>
        <v>0</v>
      </c>
      <c r="AG132" s="525"/>
      <c r="AH132" s="525">
        <f>MIN(CampList[[#This Row],[Shelter Gap]],CampList[[#This Row],[Land Status]])</f>
        <v>0</v>
      </c>
      <c r="AI132" s="525" t="str">
        <f ca="1">IFERROR(OFFSET(DistanceToCamp[Nearest Town],MATCH(CampList[[#This Row],[CP_Pcode]],DistanceToCamp[CP_Pcode],0)-1,0,1,1),"")</f>
        <v/>
      </c>
      <c r="AJ132" s="336" t="str">
        <f ca="1">IFERROR(OFFSET(DistanceToCamp[distance],MATCH(CampList[[#This Row],[CP_Pcode]],DistanceToCamp[CP_Pcode],0)-1,0,1,1),"")</f>
        <v/>
      </c>
      <c r="AK132" s="567" t="str">
        <f ca="1">IFERROR(INT(CampList[[#This Row],[Distance]]/5)+1,"")</f>
        <v/>
      </c>
      <c r="AL132" s="727"/>
      <c r="AM132" s="727"/>
      <c r="AN132" s="727"/>
      <c r="BD132" s="5"/>
      <c r="BE132" s="5"/>
    </row>
    <row r="133" spans="1:57" s="4" customFormat="1" ht="15.6" customHeight="1" x14ac:dyDescent="0.25">
      <c r="A133" s="332" t="s">
        <v>502</v>
      </c>
      <c r="B133" s="527" t="s">
        <v>380</v>
      </c>
      <c r="C133" s="527" t="s">
        <v>527</v>
      </c>
      <c r="D133" s="527" t="s">
        <v>180</v>
      </c>
      <c r="E133" s="527" t="s">
        <v>528</v>
      </c>
      <c r="F133" s="527" t="s">
        <v>529</v>
      </c>
      <c r="G133" s="218" t="s">
        <v>530</v>
      </c>
      <c r="H133" s="556" t="s">
        <v>605</v>
      </c>
      <c r="I133" s="556" t="s">
        <v>606</v>
      </c>
      <c r="J133" s="556" t="s">
        <v>609</v>
      </c>
      <c r="K133" s="557" t="s">
        <v>610</v>
      </c>
      <c r="L133" s="527" t="s">
        <v>100</v>
      </c>
      <c r="M133" s="527" t="s">
        <v>99</v>
      </c>
      <c r="N133" s="558">
        <v>96.319829999999996</v>
      </c>
      <c r="O133" s="558">
        <v>25.6145</v>
      </c>
      <c r="P133" s="559">
        <v>65</v>
      </c>
      <c r="Q133" s="509">
        <v>5</v>
      </c>
      <c r="R133" s="531">
        <v>26</v>
      </c>
      <c r="S133" s="333">
        <f>IF(CampList[[#This Row],[HH]]&gt;0,CampList[[#This Row],[Total]]/CampList[[#This Row],[HH]],"NA")</f>
        <v>5.2</v>
      </c>
      <c r="T133" s="581" t="s">
        <v>513</v>
      </c>
      <c r="U133" s="334" t="s">
        <v>1213</v>
      </c>
      <c r="V133" s="527" t="s">
        <v>556</v>
      </c>
      <c r="W133" s="562" t="s">
        <v>808</v>
      </c>
      <c r="X133" s="563">
        <v>41122</v>
      </c>
      <c r="Y133" s="564">
        <v>1</v>
      </c>
      <c r="Z133" s="563" t="s">
        <v>507</v>
      </c>
      <c r="AA133" s="515" t="s">
        <v>848</v>
      </c>
      <c r="AB133" s="527"/>
      <c r="AC133" s="579">
        <v>42180</v>
      </c>
      <c r="AD133" s="523" t="s">
        <v>1295</v>
      </c>
      <c r="AE133" s="564" t="s">
        <v>1100</v>
      </c>
      <c r="AF133" s="233">
        <f>IF(CampList[[#This Row],[Type of Accomodation]]="camp",MAX(0,CampList[[#This Row],[HH]]-SUMIF(Table_Shelter[Pcode],CampList[[#This Row],[CP_Pcode]],Table_Shelter[HH Covered])),0)</f>
        <v>0</v>
      </c>
      <c r="AG133" s="218"/>
      <c r="AH133" s="218">
        <f>MIN(CampList[[#This Row],[Shelter Gap]],CampList[[#This Row],[Land Status]])</f>
        <v>0</v>
      </c>
      <c r="AI133" s="218" t="str">
        <f ca="1">IFERROR(OFFSET(DistanceToCamp[Nearest Town],MATCH(CampList[[#This Row],[CP_Pcode]],DistanceToCamp[CP_Pcode],0)-1,0,1,1),"")</f>
        <v>Hpakant Town</v>
      </c>
      <c r="AJ133" s="336">
        <f ca="1">IFERROR(OFFSET(DistanceToCamp[distance],MATCH(CampList[[#This Row],[CP_Pcode]],DistanceToCamp[CP_Pcode],0)-1,0,1,1),"")</f>
        <v>0.79577754007276646</v>
      </c>
      <c r="AK133" s="337">
        <f ca="1">IFERROR(INT(CampList[[#This Row],[Distance]]/5)+1,"")</f>
        <v>1</v>
      </c>
      <c r="AL133" s="727"/>
      <c r="AM133" s="727"/>
      <c r="AN133" s="727"/>
      <c r="BD133" s="5"/>
      <c r="BE133" s="5"/>
    </row>
    <row r="134" spans="1:57" s="4" customFormat="1" ht="15.6" hidden="1" customHeight="1" x14ac:dyDescent="0.25">
      <c r="A134" s="555" t="s">
        <v>849</v>
      </c>
      <c r="B134" s="527" t="s">
        <v>380</v>
      </c>
      <c r="C134" s="527" t="s">
        <v>527</v>
      </c>
      <c r="D134" s="527" t="s">
        <v>180</v>
      </c>
      <c r="E134" s="527" t="s">
        <v>528</v>
      </c>
      <c r="F134" s="527" t="s">
        <v>529</v>
      </c>
      <c r="G134" s="525" t="s">
        <v>530</v>
      </c>
      <c r="H134" s="556" t="s">
        <v>605</v>
      </c>
      <c r="I134" s="556" t="s">
        <v>606</v>
      </c>
      <c r="J134" s="556" t="s">
        <v>609</v>
      </c>
      <c r="K134" s="557" t="s">
        <v>610</v>
      </c>
      <c r="L134" s="527" t="s">
        <v>104</v>
      </c>
      <c r="M134" s="527" t="s">
        <v>103</v>
      </c>
      <c r="N134" s="568"/>
      <c r="O134" s="568"/>
      <c r="P134" s="569"/>
      <c r="Q134" s="509">
        <v>0</v>
      </c>
      <c r="R134" s="531">
        <v>0</v>
      </c>
      <c r="S134" s="333" t="str">
        <f>IF(CampList[[#This Row],[HH]]&gt;0,CampList[[#This Row],[Total]]/CampList[[#This Row],[HH]],"NA")</f>
        <v>NA</v>
      </c>
      <c r="T134" s="561" t="s">
        <v>513</v>
      </c>
      <c r="U134" s="562" t="s">
        <v>1213</v>
      </c>
      <c r="V134" s="527" t="s">
        <v>556</v>
      </c>
      <c r="W134" s="562"/>
      <c r="X134" s="570"/>
      <c r="Y134" s="571"/>
      <c r="Z134" s="562"/>
      <c r="AA134" s="515"/>
      <c r="AB134" s="527"/>
      <c r="AC134" s="572"/>
      <c r="AD134" s="523" t="s">
        <v>603</v>
      </c>
      <c r="AE134" s="571" t="s">
        <v>1014</v>
      </c>
      <c r="AF134" s="535">
        <f>IF(CampList[[#This Row],[Type of Accomodation]]="camp",MAX(0,CampList[[#This Row],[HH]]-SUMIF(Table_Shelter[Pcode],CampList[[#This Row],[CP_Pcode]],Table_Shelter[HH Covered])),0)</f>
        <v>0</v>
      </c>
      <c r="AG134" s="525"/>
      <c r="AH134" s="525">
        <f>MIN(CampList[[#This Row],[Shelter Gap]],CampList[[#This Row],[Land Status]])</f>
        <v>0</v>
      </c>
      <c r="AI134" s="525" t="str">
        <f ca="1">IFERROR(OFFSET(DistanceToCamp[Nearest Town],MATCH(CampList[[#This Row],[CP_Pcode]],DistanceToCamp[CP_Pcode],0)-1,0,1,1),"")</f>
        <v/>
      </c>
      <c r="AJ134" s="336" t="str">
        <f ca="1">IFERROR(OFFSET(DistanceToCamp[distance],MATCH(CampList[[#This Row],[CP_Pcode]],DistanceToCamp[CP_Pcode],0)-1,0,1,1),"")</f>
        <v/>
      </c>
      <c r="AK134" s="567" t="str">
        <f ca="1">IFERROR(INT(CampList[[#This Row],[Distance]]/5)+1,"")</f>
        <v/>
      </c>
      <c r="AL134" s="727"/>
      <c r="AM134" s="727"/>
      <c r="AN134" s="727"/>
      <c r="BD134" s="5"/>
      <c r="BE134" s="5"/>
    </row>
    <row r="135" spans="1:57" s="4" customFormat="1" ht="15.6" hidden="1" customHeight="1" x14ac:dyDescent="0.25">
      <c r="A135" s="555" t="s">
        <v>849</v>
      </c>
      <c r="B135" s="527" t="s">
        <v>380</v>
      </c>
      <c r="C135" s="527" t="s">
        <v>527</v>
      </c>
      <c r="D135" s="527" t="s">
        <v>180</v>
      </c>
      <c r="E135" s="527" t="s">
        <v>528</v>
      </c>
      <c r="F135" s="527" t="s">
        <v>529</v>
      </c>
      <c r="G135" s="525" t="s">
        <v>530</v>
      </c>
      <c r="H135" s="556" t="s">
        <v>614</v>
      </c>
      <c r="I135" s="556" t="s">
        <v>615</v>
      </c>
      <c r="J135" s="556" t="s">
        <v>614</v>
      </c>
      <c r="K135" s="557">
        <v>166773</v>
      </c>
      <c r="L135" s="527" t="s">
        <v>98</v>
      </c>
      <c r="M135" s="527" t="s">
        <v>97</v>
      </c>
      <c r="N135" s="558">
        <v>96.359309999999994</v>
      </c>
      <c r="O135" s="558">
        <v>25.651440000000001</v>
      </c>
      <c r="P135" s="569"/>
      <c r="Q135" s="509">
        <v>0</v>
      </c>
      <c r="R135" s="531">
        <v>0</v>
      </c>
      <c r="S135" s="333" t="str">
        <f>IF(CampList[[#This Row],[HH]]&gt;0,CampList[[#This Row],[Total]]/CampList[[#This Row],[HH]],"NA")</f>
        <v>NA</v>
      </c>
      <c r="T135" s="561" t="s">
        <v>513</v>
      </c>
      <c r="U135" s="562" t="s">
        <v>1213</v>
      </c>
      <c r="V135" s="527" t="s">
        <v>556</v>
      </c>
      <c r="W135" s="562"/>
      <c r="X135" s="570"/>
      <c r="Y135" s="571"/>
      <c r="Z135" s="562"/>
      <c r="AA135" s="515"/>
      <c r="AB135" s="527"/>
      <c r="AC135" s="572"/>
      <c r="AD135" s="523" t="s">
        <v>603</v>
      </c>
      <c r="AE135" s="571" t="s">
        <v>1014</v>
      </c>
      <c r="AF135" s="535">
        <f>IF(CampList[[#This Row],[Type of Accomodation]]="camp",MAX(0,CampList[[#This Row],[HH]]-SUMIF(Table_Shelter[Pcode],CampList[[#This Row],[CP_Pcode]],Table_Shelter[HH Covered])),0)</f>
        <v>0</v>
      </c>
      <c r="AG135" s="525"/>
      <c r="AH135" s="525">
        <f>MIN(CampList[[#This Row],[Shelter Gap]],CampList[[#This Row],[Land Status]])</f>
        <v>0</v>
      </c>
      <c r="AI135" s="525" t="str">
        <f ca="1">IFERROR(OFFSET(DistanceToCamp[Nearest Town],MATCH(CampList[[#This Row],[CP_Pcode]],DistanceToCamp[CP_Pcode],0)-1,0,1,1),"")</f>
        <v/>
      </c>
      <c r="AJ135" s="336" t="str">
        <f ca="1">IFERROR(OFFSET(DistanceToCamp[distance],MATCH(CampList[[#This Row],[CP_Pcode]],DistanceToCamp[CP_Pcode],0)-1,0,1,1),"")</f>
        <v/>
      </c>
      <c r="AK135" s="567" t="str">
        <f ca="1">IFERROR(INT(CampList[[#This Row],[Distance]]/5)+1,"")</f>
        <v/>
      </c>
      <c r="AL135" s="727"/>
      <c r="AM135" s="727"/>
      <c r="AN135" s="727"/>
      <c r="BD135" s="5"/>
      <c r="BE135" s="5"/>
    </row>
    <row r="136" spans="1:57" s="4" customFormat="1" ht="15.6" customHeight="1" x14ac:dyDescent="0.25">
      <c r="A136" s="555" t="s">
        <v>502</v>
      </c>
      <c r="B136" s="527" t="s">
        <v>555</v>
      </c>
      <c r="C136" s="525" t="s">
        <v>538</v>
      </c>
      <c r="D136" s="525" t="s">
        <v>230</v>
      </c>
      <c r="E136" s="525" t="s">
        <v>539</v>
      </c>
      <c r="F136" s="525" t="s">
        <v>146</v>
      </c>
      <c r="G136" s="525" t="s">
        <v>546</v>
      </c>
      <c r="H136" s="585" t="s">
        <v>724</v>
      </c>
      <c r="I136" s="525" t="s">
        <v>1279</v>
      </c>
      <c r="J136" s="585" t="s">
        <v>724</v>
      </c>
      <c r="K136" s="586"/>
      <c r="L136" s="527" t="s">
        <v>368</v>
      </c>
      <c r="M136" s="527" t="s">
        <v>385</v>
      </c>
      <c r="N136" s="558">
        <v>97.793019999999999</v>
      </c>
      <c r="O136" s="558">
        <v>23.588920000000002</v>
      </c>
      <c r="P136" s="559">
        <v>1012.5</v>
      </c>
      <c r="Q136" s="509">
        <v>79</v>
      </c>
      <c r="R136" s="531">
        <v>318</v>
      </c>
      <c r="S136" s="333">
        <f>IF(CampList[[#This Row],[HH]]&gt;0,CampList[[#This Row],[Total]]/CampList[[#This Row],[HH]],"NA")</f>
        <v>4.0253164556962027</v>
      </c>
      <c r="T136" s="581" t="s">
        <v>513</v>
      </c>
      <c r="U136" s="562" t="s">
        <v>1213</v>
      </c>
      <c r="V136" s="527" t="s">
        <v>556</v>
      </c>
      <c r="W136" s="562" t="s">
        <v>862</v>
      </c>
      <c r="X136" s="563">
        <v>41275</v>
      </c>
      <c r="Y136" s="564">
        <v>2</v>
      </c>
      <c r="Z136" s="563" t="s">
        <v>462</v>
      </c>
      <c r="AA136" s="516" t="s">
        <v>848</v>
      </c>
      <c r="AB136" s="527"/>
      <c r="AC136" s="565">
        <v>42340</v>
      </c>
      <c r="AD136" s="523" t="s">
        <v>1455</v>
      </c>
      <c r="AE136" s="564" t="s">
        <v>1086</v>
      </c>
      <c r="AF136" s="535">
        <f>IF(CampList[[#This Row],[Type of Accomodation]]="camp",MAX(0,CampList[[#This Row],[HH]]-SUMIF(Table_Shelter[Pcode],CampList[[#This Row],[CP_Pcode]],Table_Shelter[HH Covered])),0)</f>
        <v>16</v>
      </c>
      <c r="AG136" s="525"/>
      <c r="AH136" s="525">
        <f>MIN(CampList[[#This Row],[Shelter Gap]],CampList[[#This Row],[Land Status]])</f>
        <v>16</v>
      </c>
      <c r="AI136" s="525" t="str">
        <f ca="1">IFERROR(OFFSET(DistanceToCamp[Nearest Town],MATCH(CampList[[#This Row],[CP_Pcode]],DistanceToCamp[CP_Pcode],0)-1,0,1,1),"")</f>
        <v>Kutkai Town</v>
      </c>
      <c r="AJ136" s="336">
        <f ca="1">IFERROR(OFFSET(DistanceToCamp[distance],MATCH(CampList[[#This Row],[CP_Pcode]],DistanceToCamp[CP_Pcode],0)-1,0,1,1),"")</f>
        <v>21.050742639251741</v>
      </c>
      <c r="AK136" s="567">
        <f ca="1">IFERROR(INT(CampList[[#This Row],[Distance]]/5)+1,"")</f>
        <v>5</v>
      </c>
      <c r="AL136" s="727"/>
      <c r="AM136" s="727"/>
      <c r="AN136" s="727"/>
      <c r="BD136" s="5"/>
      <c r="BE136" s="5"/>
    </row>
    <row r="137" spans="1:57" s="4" customFormat="1" ht="15.6" customHeight="1" x14ac:dyDescent="0.25">
      <c r="A137" s="555" t="s">
        <v>502</v>
      </c>
      <c r="B137" s="525" t="s">
        <v>380</v>
      </c>
      <c r="C137" s="525" t="s">
        <v>527</v>
      </c>
      <c r="D137" s="525" t="s">
        <v>180</v>
      </c>
      <c r="E137" s="525" t="s">
        <v>528</v>
      </c>
      <c r="F137" s="525" t="s">
        <v>180</v>
      </c>
      <c r="G137" s="525" t="s">
        <v>553</v>
      </c>
      <c r="H137" s="582" t="s">
        <v>1142</v>
      </c>
      <c r="I137" s="525" t="s">
        <v>1277</v>
      </c>
      <c r="J137" s="525"/>
      <c r="K137" s="525"/>
      <c r="L137" s="525" t="s">
        <v>1173</v>
      </c>
      <c r="M137" s="525" t="s">
        <v>1175</v>
      </c>
      <c r="N137" s="508">
        <v>96.366919999999993</v>
      </c>
      <c r="O137" s="508">
        <v>24.764959999999999</v>
      </c>
      <c r="P137" s="569"/>
      <c r="Q137" s="511">
        <v>18</v>
      </c>
      <c r="R137" s="532">
        <v>74</v>
      </c>
      <c r="S137" s="560">
        <f>IF(CampList[[#This Row],[HH]]&gt;0,CampList[[#This Row],[Total]]/CampList[[#This Row],[HH]],"NA")</f>
        <v>4.1111111111111107</v>
      </c>
      <c r="T137" s="581" t="s">
        <v>513</v>
      </c>
      <c r="U137" s="562" t="s">
        <v>1213</v>
      </c>
      <c r="V137" s="523" t="s">
        <v>12</v>
      </c>
      <c r="W137" s="527"/>
      <c r="X137" s="577"/>
      <c r="Y137" s="571"/>
      <c r="Z137" s="562"/>
      <c r="AA137" s="520" t="s">
        <v>848</v>
      </c>
      <c r="AB137" s="525"/>
      <c r="AC137" s="592">
        <v>42317</v>
      </c>
      <c r="AD137" s="528" t="s">
        <v>1414</v>
      </c>
      <c r="AE137" s="564"/>
      <c r="AF137" s="598">
        <f>IF(CampList[[#This Row],[Type of Accomodation]]="camp",MAX(0,CampList[[#This Row],[HH]]-SUMIF(Table_Shelter[Pcode],CampList[[#This Row],[CP_Pcode]],Table_Shelter[HH Covered])),0)</f>
        <v>0</v>
      </c>
      <c r="AG137" s="525"/>
      <c r="AH137" s="525">
        <f>MIN(CampList[[#This Row],[Shelter Gap]],CampList[[#This Row],[Land Status]])</f>
        <v>0</v>
      </c>
      <c r="AI137" s="525" t="str">
        <f ca="1">IFERROR(OFFSET(DistanceToCamp[Nearest Town],MATCH(CampList[[#This Row],[CP_Pcode]],DistanceToCamp[CP_Pcode],0)-1,0,1,1),"")</f>
        <v/>
      </c>
      <c r="AJ137" s="566" t="str">
        <f ca="1">IFERROR(OFFSET(DistanceToCamp[distance],MATCH(CampList[[#This Row],[CP_Pcode]],DistanceToCamp[CP_Pcode],0)-1,0,1,1),"")</f>
        <v/>
      </c>
      <c r="AK137" s="567" t="str">
        <f ca="1">IFERROR(INT(CampList[[#This Row],[Distance]]/5)+1,"")</f>
        <v/>
      </c>
      <c r="AL137" s="727"/>
      <c r="AM137" s="727"/>
      <c r="AN137" s="727"/>
      <c r="BD137" s="5"/>
      <c r="BE137" s="5"/>
    </row>
    <row r="138" spans="1:57" s="4" customFormat="1" ht="15.6" hidden="1" customHeight="1" x14ac:dyDescent="0.25">
      <c r="A138" s="555" t="s">
        <v>849</v>
      </c>
      <c r="B138" s="527" t="s">
        <v>380</v>
      </c>
      <c r="C138" s="527" t="s">
        <v>527</v>
      </c>
      <c r="D138" s="527" t="s">
        <v>237</v>
      </c>
      <c r="E138" s="527" t="s">
        <v>533</v>
      </c>
      <c r="F138" s="527" t="s">
        <v>310</v>
      </c>
      <c r="G138" s="525" t="s">
        <v>534</v>
      </c>
      <c r="H138" s="556" t="s">
        <v>626</v>
      </c>
      <c r="I138" s="525" t="s">
        <v>627</v>
      </c>
      <c r="J138" s="556" t="s">
        <v>626</v>
      </c>
      <c r="K138" s="557">
        <v>165735</v>
      </c>
      <c r="L138" s="527" t="s">
        <v>1269</v>
      </c>
      <c r="M138" s="527" t="s">
        <v>359</v>
      </c>
      <c r="N138" s="558">
        <v>97.421104</v>
      </c>
      <c r="O138" s="558">
        <v>25.328987000000001</v>
      </c>
      <c r="P138" s="569"/>
      <c r="Q138" s="509">
        <v>0</v>
      </c>
      <c r="R138" s="531">
        <v>0</v>
      </c>
      <c r="S138" s="333" t="str">
        <f>IF(CampList[[#This Row],[HH]]&gt;0,CampList[[#This Row],[Total]]/CampList[[#This Row],[HH]],"NA")</f>
        <v>NA</v>
      </c>
      <c r="T138" s="561" t="s">
        <v>513</v>
      </c>
      <c r="U138" s="562" t="s">
        <v>1213</v>
      </c>
      <c r="V138" s="527" t="s">
        <v>556</v>
      </c>
      <c r="W138" s="562"/>
      <c r="X138" s="570"/>
      <c r="Y138" s="571"/>
      <c r="Z138" s="562"/>
      <c r="AA138" s="515"/>
      <c r="AB138" s="527"/>
      <c r="AC138" s="572"/>
      <c r="AD138" s="523" t="s">
        <v>603</v>
      </c>
      <c r="AE138" s="571" t="s">
        <v>1014</v>
      </c>
      <c r="AF138" s="535">
        <f>IF(CampList[[#This Row],[Type of Accomodation]]="camp",MAX(0,CampList[[#This Row],[HH]]-SUMIF(Table_Shelter[Pcode],CampList[[#This Row],[CP_Pcode]],Table_Shelter[HH Covered])),0)</f>
        <v>0</v>
      </c>
      <c r="AG138" s="525"/>
      <c r="AH138" s="525">
        <f>MIN(CampList[[#This Row],[Shelter Gap]],CampList[[#This Row],[Land Status]])</f>
        <v>0</v>
      </c>
      <c r="AI138" s="525" t="str">
        <f ca="1">IFERROR(OFFSET(DistanceToCamp[Nearest Town],MATCH(CampList[[#This Row],[CP_Pcode]],DistanceToCamp[CP_Pcode],0)-1,0,1,1),"")</f>
        <v/>
      </c>
      <c r="AJ138" s="336" t="str">
        <f ca="1">IFERROR(OFFSET(DistanceToCamp[distance],MATCH(CampList[[#This Row],[CP_Pcode]],DistanceToCamp[CP_Pcode],0)-1,0,1,1),"")</f>
        <v/>
      </c>
      <c r="AK138" s="567" t="str">
        <f ca="1">IFERROR(INT(CampList[[#This Row],[Distance]]/5)+1,"")</f>
        <v/>
      </c>
      <c r="AL138" s="727"/>
      <c r="AM138" s="727"/>
      <c r="AN138" s="727"/>
      <c r="BD138" s="5"/>
      <c r="BE138" s="5"/>
    </row>
    <row r="139" spans="1:57" s="4" customFormat="1" ht="15.6" customHeight="1" x14ac:dyDescent="0.25">
      <c r="A139" s="555" t="s">
        <v>502</v>
      </c>
      <c r="B139" s="527" t="s">
        <v>380</v>
      </c>
      <c r="C139" s="527" t="s">
        <v>527</v>
      </c>
      <c r="D139" s="527" t="s">
        <v>5</v>
      </c>
      <c r="E139" s="527" t="s">
        <v>531</v>
      </c>
      <c r="F139" s="527" t="s">
        <v>185</v>
      </c>
      <c r="G139" s="525" t="s">
        <v>535</v>
      </c>
      <c r="H139" s="556" t="s">
        <v>664</v>
      </c>
      <c r="I139" s="556" t="s">
        <v>665</v>
      </c>
      <c r="J139" s="556" t="s">
        <v>666</v>
      </c>
      <c r="K139" s="557" t="s">
        <v>667</v>
      </c>
      <c r="L139" s="527" t="s">
        <v>209</v>
      </c>
      <c r="M139" s="527" t="s">
        <v>208</v>
      </c>
      <c r="N139" s="558">
        <v>97.344359999999995</v>
      </c>
      <c r="O139" s="558">
        <v>24.250689999999999</v>
      </c>
      <c r="P139" s="559">
        <v>0</v>
      </c>
      <c r="Q139" s="509">
        <v>207</v>
      </c>
      <c r="R139" s="531">
        <v>1863</v>
      </c>
      <c r="S139" s="333">
        <f>IF(CampList[[#This Row],[HH]]&gt;0,CampList[[#This Row],[Total]]/CampList[[#This Row],[HH]],"NA")</f>
        <v>9</v>
      </c>
      <c r="T139" s="581" t="s">
        <v>513</v>
      </c>
      <c r="U139" s="562" t="s">
        <v>1213</v>
      </c>
      <c r="V139" s="527" t="s">
        <v>556</v>
      </c>
      <c r="W139" s="562" t="s">
        <v>808</v>
      </c>
      <c r="X139" s="563">
        <v>40695</v>
      </c>
      <c r="Y139" s="564">
        <v>3</v>
      </c>
      <c r="Z139" s="563" t="s">
        <v>462</v>
      </c>
      <c r="AA139" s="515" t="s">
        <v>848</v>
      </c>
      <c r="AB139" s="527"/>
      <c r="AC139" s="565">
        <v>42340</v>
      </c>
      <c r="AD139" s="523" t="s">
        <v>1451</v>
      </c>
      <c r="AE139" s="564" t="s">
        <v>1100</v>
      </c>
      <c r="AF139" s="535">
        <f>IF(CampList[[#This Row],[Type of Accomodation]]="camp",MAX(0,CampList[[#This Row],[HH]]-SUMIF(Table_Shelter[Pcode],CampList[[#This Row],[CP_Pcode]],Table_Shelter[HH Covered])),0)</f>
        <v>0</v>
      </c>
      <c r="AG139" s="525"/>
      <c r="AH139" s="525">
        <f>MIN(CampList[[#This Row],[Shelter Gap]],CampList[[#This Row],[Land Status]])</f>
        <v>0</v>
      </c>
      <c r="AI139" s="525" t="str">
        <f ca="1">IFERROR(OFFSET(DistanceToCamp[Nearest Town],MATCH(CampList[[#This Row],[CP_Pcode]],DistanceToCamp[CP_Pcode],0)-1,0,1,1),"")</f>
        <v>Momauk Town</v>
      </c>
      <c r="AJ139" s="336">
        <f ca="1">IFERROR(OFFSET(DistanceToCamp[distance],MATCH(CampList[[#This Row],[CP_Pcode]],DistanceToCamp[CP_Pcode],0)-1,0,1,1),"")</f>
        <v>0.62513510418653162</v>
      </c>
      <c r="AK139" s="567">
        <f ca="1">IFERROR(INT(CampList[[#This Row],[Distance]]/5)+1,"")</f>
        <v>1</v>
      </c>
      <c r="AL139" s="727"/>
      <c r="AM139" s="727"/>
      <c r="AN139" s="727"/>
      <c r="BD139" s="5"/>
      <c r="BE139" s="5"/>
    </row>
    <row r="140" spans="1:57" s="4" customFormat="1" ht="15.6" hidden="1" customHeight="1" x14ac:dyDescent="0.25">
      <c r="A140" s="555" t="s">
        <v>849</v>
      </c>
      <c r="B140" s="527" t="s">
        <v>380</v>
      </c>
      <c r="C140" s="527" t="s">
        <v>527</v>
      </c>
      <c r="D140" s="527" t="s">
        <v>5</v>
      </c>
      <c r="E140" s="527" t="s">
        <v>531</v>
      </c>
      <c r="F140" s="527" t="s">
        <v>185</v>
      </c>
      <c r="G140" s="525" t="s">
        <v>535</v>
      </c>
      <c r="H140" s="556" t="s">
        <v>664</v>
      </c>
      <c r="I140" s="556" t="s">
        <v>665</v>
      </c>
      <c r="J140" s="556" t="s">
        <v>669</v>
      </c>
      <c r="K140" s="557" t="s">
        <v>670</v>
      </c>
      <c r="L140" s="574" t="s">
        <v>211</v>
      </c>
      <c r="M140" s="527" t="s">
        <v>210</v>
      </c>
      <c r="N140" s="558">
        <v>97.346950000000007</v>
      </c>
      <c r="O140" s="558">
        <v>24.25177</v>
      </c>
      <c r="P140" s="559">
        <v>0</v>
      </c>
      <c r="Q140" s="509"/>
      <c r="R140" s="531"/>
      <c r="S140" s="333" t="str">
        <f>IF(CampList[[#This Row],[HH]]&gt;0,CampList[[#This Row],[Total]]/CampList[[#This Row],[HH]],"NA")</f>
        <v>NA</v>
      </c>
      <c r="T140" s="561" t="s">
        <v>513</v>
      </c>
      <c r="U140" s="562" t="s">
        <v>1213</v>
      </c>
      <c r="V140" s="527" t="s">
        <v>556</v>
      </c>
      <c r="W140" s="562" t="s">
        <v>808</v>
      </c>
      <c r="X140" s="563">
        <v>40756</v>
      </c>
      <c r="Y140" s="564">
        <v>2</v>
      </c>
      <c r="Z140" s="563" t="s">
        <v>1096</v>
      </c>
      <c r="AA140" s="515" t="s">
        <v>848</v>
      </c>
      <c r="AB140" s="527"/>
      <c r="AC140" s="565">
        <v>41971</v>
      </c>
      <c r="AD140" s="523" t="s">
        <v>1128</v>
      </c>
      <c r="AE140" s="564" t="s">
        <v>1100</v>
      </c>
      <c r="AF140" s="535">
        <f>IF(CampList[[#This Row],[Type of Accomodation]]="camp",MAX(0,CampList[[#This Row],[HH]]-SUMIF(Table_Shelter[Pcode],CampList[[#This Row],[CP_Pcode]],Table_Shelter[HH Covered])),0)</f>
        <v>0</v>
      </c>
      <c r="AG140" s="525"/>
      <c r="AH140" s="525">
        <f>MIN(CampList[[#This Row],[Shelter Gap]],CampList[[#This Row],[Land Status]])</f>
        <v>0</v>
      </c>
      <c r="AI140" s="525" t="str">
        <f ca="1">IFERROR(OFFSET(DistanceToCamp[Nearest Town],MATCH(CampList[[#This Row],[CP_Pcode]],DistanceToCamp[CP_Pcode],0)-1,0,1,1),"")</f>
        <v/>
      </c>
      <c r="AJ140" s="336" t="str">
        <f ca="1">IFERROR(OFFSET(DistanceToCamp[distance],MATCH(CampList[[#This Row],[CP_Pcode]],DistanceToCamp[CP_Pcode],0)-1,0,1,1),"")</f>
        <v/>
      </c>
      <c r="AK140" s="567" t="str">
        <f ca="1">IFERROR(INT(CampList[[#This Row],[Distance]]/5)+1,"")</f>
        <v/>
      </c>
      <c r="AL140" s="727"/>
      <c r="AM140" s="727"/>
      <c r="AN140" s="727"/>
      <c r="BD140" s="5"/>
      <c r="BE140" s="5"/>
    </row>
    <row r="141" spans="1:57" s="4" customFormat="1" ht="15.6" customHeight="1" x14ac:dyDescent="0.25">
      <c r="A141" s="555" t="s">
        <v>502</v>
      </c>
      <c r="B141" s="527" t="s">
        <v>555</v>
      </c>
      <c r="C141" s="525" t="s">
        <v>538</v>
      </c>
      <c r="D141" s="525" t="s">
        <v>230</v>
      </c>
      <c r="E141" s="525" t="s">
        <v>539</v>
      </c>
      <c r="F141" s="525" t="s">
        <v>230</v>
      </c>
      <c r="G141" s="525" t="s">
        <v>540</v>
      </c>
      <c r="H141" s="585" t="s">
        <v>821</v>
      </c>
      <c r="I141" s="525" t="s">
        <v>1281</v>
      </c>
      <c r="J141" s="585" t="s">
        <v>822</v>
      </c>
      <c r="K141" s="586"/>
      <c r="L141" s="527" t="s">
        <v>233</v>
      </c>
      <c r="M141" s="527" t="s">
        <v>232</v>
      </c>
      <c r="N141" s="568">
        <v>98.320651999999995</v>
      </c>
      <c r="O141" s="568">
        <v>24.101320999999999</v>
      </c>
      <c r="P141" s="559">
        <v>2979</v>
      </c>
      <c r="Q141" s="509">
        <v>9</v>
      </c>
      <c r="R141" s="531">
        <v>52</v>
      </c>
      <c r="S141" s="333">
        <f>IF(CampList[[#This Row],[HH]]&gt;0,CampList[[#This Row],[Total]]/CampList[[#This Row],[HH]],"NA")</f>
        <v>5.7777777777777777</v>
      </c>
      <c r="T141" s="581" t="s">
        <v>515</v>
      </c>
      <c r="U141" s="562" t="s">
        <v>1213</v>
      </c>
      <c r="V141" s="527" t="s">
        <v>556</v>
      </c>
      <c r="W141" s="562" t="s">
        <v>808</v>
      </c>
      <c r="X141" s="563">
        <v>41091</v>
      </c>
      <c r="Y141" s="564">
        <v>1</v>
      </c>
      <c r="Z141" s="563" t="s">
        <v>462</v>
      </c>
      <c r="AA141" s="516" t="s">
        <v>848</v>
      </c>
      <c r="AB141" s="527"/>
      <c r="AC141" s="565">
        <v>42340</v>
      </c>
      <c r="AD141" s="523" t="s">
        <v>1455</v>
      </c>
      <c r="AE141" s="564" t="s">
        <v>1084</v>
      </c>
      <c r="AF141" s="535">
        <f>IF(CampList[[#This Row],[Type of Accomodation]]="camp",MAX(0,CampList[[#This Row],[HH]]-SUMIF(Table_Shelter[Pcode],CampList[[#This Row],[CP_Pcode]],Table_Shelter[HH Covered])),0)</f>
        <v>9</v>
      </c>
      <c r="AG141" s="525"/>
      <c r="AH141" s="525">
        <f>MIN(CampList[[#This Row],[Shelter Gap]],CampList[[#This Row],[Land Status]])</f>
        <v>9</v>
      </c>
      <c r="AI141" s="525" t="str">
        <f ca="1">IFERROR(OFFSET(DistanceToCamp[Nearest Town],MATCH(CampList[[#This Row],[CP_Pcode]],DistanceToCamp[CP_Pcode],0)-1,0,1,1),"")</f>
        <v>Monekoe Town</v>
      </c>
      <c r="AJ141" s="336">
        <f ca="1">IFERROR(OFFSET(DistanceToCamp[distance],MATCH(CampList[[#This Row],[CP_Pcode]],DistanceToCamp[CP_Pcode],0)-1,0,1,1),"")</f>
        <v>1.789574394782699</v>
      </c>
      <c r="AK141" s="567">
        <f ca="1">IFERROR(INT(CampList[[#This Row],[Distance]]/5)+1,"")</f>
        <v>1</v>
      </c>
      <c r="AL141" s="727"/>
      <c r="AM141" s="727"/>
      <c r="AN141" s="727"/>
      <c r="BD141" s="5"/>
      <c r="BE141" s="5"/>
    </row>
    <row r="142" spans="1:57" s="4" customFormat="1" ht="15.6" customHeight="1" x14ac:dyDescent="0.25">
      <c r="A142" s="555" t="s">
        <v>502</v>
      </c>
      <c r="B142" s="527" t="s">
        <v>555</v>
      </c>
      <c r="C142" s="525" t="s">
        <v>538</v>
      </c>
      <c r="D142" s="525" t="s">
        <v>230</v>
      </c>
      <c r="E142" s="525" t="s">
        <v>539</v>
      </c>
      <c r="F142" s="525" t="s">
        <v>230</v>
      </c>
      <c r="G142" s="525" t="s">
        <v>540</v>
      </c>
      <c r="H142" s="525" t="s">
        <v>235</v>
      </c>
      <c r="I142" s="525" t="s">
        <v>1148</v>
      </c>
      <c r="J142" s="525" t="s">
        <v>235</v>
      </c>
      <c r="K142" s="573"/>
      <c r="L142" s="527" t="s">
        <v>235</v>
      </c>
      <c r="M142" s="527" t="s">
        <v>234</v>
      </c>
      <c r="N142" s="568">
        <v>98.054946000000001</v>
      </c>
      <c r="O142" s="568">
        <v>24.008452999999999</v>
      </c>
      <c r="P142" s="569">
        <v>3396</v>
      </c>
      <c r="Q142" s="509">
        <v>123</v>
      </c>
      <c r="R142" s="531">
        <v>503</v>
      </c>
      <c r="S142" s="560">
        <f>IF(CampList[[#This Row],[HH]]&gt;0,CampList[[#This Row],[Total]]/CampList[[#This Row],[HH]],"NA")</f>
        <v>4.0894308943089435</v>
      </c>
      <c r="T142" s="581" t="s">
        <v>515</v>
      </c>
      <c r="U142" s="562" t="s">
        <v>1213</v>
      </c>
      <c r="V142" s="527" t="s">
        <v>12</v>
      </c>
      <c r="W142" s="562" t="s">
        <v>862</v>
      </c>
      <c r="X142" s="570"/>
      <c r="Y142" s="571"/>
      <c r="Z142" s="562"/>
      <c r="AA142" s="522" t="s">
        <v>574</v>
      </c>
      <c r="AB142" s="527"/>
      <c r="AC142" s="565">
        <v>41701</v>
      </c>
      <c r="AD142" s="523" t="s">
        <v>1018</v>
      </c>
      <c r="AE142" s="571" t="s">
        <v>1084</v>
      </c>
      <c r="AF142" s="535">
        <f>IF(CampList[[#This Row],[Type of Accomodation]]="camp",MAX(0,CampList[[#This Row],[HH]]-SUMIF(Table_Shelter[Pcode],CampList[[#This Row],[CP_Pcode]],Table_Shelter[HH Covered])),0)</f>
        <v>0</v>
      </c>
      <c r="AG142" s="525"/>
      <c r="AH142" s="525">
        <f>MIN(CampList[[#This Row],[Shelter Gap]],CampList[[#This Row],[Land Status]])</f>
        <v>0</v>
      </c>
      <c r="AI142" s="525" t="str">
        <f ca="1">IFERROR(OFFSET(DistanceToCamp[Nearest Town],MATCH(CampList[[#This Row],[CP_Pcode]],DistanceToCamp[CP_Pcode],0)-1,0,1,1),"")</f>
        <v>Pang Hseng (Kyu Koke) Town</v>
      </c>
      <c r="AJ142" s="566">
        <f ca="1">IFERROR(OFFSET(DistanceToCamp[distance],MATCH(CampList[[#This Row],[CP_Pcode]],DistanceToCamp[CP_Pcode],0)-1,0,1,1),"")</f>
        <v>7.490291417449443</v>
      </c>
      <c r="AK142" s="567">
        <f ca="1">IFERROR(INT(CampList[[#This Row],[Distance]]/5)+1,"")</f>
        <v>2</v>
      </c>
      <c r="AL142" s="727"/>
      <c r="AM142" s="727"/>
      <c r="AN142" s="727"/>
      <c r="BD142" s="5"/>
      <c r="BE142" s="5"/>
    </row>
    <row r="143" spans="1:57" s="4" customFormat="1" ht="15.6" hidden="1" customHeight="1" x14ac:dyDescent="0.25">
      <c r="A143" s="555" t="s">
        <v>849</v>
      </c>
      <c r="B143" s="527" t="s">
        <v>380</v>
      </c>
      <c r="C143" s="527" t="s">
        <v>527</v>
      </c>
      <c r="D143" s="525" t="s">
        <v>5</v>
      </c>
      <c r="E143" s="525" t="s">
        <v>531</v>
      </c>
      <c r="F143" s="525" t="s">
        <v>151</v>
      </c>
      <c r="G143" s="525" t="s">
        <v>541</v>
      </c>
      <c r="H143" s="582" t="s">
        <v>628</v>
      </c>
      <c r="I143" s="582" t="s">
        <v>629</v>
      </c>
      <c r="J143" s="582" t="s">
        <v>628</v>
      </c>
      <c r="K143" s="583">
        <v>167495</v>
      </c>
      <c r="L143" s="527" t="s">
        <v>296</v>
      </c>
      <c r="M143" s="527" t="s">
        <v>389</v>
      </c>
      <c r="N143" s="568">
        <v>97.174999999999997</v>
      </c>
      <c r="O143" s="568">
        <v>23.867000000000001</v>
      </c>
      <c r="P143" s="569"/>
      <c r="Q143" s="509">
        <v>0</v>
      </c>
      <c r="R143" s="531">
        <v>0</v>
      </c>
      <c r="S143" s="560" t="str">
        <f>IF(CampList[[#This Row],[HH]]&gt;0,CampList[[#This Row],[Total]]/CampList[[#This Row],[HH]],"NA")</f>
        <v>NA</v>
      </c>
      <c r="T143" s="561" t="s">
        <v>515</v>
      </c>
      <c r="U143" s="562" t="s">
        <v>1213</v>
      </c>
      <c r="V143" s="527" t="s">
        <v>556</v>
      </c>
      <c r="W143" s="562"/>
      <c r="X143" s="570"/>
      <c r="Y143" s="571"/>
      <c r="Z143" s="562"/>
      <c r="AA143" s="519"/>
      <c r="AB143" s="527"/>
      <c r="AC143" s="579">
        <v>41701</v>
      </c>
      <c r="AD143" s="523" t="s">
        <v>1020</v>
      </c>
      <c r="AE143" s="571" t="s">
        <v>1014</v>
      </c>
      <c r="AF143" s="535">
        <f>IF(CampList[[#This Row],[Type of Accomodation]]="camp",MAX(0,CampList[[#This Row],[HH]]-SUMIF(Table_Shelter[Pcode],CampList[[#This Row],[CP_Pcode]],Table_Shelter[HH Covered])),0)</f>
        <v>0</v>
      </c>
      <c r="AG143" s="525"/>
      <c r="AH143" s="525">
        <f>MIN(CampList[[#This Row],[Shelter Gap]],CampList[[#This Row],[Land Status]])</f>
        <v>0</v>
      </c>
      <c r="AI143" s="525" t="str">
        <f ca="1">IFERROR(OFFSET(DistanceToCamp[Nearest Town],MATCH(CampList[[#This Row],[CP_Pcode]],DistanceToCamp[CP_Pcode],0)-1,0,1,1),"")</f>
        <v/>
      </c>
      <c r="AJ143" s="566" t="str">
        <f ca="1">IFERROR(OFFSET(DistanceToCamp[distance],MATCH(CampList[[#This Row],[CP_Pcode]],DistanceToCamp[CP_Pcode],0)-1,0,1,1),"")</f>
        <v/>
      </c>
      <c r="AK143" s="567" t="str">
        <f ca="1">IFERROR(INT(CampList[[#This Row],[Distance]]/5)+1,"")</f>
        <v/>
      </c>
      <c r="AL143" s="727"/>
      <c r="AM143" s="727"/>
      <c r="AN143" s="727"/>
      <c r="BD143" s="5"/>
      <c r="BE143" s="5"/>
    </row>
    <row r="144" spans="1:57" s="4" customFormat="1" ht="15.6" hidden="1" customHeight="1" x14ac:dyDescent="0.25">
      <c r="A144" s="555" t="s">
        <v>849</v>
      </c>
      <c r="B144" s="527" t="s">
        <v>380</v>
      </c>
      <c r="C144" s="527" t="s">
        <v>527</v>
      </c>
      <c r="D144" s="527" t="s">
        <v>5</v>
      </c>
      <c r="E144" s="527" t="s">
        <v>531</v>
      </c>
      <c r="F144" s="527" t="s">
        <v>151</v>
      </c>
      <c r="G144" s="525" t="s">
        <v>541</v>
      </c>
      <c r="H144" s="556" t="s">
        <v>628</v>
      </c>
      <c r="I144" s="556" t="s">
        <v>629</v>
      </c>
      <c r="J144" s="556"/>
      <c r="K144" s="557"/>
      <c r="L144" s="527" t="s">
        <v>520</v>
      </c>
      <c r="M144" s="527" t="s">
        <v>521</v>
      </c>
      <c r="N144" s="558">
        <v>96.808850000000007</v>
      </c>
      <c r="O144" s="558">
        <v>24.20645</v>
      </c>
      <c r="P144" s="559">
        <v>781.8</v>
      </c>
      <c r="Q144" s="509">
        <v>0</v>
      </c>
      <c r="R144" s="531">
        <v>0</v>
      </c>
      <c r="S144" s="333" t="str">
        <f>IF(CampList[[#This Row],[HH]]&gt;0,CampList[[#This Row],[Total]]/CampList[[#This Row],[HH]],"NA")</f>
        <v>NA</v>
      </c>
      <c r="T144" s="561" t="s">
        <v>515</v>
      </c>
      <c r="U144" s="562" t="s">
        <v>1213</v>
      </c>
      <c r="V144" s="527" t="s">
        <v>556</v>
      </c>
      <c r="W144" s="562" t="s">
        <v>862</v>
      </c>
      <c r="X144" s="563">
        <v>41091</v>
      </c>
      <c r="Y144" s="564"/>
      <c r="Z144" s="563"/>
      <c r="AA144" s="516" t="s">
        <v>848</v>
      </c>
      <c r="AB144" s="527"/>
      <c r="AC144" s="565">
        <v>41661</v>
      </c>
      <c r="AD144" s="523" t="s">
        <v>944</v>
      </c>
      <c r="AE144" s="564" t="s">
        <v>1014</v>
      </c>
      <c r="AF144" s="535">
        <f>IF(CampList[[#This Row],[Type of Accomodation]]="camp",MAX(0,CampList[[#This Row],[HH]]-SUMIF(Table_Shelter[Pcode],CampList[[#This Row],[CP_Pcode]],Table_Shelter[HH Covered])),0)</f>
        <v>0</v>
      </c>
      <c r="AG144" s="525"/>
      <c r="AH144" s="525">
        <f>MIN(CampList[[#This Row],[Shelter Gap]],CampList[[#This Row],[Land Status]])</f>
        <v>0</v>
      </c>
      <c r="AI144" s="525" t="str">
        <f ca="1">IFERROR(OFFSET(DistanceToCamp[Nearest Town],MATCH(CampList[[#This Row],[CP_Pcode]],DistanceToCamp[CP_Pcode],0)-1,0,1,1),"")</f>
        <v/>
      </c>
      <c r="AJ144" s="336" t="str">
        <f ca="1">IFERROR(OFFSET(DistanceToCamp[distance],MATCH(CampList[[#This Row],[CP_Pcode]],DistanceToCamp[CP_Pcode],0)-1,0,1,1),"")</f>
        <v/>
      </c>
      <c r="AK144" s="567" t="str">
        <f ca="1">IFERROR(INT(CampList[[#This Row],[Distance]]/5)+1,"")</f>
        <v/>
      </c>
      <c r="AL144" s="727"/>
      <c r="AM144" s="727"/>
      <c r="AN144" s="727"/>
      <c r="BD144" s="5"/>
      <c r="BE144" s="5"/>
    </row>
    <row r="145" spans="1:57" s="4" customFormat="1" ht="15.6" customHeight="1" x14ac:dyDescent="0.25">
      <c r="A145" s="555" t="s">
        <v>502</v>
      </c>
      <c r="B145" s="527" t="s">
        <v>555</v>
      </c>
      <c r="C145" s="525" t="s">
        <v>538</v>
      </c>
      <c r="D145" s="525" t="s">
        <v>230</v>
      </c>
      <c r="E145" s="525" t="s">
        <v>539</v>
      </c>
      <c r="F145" s="525" t="s">
        <v>146</v>
      </c>
      <c r="G145" s="525" t="s">
        <v>546</v>
      </c>
      <c r="H145" s="582" t="s">
        <v>790</v>
      </c>
      <c r="I145" s="582" t="s">
        <v>791</v>
      </c>
      <c r="J145" s="576" t="s">
        <v>792</v>
      </c>
      <c r="K145" s="587"/>
      <c r="L145" s="527" t="s">
        <v>371</v>
      </c>
      <c r="M145" s="527" t="s">
        <v>147</v>
      </c>
      <c r="N145" s="558">
        <v>98.220614999999995</v>
      </c>
      <c r="O145" s="558">
        <v>23.400155999999999</v>
      </c>
      <c r="P145" s="559">
        <v>3109</v>
      </c>
      <c r="Q145" s="509">
        <v>51</v>
      </c>
      <c r="R145" s="531">
        <v>261</v>
      </c>
      <c r="S145" s="333">
        <f>IF(CampList[[#This Row],[HH]]&gt;0,CampList[[#This Row],[Total]]/CampList[[#This Row],[HH]],"NA")</f>
        <v>5.117647058823529</v>
      </c>
      <c r="T145" s="581" t="s">
        <v>513</v>
      </c>
      <c r="U145" s="562" t="s">
        <v>1213</v>
      </c>
      <c r="V145" s="527" t="s">
        <v>556</v>
      </c>
      <c r="W145" s="562" t="s">
        <v>862</v>
      </c>
      <c r="X145" s="563">
        <v>40787</v>
      </c>
      <c r="Y145" s="564">
        <v>1</v>
      </c>
      <c r="Z145" s="563" t="s">
        <v>462</v>
      </c>
      <c r="AA145" s="516" t="s">
        <v>848</v>
      </c>
      <c r="AB145" s="527"/>
      <c r="AC145" s="565">
        <v>42340</v>
      </c>
      <c r="AD145" s="523" t="s">
        <v>1454</v>
      </c>
      <c r="AE145" s="564" t="s">
        <v>1084</v>
      </c>
      <c r="AF145" s="535">
        <f>IF(CampList[[#This Row],[Type of Accomodation]]="camp",MAX(0,CampList[[#This Row],[HH]]-SUMIF(Table_Shelter[Pcode],CampList[[#This Row],[CP_Pcode]],Table_Shelter[HH Covered])),0)</f>
        <v>46</v>
      </c>
      <c r="AG145" s="525"/>
      <c r="AH145" s="525">
        <f>MIN(CampList[[#This Row],[Shelter Gap]],CampList[[#This Row],[Land Status]])</f>
        <v>46</v>
      </c>
      <c r="AI145" s="525" t="str">
        <f ca="1">IFERROR(OFFSET(DistanceToCamp[Nearest Town],MATCH(CampList[[#This Row],[CP_Pcode]],DistanceToCamp[CP_Pcode],0)-1,0,1,1),"")</f>
        <v>Tarmoenye Town</v>
      </c>
      <c r="AJ145" s="336">
        <f ca="1">IFERROR(OFFSET(DistanceToCamp[distance],MATCH(CampList[[#This Row],[CP_Pcode]],DistanceToCamp[CP_Pcode],0)-1,0,1,1),"")</f>
        <v>23.172399462804503</v>
      </c>
      <c r="AK145" s="567">
        <f ca="1">IFERROR(INT(CampList[[#This Row],[Distance]]/5)+1,"")</f>
        <v>5</v>
      </c>
      <c r="AL145" s="727"/>
      <c r="AM145" s="727"/>
      <c r="AN145" s="727"/>
      <c r="BD145" s="5"/>
      <c r="BE145" s="5"/>
    </row>
    <row r="146" spans="1:57" s="4" customFormat="1" ht="15.6" customHeight="1" x14ac:dyDescent="0.25">
      <c r="A146" s="495" t="s">
        <v>502</v>
      </c>
      <c r="B146" s="535" t="s">
        <v>555</v>
      </c>
      <c r="C146" s="535" t="s">
        <v>538</v>
      </c>
      <c r="D146" s="535" t="s">
        <v>230</v>
      </c>
      <c r="E146" s="535" t="s">
        <v>539</v>
      </c>
      <c r="F146" s="535" t="s">
        <v>146</v>
      </c>
      <c r="G146" s="535" t="s">
        <v>546</v>
      </c>
      <c r="H146" s="535" t="s">
        <v>790</v>
      </c>
      <c r="I146" s="598" t="s">
        <v>791</v>
      </c>
      <c r="J146" s="535" t="s">
        <v>792</v>
      </c>
      <c r="K146" s="535"/>
      <c r="L146" s="535" t="s">
        <v>1111</v>
      </c>
      <c r="M146" s="535" t="s">
        <v>1110</v>
      </c>
      <c r="N146" s="508"/>
      <c r="O146" s="508"/>
      <c r="P146" s="569"/>
      <c r="Q146" s="511">
        <v>21</v>
      </c>
      <c r="R146" s="532">
        <v>107</v>
      </c>
      <c r="S146" s="560">
        <f>IF(CampList[[#This Row],[HH]]&gt;0,CampList[[#This Row],[Total]]/CampList[[#This Row],[HH]],"NA")</f>
        <v>5.0952380952380949</v>
      </c>
      <c r="T146" s="599" t="s">
        <v>513</v>
      </c>
      <c r="U146" s="561" t="s">
        <v>1213</v>
      </c>
      <c r="V146" s="496" t="s">
        <v>556</v>
      </c>
      <c r="W146" s="508" t="s">
        <v>862</v>
      </c>
      <c r="X146" s="577"/>
      <c r="Y146" s="571"/>
      <c r="Z146" s="571" t="s">
        <v>1296</v>
      </c>
      <c r="AA146" s="511" t="s">
        <v>848</v>
      </c>
      <c r="AB146" s="599"/>
      <c r="AC146" s="565">
        <v>42235</v>
      </c>
      <c r="AD146" s="535" t="s">
        <v>1346</v>
      </c>
      <c r="AE146" s="597"/>
      <c r="AF146" s="598">
        <f>IF(CampList[[#This Row],[Type of Accomodation]]="camp",MAX(0,CampList[[#This Row],[HH]]-SUMIF(Table_Shelter[Pcode],CampList[[#This Row],[CP_Pcode]],Table_Shelter[HH Covered])),0)</f>
        <v>21</v>
      </c>
      <c r="AG146" s="525"/>
      <c r="AH146" s="598">
        <f>MIN(CampList[[#This Row],[Shelter Gap]],CampList[[#This Row],[Land Status]])</f>
        <v>21</v>
      </c>
      <c r="AI146" s="598" t="str">
        <f ca="1">IFERROR(OFFSET(DistanceToCamp[Nearest Town],MATCH(CampList[[#This Row],[CP_Pcode]],DistanceToCamp[CP_Pcode],0)-1,0,1,1),"")</f>
        <v/>
      </c>
      <c r="AJ146" s="566" t="str">
        <f ca="1">IFERROR(OFFSET(DistanceToCamp[distance],MATCH(CampList[[#This Row],[CP_Pcode]],DistanceToCamp[CP_Pcode],0)-1,0,1,1),"")</f>
        <v/>
      </c>
      <c r="AK146" s="600" t="str">
        <f ca="1">IFERROR(INT(CampList[[#This Row],[Distance]]/5)+1,"")</f>
        <v/>
      </c>
      <c r="AL146" s="727"/>
      <c r="AM146" s="727"/>
      <c r="AN146" s="727"/>
      <c r="BD146" s="5"/>
      <c r="BE146" s="5"/>
    </row>
    <row r="147" spans="1:57" s="4" customFormat="1" ht="15.6" hidden="1" customHeight="1" x14ac:dyDescent="0.25">
      <c r="A147" s="555" t="s">
        <v>849</v>
      </c>
      <c r="B147" s="527" t="s">
        <v>555</v>
      </c>
      <c r="C147" s="525" t="s">
        <v>538</v>
      </c>
      <c r="D147" s="525" t="s">
        <v>230</v>
      </c>
      <c r="E147" s="525" t="s">
        <v>539</v>
      </c>
      <c r="F147" s="525" t="s">
        <v>146</v>
      </c>
      <c r="G147" s="525" t="s">
        <v>546</v>
      </c>
      <c r="H147" s="582" t="s">
        <v>790</v>
      </c>
      <c r="I147" s="582" t="s">
        <v>791</v>
      </c>
      <c r="J147" s="585" t="s">
        <v>792</v>
      </c>
      <c r="K147" s="586"/>
      <c r="L147" s="527" t="s">
        <v>367</v>
      </c>
      <c r="M147" s="527" t="s">
        <v>386</v>
      </c>
      <c r="N147" s="558">
        <v>98.213958000000005</v>
      </c>
      <c r="O147" s="558">
        <v>23.391741</v>
      </c>
      <c r="P147" s="559">
        <v>0</v>
      </c>
      <c r="Q147" s="509">
        <v>0</v>
      </c>
      <c r="R147" s="531">
        <v>0</v>
      </c>
      <c r="S147" s="333" t="str">
        <f>IF(CampList[[#This Row],[HH]]&gt;0,CampList[[#This Row],[Total]]/CampList[[#This Row],[HH]],"NA")</f>
        <v>NA</v>
      </c>
      <c r="T147" s="561" t="s">
        <v>513</v>
      </c>
      <c r="U147" s="562" t="s">
        <v>1213</v>
      </c>
      <c r="V147" s="527" t="s">
        <v>556</v>
      </c>
      <c r="W147" s="562" t="s">
        <v>862</v>
      </c>
      <c r="X147" s="563">
        <v>40787</v>
      </c>
      <c r="Y147" s="564"/>
      <c r="Z147" s="563"/>
      <c r="AA147" s="516" t="s">
        <v>848</v>
      </c>
      <c r="AB147" s="527"/>
      <c r="AC147" s="565">
        <v>41701</v>
      </c>
      <c r="AD147" s="523" t="s">
        <v>1022</v>
      </c>
      <c r="AE147" s="564" t="s">
        <v>1014</v>
      </c>
      <c r="AF147" s="535">
        <f>IF(CampList[[#This Row],[Type of Accomodation]]="camp",MAX(0,CampList[[#This Row],[HH]]-SUMIF(Table_Shelter[Pcode],CampList[[#This Row],[CP_Pcode]],Table_Shelter[HH Covered])),0)</f>
        <v>0</v>
      </c>
      <c r="AG147" s="525"/>
      <c r="AH147" s="525">
        <f>MIN(CampList[[#This Row],[Shelter Gap]],CampList[[#This Row],[Land Status]])</f>
        <v>0</v>
      </c>
      <c r="AI147" s="525" t="str">
        <f ca="1">IFERROR(OFFSET(DistanceToCamp[Nearest Town],MATCH(CampList[[#This Row],[CP_Pcode]],DistanceToCamp[CP_Pcode],0)-1,0,1,1),"")</f>
        <v/>
      </c>
      <c r="AJ147" s="336" t="str">
        <f ca="1">IFERROR(OFFSET(DistanceToCamp[distance],MATCH(CampList[[#This Row],[CP_Pcode]],DistanceToCamp[CP_Pcode],0)-1,0,1,1),"")</f>
        <v/>
      </c>
      <c r="AK147" s="567" t="str">
        <f ca="1">IFERROR(INT(CampList[[#This Row],[Distance]]/5)+1,"")</f>
        <v/>
      </c>
      <c r="AL147" s="727"/>
      <c r="AM147" s="727"/>
      <c r="AN147" s="727"/>
      <c r="BD147" s="5"/>
      <c r="BE147" s="5"/>
    </row>
    <row r="148" spans="1:57" s="4" customFormat="1" ht="15.6" hidden="1" customHeight="1" x14ac:dyDescent="0.25">
      <c r="A148" s="332" t="s">
        <v>849</v>
      </c>
      <c r="B148" s="527" t="s">
        <v>380</v>
      </c>
      <c r="C148" s="527" t="s">
        <v>527</v>
      </c>
      <c r="D148" s="527" t="s">
        <v>180</v>
      </c>
      <c r="E148" s="527" t="s">
        <v>528</v>
      </c>
      <c r="F148" s="527" t="s">
        <v>529</v>
      </c>
      <c r="G148" s="525" t="s">
        <v>530</v>
      </c>
      <c r="H148" s="556" t="s">
        <v>614</v>
      </c>
      <c r="I148" s="556" t="s">
        <v>615</v>
      </c>
      <c r="J148" s="556" t="s">
        <v>614</v>
      </c>
      <c r="K148" s="557">
        <v>166773</v>
      </c>
      <c r="L148" s="527" t="s">
        <v>142</v>
      </c>
      <c r="M148" s="527" t="s">
        <v>141</v>
      </c>
      <c r="N148" s="558">
        <v>96.354159999999993</v>
      </c>
      <c r="O148" s="558">
        <v>25.658670000000001</v>
      </c>
      <c r="P148" s="559">
        <v>0</v>
      </c>
      <c r="Q148" s="509">
        <v>0</v>
      </c>
      <c r="R148" s="531">
        <v>0</v>
      </c>
      <c r="S148" s="333" t="str">
        <f>IF(CampList[[#This Row],[HH]]&gt;0,CampList[[#This Row],[Total]]/CampList[[#This Row],[HH]],"NA")</f>
        <v>NA</v>
      </c>
      <c r="T148" s="561" t="s">
        <v>513</v>
      </c>
      <c r="U148" s="334" t="s">
        <v>1213</v>
      </c>
      <c r="V148" s="527" t="s">
        <v>556</v>
      </c>
      <c r="W148" s="562" t="s">
        <v>862</v>
      </c>
      <c r="X148" s="563">
        <v>41275</v>
      </c>
      <c r="Y148" s="564"/>
      <c r="Z148" s="563"/>
      <c r="AA148" s="515" t="s">
        <v>847</v>
      </c>
      <c r="AB148" s="527"/>
      <c r="AC148" s="335">
        <v>41774</v>
      </c>
      <c r="AD148" s="523" t="s">
        <v>1055</v>
      </c>
      <c r="AE148" s="564" t="s">
        <v>1014</v>
      </c>
      <c r="AF148" s="535">
        <f>IF(CampList[[#This Row],[Type of Accomodation]]="camp",MAX(0,CampList[[#This Row],[HH]]-SUMIF(Table_Shelter[Pcode],CampList[[#This Row],[CP_Pcode]],Table_Shelter[HH Covered])),0)</f>
        <v>0</v>
      </c>
      <c r="AG148" s="525"/>
      <c r="AH148" s="218">
        <f>MIN(CampList[[#This Row],[Shelter Gap]],CampList[[#This Row],[Land Status]])</f>
        <v>0</v>
      </c>
      <c r="AI148" s="218" t="str">
        <f ca="1">IFERROR(OFFSET(DistanceToCamp[Nearest Town],MATCH(CampList[[#This Row],[CP_Pcode]],DistanceToCamp[CP_Pcode],0)-1,0,1,1),"")</f>
        <v/>
      </c>
      <c r="AJ148" s="336" t="str">
        <f ca="1">IFERROR(OFFSET(DistanceToCamp[distance],MATCH(CampList[[#This Row],[CP_Pcode]],DistanceToCamp[CP_Pcode],0)-1,0,1,1),"")</f>
        <v/>
      </c>
      <c r="AK148" s="337" t="str">
        <f ca="1">IFERROR(INT(CampList[[#This Row],[Distance]]/5)+1,"")</f>
        <v/>
      </c>
      <c r="AL148" s="727"/>
      <c r="AM148" s="727"/>
      <c r="AN148" s="727"/>
      <c r="BD148" s="5"/>
      <c r="BE148" s="5"/>
    </row>
    <row r="149" spans="1:57" s="4" customFormat="1" ht="15.6" customHeight="1" x14ac:dyDescent="0.25">
      <c r="A149" s="555" t="s">
        <v>502</v>
      </c>
      <c r="B149" s="525" t="s">
        <v>555</v>
      </c>
      <c r="C149" s="525" t="s">
        <v>538</v>
      </c>
      <c r="D149" s="525" t="s">
        <v>230</v>
      </c>
      <c r="E149" s="525" t="s">
        <v>539</v>
      </c>
      <c r="F149" s="525" t="s">
        <v>230</v>
      </c>
      <c r="G149" s="525" t="s">
        <v>540</v>
      </c>
      <c r="H149" s="525" t="s">
        <v>1056</v>
      </c>
      <c r="I149" s="525" t="s">
        <v>1057</v>
      </c>
      <c r="J149" s="525" t="s">
        <v>1058</v>
      </c>
      <c r="K149" s="586" t="s">
        <v>1059</v>
      </c>
      <c r="L149" s="525" t="s">
        <v>1060</v>
      </c>
      <c r="M149" s="525" t="s">
        <v>1061</v>
      </c>
      <c r="N149" s="558">
        <v>97.909400000000005</v>
      </c>
      <c r="O149" s="558">
        <v>24.006319999999999</v>
      </c>
      <c r="P149" s="532">
        <v>812.7</v>
      </c>
      <c r="Q149" s="511">
        <v>55</v>
      </c>
      <c r="R149" s="532">
        <v>237</v>
      </c>
      <c r="S149" s="333">
        <f>IF(CampList[[#This Row],[HH]]&gt;0,CampList[[#This Row],[Total]]/CampList[[#This Row],[HH]],"NA")</f>
        <v>4.3090909090909095</v>
      </c>
      <c r="T149" s="581" t="s">
        <v>513</v>
      </c>
      <c r="U149" s="562" t="s">
        <v>1213</v>
      </c>
      <c r="V149" s="527" t="s">
        <v>556</v>
      </c>
      <c r="W149" s="527" t="s">
        <v>808</v>
      </c>
      <c r="X149" s="577">
        <v>41703</v>
      </c>
      <c r="Y149" s="533"/>
      <c r="Z149" s="527" t="s">
        <v>462</v>
      </c>
      <c r="AA149" s="520" t="s">
        <v>848</v>
      </c>
      <c r="AB149" s="525"/>
      <c r="AC149" s="565">
        <v>42340</v>
      </c>
      <c r="AD149" s="528" t="s">
        <v>1456</v>
      </c>
      <c r="AE149" s="533" t="s">
        <v>1100</v>
      </c>
      <c r="AF149" s="535">
        <f>IF(CampList[[#This Row],[Type of Accomodation]]="camp",MAX(0,CampList[[#This Row],[HH]]-SUMIF(Table_Shelter[Pcode],CampList[[#This Row],[CP_Pcode]],Table_Shelter[HH Covered])),0)</f>
        <v>11</v>
      </c>
      <c r="AG149" s="525"/>
      <c r="AH149" s="525">
        <f>MIN(CampList[[#This Row],[Shelter Gap]],CampList[[#This Row],[Land Status]])</f>
        <v>11</v>
      </c>
      <c r="AI149" s="525" t="str">
        <f ca="1">IFERROR(OFFSET(DistanceToCamp[Nearest Town],MATCH(CampList[[#This Row],[CP_Pcode]],DistanceToCamp[CP_Pcode],0)-1,0,1,1),"")</f>
        <v>Muse Town</v>
      </c>
      <c r="AJ149" s="336">
        <f ca="1">IFERROR(OFFSET(DistanceToCamp[distance],MATCH(CampList[[#This Row],[CP_Pcode]],DistanceToCamp[CP_Pcode],0)-1,0,1,1),"")</f>
        <v>1.989668595899414</v>
      </c>
      <c r="AK149" s="567">
        <f ca="1">IFERROR(INT(CampList[[#This Row],[Distance]]/5)+1,"")</f>
        <v>1</v>
      </c>
      <c r="AL149" s="727"/>
      <c r="AM149" s="727"/>
      <c r="AN149" s="727"/>
      <c r="BD149" s="5"/>
      <c r="BE149" s="5"/>
    </row>
    <row r="150" spans="1:57" s="4" customFormat="1" ht="15.6" customHeight="1" x14ac:dyDescent="0.25">
      <c r="A150" s="495" t="s">
        <v>502</v>
      </c>
      <c r="B150" s="535" t="s">
        <v>555</v>
      </c>
      <c r="C150" s="535" t="s">
        <v>538</v>
      </c>
      <c r="D150" s="535" t="s">
        <v>230</v>
      </c>
      <c r="E150" s="535" t="s">
        <v>539</v>
      </c>
      <c r="F150" s="535" t="s">
        <v>230</v>
      </c>
      <c r="G150" s="535" t="s">
        <v>540</v>
      </c>
      <c r="H150" s="535" t="s">
        <v>1056</v>
      </c>
      <c r="I150" s="598" t="s">
        <v>1057</v>
      </c>
      <c r="J150" s="535" t="s">
        <v>1058</v>
      </c>
      <c r="K150" s="535" t="s">
        <v>1059</v>
      </c>
      <c r="L150" s="535" t="s">
        <v>1070</v>
      </c>
      <c r="M150" s="535" t="s">
        <v>1071</v>
      </c>
      <c r="N150" s="508">
        <v>97.911647000000002</v>
      </c>
      <c r="O150" s="508">
        <v>24.006789000000001</v>
      </c>
      <c r="P150" s="569">
        <v>814</v>
      </c>
      <c r="Q150" s="511">
        <v>30</v>
      </c>
      <c r="R150" s="532">
        <v>188</v>
      </c>
      <c r="S150" s="333">
        <f>IF(CampList[[#This Row],[HH]]&gt;0,CampList[[#This Row],[Total]]/CampList[[#This Row],[HH]],"NA")</f>
        <v>6.2666666666666666</v>
      </c>
      <c r="T150" s="599" t="s">
        <v>513</v>
      </c>
      <c r="U150" s="561" t="s">
        <v>1213</v>
      </c>
      <c r="V150" s="496" t="s">
        <v>556</v>
      </c>
      <c r="W150" s="508" t="s">
        <v>808</v>
      </c>
      <c r="X150" s="577">
        <v>41734</v>
      </c>
      <c r="Y150" s="571"/>
      <c r="Z150" s="571" t="s">
        <v>1296</v>
      </c>
      <c r="AA150" s="511" t="s">
        <v>848</v>
      </c>
      <c r="AB150" s="599"/>
      <c r="AC150" s="565">
        <v>42235</v>
      </c>
      <c r="AD150" s="535" t="s">
        <v>1343</v>
      </c>
      <c r="AE150" s="597" t="s">
        <v>1100</v>
      </c>
      <c r="AF150" s="598">
        <f>IF(CampList[[#This Row],[Type of Accomodation]]="camp",MAX(0,CampList[[#This Row],[HH]]-SUMIF(Table_Shelter[Pcode],CampList[[#This Row],[CP_Pcode]],Table_Shelter[HH Covered])),0)</f>
        <v>0</v>
      </c>
      <c r="AG150" s="525"/>
      <c r="AH150" s="598">
        <f>MIN(CampList[[#This Row],[Shelter Gap]],CampList[[#This Row],[Land Status]])</f>
        <v>0</v>
      </c>
      <c r="AI150" s="598" t="str">
        <f ca="1">IFERROR(OFFSET(DistanceToCamp[Nearest Town],MATCH(CampList[[#This Row],[CP_Pcode]],DistanceToCamp[CP_Pcode],0)-1,0,1,1),"")</f>
        <v>Muse Town</v>
      </c>
      <c r="AJ150" s="336">
        <f ca="1">IFERROR(OFFSET(DistanceToCamp[distance],MATCH(CampList[[#This Row],[CP_Pcode]],DistanceToCamp[CP_Pcode],0)-1,0,1,1),"")</f>
        <v>2.1362355825722226</v>
      </c>
      <c r="AK150" s="600">
        <f ca="1">IFERROR(INT(CampList[[#This Row],[Distance]]/5)+1,"")</f>
        <v>1</v>
      </c>
      <c r="AL150" s="727"/>
      <c r="AM150" s="727"/>
      <c r="AN150" s="727"/>
      <c r="BD150" s="5"/>
      <c r="BE150" s="5"/>
    </row>
    <row r="151" spans="1:57" s="4" customFormat="1" ht="15.6" customHeight="1" x14ac:dyDescent="0.25">
      <c r="A151" s="555" t="s">
        <v>502</v>
      </c>
      <c r="B151" s="527" t="s">
        <v>380</v>
      </c>
      <c r="C151" s="527" t="s">
        <v>527</v>
      </c>
      <c r="D151" s="527" t="s">
        <v>5</v>
      </c>
      <c r="E151" s="527" t="s">
        <v>531</v>
      </c>
      <c r="F151" s="527" t="s">
        <v>5</v>
      </c>
      <c r="G151" s="525" t="s">
        <v>532</v>
      </c>
      <c r="H151" s="556" t="s">
        <v>639</v>
      </c>
      <c r="I151" s="556" t="s">
        <v>640</v>
      </c>
      <c r="J151" s="556" t="s">
        <v>645</v>
      </c>
      <c r="K151" s="557" t="s">
        <v>646</v>
      </c>
      <c r="L151" s="527" t="s">
        <v>8</v>
      </c>
      <c r="M151" s="527" t="s">
        <v>7</v>
      </c>
      <c r="N151" s="558">
        <v>97.234200000000001</v>
      </c>
      <c r="O151" s="558">
        <v>24.253067000000001</v>
      </c>
      <c r="P151" s="559">
        <v>0</v>
      </c>
      <c r="Q151" s="509">
        <v>23</v>
      </c>
      <c r="R151" s="531">
        <v>86</v>
      </c>
      <c r="S151" s="333">
        <f>IF(CampList[[#This Row],[HH]]&gt;0,CampList[[#This Row],[Total]]/CampList[[#This Row],[HH]],"NA")</f>
        <v>3.7391304347826089</v>
      </c>
      <c r="T151" s="581" t="s">
        <v>513</v>
      </c>
      <c r="U151" s="562" t="s">
        <v>1213</v>
      </c>
      <c r="V151" s="527" t="s">
        <v>556</v>
      </c>
      <c r="W151" s="562" t="s">
        <v>808</v>
      </c>
      <c r="X151" s="563">
        <v>41183</v>
      </c>
      <c r="Y151" s="564">
        <v>1</v>
      </c>
      <c r="Z151" s="563" t="s">
        <v>507</v>
      </c>
      <c r="AA151" s="515" t="s">
        <v>848</v>
      </c>
      <c r="AB151" s="527"/>
      <c r="AC151" s="565">
        <v>42317</v>
      </c>
      <c r="AD151" s="523" t="s">
        <v>1400</v>
      </c>
      <c r="AE151" s="564" t="s">
        <v>1100</v>
      </c>
      <c r="AF151" s="535">
        <f>IF(CampList[[#This Row],[Type of Accomodation]]="camp",MAX(0,CampList[[#This Row],[HH]]-SUMIF(Table_Shelter[Pcode],CampList[[#This Row],[CP_Pcode]],Table_Shelter[HH Covered])),0)</f>
        <v>5</v>
      </c>
      <c r="AG151" s="525"/>
      <c r="AH151" s="525">
        <f>MIN(CampList[[#This Row],[Shelter Gap]],CampList[[#This Row],[Land Status]])</f>
        <v>5</v>
      </c>
      <c r="AI151" s="525" t="str">
        <f ca="1">IFERROR(OFFSET(DistanceToCamp[Nearest Town],MATCH(CampList[[#This Row],[CP_Pcode]],DistanceToCamp[CP_Pcode],0)-1,0,1,1),"")</f>
        <v>Bhamo Town</v>
      </c>
      <c r="AJ151" s="336">
        <f ca="1">IFERROR(OFFSET(DistanceToCamp[distance],MATCH(CampList[[#This Row],[CP_Pcode]],DistanceToCamp[CP_Pcode],0)-1,0,1,1),"")</f>
        <v>0.20824727902294948</v>
      </c>
      <c r="AK151" s="567">
        <f ca="1">IFERROR(INT(CampList[[#This Row],[Distance]]/5)+1,"")</f>
        <v>1</v>
      </c>
      <c r="AL151" s="727"/>
      <c r="AM151" s="727"/>
      <c r="AN151" s="727"/>
      <c r="BD151" s="5"/>
      <c r="BE151" s="5"/>
    </row>
    <row r="152" spans="1:57" s="4" customFormat="1" ht="15.6" hidden="1" customHeight="1" x14ac:dyDescent="0.25">
      <c r="A152" s="555" t="s">
        <v>849</v>
      </c>
      <c r="B152" s="527" t="s">
        <v>380</v>
      </c>
      <c r="C152" s="527" t="s">
        <v>527</v>
      </c>
      <c r="D152" s="527" t="s">
        <v>237</v>
      </c>
      <c r="E152" s="527" t="s">
        <v>533</v>
      </c>
      <c r="F152" s="527" t="s">
        <v>237</v>
      </c>
      <c r="G152" s="525" t="s">
        <v>537</v>
      </c>
      <c r="H152" s="556" t="s">
        <v>673</v>
      </c>
      <c r="I152" s="556" t="s">
        <v>674</v>
      </c>
      <c r="J152" s="556" t="s">
        <v>676</v>
      </c>
      <c r="K152" s="557" t="s">
        <v>677</v>
      </c>
      <c r="L152" s="527" t="s">
        <v>267</v>
      </c>
      <c r="M152" s="527" t="s">
        <v>266</v>
      </c>
      <c r="N152" s="558">
        <v>97.376671999999999</v>
      </c>
      <c r="O152" s="558">
        <v>25.387862999999999</v>
      </c>
      <c r="P152" s="559">
        <v>0</v>
      </c>
      <c r="Q152" s="509">
        <v>0</v>
      </c>
      <c r="R152" s="531">
        <v>0</v>
      </c>
      <c r="S152" s="560" t="str">
        <f>IF(CampList[[#This Row],[HH]]&gt;0,CampList[[#This Row],[Total]]/CampList[[#This Row],[HH]],"NA")</f>
        <v>NA</v>
      </c>
      <c r="T152" s="561" t="s">
        <v>513</v>
      </c>
      <c r="U152" s="562" t="s">
        <v>1213</v>
      </c>
      <c r="V152" s="527" t="s">
        <v>556</v>
      </c>
      <c r="W152" s="562" t="s">
        <v>808</v>
      </c>
      <c r="X152" s="563">
        <v>40817</v>
      </c>
      <c r="Y152" s="564">
        <v>1</v>
      </c>
      <c r="Z152" s="563" t="s">
        <v>507</v>
      </c>
      <c r="AA152" s="521" t="s">
        <v>848</v>
      </c>
      <c r="AB152" s="527"/>
      <c r="AC152" s="565">
        <v>42180</v>
      </c>
      <c r="AD152" s="523" t="s">
        <v>1293</v>
      </c>
      <c r="AE152" s="564" t="s">
        <v>1100</v>
      </c>
      <c r="AF152" s="535">
        <f>IF(CampList[[#This Row],[Type of Accomodation]]="camp",MAX(0,CampList[[#This Row],[HH]]-SUMIF(Table_Shelter[Pcode],CampList[[#This Row],[CP_Pcode]],Table_Shelter[HH Covered])),0)</f>
        <v>0</v>
      </c>
      <c r="AG152" s="525"/>
      <c r="AH152" s="525">
        <f>MIN(CampList[[#This Row],[Shelter Gap]],CampList[[#This Row],[Land Status]])</f>
        <v>0</v>
      </c>
      <c r="AI152" s="525" t="str">
        <f ca="1">IFERROR(OFFSET(DistanceToCamp[Nearest Town],MATCH(CampList[[#This Row],[CP_Pcode]],DistanceToCamp[CP_Pcode],0)-1,0,1,1),"")</f>
        <v>Myitkyina Town</v>
      </c>
      <c r="AJ152" s="566">
        <f ca="1">IFERROR(OFFSET(DistanceToCamp[distance],MATCH(CampList[[#This Row],[CP_Pcode]],DistanceToCamp[CP_Pcode],0)-1,0,1,1),"")</f>
        <v>1.3751794210741128</v>
      </c>
      <c r="AK152" s="567">
        <f ca="1">IFERROR(INT(CampList[[#This Row],[Distance]]/5)+1,"")</f>
        <v>1</v>
      </c>
      <c r="AL152" s="727"/>
      <c r="AM152" s="727"/>
      <c r="AN152" s="727"/>
      <c r="BD152" s="5"/>
      <c r="BE152" s="5"/>
    </row>
    <row r="153" spans="1:57" s="4" customFormat="1" ht="15.6" customHeight="1" x14ac:dyDescent="0.25">
      <c r="A153" s="555" t="s">
        <v>502</v>
      </c>
      <c r="B153" s="527" t="s">
        <v>380</v>
      </c>
      <c r="C153" s="527" t="s">
        <v>527</v>
      </c>
      <c r="D153" s="527" t="s">
        <v>5</v>
      </c>
      <c r="E153" s="527" t="s">
        <v>531</v>
      </c>
      <c r="F153" s="527" t="s">
        <v>185</v>
      </c>
      <c r="G153" s="525" t="s">
        <v>535</v>
      </c>
      <c r="H153" s="556" t="s">
        <v>803</v>
      </c>
      <c r="I153" s="556" t="s">
        <v>804</v>
      </c>
      <c r="J153" s="556" t="s">
        <v>803</v>
      </c>
      <c r="K153" s="557">
        <v>167048</v>
      </c>
      <c r="L153" s="527" t="s">
        <v>213</v>
      </c>
      <c r="M153" s="527" t="s">
        <v>212</v>
      </c>
      <c r="N153" s="568">
        <v>97.407787999999996</v>
      </c>
      <c r="O153" s="568">
        <v>24.404876999999999</v>
      </c>
      <c r="P153" s="569"/>
      <c r="Q153" s="509">
        <v>13</v>
      </c>
      <c r="R153" s="531">
        <v>53</v>
      </c>
      <c r="S153" s="333">
        <f>IF(CampList[[#This Row],[HH]]&gt;0,CampList[[#This Row],[Total]]/CampList[[#This Row],[HH]],"NA")</f>
        <v>4.0769230769230766</v>
      </c>
      <c r="T153" s="581" t="s">
        <v>513</v>
      </c>
      <c r="U153" s="562" t="s">
        <v>1213</v>
      </c>
      <c r="V153" s="523" t="s">
        <v>12</v>
      </c>
      <c r="W153" s="562" t="s">
        <v>862</v>
      </c>
      <c r="X153" s="570"/>
      <c r="Y153" s="571"/>
      <c r="Z153" s="562"/>
      <c r="AA153" s="515" t="s">
        <v>847</v>
      </c>
      <c r="AB153" s="527"/>
      <c r="AC153" s="565">
        <v>41803</v>
      </c>
      <c r="AD153" s="523" t="s">
        <v>1075</v>
      </c>
      <c r="AE153" s="571" t="s">
        <v>1100</v>
      </c>
      <c r="AF153" s="535">
        <f>IF(CampList[[#This Row],[Type of Accomodation]]="camp",MAX(0,CampList[[#This Row],[HH]]-SUMIF(Table_Shelter[Pcode],CampList[[#This Row],[CP_Pcode]],Table_Shelter[HH Covered])),0)</f>
        <v>0</v>
      </c>
      <c r="AG153" s="525"/>
      <c r="AH153" s="525">
        <f>MIN(CampList[[#This Row],[Shelter Gap]],CampList[[#This Row],[Land Status]])</f>
        <v>0</v>
      </c>
      <c r="AI153" s="525" t="str">
        <f ca="1">IFERROR(OFFSET(DistanceToCamp[Nearest Town],MATCH(CampList[[#This Row],[CP_Pcode]],DistanceToCamp[CP_Pcode],0)-1,0,1,1),"")</f>
        <v>Momauk Town</v>
      </c>
      <c r="AJ153" s="336">
        <f ca="1">IFERROR(OFFSET(DistanceToCamp[distance],MATCH(CampList[[#This Row],[CP_Pcode]],DistanceToCamp[CP_Pcode],0)-1,0,1,1),"")</f>
        <v>17.689123339899055</v>
      </c>
      <c r="AK153" s="567">
        <f ca="1">IFERROR(INT(CampList[[#This Row],[Distance]]/5)+1,"")</f>
        <v>4</v>
      </c>
      <c r="AL153" s="727"/>
      <c r="AM153" s="727"/>
      <c r="AN153" s="727"/>
      <c r="BD153" s="5"/>
      <c r="BE153" s="5"/>
    </row>
    <row r="154" spans="1:57" s="4" customFormat="1" ht="15.6" hidden="1" customHeight="1" x14ac:dyDescent="0.25">
      <c r="A154" s="555" t="s">
        <v>849</v>
      </c>
      <c r="B154" s="527" t="s">
        <v>380</v>
      </c>
      <c r="C154" s="527" t="s">
        <v>527</v>
      </c>
      <c r="D154" s="527" t="s">
        <v>5</v>
      </c>
      <c r="E154" s="527" t="s">
        <v>531</v>
      </c>
      <c r="F154" s="527" t="s">
        <v>151</v>
      </c>
      <c r="G154" s="525" t="s">
        <v>541</v>
      </c>
      <c r="H154" s="556" t="s">
        <v>662</v>
      </c>
      <c r="I154" s="556" t="s">
        <v>663</v>
      </c>
      <c r="J154" s="556"/>
      <c r="K154" s="557"/>
      <c r="L154" s="527" t="s">
        <v>162</v>
      </c>
      <c r="M154" s="527" t="s">
        <v>161</v>
      </c>
      <c r="N154" s="568"/>
      <c r="O154" s="568"/>
      <c r="P154" s="569"/>
      <c r="Q154" s="509">
        <v>0</v>
      </c>
      <c r="R154" s="531">
        <v>0</v>
      </c>
      <c r="S154" s="560" t="str">
        <f>IF(CampList[[#This Row],[HH]]&gt;0,CampList[[#This Row],[Total]]/CampList[[#This Row],[HH]],"NA")</f>
        <v>NA</v>
      </c>
      <c r="T154" s="561" t="s">
        <v>515</v>
      </c>
      <c r="U154" s="562" t="s">
        <v>1213</v>
      </c>
      <c r="V154" s="527" t="s">
        <v>556</v>
      </c>
      <c r="W154" s="562"/>
      <c r="X154" s="570"/>
      <c r="Y154" s="571"/>
      <c r="Z154" s="562"/>
      <c r="AA154" s="516" t="s">
        <v>848</v>
      </c>
      <c r="AB154" s="527"/>
      <c r="AC154" s="565">
        <v>41737</v>
      </c>
      <c r="AD154" s="523" t="s">
        <v>1051</v>
      </c>
      <c r="AE154" s="571" t="s">
        <v>1014</v>
      </c>
      <c r="AF154" s="535">
        <f>IF(CampList[[#This Row],[Type of Accomodation]]="camp",MAX(0,CampList[[#This Row],[HH]]-SUMIF(Table_Shelter[Pcode],CampList[[#This Row],[CP_Pcode]],Table_Shelter[HH Covered])),0)</f>
        <v>0</v>
      </c>
      <c r="AG154" s="525"/>
      <c r="AH154" s="525">
        <f>MIN(CampList[[#This Row],[Shelter Gap]],CampList[[#This Row],[Land Status]])</f>
        <v>0</v>
      </c>
      <c r="AI154" s="525" t="str">
        <f ca="1">IFERROR(OFFSET(DistanceToCamp[Nearest Town],MATCH(CampList[[#This Row],[CP_Pcode]],DistanceToCamp[CP_Pcode],0)-1,0,1,1),"")</f>
        <v/>
      </c>
      <c r="AJ154" s="566" t="str">
        <f ca="1">IFERROR(OFFSET(DistanceToCamp[distance],MATCH(CampList[[#This Row],[CP_Pcode]],DistanceToCamp[CP_Pcode],0)-1,0,1,1),"")</f>
        <v/>
      </c>
      <c r="AK154" s="567" t="str">
        <f ca="1">IFERROR(INT(CampList[[#This Row],[Distance]]/5)+1,"")</f>
        <v/>
      </c>
      <c r="AL154" s="727"/>
      <c r="AM154" s="727"/>
      <c r="AN154" s="727"/>
      <c r="BD154" s="5"/>
      <c r="BE154" s="5"/>
    </row>
    <row r="155" spans="1:57" s="4" customFormat="1" ht="15.6" customHeight="1" x14ac:dyDescent="0.25">
      <c r="A155" s="555" t="s">
        <v>502</v>
      </c>
      <c r="B155" s="527" t="s">
        <v>555</v>
      </c>
      <c r="C155" s="525" t="s">
        <v>538</v>
      </c>
      <c r="D155" s="525" t="s">
        <v>230</v>
      </c>
      <c r="E155" s="525" t="s">
        <v>539</v>
      </c>
      <c r="F155" s="525" t="s">
        <v>289</v>
      </c>
      <c r="G155" s="525" t="s">
        <v>551</v>
      </c>
      <c r="H155" s="582" t="s">
        <v>753</v>
      </c>
      <c r="I155" s="582" t="s">
        <v>754</v>
      </c>
      <c r="J155" s="582" t="s">
        <v>753</v>
      </c>
      <c r="K155" s="583">
        <v>208353</v>
      </c>
      <c r="L155" s="527" t="s">
        <v>292</v>
      </c>
      <c r="M155" s="527" t="s">
        <v>291</v>
      </c>
      <c r="N155" s="558">
        <v>97.681970000000007</v>
      </c>
      <c r="O155" s="558">
        <v>23.821380000000001</v>
      </c>
      <c r="P155" s="559">
        <v>811.6</v>
      </c>
      <c r="Q155" s="509">
        <v>82</v>
      </c>
      <c r="R155" s="531">
        <v>408</v>
      </c>
      <c r="S155" s="333">
        <f>IF(CampList[[#This Row],[HH]]&gt;0,CampList[[#This Row],[Total]]/CampList[[#This Row],[HH]],"NA")</f>
        <v>4.975609756097561</v>
      </c>
      <c r="T155" s="581" t="s">
        <v>513</v>
      </c>
      <c r="U155" s="562" t="s">
        <v>1213</v>
      </c>
      <c r="V155" s="527" t="s">
        <v>556</v>
      </c>
      <c r="W155" s="562" t="s">
        <v>808</v>
      </c>
      <c r="X155" s="563">
        <v>41609</v>
      </c>
      <c r="Y155" s="564">
        <v>2</v>
      </c>
      <c r="Z155" s="563" t="s">
        <v>462</v>
      </c>
      <c r="AA155" s="516" t="s">
        <v>848</v>
      </c>
      <c r="AB155" s="527"/>
      <c r="AC155" s="579">
        <v>42340</v>
      </c>
      <c r="AD155" s="528" t="s">
        <v>1453</v>
      </c>
      <c r="AE155" s="564" t="s">
        <v>1086</v>
      </c>
      <c r="AF155" s="535">
        <f>IF(CampList[[#This Row],[Type of Accomodation]]="camp",MAX(0,CampList[[#This Row],[HH]]-SUMIF(Table_Shelter[Pcode],CampList[[#This Row],[CP_Pcode]],Table_Shelter[HH Covered])),0)</f>
        <v>0</v>
      </c>
      <c r="AG155" s="525"/>
      <c r="AH155" s="525">
        <f>MIN(CampList[[#This Row],[Shelter Gap]],CampList[[#This Row],[Land Status]])</f>
        <v>0</v>
      </c>
      <c r="AI155" s="525" t="str">
        <f ca="1">IFERROR(OFFSET(DistanceToCamp[Nearest Town],MATCH(CampList[[#This Row],[CP_Pcode]],DistanceToCamp[CP_Pcode],0)-1,0,1,1),"")</f>
        <v>Namhkan Town</v>
      </c>
      <c r="AJ155" s="336">
        <f ca="1">IFERROR(OFFSET(DistanceToCamp[distance],MATCH(CampList[[#This Row],[CP_Pcode]],DistanceToCamp[CP_Pcode],0)-1,0,1,1),"")</f>
        <v>1.7369508287203668</v>
      </c>
      <c r="AK155" s="567">
        <f ca="1">IFERROR(INT(CampList[[#This Row],[Distance]]/5)+1,"")</f>
        <v>1</v>
      </c>
      <c r="AL155" s="727"/>
      <c r="AM155" s="727"/>
      <c r="AN155" s="727"/>
      <c r="BD155" s="5"/>
      <c r="BE155" s="5"/>
    </row>
    <row r="156" spans="1:57" s="4" customFormat="1" ht="15.6" customHeight="1" x14ac:dyDescent="0.25">
      <c r="A156" s="555" t="s">
        <v>502</v>
      </c>
      <c r="B156" s="527" t="s">
        <v>555</v>
      </c>
      <c r="C156" s="525" t="s">
        <v>538</v>
      </c>
      <c r="D156" s="525" t="s">
        <v>230</v>
      </c>
      <c r="E156" s="525" t="s">
        <v>539</v>
      </c>
      <c r="F156" s="525" t="s">
        <v>289</v>
      </c>
      <c r="G156" s="525" t="s">
        <v>551</v>
      </c>
      <c r="H156" s="582" t="s">
        <v>753</v>
      </c>
      <c r="I156" s="582" t="s">
        <v>754</v>
      </c>
      <c r="J156" s="582" t="s">
        <v>753</v>
      </c>
      <c r="K156" s="583">
        <v>208353</v>
      </c>
      <c r="L156" s="527" t="s">
        <v>290</v>
      </c>
      <c r="M156" s="527" t="s">
        <v>288</v>
      </c>
      <c r="N156" s="558">
        <v>97.669557999999995</v>
      </c>
      <c r="O156" s="558">
        <v>23.828520000000001</v>
      </c>
      <c r="P156" s="559">
        <v>740</v>
      </c>
      <c r="Q156" s="509">
        <v>68</v>
      </c>
      <c r="R156" s="531">
        <v>376</v>
      </c>
      <c r="S156" s="333">
        <f>IF(CampList[[#This Row],[HH]]&gt;0,CampList[[#This Row],[Total]]/CampList[[#This Row],[HH]],"NA")</f>
        <v>5.5294117647058822</v>
      </c>
      <c r="T156" s="581" t="s">
        <v>513</v>
      </c>
      <c r="U156" s="562" t="s">
        <v>1213</v>
      </c>
      <c r="V156" s="527" t="s">
        <v>556</v>
      </c>
      <c r="W156" s="562" t="s">
        <v>808</v>
      </c>
      <c r="X156" s="563">
        <v>40878</v>
      </c>
      <c r="Y156" s="564">
        <v>2</v>
      </c>
      <c r="Z156" s="563" t="s">
        <v>462</v>
      </c>
      <c r="AA156" s="516" t="s">
        <v>848</v>
      </c>
      <c r="AB156" s="527"/>
      <c r="AC156" s="565">
        <v>42340</v>
      </c>
      <c r="AD156" s="528" t="s">
        <v>1453</v>
      </c>
      <c r="AE156" s="564" t="s">
        <v>1086</v>
      </c>
      <c r="AF156" s="535">
        <f>IF(CampList[[#This Row],[Type of Accomodation]]="camp",MAX(0,CampList[[#This Row],[HH]]-SUMIF(Table_Shelter[Pcode],CampList[[#This Row],[CP_Pcode]],Table_Shelter[HH Covered])),0)</f>
        <v>38</v>
      </c>
      <c r="AG156" s="525"/>
      <c r="AH156" s="525">
        <f>MIN(CampList[[#This Row],[Shelter Gap]],CampList[[#This Row],[Land Status]])</f>
        <v>38</v>
      </c>
      <c r="AI156" s="525" t="str">
        <f ca="1">IFERROR(OFFSET(DistanceToCamp[Nearest Town],MATCH(CampList[[#This Row],[CP_Pcode]],DistanceToCamp[CP_Pcode],0)-1,0,1,1),"")</f>
        <v>Namhkan Town</v>
      </c>
      <c r="AJ156" s="336">
        <f ca="1">IFERROR(OFFSET(DistanceToCamp[distance],MATCH(CampList[[#This Row],[CP_Pcode]],DistanceToCamp[CP_Pcode],0)-1,0,1,1),"")</f>
        <v>1.5619149693996526</v>
      </c>
      <c r="AK156" s="567">
        <f ca="1">IFERROR(INT(CampList[[#This Row],[Distance]]/5)+1,"")</f>
        <v>1</v>
      </c>
      <c r="AL156" s="727"/>
      <c r="AM156" s="727"/>
      <c r="AN156" s="727"/>
      <c r="BD156" s="5"/>
      <c r="BE156" s="5"/>
    </row>
    <row r="157" spans="1:57" s="4" customFormat="1" ht="15.6" customHeight="1" x14ac:dyDescent="0.25">
      <c r="A157" s="555" t="s">
        <v>502</v>
      </c>
      <c r="B157" s="525" t="s">
        <v>555</v>
      </c>
      <c r="C157" s="525" t="s">
        <v>538</v>
      </c>
      <c r="D157" s="525" t="s">
        <v>230</v>
      </c>
      <c r="E157" s="525" t="s">
        <v>539</v>
      </c>
      <c r="F157" s="525" t="s">
        <v>289</v>
      </c>
      <c r="G157" s="525" t="s">
        <v>551</v>
      </c>
      <c r="H157" s="525" t="s">
        <v>753</v>
      </c>
      <c r="I157" s="525" t="s">
        <v>754</v>
      </c>
      <c r="J157" s="525" t="s">
        <v>753</v>
      </c>
      <c r="K157" s="525">
        <v>208353</v>
      </c>
      <c r="L157" s="525" t="s">
        <v>1062</v>
      </c>
      <c r="M157" s="525" t="s">
        <v>1063</v>
      </c>
      <c r="N157" s="558">
        <v>97.700940000000003</v>
      </c>
      <c r="O157" s="558">
        <v>23.841646999999998</v>
      </c>
      <c r="P157" s="569">
        <v>798</v>
      </c>
      <c r="Q157" s="511">
        <v>41</v>
      </c>
      <c r="R157" s="532">
        <v>225</v>
      </c>
      <c r="S157" s="560">
        <f>IF(CampList[[#This Row],[HH]]&gt;0,CampList[[#This Row],[Total]]/CampList[[#This Row],[HH]],"NA")</f>
        <v>5.4878048780487809</v>
      </c>
      <c r="T157" s="581" t="s">
        <v>513</v>
      </c>
      <c r="U157" s="562" t="s">
        <v>1213</v>
      </c>
      <c r="V157" s="527" t="s">
        <v>556</v>
      </c>
      <c r="W157" s="527" t="s">
        <v>808</v>
      </c>
      <c r="X157" s="577">
        <v>41947</v>
      </c>
      <c r="Y157" s="571"/>
      <c r="Z157" s="562" t="s">
        <v>462</v>
      </c>
      <c r="AA157" s="520" t="s">
        <v>848</v>
      </c>
      <c r="AB157" s="525"/>
      <c r="AC157" s="565">
        <v>42340</v>
      </c>
      <c r="AD157" s="528" t="s">
        <v>1453</v>
      </c>
      <c r="AE157" s="571" t="s">
        <v>1100</v>
      </c>
      <c r="AF157" s="535">
        <f>IF(CampList[[#This Row],[Type of Accomodation]]="camp",MAX(0,CampList[[#This Row],[HH]]-SUMIF(Table_Shelter[Pcode],CampList[[#This Row],[CP_Pcode]],Table_Shelter[HH Covered])),0)</f>
        <v>29</v>
      </c>
      <c r="AG157" s="525"/>
      <c r="AH157" s="525">
        <f>MIN(CampList[[#This Row],[Shelter Gap]],CampList[[#This Row],[Land Status]])</f>
        <v>29</v>
      </c>
      <c r="AI157" s="525" t="str">
        <f ca="1">IFERROR(OFFSET(DistanceToCamp[Nearest Town],MATCH(CampList[[#This Row],[CP_Pcode]],DistanceToCamp[CP_Pcode],0)-1,0,1,1),"")</f>
        <v>Namhkan Town</v>
      </c>
      <c r="AJ157" s="566">
        <f ca="1">IFERROR(OFFSET(DistanceToCamp[distance],MATCH(CampList[[#This Row],[CP_Pcode]],DistanceToCamp[CP_Pcode],0)-1,0,1,1),"")</f>
        <v>2.0141034419413328</v>
      </c>
      <c r="AK157" s="567">
        <f ca="1">IFERROR(INT(CampList[[#This Row],[Distance]]/5)+1,"")</f>
        <v>1</v>
      </c>
      <c r="AL157" s="727"/>
      <c r="AM157" s="727"/>
      <c r="AN157" s="727"/>
      <c r="BD157" s="5"/>
      <c r="BE157" s="5"/>
    </row>
    <row r="158" spans="1:57" s="4" customFormat="1" ht="15.6" customHeight="1" x14ac:dyDescent="0.25">
      <c r="A158" s="495" t="s">
        <v>502</v>
      </c>
      <c r="B158" s="535" t="s">
        <v>555</v>
      </c>
      <c r="C158" s="535" t="s">
        <v>538</v>
      </c>
      <c r="D158" s="535" t="s">
        <v>230</v>
      </c>
      <c r="E158" s="535" t="s">
        <v>539</v>
      </c>
      <c r="F158" s="535" t="s">
        <v>289</v>
      </c>
      <c r="G158" s="535" t="s">
        <v>551</v>
      </c>
      <c r="H158" s="535" t="s">
        <v>753</v>
      </c>
      <c r="I158" s="598" t="s">
        <v>754</v>
      </c>
      <c r="J158" s="535" t="s">
        <v>753</v>
      </c>
      <c r="K158" s="535">
        <v>208353</v>
      </c>
      <c r="L158" s="535" t="s">
        <v>374</v>
      </c>
      <c r="M158" s="535" t="s">
        <v>295</v>
      </c>
      <c r="N158" s="508">
        <v>97.670360000000002</v>
      </c>
      <c r="O158" s="508">
        <v>23.828150000000001</v>
      </c>
      <c r="P158" s="569">
        <v>751.8</v>
      </c>
      <c r="Q158" s="511">
        <v>50</v>
      </c>
      <c r="R158" s="532">
        <v>218</v>
      </c>
      <c r="S158" s="333">
        <f>IF(CampList[[#This Row],[HH]]&gt;0,CampList[[#This Row],[Total]]/CampList[[#This Row],[HH]],"NA")</f>
        <v>4.3600000000000003</v>
      </c>
      <c r="T158" s="599" t="s">
        <v>513</v>
      </c>
      <c r="U158" s="561" t="s">
        <v>1213</v>
      </c>
      <c r="V158" s="496" t="s">
        <v>556</v>
      </c>
      <c r="W158" s="508" t="s">
        <v>808</v>
      </c>
      <c r="X158" s="577">
        <v>40878</v>
      </c>
      <c r="Y158" s="571"/>
      <c r="Z158" s="571" t="s">
        <v>1296</v>
      </c>
      <c r="AA158" s="511" t="s">
        <v>848</v>
      </c>
      <c r="AB158" s="599"/>
      <c r="AC158" s="565">
        <v>42235</v>
      </c>
      <c r="AD158" s="535" t="s">
        <v>1344</v>
      </c>
      <c r="AE158" s="597" t="s">
        <v>1086</v>
      </c>
      <c r="AF158" s="598">
        <f>IF(CampList[[#This Row],[Type of Accomodation]]="camp",MAX(0,CampList[[#This Row],[HH]]-SUMIF(Table_Shelter[Pcode],CampList[[#This Row],[CP_Pcode]],Table_Shelter[HH Covered])),0)</f>
        <v>50</v>
      </c>
      <c r="AG158" s="535"/>
      <c r="AH158" s="598">
        <f>MIN(CampList[[#This Row],[Shelter Gap]],CampList[[#This Row],[Land Status]])</f>
        <v>50</v>
      </c>
      <c r="AI158" s="598" t="str">
        <f ca="1">IFERROR(OFFSET(DistanceToCamp[Nearest Town],MATCH(CampList[[#This Row],[CP_Pcode]],DistanceToCamp[CP_Pcode],0)-1,0,1,1),"")</f>
        <v>Namhkan Town</v>
      </c>
      <c r="AJ158" s="336">
        <f ca="1">IFERROR(OFFSET(DistanceToCamp[distance],MATCH(CampList[[#This Row],[CP_Pcode]],DistanceToCamp[CP_Pcode],0)-1,0,1,1),"")</f>
        <v>1.5239325151406049</v>
      </c>
      <c r="AK158" s="600">
        <f ca="1">IFERROR(INT(CampList[[#This Row],[Distance]]/5)+1,"")</f>
        <v>1</v>
      </c>
      <c r="AL158" s="727"/>
      <c r="AM158" s="727"/>
      <c r="AN158" s="727"/>
      <c r="BD158" s="5"/>
      <c r="BE158" s="5"/>
    </row>
    <row r="159" spans="1:57" s="4" customFormat="1" ht="15.6" hidden="1" customHeight="1" x14ac:dyDescent="0.25">
      <c r="A159" s="555" t="s">
        <v>849</v>
      </c>
      <c r="B159" s="219" t="s">
        <v>555</v>
      </c>
      <c r="C159" s="527" t="s">
        <v>538</v>
      </c>
      <c r="D159" s="525" t="s">
        <v>230</v>
      </c>
      <c r="E159" s="525" t="s">
        <v>539</v>
      </c>
      <c r="F159" s="525" t="s">
        <v>289</v>
      </c>
      <c r="G159" s="218" t="s">
        <v>551</v>
      </c>
      <c r="H159" s="582" t="s">
        <v>753</v>
      </c>
      <c r="I159" s="582" t="s">
        <v>754</v>
      </c>
      <c r="J159" s="582" t="s">
        <v>753</v>
      </c>
      <c r="K159" s="583">
        <v>208353</v>
      </c>
      <c r="L159" s="574" t="s">
        <v>375</v>
      </c>
      <c r="M159" s="219" t="s">
        <v>390</v>
      </c>
      <c r="N159" s="558">
        <v>97.678299999999993</v>
      </c>
      <c r="O159" s="558">
        <v>23.82152</v>
      </c>
      <c r="P159" s="569">
        <v>813.4</v>
      </c>
      <c r="Q159" s="509">
        <v>0</v>
      </c>
      <c r="R159" s="531">
        <v>0</v>
      </c>
      <c r="S159" s="333" t="str">
        <f>IF(CampList[[#This Row],[HH]]&gt;0,CampList[[#This Row],[Total]]/CampList[[#This Row],[HH]],"NA")</f>
        <v>NA</v>
      </c>
      <c r="T159" s="561" t="s">
        <v>515</v>
      </c>
      <c r="U159" s="334" t="s">
        <v>1213</v>
      </c>
      <c r="V159" s="527" t="s">
        <v>556</v>
      </c>
      <c r="W159" s="562"/>
      <c r="X159" s="570"/>
      <c r="Y159" s="571"/>
      <c r="Z159" s="563" t="s">
        <v>1096</v>
      </c>
      <c r="AA159" s="516" t="s">
        <v>848</v>
      </c>
      <c r="AB159" s="219"/>
      <c r="AC159" s="565">
        <v>41712</v>
      </c>
      <c r="AD159" s="523" t="s">
        <v>1029</v>
      </c>
      <c r="AE159" s="571" t="s">
        <v>1014</v>
      </c>
      <c r="AF159" s="233">
        <f>IF(CampList[[#This Row],[Type of Accomodation]]="camp",MAX(0,CampList[[#This Row],[HH]]-SUMIF(Table_Shelter[Pcode],CampList[[#This Row],[CP_Pcode]],Table_Shelter[HH Covered])),0)</f>
        <v>0</v>
      </c>
      <c r="AG159" s="218"/>
      <c r="AH159" s="218">
        <f>MIN(CampList[[#This Row],[Shelter Gap]],CampList[[#This Row],[Land Status]])</f>
        <v>0</v>
      </c>
      <c r="AI159" s="218" t="str">
        <f ca="1">IFERROR(OFFSET(DistanceToCamp[Nearest Town],MATCH(CampList[[#This Row],[CP_Pcode]],DistanceToCamp[CP_Pcode],0)-1,0,1,1),"")</f>
        <v/>
      </c>
      <c r="AJ159" s="336" t="str">
        <f ca="1">IFERROR(OFFSET(DistanceToCamp[distance],MATCH(CampList[[#This Row],[CP_Pcode]],DistanceToCamp[CP_Pcode],0)-1,0,1,1),"")</f>
        <v/>
      </c>
      <c r="AK159" s="337" t="str">
        <f ca="1">IFERROR(INT(CampList[[#This Row],[Distance]]/5)+1,"")</f>
        <v/>
      </c>
      <c r="AL159" s="727"/>
      <c r="AM159" s="727"/>
      <c r="AN159" s="727"/>
      <c r="BD159" s="5"/>
      <c r="BE159" s="5"/>
    </row>
    <row r="160" spans="1:57" s="4" customFormat="1" ht="15.6" hidden="1" customHeight="1" x14ac:dyDescent="0.25">
      <c r="A160" s="555" t="s">
        <v>849</v>
      </c>
      <c r="B160" s="527" t="s">
        <v>555</v>
      </c>
      <c r="C160" s="525" t="s">
        <v>538</v>
      </c>
      <c r="D160" s="525" t="s">
        <v>230</v>
      </c>
      <c r="E160" s="525" t="s">
        <v>539</v>
      </c>
      <c r="F160" s="525" t="s">
        <v>289</v>
      </c>
      <c r="G160" s="525" t="s">
        <v>551</v>
      </c>
      <c r="H160" s="582" t="s">
        <v>753</v>
      </c>
      <c r="I160" s="582" t="s">
        <v>754</v>
      </c>
      <c r="J160" s="582" t="s">
        <v>753</v>
      </c>
      <c r="K160" s="583">
        <v>208353</v>
      </c>
      <c r="L160" s="527" t="s">
        <v>294</v>
      </c>
      <c r="M160" s="527" t="s">
        <v>293</v>
      </c>
      <c r="N160" s="568"/>
      <c r="O160" s="568"/>
      <c r="P160" s="569"/>
      <c r="Q160" s="509">
        <v>0</v>
      </c>
      <c r="R160" s="531">
        <v>0</v>
      </c>
      <c r="S160" s="333" t="str">
        <f>IF(CampList[[#This Row],[HH]]&gt;0,CampList[[#This Row],[Total]]/CampList[[#This Row],[HH]],"NA")</f>
        <v>NA</v>
      </c>
      <c r="T160" s="561" t="s">
        <v>515</v>
      </c>
      <c r="U160" s="562" t="s">
        <v>1213</v>
      </c>
      <c r="V160" s="527" t="s">
        <v>556</v>
      </c>
      <c r="W160" s="562"/>
      <c r="X160" s="570"/>
      <c r="Y160" s="571"/>
      <c r="Z160" s="562"/>
      <c r="AA160" s="516" t="s">
        <v>848</v>
      </c>
      <c r="AB160" s="527"/>
      <c r="AC160" s="565">
        <v>41701</v>
      </c>
      <c r="AD160" s="523" t="s">
        <v>1021</v>
      </c>
      <c r="AE160" s="571" t="s">
        <v>1014</v>
      </c>
      <c r="AF160" s="535">
        <f>IF(CampList[[#This Row],[Type of Accomodation]]="camp",MAX(0,CampList[[#This Row],[HH]]-SUMIF(Table_Shelter[Pcode],CampList[[#This Row],[CP_Pcode]],Table_Shelter[HH Covered])),0)</f>
        <v>0</v>
      </c>
      <c r="AG160" s="525"/>
      <c r="AH160" s="525">
        <f>MIN(CampList[[#This Row],[Shelter Gap]],CampList[[#This Row],[Land Status]])</f>
        <v>0</v>
      </c>
      <c r="AI160" s="525" t="str">
        <f ca="1">IFERROR(OFFSET(DistanceToCamp[Nearest Town],MATCH(CampList[[#This Row],[CP_Pcode]],DistanceToCamp[CP_Pcode],0)-1,0,1,1),"")</f>
        <v/>
      </c>
      <c r="AJ160" s="336" t="str">
        <f ca="1">IFERROR(OFFSET(DistanceToCamp[distance],MATCH(CampList[[#This Row],[CP_Pcode]],DistanceToCamp[CP_Pcode],0)-1,0,1,1),"")</f>
        <v/>
      </c>
      <c r="AK160" s="567" t="str">
        <f ca="1">IFERROR(INT(CampList[[#This Row],[Distance]]/5)+1,"")</f>
        <v/>
      </c>
      <c r="AL160" s="727"/>
      <c r="AM160" s="727"/>
      <c r="AN160" s="727"/>
      <c r="BD160" s="5"/>
      <c r="BE160" s="5"/>
    </row>
    <row r="161" spans="1:57" s="4" customFormat="1" ht="15.6" customHeight="1" x14ac:dyDescent="0.25">
      <c r="A161" s="555" t="s">
        <v>502</v>
      </c>
      <c r="B161" s="527" t="s">
        <v>555</v>
      </c>
      <c r="C161" s="527" t="s">
        <v>538</v>
      </c>
      <c r="D161" s="527" t="s">
        <v>230</v>
      </c>
      <c r="E161" s="527" t="s">
        <v>539</v>
      </c>
      <c r="F161" s="527" t="s">
        <v>230</v>
      </c>
      <c r="G161" s="525" t="s">
        <v>540</v>
      </c>
      <c r="H161" s="582" t="s">
        <v>1032</v>
      </c>
      <c r="I161" s="582" t="s">
        <v>1031</v>
      </c>
      <c r="J161" s="582" t="s">
        <v>1033</v>
      </c>
      <c r="K161" s="583">
        <v>208182</v>
      </c>
      <c r="L161" s="527" t="s">
        <v>361</v>
      </c>
      <c r="M161" s="527" t="s">
        <v>843</v>
      </c>
      <c r="N161" s="591"/>
      <c r="O161" s="591"/>
      <c r="P161" s="559">
        <v>0</v>
      </c>
      <c r="Q161" s="509">
        <v>9</v>
      </c>
      <c r="R161" s="531">
        <v>44</v>
      </c>
      <c r="S161" s="333">
        <f>IF(CampList[[#This Row],[HH]]&gt;0,CampList[[#This Row],[Total]]/CampList[[#This Row],[HH]],"NA")</f>
        <v>4.8888888888888893</v>
      </c>
      <c r="T161" s="581" t="s">
        <v>515</v>
      </c>
      <c r="U161" s="562" t="s">
        <v>1213</v>
      </c>
      <c r="V161" s="527" t="s">
        <v>556</v>
      </c>
      <c r="W161" s="562" t="s">
        <v>862</v>
      </c>
      <c r="X161" s="563">
        <v>40787</v>
      </c>
      <c r="Y161" s="564">
        <v>1</v>
      </c>
      <c r="Z161" s="563" t="s">
        <v>462</v>
      </c>
      <c r="AA161" s="516" t="s">
        <v>848</v>
      </c>
      <c r="AB161" s="527"/>
      <c r="AC161" s="565">
        <v>42340</v>
      </c>
      <c r="AD161" s="523" t="s">
        <v>1455</v>
      </c>
      <c r="AE161" s="564" t="s">
        <v>1085</v>
      </c>
      <c r="AF161" s="535">
        <f>IF(CampList[[#This Row],[Type of Accomodation]]="camp",MAX(0,CampList[[#This Row],[HH]]-SUMIF(Table_Shelter[Pcode],CampList[[#This Row],[CP_Pcode]],Table_Shelter[HH Covered])),0)</f>
        <v>9</v>
      </c>
      <c r="AG161" s="525"/>
      <c r="AH161" s="525">
        <f>MIN(CampList[[#This Row],[Shelter Gap]],CampList[[#This Row],[Land Status]])</f>
        <v>9</v>
      </c>
      <c r="AI161" s="525" t="str">
        <f ca="1">IFERROR(OFFSET(DistanceToCamp[Nearest Town],MATCH(CampList[[#This Row],[CP_Pcode]],DistanceToCamp[CP_Pcode],0)-1,0,1,1),"")</f>
        <v/>
      </c>
      <c r="AJ161" s="336" t="str">
        <f ca="1">IFERROR(OFFSET(DistanceToCamp[distance],MATCH(CampList[[#This Row],[CP_Pcode]],DistanceToCamp[CP_Pcode],0)-1,0,1,1),"")</f>
        <v/>
      </c>
      <c r="AK161" s="567" t="str">
        <f ca="1">IFERROR(INT(CampList[[#This Row],[Distance]]/5)+1,"")</f>
        <v/>
      </c>
      <c r="AL161" s="727"/>
      <c r="AM161" s="727"/>
      <c r="AN161" s="727"/>
      <c r="BD161" s="5"/>
      <c r="BE161" s="5"/>
    </row>
    <row r="162" spans="1:57" s="4" customFormat="1" ht="15.6" customHeight="1" x14ac:dyDescent="0.25">
      <c r="A162" s="555" t="s">
        <v>502</v>
      </c>
      <c r="B162" s="527" t="s">
        <v>555</v>
      </c>
      <c r="C162" s="525" t="s">
        <v>538</v>
      </c>
      <c r="D162" s="525" t="s">
        <v>230</v>
      </c>
      <c r="E162" s="525" t="s">
        <v>544</v>
      </c>
      <c r="F162" s="525" t="s">
        <v>230</v>
      </c>
      <c r="G162" s="525" t="s">
        <v>545</v>
      </c>
      <c r="H162" s="525" t="s">
        <v>1076</v>
      </c>
      <c r="I162" s="525" t="s">
        <v>1077</v>
      </c>
      <c r="J162" s="525" t="s">
        <v>1078</v>
      </c>
      <c r="K162" s="573">
        <v>208167</v>
      </c>
      <c r="L162" s="527" t="s">
        <v>171</v>
      </c>
      <c r="M162" s="527" t="s">
        <v>170</v>
      </c>
      <c r="N162" s="568">
        <v>98.129380999999995</v>
      </c>
      <c r="O162" s="568">
        <v>23.978088</v>
      </c>
      <c r="P162" s="569"/>
      <c r="Q162" s="509">
        <v>6</v>
      </c>
      <c r="R162" s="531"/>
      <c r="S162" s="333">
        <f>IF(CampList[[#This Row],[HH]]&gt;0,CampList[[#This Row],[Total]]/CampList[[#This Row],[HH]],"NA")</f>
        <v>0</v>
      </c>
      <c r="T162" s="581" t="s">
        <v>513</v>
      </c>
      <c r="U162" s="562" t="s">
        <v>1213</v>
      </c>
      <c r="V162" s="527" t="s">
        <v>12</v>
      </c>
      <c r="W162" s="562" t="s">
        <v>862</v>
      </c>
      <c r="X162" s="570"/>
      <c r="Y162" s="571"/>
      <c r="Z162" s="562"/>
      <c r="AA162" s="519"/>
      <c r="AB162" s="527"/>
      <c r="AC162" s="565">
        <v>41701</v>
      </c>
      <c r="AD162" s="523" t="s">
        <v>1018</v>
      </c>
      <c r="AE162" s="571" t="s">
        <v>1086</v>
      </c>
      <c r="AF162" s="535">
        <f>IF(CampList[[#This Row],[Type of Accomodation]]="camp",MAX(0,CampList[[#This Row],[HH]]-SUMIF(Table_Shelter[Pcode],CampList[[#This Row],[CP_Pcode]],Table_Shelter[HH Covered])),0)</f>
        <v>0</v>
      </c>
      <c r="AG162" s="525"/>
      <c r="AH162" s="525">
        <f>MIN(CampList[[#This Row],[Shelter Gap]],CampList[[#This Row],[Land Status]])</f>
        <v>0</v>
      </c>
      <c r="AI162" s="525" t="str">
        <f ca="1">IFERROR(OFFSET(DistanceToCamp[Nearest Town],MATCH(CampList[[#This Row],[CP_Pcode]],DistanceToCamp[CP_Pcode],0)-1,0,1,1),"")</f>
        <v>Pang Hseng (Kyu Koke) Town</v>
      </c>
      <c r="AJ162" s="336">
        <f ca="1">IFERROR(OFFSET(DistanceToCamp[distance],MATCH(CampList[[#This Row],[CP_Pcode]],DistanceToCamp[CP_Pcode],0)-1,0,1,1),"")</f>
        <v>12.794700705104317</v>
      </c>
      <c r="AK162" s="567">
        <f ca="1">IFERROR(INT(CampList[[#This Row],[Distance]]/5)+1,"")</f>
        <v>3</v>
      </c>
      <c r="AL162" s="727"/>
      <c r="AM162" s="727"/>
      <c r="AN162" s="727"/>
      <c r="BD162" s="5"/>
      <c r="BE162" s="5"/>
    </row>
    <row r="163" spans="1:57" s="4" customFormat="1" ht="15.6" customHeight="1" x14ac:dyDescent="0.25">
      <c r="A163" s="555" t="s">
        <v>502</v>
      </c>
      <c r="B163" s="527" t="s">
        <v>555</v>
      </c>
      <c r="C163" s="525" t="s">
        <v>538</v>
      </c>
      <c r="D163" s="525" t="s">
        <v>230</v>
      </c>
      <c r="E163" s="525" t="s">
        <v>539</v>
      </c>
      <c r="F163" s="525" t="s">
        <v>146</v>
      </c>
      <c r="G163" s="525" t="s">
        <v>546</v>
      </c>
      <c r="H163" s="585" t="s">
        <v>725</v>
      </c>
      <c r="I163" s="525" t="s">
        <v>1280</v>
      </c>
      <c r="J163" s="585" t="s">
        <v>726</v>
      </c>
      <c r="K163" s="586"/>
      <c r="L163" s="527" t="s">
        <v>149</v>
      </c>
      <c r="M163" s="527" t="s">
        <v>148</v>
      </c>
      <c r="N163" s="558">
        <v>97.818979999999996</v>
      </c>
      <c r="O163" s="558">
        <v>23.694130000000001</v>
      </c>
      <c r="P163" s="559">
        <v>1135.7</v>
      </c>
      <c r="Q163" s="509">
        <v>71</v>
      </c>
      <c r="R163" s="531">
        <v>278</v>
      </c>
      <c r="S163" s="333">
        <f>IF(CampList[[#This Row],[HH]]&gt;0,CampList[[#This Row],[Total]]/CampList[[#This Row],[HH]],"NA")</f>
        <v>3.915492957746479</v>
      </c>
      <c r="T163" s="581" t="s">
        <v>513</v>
      </c>
      <c r="U163" s="562" t="s">
        <v>1213</v>
      </c>
      <c r="V163" s="527" t="s">
        <v>556</v>
      </c>
      <c r="W163" s="562" t="s">
        <v>862</v>
      </c>
      <c r="X163" s="563">
        <v>40878</v>
      </c>
      <c r="Y163" s="564">
        <v>1</v>
      </c>
      <c r="Z163" s="563" t="s">
        <v>462</v>
      </c>
      <c r="AA163" s="516" t="s">
        <v>848</v>
      </c>
      <c r="AB163" s="527"/>
      <c r="AC163" s="579">
        <v>42340</v>
      </c>
      <c r="AD163" s="523" t="s">
        <v>1455</v>
      </c>
      <c r="AE163" s="564" t="s">
        <v>1086</v>
      </c>
      <c r="AF163" s="535">
        <f>IF(CampList[[#This Row],[Type of Accomodation]]="camp",MAX(0,CampList[[#This Row],[HH]]-SUMIF(Table_Shelter[Pcode],CampList[[#This Row],[CP_Pcode]],Table_Shelter[HH Covered])),0)</f>
        <v>45</v>
      </c>
      <c r="AG163" s="525"/>
      <c r="AH163" s="525">
        <f>MIN(CampList[[#This Row],[Shelter Gap]],CampList[[#This Row],[Land Status]])</f>
        <v>45</v>
      </c>
      <c r="AI163" s="525" t="str">
        <f ca="1">IFERROR(OFFSET(DistanceToCamp[Nearest Town],MATCH(CampList[[#This Row],[CP_Pcode]],DistanceToCamp[CP_Pcode],0)-1,0,1,1),"")</f>
        <v>Namhkan Town</v>
      </c>
      <c r="AJ163" s="336">
        <f ca="1">IFERROR(OFFSET(DistanceToCamp[distance],MATCH(CampList[[#This Row],[CP_Pcode]],DistanceToCamp[CP_Pcode],0)-1,0,1,1),"")</f>
        <v>21.148671772283631</v>
      </c>
      <c r="AK163" s="567">
        <f ca="1">IFERROR(INT(CampList[[#This Row],[Distance]]/5)+1,"")</f>
        <v>5</v>
      </c>
      <c r="AL163" s="727"/>
      <c r="AM163" s="727"/>
      <c r="AN163" s="727"/>
      <c r="BD163" s="5"/>
      <c r="BE163" s="5"/>
    </row>
    <row r="164" spans="1:57" s="4" customFormat="1" ht="15.6" hidden="1" customHeight="1" x14ac:dyDescent="0.25">
      <c r="A164" s="555" t="s">
        <v>849</v>
      </c>
      <c r="B164" s="527" t="s">
        <v>380</v>
      </c>
      <c r="C164" s="527" t="s">
        <v>527</v>
      </c>
      <c r="D164" s="527" t="s">
        <v>5</v>
      </c>
      <c r="E164" s="527" t="s">
        <v>531</v>
      </c>
      <c r="F164" s="527" t="s">
        <v>151</v>
      </c>
      <c r="G164" s="525" t="s">
        <v>541</v>
      </c>
      <c r="H164" s="556" t="s">
        <v>630</v>
      </c>
      <c r="I164" s="556" t="s">
        <v>631</v>
      </c>
      <c r="J164" s="556"/>
      <c r="K164" s="557"/>
      <c r="L164" s="527" t="s">
        <v>871</v>
      </c>
      <c r="M164" s="527" t="s">
        <v>522</v>
      </c>
      <c r="N164" s="575">
        <v>97.132339999999999</v>
      </c>
      <c r="O164" s="575">
        <v>23.75817</v>
      </c>
      <c r="P164" s="559">
        <v>781.8</v>
      </c>
      <c r="Q164" s="509">
        <v>0</v>
      </c>
      <c r="R164" s="531">
        <v>0</v>
      </c>
      <c r="S164" s="333" t="str">
        <f>IF(CampList[[#This Row],[HH]]&gt;0,CampList[[#This Row],[Total]]/CampList[[#This Row],[HH]],"NA")</f>
        <v>NA</v>
      </c>
      <c r="T164" s="561" t="s">
        <v>515</v>
      </c>
      <c r="U164" s="562" t="s">
        <v>1213</v>
      </c>
      <c r="V164" s="527" t="s">
        <v>556</v>
      </c>
      <c r="W164" s="562" t="s">
        <v>862</v>
      </c>
      <c r="X164" s="563">
        <v>41091</v>
      </c>
      <c r="Y164" s="564"/>
      <c r="Z164" s="563"/>
      <c r="AA164" s="517" t="s">
        <v>848</v>
      </c>
      <c r="AB164" s="527"/>
      <c r="AC164" s="572"/>
      <c r="AD164" s="523" t="s">
        <v>944</v>
      </c>
      <c r="AE164" s="564" t="s">
        <v>1014</v>
      </c>
      <c r="AF164" s="535">
        <f>IF(CampList[[#This Row],[Type of Accomodation]]="camp",MAX(0,CampList[[#This Row],[HH]]-SUMIF(Table_Shelter[Pcode],CampList[[#This Row],[CP_Pcode]],Table_Shelter[HH Covered])),0)</f>
        <v>0</v>
      </c>
      <c r="AG164" s="525"/>
      <c r="AH164" s="525">
        <f>MIN(CampList[[#This Row],[Shelter Gap]],CampList[[#This Row],[Land Status]])</f>
        <v>0</v>
      </c>
      <c r="AI164" s="525" t="str">
        <f ca="1">IFERROR(OFFSET(DistanceToCamp[Nearest Town],MATCH(CampList[[#This Row],[CP_Pcode]],DistanceToCamp[CP_Pcode],0)-1,0,1,1),"")</f>
        <v/>
      </c>
      <c r="AJ164" s="336" t="str">
        <f ca="1">IFERROR(OFFSET(DistanceToCamp[distance],MATCH(CampList[[#This Row],[CP_Pcode]],DistanceToCamp[CP_Pcode],0)-1,0,1,1),"")</f>
        <v/>
      </c>
      <c r="AK164" s="567" t="str">
        <f ca="1">IFERROR(INT(CampList[[#This Row],[Distance]]/5)+1,"")</f>
        <v/>
      </c>
      <c r="AL164" s="727"/>
      <c r="AM164" s="727"/>
      <c r="AN164" s="727"/>
      <c r="BD164" s="5"/>
      <c r="BE164" s="5"/>
    </row>
    <row r="165" spans="1:57" s="4" customFormat="1" ht="15.6" hidden="1" customHeight="1" x14ac:dyDescent="0.25">
      <c r="A165" s="555" t="s">
        <v>849</v>
      </c>
      <c r="B165" s="527" t="s">
        <v>380</v>
      </c>
      <c r="C165" s="525" t="s">
        <v>527</v>
      </c>
      <c r="D165" s="527" t="s">
        <v>5</v>
      </c>
      <c r="E165" s="527" t="s">
        <v>531</v>
      </c>
      <c r="F165" s="527" t="s">
        <v>151</v>
      </c>
      <c r="G165" s="525" t="s">
        <v>541</v>
      </c>
      <c r="H165" s="556" t="s">
        <v>630</v>
      </c>
      <c r="I165" s="556" t="s">
        <v>631</v>
      </c>
      <c r="J165" s="525"/>
      <c r="K165" s="576"/>
      <c r="L165" s="525" t="s">
        <v>872</v>
      </c>
      <c r="M165" s="527" t="s">
        <v>873</v>
      </c>
      <c r="N165" s="558"/>
      <c r="O165" s="558"/>
      <c r="P165" s="569"/>
      <c r="Q165" s="509">
        <v>0</v>
      </c>
      <c r="R165" s="531">
        <v>0</v>
      </c>
      <c r="S165" s="333" t="str">
        <f>IF(CampList[[#This Row],[HH]]&gt;0,CampList[[#This Row],[Total]]/CampList[[#This Row],[HH]],"NA")</f>
        <v>NA</v>
      </c>
      <c r="T165" s="561" t="s">
        <v>515</v>
      </c>
      <c r="U165" s="562" t="s">
        <v>1213</v>
      </c>
      <c r="V165" s="527" t="s">
        <v>556</v>
      </c>
      <c r="W165" s="527"/>
      <c r="X165" s="577"/>
      <c r="Y165" s="533"/>
      <c r="Z165" s="527"/>
      <c r="AA165" s="517" t="s">
        <v>848</v>
      </c>
      <c r="AB165" s="525"/>
      <c r="AC165" s="578"/>
      <c r="AD165" s="523" t="s">
        <v>944</v>
      </c>
      <c r="AE165" s="533" t="s">
        <v>1014</v>
      </c>
      <c r="AF165" s="535">
        <f>IF(CampList[[#This Row],[Type of Accomodation]]="camp",MAX(0,CampList[[#This Row],[HH]]-SUMIF(Table_Shelter[Pcode],CampList[[#This Row],[CP_Pcode]],Table_Shelter[HH Covered])),0)</f>
        <v>0</v>
      </c>
      <c r="AG165" s="525"/>
      <c r="AH165" s="525">
        <f>MIN(CampList[[#This Row],[Shelter Gap]],CampList[[#This Row],[Land Status]])</f>
        <v>0</v>
      </c>
      <c r="AI165" s="525" t="str">
        <f ca="1">IFERROR(OFFSET(DistanceToCamp[Nearest Town],MATCH(CampList[[#This Row],[CP_Pcode]],DistanceToCamp[CP_Pcode],0)-1,0,1,1),"")</f>
        <v/>
      </c>
      <c r="AJ165" s="336" t="str">
        <f ca="1">IFERROR(OFFSET(DistanceToCamp[distance],MATCH(CampList[[#This Row],[CP_Pcode]],DistanceToCamp[CP_Pcode],0)-1,0,1,1),"")</f>
        <v/>
      </c>
      <c r="AK165" s="567" t="str">
        <f ca="1">IFERROR(INT(CampList[[#This Row],[Distance]]/5)+1,"")</f>
        <v/>
      </c>
      <c r="AL165" s="727"/>
      <c r="AM165" s="727"/>
      <c r="AN165" s="727"/>
      <c r="BD165" s="5"/>
      <c r="BE165" s="5"/>
    </row>
    <row r="166" spans="1:57" s="4" customFormat="1" ht="15.6" hidden="1" customHeight="1" x14ac:dyDescent="0.25">
      <c r="A166" s="555" t="s">
        <v>849</v>
      </c>
      <c r="B166" s="527" t="s">
        <v>380</v>
      </c>
      <c r="C166" s="527" t="s">
        <v>527</v>
      </c>
      <c r="D166" s="527" t="s">
        <v>5</v>
      </c>
      <c r="E166" s="527" t="s">
        <v>531</v>
      </c>
      <c r="F166" s="527" t="s">
        <v>151</v>
      </c>
      <c r="G166" s="525" t="s">
        <v>541</v>
      </c>
      <c r="H166" s="556" t="s">
        <v>630</v>
      </c>
      <c r="I166" s="556" t="s">
        <v>631</v>
      </c>
      <c r="J166" s="556"/>
      <c r="K166" s="557"/>
      <c r="L166" s="527" t="s">
        <v>164</v>
      </c>
      <c r="M166" s="527" t="s">
        <v>163</v>
      </c>
      <c r="N166" s="575">
        <v>97.132339999999999</v>
      </c>
      <c r="O166" s="575">
        <v>23.75817</v>
      </c>
      <c r="P166" s="569"/>
      <c r="Q166" s="509">
        <v>0</v>
      </c>
      <c r="R166" s="531">
        <v>0</v>
      </c>
      <c r="S166" s="333" t="str">
        <f>IF(CampList[[#This Row],[HH]]&gt;0,CampList[[#This Row],[Total]]/CampList[[#This Row],[HH]],"NA")</f>
        <v>NA</v>
      </c>
      <c r="T166" s="561" t="s">
        <v>515</v>
      </c>
      <c r="U166" s="562" t="s">
        <v>1213</v>
      </c>
      <c r="V166" s="527" t="s">
        <v>556</v>
      </c>
      <c r="W166" s="562"/>
      <c r="X166" s="570"/>
      <c r="Y166" s="571"/>
      <c r="Z166" s="562"/>
      <c r="AA166" s="517" t="s">
        <v>574</v>
      </c>
      <c r="AB166" s="527"/>
      <c r="AC166" s="572"/>
      <c r="AD166" s="523" t="s">
        <v>851</v>
      </c>
      <c r="AE166" s="571" t="s">
        <v>1014</v>
      </c>
      <c r="AF166" s="535">
        <f>IF(CampList[[#This Row],[Type of Accomodation]]="camp",MAX(0,CampList[[#This Row],[HH]]-SUMIF(Table_Shelter[Pcode],CampList[[#This Row],[CP_Pcode]],Table_Shelter[HH Covered])),0)</f>
        <v>0</v>
      </c>
      <c r="AG166" s="525"/>
      <c r="AH166" s="525">
        <f>MIN(CampList[[#This Row],[Shelter Gap]],CampList[[#This Row],[Land Status]])</f>
        <v>0</v>
      </c>
      <c r="AI166" s="525" t="str">
        <f ca="1">IFERROR(OFFSET(DistanceToCamp[Nearest Town],MATCH(CampList[[#This Row],[CP_Pcode]],DistanceToCamp[CP_Pcode],0)-1,0,1,1),"")</f>
        <v/>
      </c>
      <c r="AJ166" s="336" t="str">
        <f ca="1">IFERROR(OFFSET(DistanceToCamp[distance],MATCH(CampList[[#This Row],[CP_Pcode]],DistanceToCamp[CP_Pcode],0)-1,0,1,1),"")</f>
        <v/>
      </c>
      <c r="AK166" s="567" t="str">
        <f ca="1">IFERROR(INT(CampList[[#This Row],[Distance]]/5)+1,"")</f>
        <v/>
      </c>
      <c r="AL166" s="727"/>
      <c r="AM166" s="727"/>
      <c r="AN166" s="727"/>
      <c r="BD166" s="5"/>
      <c r="BE166" s="5"/>
    </row>
    <row r="167" spans="1:57" s="4" customFormat="1" ht="15.6" customHeight="1" x14ac:dyDescent="0.25">
      <c r="A167" s="555" t="s">
        <v>502</v>
      </c>
      <c r="B167" s="527" t="s">
        <v>380</v>
      </c>
      <c r="C167" s="527" t="s">
        <v>527</v>
      </c>
      <c r="D167" s="527" t="s">
        <v>180</v>
      </c>
      <c r="E167" s="527" t="s">
        <v>528</v>
      </c>
      <c r="F167" s="527" t="s">
        <v>529</v>
      </c>
      <c r="G167" s="525" t="s">
        <v>530</v>
      </c>
      <c r="H167" s="556" t="s">
        <v>611</v>
      </c>
      <c r="I167" s="556" t="s">
        <v>612</v>
      </c>
      <c r="J167" s="556" t="s">
        <v>611</v>
      </c>
      <c r="K167" s="557">
        <v>166776</v>
      </c>
      <c r="L167" s="527" t="s">
        <v>613</v>
      </c>
      <c r="M167" s="527" t="s">
        <v>46</v>
      </c>
      <c r="N167" s="735">
        <v>96.339590000000001</v>
      </c>
      <c r="O167" s="735">
        <v>25.617998</v>
      </c>
      <c r="P167" s="569"/>
      <c r="Q167" s="509">
        <v>17</v>
      </c>
      <c r="R167" s="531">
        <v>64</v>
      </c>
      <c r="S167" s="333">
        <f>IF(CampList[[#This Row],[HH]]&gt;0,CampList[[#This Row],[Total]]/CampList[[#This Row],[HH]],"NA")</f>
        <v>3.7647058823529411</v>
      </c>
      <c r="T167" s="581" t="s">
        <v>513</v>
      </c>
      <c r="U167" s="562" t="s">
        <v>1213</v>
      </c>
      <c r="V167" s="527" t="s">
        <v>556</v>
      </c>
      <c r="W167" s="562" t="s">
        <v>808</v>
      </c>
      <c r="X167" s="563">
        <v>41275</v>
      </c>
      <c r="Y167" s="564">
        <v>1</v>
      </c>
      <c r="Z167" s="563" t="s">
        <v>507</v>
      </c>
      <c r="AA167" s="521" t="s">
        <v>848</v>
      </c>
      <c r="AB167" s="527"/>
      <c r="AC167" s="565">
        <v>42317</v>
      </c>
      <c r="AD167" s="523" t="s">
        <v>1398</v>
      </c>
      <c r="AE167" s="564" t="s">
        <v>1100</v>
      </c>
      <c r="AF167" s="535">
        <f>IF(CampList[[#This Row],[Type of Accomodation]]="camp",MAX(0,CampList[[#This Row],[HH]]-SUMIF(Table_Shelter[Pcode],CampList[[#This Row],[CP_Pcode]],Table_Shelter[HH Covered])),0)</f>
        <v>2</v>
      </c>
      <c r="AG167" s="525"/>
      <c r="AH167" s="525">
        <f>MIN(CampList[[#This Row],[Shelter Gap]],CampList[[#This Row],[Land Status]])</f>
        <v>2</v>
      </c>
      <c r="AI167" s="525" t="str">
        <f ca="1">IFERROR(OFFSET(DistanceToCamp[Nearest Town],MATCH(CampList[[#This Row],[CP_Pcode]],DistanceToCamp[CP_Pcode],0)-1,0,1,1),"")</f>
        <v>Hpakant Town</v>
      </c>
      <c r="AJ167" s="336">
        <f ca="1">IFERROR(OFFSET(DistanceToCamp[distance],MATCH(CampList[[#This Row],[CP_Pcode]],DistanceToCamp[CP_Pcode],0)-1,0,1,1),"")</f>
        <v>2.814225084976667</v>
      </c>
      <c r="AK167" s="567">
        <f ca="1">IFERROR(INT(CampList[[#This Row],[Distance]]/5)+1,"")</f>
        <v>1</v>
      </c>
      <c r="AL167" s="727"/>
      <c r="AM167" s="727"/>
      <c r="AN167" s="727"/>
      <c r="BD167" s="5"/>
      <c r="BE167" s="5"/>
    </row>
    <row r="168" spans="1:57" s="4" customFormat="1" ht="15.6" customHeight="1" x14ac:dyDescent="0.25">
      <c r="A168" s="332" t="s">
        <v>502</v>
      </c>
      <c r="B168" s="525" t="s">
        <v>555</v>
      </c>
      <c r="C168" s="525" t="s">
        <v>538</v>
      </c>
      <c r="D168" s="525" t="s">
        <v>782</v>
      </c>
      <c r="E168" s="525" t="s">
        <v>783</v>
      </c>
      <c r="F168" s="525" t="s">
        <v>784</v>
      </c>
      <c r="G168" s="218" t="s">
        <v>785</v>
      </c>
      <c r="H168" s="525" t="s">
        <v>1309</v>
      </c>
      <c r="I168" s="525" t="s">
        <v>1310</v>
      </c>
      <c r="J168" s="525" t="s">
        <v>1309</v>
      </c>
      <c r="K168" s="525">
        <v>206352</v>
      </c>
      <c r="L168" s="525" t="s">
        <v>1309</v>
      </c>
      <c r="M168" s="525" t="s">
        <v>1290</v>
      </c>
      <c r="N168" s="26">
        <v>98.218626999999998</v>
      </c>
      <c r="O168" s="26">
        <v>23.354268999999999</v>
      </c>
      <c r="P168" s="569"/>
      <c r="Q168" s="511">
        <v>44</v>
      </c>
      <c r="R168" s="532">
        <v>273</v>
      </c>
      <c r="S168" s="333">
        <f>IF(CampList[[#This Row],[HH]]&gt;0,CampList[[#This Row],[Total]]/CampList[[#This Row],[HH]],"NA")</f>
        <v>6.2045454545454541</v>
      </c>
      <c r="T168" s="581" t="s">
        <v>513</v>
      </c>
      <c r="U168" s="334" t="s">
        <v>1213</v>
      </c>
      <c r="V168" s="219" t="s">
        <v>556</v>
      </c>
      <c r="W168" s="527" t="s">
        <v>862</v>
      </c>
      <c r="X168" s="577"/>
      <c r="Y168" s="571"/>
      <c r="Z168" s="562" t="s">
        <v>462</v>
      </c>
      <c r="AA168" s="520" t="s">
        <v>848</v>
      </c>
      <c r="AB168" s="525"/>
      <c r="AC168" s="565">
        <v>42235</v>
      </c>
      <c r="AD168" s="528" t="s">
        <v>1329</v>
      </c>
      <c r="AE168" s="571"/>
      <c r="AF168" s="233">
        <f>IF(CampList[[#This Row],[Type of Accomodation]]="camp",MAX(0,CampList[[#This Row],[HH]]-SUMIF(Table_Shelter[Pcode],CampList[[#This Row],[CP_Pcode]],Table_Shelter[HH Covered])),0)</f>
        <v>34</v>
      </c>
      <c r="AG168" s="218"/>
      <c r="AH168" s="218">
        <f>MIN(CampList[[#This Row],[Shelter Gap]],CampList[[#This Row],[Land Status]])</f>
        <v>34</v>
      </c>
      <c r="AI168" s="218" t="str">
        <f ca="1">IFERROR(OFFSET(DistanceToCamp[Nearest Town],MATCH(CampList[[#This Row],[CP_Pcode]],DistanceToCamp[CP_Pcode],0)-1,0,1,1),"")</f>
        <v/>
      </c>
      <c r="AJ168" s="336" t="str">
        <f ca="1">IFERROR(OFFSET(DistanceToCamp[distance],MATCH(CampList[[#This Row],[CP_Pcode]],DistanceToCamp[CP_Pcode],0)-1,0,1,1),"")</f>
        <v/>
      </c>
      <c r="AK168" s="337" t="str">
        <f ca="1">IFERROR(INT(CampList[[#This Row],[Distance]]/5)+1,"")</f>
        <v/>
      </c>
      <c r="AL168" s="727"/>
      <c r="AM168" s="727"/>
      <c r="AN168" s="727"/>
      <c r="BD168" s="5"/>
      <c r="BE168" s="5"/>
    </row>
    <row r="169" spans="1:57" s="4" customFormat="1" ht="15.6" customHeight="1" x14ac:dyDescent="0.25">
      <c r="A169" s="555" t="s">
        <v>502</v>
      </c>
      <c r="B169" s="527" t="s">
        <v>555</v>
      </c>
      <c r="C169" s="525" t="s">
        <v>538</v>
      </c>
      <c r="D169" s="525" t="s">
        <v>543</v>
      </c>
      <c r="E169" s="525" t="s">
        <v>544</v>
      </c>
      <c r="F169" s="525" t="s">
        <v>298</v>
      </c>
      <c r="G169" s="525" t="s">
        <v>552</v>
      </c>
      <c r="H169" s="585" t="s">
        <v>823</v>
      </c>
      <c r="I169" s="525" t="s">
        <v>824</v>
      </c>
      <c r="J169" s="585" t="s">
        <v>825</v>
      </c>
      <c r="K169" s="586" t="s">
        <v>826</v>
      </c>
      <c r="L169" s="527" t="s">
        <v>827</v>
      </c>
      <c r="M169" s="527" t="s">
        <v>297</v>
      </c>
      <c r="N169" s="568">
        <v>97.404089999999997</v>
      </c>
      <c r="O169" s="568">
        <v>23.094290000000001</v>
      </c>
      <c r="P169" s="559">
        <v>534.29999999999995</v>
      </c>
      <c r="Q169" s="509">
        <v>10</v>
      </c>
      <c r="R169" s="531">
        <v>41</v>
      </c>
      <c r="S169" s="333">
        <f>IF(CampList[[#This Row],[HH]]&gt;0,CampList[[#This Row],[Total]]/CampList[[#This Row],[HH]],"NA")</f>
        <v>4.0999999999999996</v>
      </c>
      <c r="T169" s="581" t="s">
        <v>513</v>
      </c>
      <c r="U169" s="562" t="s">
        <v>1213</v>
      </c>
      <c r="V169" s="527" t="s">
        <v>556</v>
      </c>
      <c r="W169" s="562" t="s">
        <v>808</v>
      </c>
      <c r="X169" s="563">
        <v>41000</v>
      </c>
      <c r="Y169" s="564">
        <v>1</v>
      </c>
      <c r="Z169" s="563" t="s">
        <v>462</v>
      </c>
      <c r="AA169" s="516" t="s">
        <v>848</v>
      </c>
      <c r="AB169" s="527"/>
      <c r="AC169" s="565">
        <v>42340</v>
      </c>
      <c r="AD169" s="523" t="s">
        <v>1455</v>
      </c>
      <c r="AE169" s="564" t="s">
        <v>1086</v>
      </c>
      <c r="AF169" s="535">
        <f>IF(CampList[[#This Row],[Type of Accomodation]]="camp",MAX(0,CampList[[#This Row],[HH]]-SUMIF(Table_Shelter[Pcode],CampList[[#This Row],[CP_Pcode]],Table_Shelter[HH Covered])),0)</f>
        <v>0</v>
      </c>
      <c r="AG169" s="525"/>
      <c r="AH169" s="525">
        <f>MIN(CampList[[#This Row],[Shelter Gap]],CampList[[#This Row],[Land Status]])</f>
        <v>0</v>
      </c>
      <c r="AI169" s="525" t="str">
        <f ca="1">IFERROR(OFFSET(DistanceToCamp[Nearest Town],MATCH(CampList[[#This Row],[CP_Pcode]],DistanceToCamp[CP_Pcode],0)-1,0,1,1),"")</f>
        <v>Namtu Town</v>
      </c>
      <c r="AJ169" s="336">
        <f ca="1">IFERROR(OFFSET(DistanceToCamp[distance],MATCH(CampList[[#This Row],[CP_Pcode]],DistanceToCamp[CP_Pcode],0)-1,0,1,1),"")</f>
        <v>0.37588352961435612</v>
      </c>
      <c r="AK169" s="567">
        <f ca="1">IFERROR(INT(CampList[[#This Row],[Distance]]/5)+1,"")</f>
        <v>1</v>
      </c>
      <c r="AL169" s="727"/>
      <c r="AM169" s="727"/>
      <c r="AN169" s="727"/>
      <c r="BD169" s="5"/>
      <c r="BE169" s="5"/>
    </row>
    <row r="170" spans="1:57" s="4" customFormat="1" ht="15.6" customHeight="1" x14ac:dyDescent="0.25">
      <c r="A170" s="555" t="s">
        <v>502</v>
      </c>
      <c r="B170" s="527" t="s">
        <v>555</v>
      </c>
      <c r="C170" s="525" t="s">
        <v>538</v>
      </c>
      <c r="D170" s="525" t="s">
        <v>543</v>
      </c>
      <c r="E170" s="525" t="s">
        <v>544</v>
      </c>
      <c r="F170" s="525" t="s">
        <v>298</v>
      </c>
      <c r="G170" s="525" t="s">
        <v>552</v>
      </c>
      <c r="H170" s="585" t="s">
        <v>823</v>
      </c>
      <c r="I170" s="525" t="s">
        <v>824</v>
      </c>
      <c r="J170" s="585" t="s">
        <v>825</v>
      </c>
      <c r="K170" s="586" t="s">
        <v>826</v>
      </c>
      <c r="L170" s="527" t="s">
        <v>595</v>
      </c>
      <c r="M170" s="527" t="s">
        <v>830</v>
      </c>
      <c r="N170" s="568">
        <v>97.398989</v>
      </c>
      <c r="O170" s="568">
        <v>23.088058</v>
      </c>
      <c r="P170" s="559">
        <v>1948</v>
      </c>
      <c r="Q170" s="509">
        <v>118</v>
      </c>
      <c r="R170" s="531">
        <v>520</v>
      </c>
      <c r="S170" s="333">
        <f>IF(CampList[[#This Row],[HH]]&gt;0,CampList[[#This Row],[Total]]/CampList[[#This Row],[HH]],"NA")</f>
        <v>4.406779661016949</v>
      </c>
      <c r="T170" s="581" t="s">
        <v>513</v>
      </c>
      <c r="U170" s="562" t="s">
        <v>1213</v>
      </c>
      <c r="V170" s="527" t="s">
        <v>12</v>
      </c>
      <c r="W170" s="562" t="s">
        <v>808</v>
      </c>
      <c r="X170" s="563"/>
      <c r="Y170" s="564"/>
      <c r="Z170" s="563"/>
      <c r="AA170" s="516" t="s">
        <v>848</v>
      </c>
      <c r="AB170" s="527"/>
      <c r="AC170" s="579">
        <v>41883</v>
      </c>
      <c r="AD170" s="523" t="s">
        <v>1118</v>
      </c>
      <c r="AE170" s="564" t="s">
        <v>1086</v>
      </c>
      <c r="AF170" s="535">
        <f>IF(CampList[[#This Row],[Type of Accomodation]]="camp",MAX(0,CampList[[#This Row],[HH]]-SUMIF(Table_Shelter[Pcode],CampList[[#This Row],[CP_Pcode]],Table_Shelter[HH Covered])),0)</f>
        <v>0</v>
      </c>
      <c r="AG170" s="525"/>
      <c r="AH170" s="525">
        <f>MIN(CampList[[#This Row],[Shelter Gap]],CampList[[#This Row],[Land Status]])</f>
        <v>0</v>
      </c>
      <c r="AI170" s="525" t="str">
        <f ca="1">IFERROR(OFFSET(DistanceToCamp[Nearest Town],MATCH(CampList[[#This Row],[CP_Pcode]],DistanceToCamp[CP_Pcode],0)-1,0,1,1),"")</f>
        <v>Namtu Town</v>
      </c>
      <c r="AJ170" s="336">
        <f ca="1">IFERROR(OFFSET(DistanceToCamp[distance],MATCH(CampList[[#This Row],[CP_Pcode]],DistanceToCamp[CP_Pcode],0)-1,0,1,1),"")</f>
        <v>0.63626694856259092</v>
      </c>
      <c r="AK170" s="567">
        <f ca="1">IFERROR(INT(CampList[[#This Row],[Distance]]/5)+1,"")</f>
        <v>1</v>
      </c>
      <c r="AL170" s="727"/>
      <c r="AM170" s="727"/>
      <c r="AN170" s="727"/>
      <c r="BD170" s="5"/>
      <c r="BE170" s="5"/>
    </row>
    <row r="171" spans="1:57" s="4" customFormat="1" ht="15.6" customHeight="1" x14ac:dyDescent="0.25">
      <c r="A171" s="555" t="s">
        <v>502</v>
      </c>
      <c r="B171" s="525" t="s">
        <v>555</v>
      </c>
      <c r="C171" s="525" t="s">
        <v>538</v>
      </c>
      <c r="D171" s="525" t="s">
        <v>230</v>
      </c>
      <c r="E171" s="525" t="s">
        <v>539</v>
      </c>
      <c r="F171" s="525" t="s">
        <v>289</v>
      </c>
      <c r="G171" s="525" t="s">
        <v>551</v>
      </c>
      <c r="H171" s="525" t="s">
        <v>1065</v>
      </c>
      <c r="I171" s="525" t="s">
        <v>1064</v>
      </c>
      <c r="J171" s="525" t="s">
        <v>1066</v>
      </c>
      <c r="K171" s="586">
        <v>208338</v>
      </c>
      <c r="L171" s="525" t="s">
        <v>1074</v>
      </c>
      <c r="M171" s="525" t="s">
        <v>1067</v>
      </c>
      <c r="N171" s="558">
        <v>97.709879999999998</v>
      </c>
      <c r="O171" s="558">
        <v>23.838190000000001</v>
      </c>
      <c r="P171" s="532">
        <v>829.8</v>
      </c>
      <c r="Q171" s="511">
        <v>141</v>
      </c>
      <c r="R171" s="532">
        <v>669</v>
      </c>
      <c r="S171" s="333">
        <f>IF(CampList[[#This Row],[HH]]&gt;0,CampList[[#This Row],[Total]]/CampList[[#This Row],[HH]],"NA")</f>
        <v>4.7446808510638299</v>
      </c>
      <c r="T171" s="581" t="s">
        <v>513</v>
      </c>
      <c r="U171" s="562" t="s">
        <v>1213</v>
      </c>
      <c r="V171" s="527" t="s">
        <v>556</v>
      </c>
      <c r="W171" s="527" t="s">
        <v>808</v>
      </c>
      <c r="X171" s="577">
        <v>41747</v>
      </c>
      <c r="Y171" s="533"/>
      <c r="Z171" s="527" t="s">
        <v>462</v>
      </c>
      <c r="AA171" s="520" t="s">
        <v>848</v>
      </c>
      <c r="AB171" s="525"/>
      <c r="AC171" s="579">
        <v>42340</v>
      </c>
      <c r="AD171" s="528" t="s">
        <v>1453</v>
      </c>
      <c r="AE171" s="533" t="s">
        <v>1100</v>
      </c>
      <c r="AF171" s="535">
        <f>IF(CampList[[#This Row],[Type of Accomodation]]="camp",MAX(0,CampList[[#This Row],[HH]]-SUMIF(Table_Shelter[Pcode],CampList[[#This Row],[CP_Pcode]],Table_Shelter[HH Covered])),0)</f>
        <v>105</v>
      </c>
      <c r="AG171" s="525"/>
      <c r="AH171" s="525">
        <f>MIN(CampList[[#This Row],[Shelter Gap]],CampList[[#This Row],[Land Status]])</f>
        <v>105</v>
      </c>
      <c r="AI171" s="525" t="str">
        <f ca="1">IFERROR(OFFSET(DistanceToCamp[Nearest Town],MATCH(CampList[[#This Row],[CP_Pcode]],DistanceToCamp[CP_Pcode],0)-1,0,1,1),"")</f>
        <v>Namhkan Town</v>
      </c>
      <c r="AJ171" s="336">
        <f ca="1">IFERROR(OFFSET(DistanceToCamp[distance],MATCH(CampList[[#This Row],[CP_Pcode]],DistanceToCamp[CP_Pcode],0)-1,0,1,1),"")</f>
        <v>2.8590638493982405</v>
      </c>
      <c r="AK171" s="567">
        <f ca="1">IFERROR(INT(CampList[[#This Row],[Distance]]/5)+1,"")</f>
        <v>1</v>
      </c>
      <c r="AL171" s="727"/>
      <c r="AM171" s="727"/>
      <c r="AN171" s="727"/>
      <c r="BD171" s="5"/>
      <c r="BE171" s="5"/>
    </row>
    <row r="172" spans="1:57" s="4" customFormat="1" ht="15.6" customHeight="1" x14ac:dyDescent="0.25">
      <c r="A172" s="495" t="s">
        <v>502</v>
      </c>
      <c r="B172" s="535" t="s">
        <v>380</v>
      </c>
      <c r="C172" s="535" t="s">
        <v>527</v>
      </c>
      <c r="D172" s="535" t="s">
        <v>237</v>
      </c>
      <c r="E172" s="535" t="s">
        <v>533</v>
      </c>
      <c r="F172" s="535" t="s">
        <v>237</v>
      </c>
      <c r="G172" s="535" t="s">
        <v>537</v>
      </c>
      <c r="H172" s="535" t="s">
        <v>671</v>
      </c>
      <c r="I172" s="598" t="s">
        <v>672</v>
      </c>
      <c r="J172" s="535" t="s">
        <v>671</v>
      </c>
      <c r="K172" s="535">
        <v>165695</v>
      </c>
      <c r="L172" s="535" t="s">
        <v>271</v>
      </c>
      <c r="M172" s="535" t="s">
        <v>270</v>
      </c>
      <c r="N172" s="508">
        <v>97.359320179999997</v>
      </c>
      <c r="O172" s="508">
        <v>25.410569299999999</v>
      </c>
      <c r="P172" s="569"/>
      <c r="Q172" s="511">
        <v>70</v>
      </c>
      <c r="R172" s="532">
        <v>326</v>
      </c>
      <c r="S172" s="333">
        <f>IF(CampList[[#This Row],[HH]]&gt;0,CampList[[#This Row],[Total]]/CampList[[#This Row],[HH]],"NA")</f>
        <v>4.6571428571428575</v>
      </c>
      <c r="T172" s="599" t="s">
        <v>513</v>
      </c>
      <c r="U172" s="561" t="s">
        <v>1213</v>
      </c>
      <c r="V172" s="496" t="s">
        <v>556</v>
      </c>
      <c r="W172" s="508" t="s">
        <v>808</v>
      </c>
      <c r="X172" s="577">
        <v>40909</v>
      </c>
      <c r="Y172" s="571"/>
      <c r="Z172" s="571" t="s">
        <v>1097</v>
      </c>
      <c r="AA172" s="511" t="s">
        <v>848</v>
      </c>
      <c r="AB172" s="599"/>
      <c r="AC172" s="565">
        <v>42300</v>
      </c>
      <c r="AD172" s="711" t="s">
        <v>1381</v>
      </c>
      <c r="AE172" s="597" t="s">
        <v>1100</v>
      </c>
      <c r="AF172" s="598">
        <f>IF(CampList[[#This Row],[Type of Accomodation]]="camp",MAX(0,CampList[[#This Row],[HH]]-SUMIF(Table_Shelter[Pcode],CampList[[#This Row],[CP_Pcode]],Table_Shelter[HH Covered])),0)</f>
        <v>3</v>
      </c>
      <c r="AG172" s="535"/>
      <c r="AH172" s="598">
        <f>MIN(CampList[[#This Row],[Shelter Gap]],CampList[[#This Row],[Land Status]])</f>
        <v>3</v>
      </c>
      <c r="AI172" s="598" t="str">
        <f ca="1">IFERROR(OFFSET(DistanceToCamp[Nearest Town],MATCH(CampList[[#This Row],[CP_Pcode]],DistanceToCamp[CP_Pcode],0)-1,0,1,1),"")</f>
        <v>Myitkyina Town</v>
      </c>
      <c r="AJ172" s="336">
        <f ca="1">IFERROR(OFFSET(DistanceToCamp[distance],MATCH(CampList[[#This Row],[CP_Pcode]],DistanceToCamp[CP_Pcode],0)-1,0,1,1),"")</f>
        <v>4.037940696665812</v>
      </c>
      <c r="AK172" s="600">
        <f ca="1">IFERROR(INT(CampList[[#This Row],[Distance]]/5)+1,"")</f>
        <v>1</v>
      </c>
      <c r="AL172" s="727"/>
      <c r="AM172" s="727"/>
      <c r="AN172" s="727"/>
      <c r="BD172" s="5"/>
      <c r="BE172" s="5"/>
    </row>
    <row r="173" spans="1:57" s="4" customFormat="1" ht="15.6" customHeight="1" x14ac:dyDescent="0.25">
      <c r="A173" s="495" t="s">
        <v>502</v>
      </c>
      <c r="B173" s="535" t="s">
        <v>380</v>
      </c>
      <c r="C173" s="535" t="s">
        <v>527</v>
      </c>
      <c r="D173" s="535" t="s">
        <v>5</v>
      </c>
      <c r="E173" s="535" t="s">
        <v>531</v>
      </c>
      <c r="F173" s="535" t="s">
        <v>5</v>
      </c>
      <c r="G173" s="535" t="s">
        <v>532</v>
      </c>
      <c r="H173" s="535" t="s">
        <v>656</v>
      </c>
      <c r="I173" s="598" t="s">
        <v>657</v>
      </c>
      <c r="J173" s="535" t="s">
        <v>656</v>
      </c>
      <c r="K173" s="535">
        <v>166844</v>
      </c>
      <c r="L173" s="535" t="s">
        <v>20</v>
      </c>
      <c r="M173" s="535" t="s">
        <v>19</v>
      </c>
      <c r="N173" s="508">
        <v>97.315860000000001</v>
      </c>
      <c r="O173" s="508">
        <v>24.32638</v>
      </c>
      <c r="P173" s="569"/>
      <c r="Q173" s="511">
        <v>23</v>
      </c>
      <c r="R173" s="532">
        <v>124</v>
      </c>
      <c r="S173" s="333">
        <f>IF(CampList[[#This Row],[HH]]&gt;0,CampList[[#This Row],[Total]]/CampList[[#This Row],[HH]],"NA")</f>
        <v>5.3913043478260869</v>
      </c>
      <c r="T173" s="599" t="s">
        <v>513</v>
      </c>
      <c r="U173" s="561" t="s">
        <v>1213</v>
      </c>
      <c r="V173" s="496" t="s">
        <v>556</v>
      </c>
      <c r="W173" s="508" t="s">
        <v>808</v>
      </c>
      <c r="X173" s="577">
        <v>40848</v>
      </c>
      <c r="Y173" s="571">
        <v>2</v>
      </c>
      <c r="Z173" s="571" t="s">
        <v>1096</v>
      </c>
      <c r="AA173" s="511" t="s">
        <v>848</v>
      </c>
      <c r="AB173" s="599"/>
      <c r="AC173" s="579">
        <v>42235</v>
      </c>
      <c r="AD173" s="535" t="s">
        <v>1335</v>
      </c>
      <c r="AE173" s="597" t="s">
        <v>1100</v>
      </c>
      <c r="AF173" s="598">
        <f>IF(CampList[[#This Row],[Type of Accomodation]]="camp",MAX(0,CampList[[#This Row],[HH]]-SUMIF(Table_Shelter[Pcode],CampList[[#This Row],[CP_Pcode]],Table_Shelter[HH Covered])),0)</f>
        <v>13</v>
      </c>
      <c r="AG173" s="535"/>
      <c r="AH173" s="598">
        <f>MIN(CampList[[#This Row],[Shelter Gap]],CampList[[#This Row],[Land Status]])</f>
        <v>13</v>
      </c>
      <c r="AI173" s="598" t="str">
        <f ca="1">IFERROR(OFFSET(DistanceToCamp[Nearest Town],MATCH(CampList[[#This Row],[CP_Pcode]],DistanceToCamp[CP_Pcode],0)-1,0,1,1),"")</f>
        <v>Momauk Town</v>
      </c>
      <c r="AJ173" s="336">
        <f ca="1">IFERROR(OFFSET(DistanceToCamp[distance],MATCH(CampList[[#This Row],[CP_Pcode]],DistanceToCamp[CP_Pcode],0)-1,0,1,1),"")</f>
        <v>8.3788619521763046</v>
      </c>
      <c r="AK173" s="600">
        <f ca="1">IFERROR(INT(CampList[[#This Row],[Distance]]/5)+1,"")</f>
        <v>2</v>
      </c>
      <c r="AL173" s="727"/>
      <c r="AM173" s="727"/>
      <c r="AN173" s="727"/>
      <c r="BD173" s="5"/>
      <c r="BE173" s="5"/>
    </row>
    <row r="174" spans="1:57" s="4" customFormat="1" ht="15.6" customHeight="1" x14ac:dyDescent="0.25">
      <c r="A174" s="555" t="s">
        <v>502</v>
      </c>
      <c r="B174" s="527" t="s">
        <v>380</v>
      </c>
      <c r="C174" s="527" t="s">
        <v>527</v>
      </c>
      <c r="D174" s="527" t="s">
        <v>180</v>
      </c>
      <c r="E174" s="527" t="s">
        <v>528</v>
      </c>
      <c r="F174" s="527" t="s">
        <v>529</v>
      </c>
      <c r="G174" s="525" t="s">
        <v>530</v>
      </c>
      <c r="H174" s="556" t="s">
        <v>611</v>
      </c>
      <c r="I174" s="556" t="s">
        <v>612</v>
      </c>
      <c r="J174" s="556" t="s">
        <v>611</v>
      </c>
      <c r="K174" s="557">
        <v>166776</v>
      </c>
      <c r="L174" s="527" t="s">
        <v>108</v>
      </c>
      <c r="M174" s="527" t="s">
        <v>107</v>
      </c>
      <c r="N174" s="558">
        <v>96.341352999999998</v>
      </c>
      <c r="O174" s="558">
        <v>25.613894999999999</v>
      </c>
      <c r="P174" s="559">
        <v>251</v>
      </c>
      <c r="Q174" s="509">
        <v>54</v>
      </c>
      <c r="R174" s="531">
        <v>262</v>
      </c>
      <c r="S174" s="333">
        <f>IF(CampList[[#This Row],[HH]]&gt;0,CampList[[#This Row],[Total]]/CampList[[#This Row],[HH]],"NA")</f>
        <v>4.8518518518518521</v>
      </c>
      <c r="T174" s="581" t="s">
        <v>513</v>
      </c>
      <c r="U174" s="562" t="s">
        <v>1213</v>
      </c>
      <c r="V174" s="527" t="s">
        <v>556</v>
      </c>
      <c r="W174" s="562" t="s">
        <v>808</v>
      </c>
      <c r="X174" s="563">
        <v>41487</v>
      </c>
      <c r="Y174" s="564">
        <v>3</v>
      </c>
      <c r="Z174" s="563" t="s">
        <v>1097</v>
      </c>
      <c r="AA174" s="515" t="s">
        <v>848</v>
      </c>
      <c r="AB174" s="527"/>
      <c r="AC174" s="565">
        <v>42300</v>
      </c>
      <c r="AD174" s="523" t="s">
        <v>1379</v>
      </c>
      <c r="AE174" s="564" t="s">
        <v>1100</v>
      </c>
      <c r="AF174" s="535">
        <f>IF(CampList[[#This Row],[Type of Accomodation]]="camp",MAX(0,CampList[[#This Row],[HH]]-SUMIF(Table_Shelter[Pcode],CampList[[#This Row],[CP_Pcode]],Table_Shelter[HH Covered])),0)</f>
        <v>0</v>
      </c>
      <c r="AG174" s="525"/>
      <c r="AH174" s="525">
        <f>MIN(CampList[[#This Row],[Shelter Gap]],CampList[[#This Row],[Land Status]])</f>
        <v>0</v>
      </c>
      <c r="AI174" s="525" t="str">
        <f ca="1">IFERROR(OFFSET(DistanceToCamp[Nearest Town],MATCH(CampList[[#This Row],[CP_Pcode]],DistanceToCamp[CP_Pcode],0)-1,0,1,1),"")</f>
        <v>Hpakant Town</v>
      </c>
      <c r="AJ174" s="336">
        <f ca="1">IFERROR(OFFSET(DistanceToCamp[distance],MATCH(CampList[[#This Row],[CP_Pcode]],DistanceToCamp[CP_Pcode],0)-1,0,1,1),"")</f>
        <v>2.9334852607184256</v>
      </c>
      <c r="AK174" s="567">
        <f ca="1">IFERROR(INT(CampList[[#This Row],[Distance]]/5)+1,"")</f>
        <v>1</v>
      </c>
      <c r="AL174" s="727"/>
      <c r="AM174" s="727"/>
      <c r="AN174" s="727"/>
      <c r="BD174" s="5"/>
      <c r="BE174" s="5"/>
    </row>
    <row r="175" spans="1:57" s="4" customFormat="1" ht="15.6" hidden="1" customHeight="1" x14ac:dyDescent="0.25">
      <c r="A175" s="555" t="s">
        <v>849</v>
      </c>
      <c r="B175" s="527" t="s">
        <v>380</v>
      </c>
      <c r="C175" s="527" t="s">
        <v>527</v>
      </c>
      <c r="D175" s="527" t="s">
        <v>180</v>
      </c>
      <c r="E175" s="527" t="s">
        <v>528</v>
      </c>
      <c r="F175" s="527" t="s">
        <v>180</v>
      </c>
      <c r="G175" s="525" t="s">
        <v>553</v>
      </c>
      <c r="H175" s="556" t="s">
        <v>618</v>
      </c>
      <c r="I175" s="556" t="s">
        <v>619</v>
      </c>
      <c r="J175" s="556" t="s">
        <v>618</v>
      </c>
      <c r="K175" s="557">
        <v>166591</v>
      </c>
      <c r="L175" s="527" t="s">
        <v>183</v>
      </c>
      <c r="M175" s="527" t="s">
        <v>182</v>
      </c>
      <c r="N175" s="558">
        <v>96.364949999999993</v>
      </c>
      <c r="O175" s="558">
        <v>24.998349999999999</v>
      </c>
      <c r="P175" s="559">
        <v>0</v>
      </c>
      <c r="Q175" s="509">
        <v>0</v>
      </c>
      <c r="R175" s="531">
        <v>0</v>
      </c>
      <c r="S175" s="333" t="str">
        <f>IF(CampList[[#This Row],[HH]]&gt;0,CampList[[#This Row],[Total]]/CampList[[#This Row],[HH]],"NA")</f>
        <v>NA</v>
      </c>
      <c r="T175" s="561" t="s">
        <v>513</v>
      </c>
      <c r="U175" s="562" t="s">
        <v>1213</v>
      </c>
      <c r="V175" s="527" t="s">
        <v>556</v>
      </c>
      <c r="W175" s="562" t="s">
        <v>862</v>
      </c>
      <c r="X175" s="563">
        <v>40969</v>
      </c>
      <c r="Y175" s="564"/>
      <c r="Z175" s="563" t="s">
        <v>462</v>
      </c>
      <c r="AA175" s="515" t="s">
        <v>847</v>
      </c>
      <c r="AB175" s="527"/>
      <c r="AC175" s="579">
        <v>41837</v>
      </c>
      <c r="AD175" s="523" t="s">
        <v>1105</v>
      </c>
      <c r="AE175" s="564" t="s">
        <v>1100</v>
      </c>
      <c r="AF175" s="535">
        <f>IF(CampList[[#This Row],[Type of Accomodation]]="camp",MAX(0,CampList[[#This Row],[HH]]-SUMIF(Table_Shelter[Pcode],CampList[[#This Row],[CP_Pcode]],Table_Shelter[HH Covered])),0)</f>
        <v>0</v>
      </c>
      <c r="AG175" s="525"/>
      <c r="AH175" s="525">
        <f>MIN(CampList[[#This Row],[Shelter Gap]],CampList[[#This Row],[Land Status]])</f>
        <v>0</v>
      </c>
      <c r="AI175" s="525" t="str">
        <f ca="1">IFERROR(OFFSET(DistanceToCamp[Nearest Town],MATCH(CampList[[#This Row],[CP_Pcode]],DistanceToCamp[CP_Pcode],0)-1,0,1,1),"")</f>
        <v/>
      </c>
      <c r="AJ175" s="336" t="str">
        <f ca="1">IFERROR(OFFSET(DistanceToCamp[distance],MATCH(CampList[[#This Row],[CP_Pcode]],DistanceToCamp[CP_Pcode],0)-1,0,1,1),"")</f>
        <v/>
      </c>
      <c r="AK175" s="567" t="str">
        <f ca="1">IFERROR(INT(CampList[[#This Row],[Distance]]/5)+1,"")</f>
        <v/>
      </c>
      <c r="AL175" s="727"/>
      <c r="AM175" s="727"/>
      <c r="AN175" s="727"/>
      <c r="BD175" s="5"/>
      <c r="BE175" s="5"/>
    </row>
    <row r="176" spans="1:57" s="4" customFormat="1" ht="15.6" customHeight="1" x14ac:dyDescent="0.25">
      <c r="A176" s="332" t="s">
        <v>502</v>
      </c>
      <c r="B176" s="219" t="s">
        <v>555</v>
      </c>
      <c r="C176" s="525" t="s">
        <v>538</v>
      </c>
      <c r="D176" s="525" t="s">
        <v>782</v>
      </c>
      <c r="E176" s="525" t="s">
        <v>783</v>
      </c>
      <c r="F176" s="525" t="s">
        <v>784</v>
      </c>
      <c r="G176" s="218" t="s">
        <v>785</v>
      </c>
      <c r="H176" s="582" t="s">
        <v>786</v>
      </c>
      <c r="I176" s="582" t="s">
        <v>787</v>
      </c>
      <c r="J176" s="582" t="s">
        <v>786</v>
      </c>
      <c r="K176" s="583">
        <v>206422</v>
      </c>
      <c r="L176" s="527" t="s">
        <v>596</v>
      </c>
      <c r="M176" s="219" t="s">
        <v>844</v>
      </c>
      <c r="N176" s="558">
        <v>98.352670000000003</v>
      </c>
      <c r="O176" s="558">
        <v>23.372409999999999</v>
      </c>
      <c r="P176" s="559">
        <v>617.6</v>
      </c>
      <c r="Q176" s="510">
        <v>67</v>
      </c>
      <c r="R176" s="533">
        <v>392</v>
      </c>
      <c r="S176" s="333">
        <f>IF(CampList[[#This Row],[HH]]&gt;0,CampList[[#This Row],[Total]]/CampList[[#This Row],[HH]],"NA")</f>
        <v>5.8507462686567164</v>
      </c>
      <c r="T176" s="581" t="s">
        <v>515</v>
      </c>
      <c r="U176" s="334" t="s">
        <v>1213</v>
      </c>
      <c r="V176" s="527" t="s">
        <v>12</v>
      </c>
      <c r="W176" s="334" t="s">
        <v>862</v>
      </c>
      <c r="X176" s="563">
        <v>41365</v>
      </c>
      <c r="Y176" s="564"/>
      <c r="Z176" s="563"/>
      <c r="AA176" s="518" t="s">
        <v>848</v>
      </c>
      <c r="AB176" s="219"/>
      <c r="AC176" s="565">
        <v>41701</v>
      </c>
      <c r="AD176" s="524" t="s">
        <v>1018</v>
      </c>
      <c r="AE176" s="564" t="s">
        <v>1100</v>
      </c>
      <c r="AF176" s="233">
        <f>IF(CampList[[#This Row],[Type of Accomodation]]="camp",MAX(0,CampList[[#This Row],[HH]]-SUMIF(Table_Shelter[Pcode],CampList[[#This Row],[CP_Pcode]],Table_Shelter[HH Covered])),0)</f>
        <v>0</v>
      </c>
      <c r="AG176" s="525"/>
      <c r="AH176" s="218">
        <f>MIN(CampList[[#This Row],[Shelter Gap]],CampList[[#This Row],[Land Status]])</f>
        <v>0</v>
      </c>
      <c r="AI176" s="218" t="str">
        <f ca="1">IFERROR(OFFSET(DistanceToCamp[Nearest Town],MATCH(CampList[[#This Row],[CP_Pcode]],DistanceToCamp[CP_Pcode],0)-1,0,1,1),"")</f>
        <v>Kunlong Town</v>
      </c>
      <c r="AJ176" s="336">
        <f ca="1">IFERROR(OFFSET(DistanceToCamp[distance],MATCH(CampList[[#This Row],[CP_Pcode]],DistanceToCamp[CP_Pcode],0)-1,0,1,1),"")</f>
        <v>30.037709702375544</v>
      </c>
      <c r="AK176" s="337">
        <f ca="1">IFERROR(INT(CampList[[#This Row],[Distance]]/5)+1,"")</f>
        <v>7</v>
      </c>
      <c r="AL176" s="727"/>
      <c r="AM176" s="727"/>
      <c r="AN176" s="727"/>
      <c r="BD176" s="5"/>
      <c r="BE176" s="5"/>
    </row>
    <row r="177" spans="1:57" s="4" customFormat="1" ht="15.6" customHeight="1" x14ac:dyDescent="0.25">
      <c r="A177" s="555" t="s">
        <v>502</v>
      </c>
      <c r="B177" s="527" t="s">
        <v>380</v>
      </c>
      <c r="C177" s="525" t="s">
        <v>527</v>
      </c>
      <c r="D177" s="525" t="s">
        <v>180</v>
      </c>
      <c r="E177" s="525" t="s">
        <v>528</v>
      </c>
      <c r="F177" s="525" t="s">
        <v>173</v>
      </c>
      <c r="G177" s="218" t="s">
        <v>547</v>
      </c>
      <c r="H177" s="582" t="s">
        <v>632</v>
      </c>
      <c r="I177" s="582" t="s">
        <v>633</v>
      </c>
      <c r="J177" s="582" t="s">
        <v>637</v>
      </c>
      <c r="K177" s="583" t="s">
        <v>638</v>
      </c>
      <c r="L177" s="527" t="s">
        <v>178</v>
      </c>
      <c r="M177" s="527" t="s">
        <v>177</v>
      </c>
      <c r="N177" s="558">
        <v>96.948740000000001</v>
      </c>
      <c r="O177" s="558">
        <v>25.30442</v>
      </c>
      <c r="P177" s="559">
        <v>100</v>
      </c>
      <c r="Q177" s="510">
        <v>14</v>
      </c>
      <c r="R177" s="533">
        <v>44</v>
      </c>
      <c r="S177" s="333">
        <f>IF(CampList[[#This Row],[HH]]&gt;0,CampList[[#This Row],[Total]]/CampList[[#This Row],[HH]],"NA")</f>
        <v>3.1428571428571428</v>
      </c>
      <c r="T177" s="581" t="s">
        <v>513</v>
      </c>
      <c r="U177" s="334" t="s">
        <v>1213</v>
      </c>
      <c r="V177" s="219" t="s">
        <v>556</v>
      </c>
      <c r="W177" s="562" t="s">
        <v>808</v>
      </c>
      <c r="X177" s="563">
        <v>40969</v>
      </c>
      <c r="Y177" s="564">
        <v>1</v>
      </c>
      <c r="Z177" s="563" t="s">
        <v>462</v>
      </c>
      <c r="AA177" s="518" t="s">
        <v>848</v>
      </c>
      <c r="AB177" s="527"/>
      <c r="AC177" s="565">
        <v>42235</v>
      </c>
      <c r="AD177" s="524" t="s">
        <v>1328</v>
      </c>
      <c r="AE177" s="564" t="s">
        <v>1100</v>
      </c>
      <c r="AF177" s="233">
        <f>IF(CampList[[#This Row],[Type of Accomodation]]="camp",MAX(0,CampList[[#This Row],[HH]]-SUMIF(Table_Shelter[Pcode],CampList[[#This Row],[CP_Pcode]],Table_Shelter[HH Covered])),0)</f>
        <v>0</v>
      </c>
      <c r="AG177" s="218"/>
      <c r="AH177" s="218">
        <f>MIN(CampList[[#This Row],[Shelter Gap]],CampList[[#This Row],[Land Status]])</f>
        <v>0</v>
      </c>
      <c r="AI177" s="218" t="str">
        <f ca="1">IFERROR(OFFSET(DistanceToCamp[Nearest Town],MATCH(CampList[[#This Row],[CP_Pcode]],DistanceToCamp[CP_Pcode],0)-1,0,1,1),"")</f>
        <v>Mogaung Town</v>
      </c>
      <c r="AJ177" s="336">
        <f ca="1">IFERROR(OFFSET(DistanceToCamp[distance],MATCH(CampList[[#This Row],[CP_Pcode]],DistanceToCamp[CP_Pcode],0)-1,0,1,1),"")</f>
        <v>0.86042374061342075</v>
      </c>
      <c r="AK177" s="337">
        <f ca="1">IFERROR(INT(CampList[[#This Row],[Distance]]/5)+1,"")</f>
        <v>1</v>
      </c>
      <c r="AL177" s="727"/>
      <c r="AM177" s="727"/>
      <c r="AN177" s="727"/>
      <c r="BD177" s="5"/>
      <c r="BE177" s="5"/>
    </row>
    <row r="178" spans="1:57" s="4" customFormat="1" ht="15.6" hidden="1" customHeight="1" x14ac:dyDescent="0.25">
      <c r="A178" s="555" t="s">
        <v>849</v>
      </c>
      <c r="B178" s="527" t="s">
        <v>380</v>
      </c>
      <c r="C178" s="525" t="s">
        <v>527</v>
      </c>
      <c r="D178" s="525" t="s">
        <v>300</v>
      </c>
      <c r="E178" s="525" t="s">
        <v>548</v>
      </c>
      <c r="F178" s="525" t="s">
        <v>300</v>
      </c>
      <c r="G178" s="525" t="s">
        <v>554</v>
      </c>
      <c r="H178" s="582" t="s">
        <v>1036</v>
      </c>
      <c r="I178" s="582" t="s">
        <v>1037</v>
      </c>
      <c r="J178" s="582" t="s">
        <v>1038</v>
      </c>
      <c r="K178" s="583">
        <v>167567</v>
      </c>
      <c r="L178" s="527" t="s">
        <v>897</v>
      </c>
      <c r="M178" s="527" t="s">
        <v>898</v>
      </c>
      <c r="N178" s="558">
        <v>97.58184</v>
      </c>
      <c r="O178" s="558">
        <v>27.270199999999999</v>
      </c>
      <c r="P178" s="559">
        <v>372.9</v>
      </c>
      <c r="Q178" s="510">
        <v>0</v>
      </c>
      <c r="R178" s="533">
        <v>0</v>
      </c>
      <c r="S178" s="333" t="str">
        <f>IF(CampList[[#This Row],[HH]]&gt;0,CampList[[#This Row],[Total]]/CampList[[#This Row],[HH]],"NA")</f>
        <v>NA</v>
      </c>
      <c r="T178" s="561" t="s">
        <v>513</v>
      </c>
      <c r="U178" s="562" t="s">
        <v>1213</v>
      </c>
      <c r="V178" s="527" t="s">
        <v>556</v>
      </c>
      <c r="W178" s="562" t="s">
        <v>862</v>
      </c>
      <c r="X178" s="563">
        <v>41487</v>
      </c>
      <c r="Y178" s="564"/>
      <c r="Z178" s="563"/>
      <c r="AA178" s="518" t="s">
        <v>848</v>
      </c>
      <c r="AB178" s="527"/>
      <c r="AC178" s="579">
        <v>41725</v>
      </c>
      <c r="AD178" s="524" t="s">
        <v>1299</v>
      </c>
      <c r="AE178" s="564" t="s">
        <v>1086</v>
      </c>
      <c r="AF178" s="535">
        <f>IF(CampList[[#This Row],[Type of Accomodation]]="camp",MAX(0,CampList[[#This Row],[HH]]-SUMIF(Table_Shelter[Pcode],CampList[[#This Row],[CP_Pcode]],Table_Shelter[HH Covered])),0)</f>
        <v>0</v>
      </c>
      <c r="AG178" s="525"/>
      <c r="AH178" s="525">
        <f>MIN(CampList[[#This Row],[Shelter Gap]],CampList[[#This Row],[Land Status]])</f>
        <v>0</v>
      </c>
      <c r="AI178" s="525" t="str">
        <f ca="1">IFERROR(OFFSET(DistanceToCamp[Nearest Town],MATCH(CampList[[#This Row],[CP_Pcode]],DistanceToCamp[CP_Pcode],0)-1,0,1,1),"")</f>
        <v>Machanbaw Town</v>
      </c>
      <c r="AJ178" s="336">
        <f ca="1">IFERROR(OFFSET(DistanceToCamp[distance],MATCH(CampList[[#This Row],[CP_Pcode]],DistanceToCamp[CP_Pcode],0)-1,0,1,1),"")</f>
        <v>1.7005689699647559</v>
      </c>
      <c r="AK178" s="567">
        <f ca="1">IFERROR(INT(CampList[[#This Row],[Distance]]/5)+1,"")</f>
        <v>1</v>
      </c>
      <c r="AL178" s="727"/>
      <c r="AM178" s="727"/>
      <c r="AN178" s="727"/>
      <c r="BD178" s="5"/>
      <c r="BE178" s="5"/>
    </row>
    <row r="179" spans="1:57" s="4" customFormat="1" ht="15.6" customHeight="1" x14ac:dyDescent="0.25">
      <c r="A179" s="590" t="s">
        <v>502</v>
      </c>
      <c r="B179" s="527" t="s">
        <v>380</v>
      </c>
      <c r="C179" s="525" t="s">
        <v>527</v>
      </c>
      <c r="D179" s="525" t="s">
        <v>237</v>
      </c>
      <c r="E179" s="525" t="s">
        <v>533</v>
      </c>
      <c r="F179" s="525" t="s">
        <v>310</v>
      </c>
      <c r="G179" s="218" t="s">
        <v>534</v>
      </c>
      <c r="H179" s="582" t="s">
        <v>1147</v>
      </c>
      <c r="I179" s="582" t="s">
        <v>1276</v>
      </c>
      <c r="J179" s="582" t="s">
        <v>668</v>
      </c>
      <c r="K179" s="583">
        <v>165745</v>
      </c>
      <c r="L179" s="527" t="s">
        <v>344</v>
      </c>
      <c r="M179" s="527" t="s">
        <v>343</v>
      </c>
      <c r="N179" s="558">
        <v>97.345039</v>
      </c>
      <c r="O179" s="558">
        <v>25.351965</v>
      </c>
      <c r="P179" s="559"/>
      <c r="Q179" s="510">
        <v>18</v>
      </c>
      <c r="R179" s="533">
        <v>82</v>
      </c>
      <c r="S179" s="333">
        <f>IF(CampList[[#This Row],[HH]]&gt;0,CampList[[#This Row],[Total]]/CampList[[#This Row],[HH]],"NA")</f>
        <v>4.5555555555555554</v>
      </c>
      <c r="T179" s="581" t="s">
        <v>513</v>
      </c>
      <c r="U179" s="334" t="s">
        <v>1213</v>
      </c>
      <c r="V179" s="219" t="s">
        <v>556</v>
      </c>
      <c r="W179" s="562" t="s">
        <v>862</v>
      </c>
      <c r="X179" s="563"/>
      <c r="Y179" s="564">
        <v>1</v>
      </c>
      <c r="Z179" s="563" t="s">
        <v>507</v>
      </c>
      <c r="AA179" s="518" t="s">
        <v>848</v>
      </c>
      <c r="AB179" s="527"/>
      <c r="AC179" s="565">
        <v>42235</v>
      </c>
      <c r="AD179" s="527" t="s">
        <v>1333</v>
      </c>
      <c r="AE179" s="564" t="s">
        <v>1100</v>
      </c>
      <c r="AF179" s="233">
        <f>IF(CampList[[#This Row],[Type of Accomodation]]="camp",MAX(0,CampList[[#This Row],[HH]]-SUMIF(Table_Shelter[Pcode],CampList[[#This Row],[CP_Pcode]],Table_Shelter[HH Covered])),0)</f>
        <v>0</v>
      </c>
      <c r="AG179" s="525"/>
      <c r="AH179" s="218">
        <f>MIN(CampList[[#This Row],[Shelter Gap]],CampList[[#This Row],[Land Status]])</f>
        <v>0</v>
      </c>
      <c r="AI179" s="218" t="str">
        <f ca="1">IFERROR(OFFSET(DistanceToCamp[Nearest Town],MATCH(CampList[[#This Row],[CP_Pcode]],DistanceToCamp[CP_Pcode],0)-1,0,1,1),"")</f>
        <v>Myitkyina Town</v>
      </c>
      <c r="AJ179" s="336">
        <f ca="1">IFERROR(OFFSET(DistanceToCamp[distance],MATCH(CampList[[#This Row],[CP_Pcode]],DistanceToCamp[CP_Pcode],0)-1,0,1,1),"")</f>
        <v>6.0275881703713861</v>
      </c>
      <c r="AK179" s="337">
        <f ca="1">IFERROR(INT(CampList[[#This Row],[Distance]]/5)+1,"")</f>
        <v>2</v>
      </c>
      <c r="AL179" s="727"/>
      <c r="AM179" s="727"/>
      <c r="AN179" s="727"/>
      <c r="BD179" s="5"/>
      <c r="BE179" s="5"/>
    </row>
    <row r="180" spans="1:57" s="4" customFormat="1" ht="15.6" customHeight="1" x14ac:dyDescent="0.25">
      <c r="A180" s="555" t="s">
        <v>502</v>
      </c>
      <c r="B180" s="527" t="s">
        <v>380</v>
      </c>
      <c r="C180" s="525" t="s">
        <v>527</v>
      </c>
      <c r="D180" s="525" t="s">
        <v>180</v>
      </c>
      <c r="E180" s="525" t="s">
        <v>528</v>
      </c>
      <c r="F180" s="525" t="s">
        <v>180</v>
      </c>
      <c r="G180" s="525" t="s">
        <v>553</v>
      </c>
      <c r="H180" s="582" t="s">
        <v>618</v>
      </c>
      <c r="I180" s="582" t="s">
        <v>619</v>
      </c>
      <c r="J180" s="582" t="s">
        <v>941</v>
      </c>
      <c r="K180" s="583"/>
      <c r="L180" s="527" t="s">
        <v>287</v>
      </c>
      <c r="M180" s="527" t="s">
        <v>286</v>
      </c>
      <c r="N180" s="558">
        <v>96.364949999999993</v>
      </c>
      <c r="O180" s="558">
        <v>24.998349999999999</v>
      </c>
      <c r="P180" s="559"/>
      <c r="Q180" s="510">
        <v>18</v>
      </c>
      <c r="R180" s="533">
        <v>141</v>
      </c>
      <c r="S180" s="333">
        <f>IF(CampList[[#This Row],[HH]]&gt;0,CampList[[#This Row],[Total]]/CampList[[#This Row],[HH]],"NA")</f>
        <v>7.833333333333333</v>
      </c>
      <c r="T180" s="581" t="s">
        <v>513</v>
      </c>
      <c r="U180" s="562" t="s">
        <v>1213</v>
      </c>
      <c r="V180" s="527" t="s">
        <v>556</v>
      </c>
      <c r="W180" s="562" t="s">
        <v>862</v>
      </c>
      <c r="X180" s="563"/>
      <c r="Y180" s="564">
        <v>1</v>
      </c>
      <c r="Z180" s="563" t="s">
        <v>462</v>
      </c>
      <c r="AA180" s="518" t="s">
        <v>848</v>
      </c>
      <c r="AB180" s="527"/>
      <c r="AC180" s="579">
        <v>42340</v>
      </c>
      <c r="AD180" s="524" t="s">
        <v>1448</v>
      </c>
      <c r="AE180" s="564" t="s">
        <v>1100</v>
      </c>
      <c r="AF180" s="535">
        <f>IF(CampList[[#This Row],[Type of Accomodation]]="camp",MAX(0,CampList[[#This Row],[HH]]-SUMIF(Table_Shelter[Pcode],CampList[[#This Row],[CP_Pcode]],Table_Shelter[HH Covered])),0)</f>
        <v>0</v>
      </c>
      <c r="AG180" s="525"/>
      <c r="AH180" s="525">
        <f>MIN(CampList[[#This Row],[Shelter Gap]],CampList[[#This Row],[Land Status]])</f>
        <v>0</v>
      </c>
      <c r="AI180" s="525" t="str">
        <f ca="1">IFERROR(OFFSET(DistanceToCamp[Nearest Town],MATCH(CampList[[#This Row],[CP_Pcode]],DistanceToCamp[CP_Pcode],0)-1,0,1,1),"")</f>
        <v>Hopin Town</v>
      </c>
      <c r="AJ180" s="336">
        <f ca="1">IFERROR(OFFSET(DistanceToCamp[distance],MATCH(CampList[[#This Row],[CP_Pcode]],DistanceToCamp[CP_Pcode],0)-1,0,1,1),"")</f>
        <v>16.668825701583572</v>
      </c>
      <c r="AK180" s="567">
        <f ca="1">IFERROR(INT(CampList[[#This Row],[Distance]]/5)+1,"")</f>
        <v>4</v>
      </c>
      <c r="AL180" s="727"/>
      <c r="AM180" s="727"/>
      <c r="AN180" s="727"/>
      <c r="BD180" s="5"/>
      <c r="BE180" s="5"/>
    </row>
    <row r="181" spans="1:57" s="4" customFormat="1" ht="15.6" hidden="1" customHeight="1" x14ac:dyDescent="0.25">
      <c r="A181" s="555" t="s">
        <v>849</v>
      </c>
      <c r="B181" s="527" t="s">
        <v>380</v>
      </c>
      <c r="C181" s="527" t="s">
        <v>527</v>
      </c>
      <c r="D181" s="527" t="s">
        <v>237</v>
      </c>
      <c r="E181" s="527" t="s">
        <v>533</v>
      </c>
      <c r="F181" s="527" t="s">
        <v>310</v>
      </c>
      <c r="G181" s="525" t="s">
        <v>534</v>
      </c>
      <c r="H181" s="556" t="s">
        <v>751</v>
      </c>
      <c r="I181" s="556" t="s">
        <v>752</v>
      </c>
      <c r="J181" s="556" t="s">
        <v>751</v>
      </c>
      <c r="K181" s="557">
        <v>165750</v>
      </c>
      <c r="L181" s="527" t="s">
        <v>1270</v>
      </c>
      <c r="M181" s="527" t="s">
        <v>360</v>
      </c>
      <c r="N181" s="749"/>
      <c r="O181" s="749"/>
      <c r="P181" s="569"/>
      <c r="Q181" s="509">
        <v>0</v>
      </c>
      <c r="R181" s="531">
        <v>0</v>
      </c>
      <c r="S181" s="560" t="str">
        <f>IF(CampList[[#This Row],[HH]]&gt;0,CampList[[#This Row],[Total]]/CampList[[#This Row],[HH]],"NA")</f>
        <v>NA</v>
      </c>
      <c r="T181" s="561" t="s">
        <v>513</v>
      </c>
      <c r="U181" s="562" t="s">
        <v>1213</v>
      </c>
      <c r="V181" s="527" t="s">
        <v>556</v>
      </c>
      <c r="W181" s="562"/>
      <c r="X181" s="570"/>
      <c r="Y181" s="571"/>
      <c r="Z181" s="562"/>
      <c r="AA181" s="515"/>
      <c r="AB181" s="527"/>
      <c r="AC181" s="572"/>
      <c r="AD181" s="523" t="s">
        <v>603</v>
      </c>
      <c r="AE181" s="571" t="s">
        <v>1014</v>
      </c>
      <c r="AF181" s="535">
        <f>IF(CampList[[#This Row],[Type of Accomodation]]="camp",MAX(0,CampList[[#This Row],[HH]]-SUMIF(Table_Shelter[Pcode],CampList[[#This Row],[CP_Pcode]],Table_Shelter[HH Covered])),0)</f>
        <v>0</v>
      </c>
      <c r="AG181" s="525"/>
      <c r="AH181" s="525">
        <f>MIN(CampList[[#This Row],[Shelter Gap]],CampList[[#This Row],[Land Status]])</f>
        <v>0</v>
      </c>
      <c r="AI181" s="525" t="str">
        <f ca="1">IFERROR(OFFSET(DistanceToCamp[Nearest Town],MATCH(CampList[[#This Row],[CP_Pcode]],DistanceToCamp[CP_Pcode],0)-1,0,1,1),"")</f>
        <v/>
      </c>
      <c r="AJ181" s="566" t="str">
        <f ca="1">IFERROR(OFFSET(DistanceToCamp[distance],MATCH(CampList[[#This Row],[CP_Pcode]],DistanceToCamp[CP_Pcode],0)-1,0,1,1),"")</f>
        <v/>
      </c>
      <c r="AK181" s="567" t="str">
        <f ca="1">IFERROR(INT(CampList[[#This Row],[Distance]]/5)+1,"")</f>
        <v/>
      </c>
      <c r="AL181" s="727"/>
      <c r="AM181" s="727"/>
      <c r="AN181" s="727"/>
      <c r="BD181" s="5"/>
      <c r="BE181" s="5"/>
    </row>
    <row r="182" spans="1:57" s="4" customFormat="1" ht="15.6" customHeight="1" x14ac:dyDescent="0.25">
      <c r="A182" s="495" t="s">
        <v>502</v>
      </c>
      <c r="B182" s="535" t="s">
        <v>380</v>
      </c>
      <c r="C182" s="525" t="s">
        <v>527</v>
      </c>
      <c r="D182" s="525" t="s">
        <v>300</v>
      </c>
      <c r="E182" s="525" t="s">
        <v>548</v>
      </c>
      <c r="F182" s="525" t="s">
        <v>813</v>
      </c>
      <c r="G182" s="218" t="s">
        <v>814</v>
      </c>
      <c r="H182" s="535"/>
      <c r="I182" s="598"/>
      <c r="J182" s="535"/>
      <c r="K182" s="535"/>
      <c r="L182" s="527" t="s">
        <v>1361</v>
      </c>
      <c r="M182" s="535" t="s">
        <v>1362</v>
      </c>
      <c r="N182" s="20">
        <v>97.745480999999998</v>
      </c>
      <c r="O182" s="20">
        <v>26.569633</v>
      </c>
      <c r="P182" s="532"/>
      <c r="Q182" s="511">
        <v>161</v>
      </c>
      <c r="R182" s="532">
        <v>711</v>
      </c>
      <c r="S182" s="333">
        <f>IF(CampList[[#This Row],[HH]]&gt;0,CampList[[#This Row],[Total]]/CampList[[#This Row],[HH]],"NA")</f>
        <v>4.4161490683229809</v>
      </c>
      <c r="T182" s="599" t="s">
        <v>513</v>
      </c>
      <c r="U182" s="561" t="s">
        <v>1213</v>
      </c>
      <c r="V182" s="496" t="s">
        <v>556</v>
      </c>
      <c r="W182" s="508"/>
      <c r="X182" s="577"/>
      <c r="Y182" s="533"/>
      <c r="Z182" s="533"/>
      <c r="AA182" s="511"/>
      <c r="AB182" s="599"/>
      <c r="AC182" s="733">
        <v>42279</v>
      </c>
      <c r="AD182" s="714" t="s">
        <v>1363</v>
      </c>
      <c r="AE182" s="597"/>
      <c r="AF182" s="598">
        <f>IF(CampList[[#This Row],[Type of Accomodation]]="camp",MAX(0,CampList[[#This Row],[HH]]-SUMIF(Table_Shelter[Pcode],CampList[[#This Row],[CP_Pcode]],Table_Shelter[HH Covered])),0)</f>
        <v>161</v>
      </c>
      <c r="AG182" s="535"/>
      <c r="AH182" s="598">
        <f>MIN(CampList[[#This Row],[Shelter Gap]],CampList[[#This Row],[Land Status]])</f>
        <v>161</v>
      </c>
      <c r="AI182" s="598" t="str">
        <f ca="1">IFERROR(OFFSET(DistanceToCamp[Nearest Town],MATCH(CampList[[#This Row],[CP_Pcode]],DistanceToCamp[CP_Pcode],0)-1,0,1,1),"")</f>
        <v/>
      </c>
      <c r="AJ182" s="336" t="str">
        <f ca="1">IFERROR(OFFSET(DistanceToCamp[distance],MATCH(CampList[[#This Row],[CP_Pcode]],DistanceToCamp[CP_Pcode],0)-1,0,1,1),"")</f>
        <v/>
      </c>
      <c r="AK182" s="600" t="str">
        <f ca="1">IFERROR(INT(CampList[[#This Row],[Distance]]/5)+1,"")</f>
        <v/>
      </c>
      <c r="AL182" s="727"/>
      <c r="AM182" s="727"/>
      <c r="AN182" s="727"/>
      <c r="BD182" s="5"/>
      <c r="BE182" s="5"/>
    </row>
    <row r="183" spans="1:57" s="4" customFormat="1" ht="15.6" customHeight="1" x14ac:dyDescent="0.25">
      <c r="A183" s="332" t="s">
        <v>502</v>
      </c>
      <c r="B183" s="525" t="s">
        <v>555</v>
      </c>
      <c r="C183" s="525" t="s">
        <v>538</v>
      </c>
      <c r="D183" s="525" t="s">
        <v>230</v>
      </c>
      <c r="E183" s="535" t="s">
        <v>539</v>
      </c>
      <c r="F183" s="535" t="s">
        <v>146</v>
      </c>
      <c r="G183" s="535" t="s">
        <v>546</v>
      </c>
      <c r="H183" s="26" t="s">
        <v>771</v>
      </c>
      <c r="I183" s="712" t="s">
        <v>772</v>
      </c>
      <c r="J183" s="594"/>
      <c r="K183" s="594"/>
      <c r="L183" s="26" t="s">
        <v>1408</v>
      </c>
      <c r="M183" s="525" t="s">
        <v>1409</v>
      </c>
      <c r="N183" s="26">
        <v>29.52796</v>
      </c>
      <c r="O183" s="26">
        <v>23.264959999999999</v>
      </c>
      <c r="P183" s="569"/>
      <c r="Q183" s="713">
        <v>105</v>
      </c>
      <c r="R183" s="532">
        <v>568</v>
      </c>
      <c r="S183" s="333">
        <f>IF(CampList[[#This Row],[HH]]&gt;0,CampList[[#This Row],[Total]]/CampList[[#This Row],[HH]],"NA")</f>
        <v>5.4095238095238098</v>
      </c>
      <c r="T183" s="581" t="s">
        <v>513</v>
      </c>
      <c r="U183" s="561" t="s">
        <v>1213</v>
      </c>
      <c r="V183" s="561" t="s">
        <v>556</v>
      </c>
      <c r="W183" s="527" t="s">
        <v>862</v>
      </c>
      <c r="X183" s="595">
        <v>42036</v>
      </c>
      <c r="Y183" s="564"/>
      <c r="Z183" s="563"/>
      <c r="AA183" s="518"/>
      <c r="AB183" s="525"/>
      <c r="AC183" s="733">
        <v>42317</v>
      </c>
      <c r="AD183" s="525" t="s">
        <v>1410</v>
      </c>
      <c r="AE183" s="597"/>
      <c r="AF183" s="598">
        <f>IF(CampList[[#This Row],[Type of Accomodation]]="camp",MAX(0,CampList[[#This Row],[HH]]-SUMIF(Table_Shelter[Pcode],CampList[[#This Row],[CP_Pcode]],Table_Shelter[HH Covered])),0)</f>
        <v>105</v>
      </c>
      <c r="AG183" s="525"/>
      <c r="AH183" s="598">
        <f>MIN(CampList[[#This Row],[Shelter Gap]],CampList[[#This Row],[Land Status]])</f>
        <v>105</v>
      </c>
      <c r="AI183" s="598" t="str">
        <f ca="1">IFERROR(OFFSET(DistanceToCamp[Nearest Town],MATCH(CampList[[#This Row],[CP_Pcode]],DistanceToCamp[CP_Pcode],0)-1,0,1,1),"")</f>
        <v/>
      </c>
      <c r="AJ183" s="336" t="str">
        <f ca="1">IFERROR(OFFSET(DistanceToCamp[distance],MATCH(CampList[[#This Row],[CP_Pcode]],DistanceToCamp[CP_Pcode],0)-1,0,1,1),"")</f>
        <v/>
      </c>
      <c r="AK183" s="600" t="str">
        <f ca="1">IFERROR(INT(CampList[[#This Row],[Distance]]/5)+1,"")</f>
        <v/>
      </c>
      <c r="AL183" s="727"/>
      <c r="AM183" s="727"/>
      <c r="AN183" s="727"/>
      <c r="BD183" s="5"/>
      <c r="BE183" s="5"/>
    </row>
    <row r="184" spans="1:57" s="4" customFormat="1" ht="15.6" hidden="1" customHeight="1" x14ac:dyDescent="0.25">
      <c r="A184" s="555" t="s">
        <v>849</v>
      </c>
      <c r="B184" s="527" t="s">
        <v>380</v>
      </c>
      <c r="C184" s="527" t="s">
        <v>527</v>
      </c>
      <c r="D184" s="527" t="s">
        <v>180</v>
      </c>
      <c r="E184" s="527" t="s">
        <v>528</v>
      </c>
      <c r="F184" s="527" t="s">
        <v>529</v>
      </c>
      <c r="G184" s="525" t="s">
        <v>530</v>
      </c>
      <c r="H184" s="556" t="s">
        <v>605</v>
      </c>
      <c r="I184" s="556" t="s">
        <v>606</v>
      </c>
      <c r="J184" s="556" t="s">
        <v>607</v>
      </c>
      <c r="K184" s="557" t="s">
        <v>608</v>
      </c>
      <c r="L184" s="527" t="s">
        <v>110</v>
      </c>
      <c r="M184" s="527" t="s">
        <v>109</v>
      </c>
      <c r="N184" s="558">
        <v>96.312790000000007</v>
      </c>
      <c r="O184" s="558">
        <v>25.611160000000002</v>
      </c>
      <c r="P184" s="559">
        <v>0</v>
      </c>
      <c r="Q184" s="509">
        <v>0</v>
      </c>
      <c r="R184" s="531">
        <v>0</v>
      </c>
      <c r="S184" s="333" t="str">
        <f>IF(CampList[[#This Row],[HH]]&gt;0,CampList[[#This Row],[Total]]/CampList[[#This Row],[HH]],"NA")</f>
        <v>NA</v>
      </c>
      <c r="T184" s="561" t="s">
        <v>513</v>
      </c>
      <c r="U184" s="562" t="s">
        <v>1213</v>
      </c>
      <c r="V184" s="527" t="s">
        <v>556</v>
      </c>
      <c r="W184" s="562" t="s">
        <v>808</v>
      </c>
      <c r="X184" s="563">
        <v>41122</v>
      </c>
      <c r="Y184" s="564">
        <v>2</v>
      </c>
      <c r="Z184" s="563" t="s">
        <v>462</v>
      </c>
      <c r="AA184" s="515" t="s">
        <v>848</v>
      </c>
      <c r="AB184" s="527"/>
      <c r="AC184" s="565">
        <v>41774</v>
      </c>
      <c r="AD184" s="523" t="s">
        <v>1054</v>
      </c>
      <c r="AE184" s="564" t="s">
        <v>1014</v>
      </c>
      <c r="AF184" s="535">
        <f>IF(CampList[[#This Row],[Type of Accomodation]]="camp",MAX(0,CampList[[#This Row],[HH]]-SUMIF(Table_Shelter[Pcode],CampList[[#This Row],[CP_Pcode]],Table_Shelter[HH Covered])),0)</f>
        <v>0</v>
      </c>
      <c r="AG184" s="525"/>
      <c r="AH184" s="525">
        <f>MIN(CampList[[#This Row],[Shelter Gap]],CampList[[#This Row],[Land Status]])</f>
        <v>0</v>
      </c>
      <c r="AI184" s="525" t="str">
        <f ca="1">IFERROR(OFFSET(DistanceToCamp[Nearest Town],MATCH(CampList[[#This Row],[CP_Pcode]],DistanceToCamp[CP_Pcode],0)-1,0,1,1),"")</f>
        <v/>
      </c>
      <c r="AJ184" s="336" t="str">
        <f ca="1">IFERROR(OFFSET(DistanceToCamp[distance],MATCH(CampList[[#This Row],[CP_Pcode]],DistanceToCamp[CP_Pcode],0)-1,0,1,1),"")</f>
        <v/>
      </c>
      <c r="AK184" s="567" t="str">
        <f ca="1">IFERROR(INT(CampList[[#This Row],[Distance]]/5)+1,"")</f>
        <v/>
      </c>
      <c r="AL184" s="727"/>
      <c r="AM184" s="727"/>
      <c r="AN184" s="727"/>
      <c r="BD184" s="5"/>
      <c r="BE184" s="5"/>
    </row>
    <row r="185" spans="1:57" s="4" customFormat="1" ht="15.6" hidden="1" customHeight="1" x14ac:dyDescent="0.25">
      <c r="A185" s="555" t="s">
        <v>849</v>
      </c>
      <c r="B185" s="527" t="s">
        <v>380</v>
      </c>
      <c r="C185" s="527" t="s">
        <v>527</v>
      </c>
      <c r="D185" s="527" t="s">
        <v>180</v>
      </c>
      <c r="E185" s="527" t="s">
        <v>528</v>
      </c>
      <c r="F185" s="527" t="s">
        <v>529</v>
      </c>
      <c r="G185" s="525" t="s">
        <v>530</v>
      </c>
      <c r="H185" s="556" t="s">
        <v>605</v>
      </c>
      <c r="I185" s="556" t="s">
        <v>606</v>
      </c>
      <c r="J185" s="556" t="s">
        <v>607</v>
      </c>
      <c r="K185" s="557" t="s">
        <v>608</v>
      </c>
      <c r="L185" s="527" t="s">
        <v>112</v>
      </c>
      <c r="M185" s="527" t="s">
        <v>111</v>
      </c>
      <c r="N185" s="558">
        <v>96.31326</v>
      </c>
      <c r="O185" s="558">
        <v>25.611899999999999</v>
      </c>
      <c r="P185" s="569"/>
      <c r="Q185" s="509">
        <v>0</v>
      </c>
      <c r="R185" s="531">
        <v>0</v>
      </c>
      <c r="S185" s="560" t="str">
        <f>IF(CampList[[#This Row],[HH]]&gt;0,CampList[[#This Row],[Total]]/CampList[[#This Row],[HH]],"NA")</f>
        <v>NA</v>
      </c>
      <c r="T185" s="561" t="s">
        <v>513</v>
      </c>
      <c r="U185" s="562" t="s">
        <v>1213</v>
      </c>
      <c r="V185" s="527" t="s">
        <v>556</v>
      </c>
      <c r="W185" s="562"/>
      <c r="X185" s="570"/>
      <c r="Y185" s="571"/>
      <c r="Z185" s="562"/>
      <c r="AA185" s="515"/>
      <c r="AB185" s="527"/>
      <c r="AC185" s="572"/>
      <c r="AD185" s="523" t="s">
        <v>603</v>
      </c>
      <c r="AE185" s="571" t="s">
        <v>1014</v>
      </c>
      <c r="AF185" s="535">
        <f>IF(CampList[[#This Row],[Type of Accomodation]]="camp",MAX(0,CampList[[#This Row],[HH]]-SUMIF(Table_Shelter[Pcode],CampList[[#This Row],[CP_Pcode]],Table_Shelter[HH Covered])),0)</f>
        <v>0</v>
      </c>
      <c r="AG185" s="525"/>
      <c r="AH185" s="525">
        <f>MIN(CampList[[#This Row],[Shelter Gap]],CampList[[#This Row],[Land Status]])</f>
        <v>0</v>
      </c>
      <c r="AI185" s="525" t="str">
        <f ca="1">IFERROR(OFFSET(DistanceToCamp[Nearest Town],MATCH(CampList[[#This Row],[CP_Pcode]],DistanceToCamp[CP_Pcode],0)-1,0,1,1),"")</f>
        <v/>
      </c>
      <c r="AJ185" s="566" t="str">
        <f ca="1">IFERROR(OFFSET(DistanceToCamp[distance],MATCH(CampList[[#This Row],[CP_Pcode]],DistanceToCamp[CP_Pcode],0)-1,0,1,1),"")</f>
        <v/>
      </c>
      <c r="AK185" s="567" t="str">
        <f ca="1">IFERROR(INT(CampList[[#This Row],[Distance]]/5)+1,"")</f>
        <v/>
      </c>
      <c r="AL185" s="727"/>
      <c r="AM185" s="727"/>
      <c r="AN185" s="727"/>
      <c r="BD185" s="5"/>
      <c r="BE185" s="5"/>
    </row>
    <row r="186" spans="1:57" s="4" customFormat="1" ht="15.6" customHeight="1" x14ac:dyDescent="0.25">
      <c r="A186" s="495" t="s">
        <v>502</v>
      </c>
      <c r="B186" s="535" t="s">
        <v>380</v>
      </c>
      <c r="C186" s="535" t="s">
        <v>527</v>
      </c>
      <c r="D186" s="535" t="s">
        <v>5</v>
      </c>
      <c r="E186" s="535" t="s">
        <v>531</v>
      </c>
      <c r="F186" s="535" t="s">
        <v>185</v>
      </c>
      <c r="G186" s="535" t="s">
        <v>535</v>
      </c>
      <c r="H186" s="535" t="s">
        <v>748</v>
      </c>
      <c r="I186" s="598" t="s">
        <v>749</v>
      </c>
      <c r="J186" s="535" t="s">
        <v>750</v>
      </c>
      <c r="K186" s="535">
        <v>167138</v>
      </c>
      <c r="L186" s="535" t="s">
        <v>215</v>
      </c>
      <c r="M186" s="535" t="s">
        <v>214</v>
      </c>
      <c r="N186" s="508">
        <v>97.669366999999994</v>
      </c>
      <c r="O186" s="508">
        <v>24.378167000000001</v>
      </c>
      <c r="P186" s="569">
        <v>1149</v>
      </c>
      <c r="Q186" s="511">
        <v>412</v>
      </c>
      <c r="R186" s="532">
        <v>1700</v>
      </c>
      <c r="S186" s="333">
        <f>IF(CampList[[#This Row],[HH]]&gt;0,CampList[[#This Row],[Total]]/CampList[[#This Row],[HH]],"NA")</f>
        <v>4.1262135922330101</v>
      </c>
      <c r="T186" s="599" t="s">
        <v>515</v>
      </c>
      <c r="U186" s="561" t="s">
        <v>1213</v>
      </c>
      <c r="V186" s="496" t="s">
        <v>556</v>
      </c>
      <c r="W186" s="508" t="s">
        <v>862</v>
      </c>
      <c r="X186" s="577">
        <v>41000</v>
      </c>
      <c r="Y186" s="571">
        <v>2</v>
      </c>
      <c r="Z186" s="571" t="s">
        <v>1096</v>
      </c>
      <c r="AA186" s="511" t="s">
        <v>848</v>
      </c>
      <c r="AB186" s="599"/>
      <c r="AC186" s="565">
        <v>42235</v>
      </c>
      <c r="AD186" s="535" t="s">
        <v>1338</v>
      </c>
      <c r="AE186" s="597" t="s">
        <v>1084</v>
      </c>
      <c r="AF186" s="598">
        <f>IF(CampList[[#This Row],[Type of Accomodation]]="camp",MAX(0,CampList[[#This Row],[HH]]-SUMIF(Table_Shelter[Pcode],CampList[[#This Row],[CP_Pcode]],Table_Shelter[HH Covered])),0)</f>
        <v>0</v>
      </c>
      <c r="AG186" s="535"/>
      <c r="AH186" s="598">
        <f>MIN(CampList[[#This Row],[Shelter Gap]],CampList[[#This Row],[Land Status]])</f>
        <v>0</v>
      </c>
      <c r="AI186" s="598" t="str">
        <f ca="1">IFERROR(OFFSET(DistanceToCamp[Nearest Town],MATCH(CampList[[#This Row],[CP_Pcode]],DistanceToCamp[CP_Pcode],0)-1,0,1,1),"")</f>
        <v>Lwegel Town</v>
      </c>
      <c r="AJ186" s="336">
        <f ca="1">IFERROR(OFFSET(DistanceToCamp[distance],MATCH(CampList[[#This Row],[CP_Pcode]],DistanceToCamp[CP_Pcode],0)-1,0,1,1),"")</f>
        <v>20.558236360788097</v>
      </c>
      <c r="AK186" s="600">
        <f ca="1">IFERROR(INT(CampList[[#This Row],[Distance]]/5)+1,"")</f>
        <v>5</v>
      </c>
      <c r="AL186" s="727"/>
      <c r="AM186" s="727"/>
      <c r="AN186" s="727"/>
      <c r="BD186" s="5"/>
      <c r="BE186" s="5"/>
    </row>
    <row r="187" spans="1:57" s="4" customFormat="1" ht="15.6" customHeight="1" x14ac:dyDescent="0.25">
      <c r="A187" s="332" t="s">
        <v>502</v>
      </c>
      <c r="B187" s="527" t="s">
        <v>380</v>
      </c>
      <c r="C187" s="525" t="s">
        <v>527</v>
      </c>
      <c r="D187" s="525" t="s">
        <v>5</v>
      </c>
      <c r="E187" s="525" t="s">
        <v>531</v>
      </c>
      <c r="F187" s="525" t="s">
        <v>185</v>
      </c>
      <c r="G187" s="218" t="s">
        <v>535</v>
      </c>
      <c r="H187" s="582" t="s">
        <v>664</v>
      </c>
      <c r="I187" s="582" t="s">
        <v>665</v>
      </c>
      <c r="J187" s="582" t="s">
        <v>666</v>
      </c>
      <c r="K187" s="583" t="s">
        <v>667</v>
      </c>
      <c r="L187" s="527" t="s">
        <v>217</v>
      </c>
      <c r="M187" s="527" t="s">
        <v>216</v>
      </c>
      <c r="N187" s="558">
        <v>97.347740000000002</v>
      </c>
      <c r="O187" s="558">
        <v>24.253769999999999</v>
      </c>
      <c r="P187" s="559">
        <v>0</v>
      </c>
      <c r="Q187" s="510">
        <v>24</v>
      </c>
      <c r="R187" s="533">
        <v>89</v>
      </c>
      <c r="S187" s="333">
        <f>IF(CampList[[#This Row],[HH]]&gt;0,CampList[[#This Row],[Total]]/CampList[[#This Row],[HH]],"NA")</f>
        <v>3.7083333333333335</v>
      </c>
      <c r="T187" s="581" t="s">
        <v>513</v>
      </c>
      <c r="U187" s="334" t="s">
        <v>1213</v>
      </c>
      <c r="V187" s="527" t="s">
        <v>556</v>
      </c>
      <c r="W187" s="562" t="s">
        <v>808</v>
      </c>
      <c r="X187" s="563">
        <v>40817</v>
      </c>
      <c r="Y187" s="564">
        <v>1</v>
      </c>
      <c r="Z187" s="563" t="s">
        <v>507</v>
      </c>
      <c r="AA187" s="518" t="s">
        <v>848</v>
      </c>
      <c r="AB187" s="527"/>
      <c r="AC187" s="565">
        <v>42317</v>
      </c>
      <c r="AD187" s="524" t="s">
        <v>1403</v>
      </c>
      <c r="AE187" s="564" t="s">
        <v>1100</v>
      </c>
      <c r="AF187" s="535">
        <f>IF(CampList[[#This Row],[Type of Accomodation]]="camp",MAX(0,CampList[[#This Row],[HH]]-SUMIF(Table_Shelter[Pcode],CampList[[#This Row],[CP_Pcode]],Table_Shelter[HH Covered])),0)</f>
        <v>0</v>
      </c>
      <c r="AG187" s="535"/>
      <c r="AH187" s="218">
        <f>MIN(CampList[[#This Row],[Shelter Gap]],CampList[[#This Row],[Land Status]])</f>
        <v>0</v>
      </c>
      <c r="AI187" s="218" t="str">
        <f ca="1">IFERROR(OFFSET(DistanceToCamp[Nearest Town],MATCH(CampList[[#This Row],[CP_Pcode]],DistanceToCamp[CP_Pcode],0)-1,0,1,1),"")</f>
        <v>Momauk Town</v>
      </c>
      <c r="AJ187" s="336">
        <f ca="1">IFERROR(OFFSET(DistanceToCamp[distance],MATCH(CampList[[#This Row],[CP_Pcode]],DistanceToCamp[CP_Pcode],0)-1,0,1,1),"")</f>
        <v>0.32830807173487342</v>
      </c>
      <c r="AK187" s="337">
        <f ca="1">IFERROR(INT(CampList[[#This Row],[Distance]]/5)+1,"")</f>
        <v>1</v>
      </c>
      <c r="AL187" s="727"/>
      <c r="AM187" s="727"/>
      <c r="AN187" s="727"/>
      <c r="BD187" s="5"/>
      <c r="BE187" s="5"/>
    </row>
    <row r="188" spans="1:57" s="4" customFormat="1" ht="15.6" customHeight="1" x14ac:dyDescent="0.25">
      <c r="A188" s="555" t="s">
        <v>502</v>
      </c>
      <c r="B188" s="527" t="s">
        <v>380</v>
      </c>
      <c r="C188" s="525" t="s">
        <v>527</v>
      </c>
      <c r="D188" s="525" t="s">
        <v>237</v>
      </c>
      <c r="E188" s="525" t="s">
        <v>533</v>
      </c>
      <c r="F188" s="525" t="s">
        <v>237</v>
      </c>
      <c r="G188" s="525" t="s">
        <v>537</v>
      </c>
      <c r="H188" s="582" t="s">
        <v>673</v>
      </c>
      <c r="I188" s="582" t="s">
        <v>674</v>
      </c>
      <c r="J188" s="582" t="s">
        <v>682</v>
      </c>
      <c r="K188" s="583"/>
      <c r="L188" s="527" t="s">
        <v>269</v>
      </c>
      <c r="M188" s="527" t="s">
        <v>268</v>
      </c>
      <c r="N188" s="558">
        <v>97.394547000000003</v>
      </c>
      <c r="O188" s="558">
        <v>25.422194000000001</v>
      </c>
      <c r="P188" s="559">
        <v>0</v>
      </c>
      <c r="Q188" s="510">
        <v>57</v>
      </c>
      <c r="R188" s="533">
        <v>233</v>
      </c>
      <c r="S188" s="333">
        <f>IF(CampList[[#This Row],[HH]]&gt;0,CampList[[#This Row],[Total]]/CampList[[#This Row],[HH]],"NA")</f>
        <v>4.0877192982456139</v>
      </c>
      <c r="T188" s="581" t="s">
        <v>513</v>
      </c>
      <c r="U188" s="562" t="s">
        <v>1213</v>
      </c>
      <c r="V188" s="527" t="s">
        <v>556</v>
      </c>
      <c r="W188" s="562" t="s">
        <v>808</v>
      </c>
      <c r="X188" s="563">
        <v>40695</v>
      </c>
      <c r="Y188" s="564">
        <v>1</v>
      </c>
      <c r="Z188" s="563" t="s">
        <v>462</v>
      </c>
      <c r="AA188" s="518" t="s">
        <v>848</v>
      </c>
      <c r="AB188" s="527"/>
      <c r="AC188" s="579">
        <v>42340</v>
      </c>
      <c r="AD188" s="524" t="s">
        <v>1445</v>
      </c>
      <c r="AE188" s="564" t="s">
        <v>1100</v>
      </c>
      <c r="AF188" s="535">
        <f>IF(CampList[[#This Row],[Type of Accomodation]]="camp",MAX(0,CampList[[#This Row],[HH]]-SUMIF(Table_Shelter[Pcode],CampList[[#This Row],[CP_Pcode]],Table_Shelter[HH Covered])),0)</f>
        <v>5</v>
      </c>
      <c r="AG188" s="535"/>
      <c r="AH188" s="525">
        <f>MIN(CampList[[#This Row],[Shelter Gap]],CampList[[#This Row],[Land Status]])</f>
        <v>5</v>
      </c>
      <c r="AI188" s="525" t="str">
        <f ca="1">IFERROR(OFFSET(DistanceToCamp[Nearest Town],MATCH(CampList[[#This Row],[CP_Pcode]],DistanceToCamp[CP_Pcode],0)-1,0,1,1),"")</f>
        <v>Myitkyina Town</v>
      </c>
      <c r="AJ188" s="336">
        <f ca="1">IFERROR(OFFSET(DistanceToCamp[distance],MATCH(CampList[[#This Row],[CP_Pcode]],DistanceToCamp[CP_Pcode],0)-1,0,1,1),"")</f>
        <v>3.8820329084732181</v>
      </c>
      <c r="AK188" s="567">
        <f ca="1">IFERROR(INT(CampList[[#This Row],[Distance]]/5)+1,"")</f>
        <v>1</v>
      </c>
      <c r="AL188" s="727"/>
      <c r="AM188" s="727"/>
      <c r="AN188" s="727"/>
      <c r="BD188" s="5"/>
      <c r="BE188" s="5"/>
    </row>
    <row r="189" spans="1:57" s="4" customFormat="1" ht="15.6" customHeight="1" x14ac:dyDescent="0.25">
      <c r="A189" s="555" t="s">
        <v>502</v>
      </c>
      <c r="B189" s="527" t="s">
        <v>380</v>
      </c>
      <c r="C189" s="525" t="s">
        <v>527</v>
      </c>
      <c r="D189" s="525" t="s">
        <v>5</v>
      </c>
      <c r="E189" s="525" t="s">
        <v>531</v>
      </c>
      <c r="F189" s="525" t="s">
        <v>185</v>
      </c>
      <c r="G189" s="525" t="s">
        <v>535</v>
      </c>
      <c r="H189" s="582" t="s">
        <v>1145</v>
      </c>
      <c r="I189" s="582" t="s">
        <v>1282</v>
      </c>
      <c r="J189" s="582"/>
      <c r="K189" s="583"/>
      <c r="L189" s="527" t="s">
        <v>229</v>
      </c>
      <c r="M189" s="527" t="s">
        <v>228</v>
      </c>
      <c r="N189" s="558">
        <v>97.724483000000006</v>
      </c>
      <c r="O189" s="558">
        <v>24.205417000000001</v>
      </c>
      <c r="P189" s="559">
        <v>0</v>
      </c>
      <c r="Q189" s="510">
        <v>50</v>
      </c>
      <c r="R189" s="533">
        <v>293</v>
      </c>
      <c r="S189" s="333">
        <f>IF(CampList[[#This Row],[HH]]&gt;0,CampList[[#This Row],[Total]]/CampList[[#This Row],[HH]],"NA")</f>
        <v>5.86</v>
      </c>
      <c r="T189" s="581" t="s">
        <v>513</v>
      </c>
      <c r="U189" s="562" t="s">
        <v>1213</v>
      </c>
      <c r="V189" s="527" t="s">
        <v>556</v>
      </c>
      <c r="W189" s="562" t="s">
        <v>808</v>
      </c>
      <c r="X189" s="563">
        <v>41122</v>
      </c>
      <c r="Y189" s="564">
        <v>1</v>
      </c>
      <c r="Z189" s="563" t="s">
        <v>462</v>
      </c>
      <c r="AA189" s="518" t="s">
        <v>848</v>
      </c>
      <c r="AB189" s="527"/>
      <c r="AC189" s="579">
        <v>42340</v>
      </c>
      <c r="AD189" s="524" t="s">
        <v>1451</v>
      </c>
      <c r="AE189" s="564" t="s">
        <v>1086</v>
      </c>
      <c r="AF189" s="535">
        <f>IF(CampList[[#This Row],[Type of Accomodation]]="camp",MAX(0,CampList[[#This Row],[HH]]-SUMIF(Table_Shelter[Pcode],CampList[[#This Row],[CP_Pcode]],Table_Shelter[HH Covered])),0)</f>
        <v>5</v>
      </c>
      <c r="AG189" s="535"/>
      <c r="AH189" s="525">
        <f>MIN(CampList[[#This Row],[Shelter Gap]],CampList[[#This Row],[Land Status]])</f>
        <v>5</v>
      </c>
      <c r="AI189" s="525" t="str">
        <f ca="1">IFERROR(OFFSET(DistanceToCamp[Nearest Town],MATCH(CampList[[#This Row],[CP_Pcode]],DistanceToCamp[CP_Pcode],0)-1,0,1,1),"")</f>
        <v>Lwegel Town</v>
      </c>
      <c r="AJ189" s="336">
        <f ca="1">IFERROR(OFFSET(DistanceToCamp[distance],MATCH(CampList[[#This Row],[CP_Pcode]],DistanceToCamp[CP_Pcode],0)-1,0,1,1),"")</f>
        <v>0.77561767807574999</v>
      </c>
      <c r="AK189" s="567">
        <f ca="1">IFERROR(INT(CampList[[#This Row],[Distance]]/5)+1,"")</f>
        <v>1</v>
      </c>
      <c r="AL189" s="727"/>
      <c r="AM189" s="727"/>
      <c r="AN189" s="727"/>
      <c r="BD189" s="5"/>
      <c r="BE189" s="5"/>
    </row>
    <row r="190" spans="1:57" s="4" customFormat="1" ht="15.6" customHeight="1" x14ac:dyDescent="0.25">
      <c r="A190" s="495" t="s">
        <v>502</v>
      </c>
      <c r="B190" s="535" t="s">
        <v>380</v>
      </c>
      <c r="C190" s="535" t="s">
        <v>527</v>
      </c>
      <c r="D190" s="535" t="s">
        <v>237</v>
      </c>
      <c r="E190" s="535" t="s">
        <v>533</v>
      </c>
      <c r="F190" s="535" t="s">
        <v>237</v>
      </c>
      <c r="G190" s="535" t="s">
        <v>537</v>
      </c>
      <c r="H190" s="535" t="s">
        <v>711</v>
      </c>
      <c r="I190" s="598" t="s">
        <v>712</v>
      </c>
      <c r="J190" s="535" t="s">
        <v>713</v>
      </c>
      <c r="K190" s="535">
        <v>165685</v>
      </c>
      <c r="L190" s="535" t="s">
        <v>273</v>
      </c>
      <c r="M190" s="535" t="s">
        <v>272</v>
      </c>
      <c r="N190" s="508">
        <v>97.4345</v>
      </c>
      <c r="O190" s="508">
        <v>25.493819999999999</v>
      </c>
      <c r="P190" s="569"/>
      <c r="Q190" s="511">
        <v>57</v>
      </c>
      <c r="R190" s="532">
        <v>292</v>
      </c>
      <c r="S190" s="333">
        <f>IF(CampList[[#This Row],[HH]]&gt;0,CampList[[#This Row],[Total]]/CampList[[#This Row],[HH]],"NA")</f>
        <v>5.1228070175438596</v>
      </c>
      <c r="T190" s="599" t="s">
        <v>513</v>
      </c>
      <c r="U190" s="561" t="s">
        <v>1213</v>
      </c>
      <c r="V190" s="496" t="s">
        <v>556</v>
      </c>
      <c r="W190" s="508" t="s">
        <v>808</v>
      </c>
      <c r="X190" s="577">
        <v>41244</v>
      </c>
      <c r="Y190" s="571"/>
      <c r="Z190" s="571" t="s">
        <v>1097</v>
      </c>
      <c r="AA190" s="511" t="s">
        <v>848</v>
      </c>
      <c r="AB190" s="599"/>
      <c r="AC190" s="565">
        <v>42351</v>
      </c>
      <c r="AD190" s="711" t="s">
        <v>1471</v>
      </c>
      <c r="AE190" s="597" t="s">
        <v>1100</v>
      </c>
      <c r="AF190" s="598">
        <f>IF(CampList[[#This Row],[Type of Accomodation]]="camp",MAX(0,CampList[[#This Row],[HH]]-SUMIF(Table_Shelter[Pcode],CampList[[#This Row],[CP_Pcode]],Table_Shelter[HH Covered])),0)</f>
        <v>27</v>
      </c>
      <c r="AG190" s="535"/>
      <c r="AH190" s="598">
        <f>MIN(CampList[[#This Row],[Shelter Gap]],CampList[[#This Row],[Land Status]])</f>
        <v>27</v>
      </c>
      <c r="AI190" s="598" t="str">
        <f ca="1">IFERROR(OFFSET(DistanceToCamp[Nearest Town],MATCH(CampList[[#This Row],[CP_Pcode]],DistanceToCamp[CP_Pcode],0)-1,0,1,1),"")</f>
        <v>Myitkyina Town</v>
      </c>
      <c r="AJ190" s="336">
        <f ca="1">IFERROR(OFFSET(DistanceToCamp[distance],MATCH(CampList[[#This Row],[CP_Pcode]],DistanceToCamp[CP_Pcode],0)-1,0,1,1),"")</f>
        <v>12.627188913244609</v>
      </c>
      <c r="AK190" s="600">
        <f ca="1">IFERROR(INT(CampList[[#This Row],[Distance]]/5)+1,"")</f>
        <v>3</v>
      </c>
      <c r="AL190" s="727"/>
      <c r="AM190" s="727"/>
      <c r="AN190" s="727"/>
      <c r="BD190" s="5"/>
      <c r="BE190" s="5"/>
    </row>
    <row r="191" spans="1:57" s="4" customFormat="1" ht="15.6" customHeight="1" x14ac:dyDescent="0.25">
      <c r="A191" s="495" t="s">
        <v>502</v>
      </c>
      <c r="B191" s="535" t="s">
        <v>380</v>
      </c>
      <c r="C191" s="535" t="s">
        <v>527</v>
      </c>
      <c r="D191" s="535" t="s">
        <v>5</v>
      </c>
      <c r="E191" s="535" t="s">
        <v>531</v>
      </c>
      <c r="F191" s="535" t="s">
        <v>185</v>
      </c>
      <c r="G191" s="535" t="s">
        <v>535</v>
      </c>
      <c r="H191" s="535" t="s">
        <v>765</v>
      </c>
      <c r="I191" s="598" t="s">
        <v>766</v>
      </c>
      <c r="J191" s="535" t="s">
        <v>767</v>
      </c>
      <c r="K191" s="535">
        <v>216913</v>
      </c>
      <c r="L191" s="535" t="s">
        <v>219</v>
      </c>
      <c r="M191" s="535" t="s">
        <v>218</v>
      </c>
      <c r="N191" s="508">
        <v>97.752667000000002</v>
      </c>
      <c r="O191" s="508">
        <v>24.2744</v>
      </c>
      <c r="P191" s="569">
        <v>978</v>
      </c>
      <c r="Q191" s="511">
        <v>840</v>
      </c>
      <c r="R191" s="532">
        <v>3249</v>
      </c>
      <c r="S191" s="333">
        <f>IF(CampList[[#This Row],[HH]]&gt;0,CampList[[#This Row],[Total]]/CampList[[#This Row],[HH]],"NA")</f>
        <v>3.8678571428571429</v>
      </c>
      <c r="T191" s="599" t="s">
        <v>515</v>
      </c>
      <c r="U191" s="561" t="s">
        <v>1213</v>
      </c>
      <c r="V191" s="496" t="s">
        <v>556</v>
      </c>
      <c r="W191" s="508" t="s">
        <v>862</v>
      </c>
      <c r="X191" s="577">
        <v>41000</v>
      </c>
      <c r="Y191" s="571">
        <v>2</v>
      </c>
      <c r="Z191" s="571" t="s">
        <v>1096</v>
      </c>
      <c r="AA191" s="511" t="s">
        <v>848</v>
      </c>
      <c r="AB191" s="599"/>
      <c r="AC191" s="565">
        <v>42235</v>
      </c>
      <c r="AD191" s="535" t="s">
        <v>1340</v>
      </c>
      <c r="AE191" s="597" t="s">
        <v>1085</v>
      </c>
      <c r="AF191" s="598">
        <f>IF(CampList[[#This Row],[Type of Accomodation]]="camp",MAX(0,CampList[[#This Row],[HH]]-SUMIF(Table_Shelter[Pcode],CampList[[#This Row],[CP_Pcode]],Table_Shelter[HH Covered])),0)</f>
        <v>123</v>
      </c>
      <c r="AG191" s="535"/>
      <c r="AH191" s="598">
        <f>MIN(CampList[[#This Row],[Shelter Gap]],CampList[[#This Row],[Land Status]])</f>
        <v>123</v>
      </c>
      <c r="AI191" s="598" t="str">
        <f ca="1">IFERROR(OFFSET(DistanceToCamp[Nearest Town],MATCH(CampList[[#This Row],[CP_Pcode]],DistanceToCamp[CP_Pcode],0)-1,0,1,1),"")</f>
        <v>Lwegel Town</v>
      </c>
      <c r="AJ191" s="336">
        <f ca="1">IFERROR(OFFSET(DistanceToCamp[distance],MATCH(CampList[[#This Row],[CP_Pcode]],DistanceToCamp[CP_Pcode],0)-1,0,1,1),"")</f>
        <v>8.953204937938569</v>
      </c>
      <c r="AK191" s="600">
        <f ca="1">IFERROR(INT(CampList[[#This Row],[Distance]]/5)+1,"")</f>
        <v>2</v>
      </c>
      <c r="AL191" s="727"/>
      <c r="AM191" s="727"/>
      <c r="AN191" s="727"/>
      <c r="BD191" s="5"/>
      <c r="BE191" s="5"/>
    </row>
    <row r="192" spans="1:57" s="4" customFormat="1" ht="15.6" customHeight="1" x14ac:dyDescent="0.25">
      <c r="A192" s="590" t="s">
        <v>502</v>
      </c>
      <c r="B192" s="219" t="s">
        <v>380</v>
      </c>
      <c r="C192" s="525" t="s">
        <v>527</v>
      </c>
      <c r="D192" s="525" t="s">
        <v>237</v>
      </c>
      <c r="E192" s="525" t="s">
        <v>533</v>
      </c>
      <c r="F192" s="525" t="s">
        <v>310</v>
      </c>
      <c r="G192" s="218" t="s">
        <v>534</v>
      </c>
      <c r="H192" s="582" t="s">
        <v>757</v>
      </c>
      <c r="I192" s="582" t="s">
        <v>758</v>
      </c>
      <c r="J192" s="582" t="s">
        <v>764</v>
      </c>
      <c r="K192" s="583"/>
      <c r="L192" s="527" t="s">
        <v>1266</v>
      </c>
      <c r="M192" s="219" t="s">
        <v>345</v>
      </c>
      <c r="N192" s="558">
        <v>97.751389000000003</v>
      </c>
      <c r="O192" s="558">
        <v>24.831944</v>
      </c>
      <c r="P192" s="559">
        <v>2330</v>
      </c>
      <c r="Q192" s="510">
        <v>191</v>
      </c>
      <c r="R192" s="533">
        <v>768</v>
      </c>
      <c r="S192" s="333">
        <f>IF(CampList[[#This Row],[HH]]&gt;0,CampList[[#This Row],[Total]]/CampList[[#This Row],[HH]],"NA")</f>
        <v>4.0209424083769632</v>
      </c>
      <c r="T192" s="581" t="s">
        <v>515</v>
      </c>
      <c r="U192" s="334" t="s">
        <v>1213</v>
      </c>
      <c r="V192" s="527" t="s">
        <v>556</v>
      </c>
      <c r="W192" s="334" t="s">
        <v>862</v>
      </c>
      <c r="X192" s="563">
        <v>40725</v>
      </c>
      <c r="Y192" s="564">
        <v>3</v>
      </c>
      <c r="Z192" s="563" t="s">
        <v>462</v>
      </c>
      <c r="AA192" s="518" t="s">
        <v>848</v>
      </c>
      <c r="AB192" s="219"/>
      <c r="AC192" s="579">
        <v>42340</v>
      </c>
      <c r="AD192" s="524" t="s">
        <v>1462</v>
      </c>
      <c r="AE192" s="564" t="s">
        <v>1084</v>
      </c>
      <c r="AF192" s="233">
        <f>IF(CampList[[#This Row],[Type of Accomodation]]="camp",MAX(0,CampList[[#This Row],[HH]]-SUMIF(Table_Shelter[Pcode],CampList[[#This Row],[CP_Pcode]],Table_Shelter[HH Covered])),0)</f>
        <v>156</v>
      </c>
      <c r="AG192" s="535"/>
      <c r="AH192" s="218">
        <f>MIN(CampList[[#This Row],[Shelter Gap]],CampList[[#This Row],[Land Status]])</f>
        <v>156</v>
      </c>
      <c r="AI192" s="218" t="str">
        <f ca="1">IFERROR(OFFSET(DistanceToCamp[Nearest Town],MATCH(CampList[[#This Row],[CP_Pcode]],DistanceToCamp[CP_Pcode],0)-1,0,1,1),"")</f>
        <v>Laiza town</v>
      </c>
      <c r="AJ192" s="336">
        <f ca="1">IFERROR(OFFSET(DistanceToCamp[distance],MATCH(CampList[[#This Row],[CP_Pcode]],DistanceToCamp[CP_Pcode],0)-1,0,1,1),"")</f>
        <v>20.599512012485512</v>
      </c>
      <c r="AK192" s="337">
        <f ca="1">IFERROR(INT(CampList[[#This Row],[Distance]]/5)+1,"")</f>
        <v>5</v>
      </c>
      <c r="AL192" s="727"/>
      <c r="AM192" s="727"/>
      <c r="AN192" s="727"/>
      <c r="BD192" s="5"/>
      <c r="BE192" s="5"/>
    </row>
    <row r="193" spans="1:57" s="4" customFormat="1" ht="15.6" customHeight="1" x14ac:dyDescent="0.25">
      <c r="A193" s="495" t="s">
        <v>502</v>
      </c>
      <c r="B193" s="535" t="s">
        <v>380</v>
      </c>
      <c r="C193" s="535" t="s">
        <v>527</v>
      </c>
      <c r="D193" s="535" t="s">
        <v>237</v>
      </c>
      <c r="E193" s="535" t="s">
        <v>533</v>
      </c>
      <c r="F193" s="535" t="s">
        <v>27</v>
      </c>
      <c r="G193" s="535" t="s">
        <v>536</v>
      </c>
      <c r="H193" s="535" t="s">
        <v>1140</v>
      </c>
      <c r="I193" s="598" t="s">
        <v>1274</v>
      </c>
      <c r="J193" s="535"/>
      <c r="K193" s="535"/>
      <c r="L193" s="535" t="s">
        <v>870</v>
      </c>
      <c r="M193" s="535" t="s">
        <v>869</v>
      </c>
      <c r="N193" s="508">
        <v>98.377780000000001</v>
      </c>
      <c r="O193" s="508">
        <v>25.60867</v>
      </c>
      <c r="P193" s="569">
        <v>2345</v>
      </c>
      <c r="Q193" s="511">
        <v>65</v>
      </c>
      <c r="R193" s="532">
        <v>306</v>
      </c>
      <c r="S193" s="333">
        <f>IF(CampList[[#This Row],[HH]]&gt;0,CampList[[#This Row],[Total]]/CampList[[#This Row],[HH]],"NA")</f>
        <v>4.7076923076923078</v>
      </c>
      <c r="T193" s="599" t="s">
        <v>513</v>
      </c>
      <c r="U193" s="561" t="s">
        <v>1213</v>
      </c>
      <c r="V193" s="496" t="s">
        <v>556</v>
      </c>
      <c r="W193" s="508" t="s">
        <v>862</v>
      </c>
      <c r="X193" s="577"/>
      <c r="Y193" s="571">
        <v>1</v>
      </c>
      <c r="Z193" s="571" t="s">
        <v>1097</v>
      </c>
      <c r="AA193" s="511" t="s">
        <v>848</v>
      </c>
      <c r="AB193" s="599"/>
      <c r="AC193" s="565">
        <v>42300</v>
      </c>
      <c r="AD193" s="711" t="s">
        <v>1426</v>
      </c>
      <c r="AE193" s="597" t="s">
        <v>1084</v>
      </c>
      <c r="AF193" s="598">
        <f>IF(CampList[[#This Row],[Type of Accomodation]]="camp",MAX(0,CampList[[#This Row],[HH]]-SUMIF(Table_Shelter[Pcode],CampList[[#This Row],[CP_Pcode]],Table_Shelter[HH Covered])),0)</f>
        <v>65</v>
      </c>
      <c r="AG193" s="535"/>
      <c r="AH193" s="598">
        <f>MIN(CampList[[#This Row],[Shelter Gap]],CampList[[#This Row],[Land Status]])</f>
        <v>65</v>
      </c>
      <c r="AI193" s="598" t="str">
        <f ca="1">IFERROR(OFFSET(DistanceToCamp[Nearest Town],MATCH(CampList[[#This Row],[CP_Pcode]],DistanceToCamp[CP_Pcode],0)-1,0,1,1),"")</f>
        <v>Pang War Town</v>
      </c>
      <c r="AJ193" s="336">
        <f ca="1">IFERROR(OFFSET(DistanceToCamp[distance],MATCH(CampList[[#This Row],[CP_Pcode]],DistanceToCamp[CP_Pcode],0)-1,0,1,1),"")</f>
        <v>0.18710270881855062</v>
      </c>
      <c r="AK193" s="600">
        <f ca="1">IFERROR(INT(CampList[[#This Row],[Distance]]/5)+1,"")</f>
        <v>1</v>
      </c>
      <c r="AL193" s="727"/>
      <c r="AM193" s="727"/>
      <c r="AN193" s="727"/>
      <c r="BD193" s="5"/>
      <c r="BE193" s="5"/>
    </row>
    <row r="194" spans="1:57" s="4" customFormat="1" ht="15.6" hidden="1" customHeight="1" x14ac:dyDescent="0.25">
      <c r="A194" s="555" t="s">
        <v>849</v>
      </c>
      <c r="B194" s="527" t="s">
        <v>380</v>
      </c>
      <c r="C194" s="527" t="s">
        <v>527</v>
      </c>
      <c r="D194" s="527" t="s">
        <v>180</v>
      </c>
      <c r="E194" s="527" t="s">
        <v>528</v>
      </c>
      <c r="F194" s="527" t="s">
        <v>529</v>
      </c>
      <c r="G194" s="218" t="s">
        <v>530</v>
      </c>
      <c r="H194" s="556" t="s">
        <v>605</v>
      </c>
      <c r="I194" s="556" t="s">
        <v>606</v>
      </c>
      <c r="J194" s="556" t="s">
        <v>705</v>
      </c>
      <c r="K194" s="557" t="s">
        <v>706</v>
      </c>
      <c r="L194" s="527" t="s">
        <v>114</v>
      </c>
      <c r="M194" s="219" t="s">
        <v>113</v>
      </c>
      <c r="N194" s="568"/>
      <c r="O194" s="568"/>
      <c r="P194" s="569"/>
      <c r="Q194" s="509">
        <v>0</v>
      </c>
      <c r="R194" s="531">
        <v>0</v>
      </c>
      <c r="S194" s="333" t="str">
        <f>IF(CampList[[#This Row],[HH]]&gt;0,CampList[[#This Row],[Total]]/CampList[[#This Row],[HH]],"NA")</f>
        <v>NA</v>
      </c>
      <c r="T194" s="561" t="s">
        <v>513</v>
      </c>
      <c r="U194" s="334" t="s">
        <v>1213</v>
      </c>
      <c r="V194" s="527" t="s">
        <v>556</v>
      </c>
      <c r="W194" s="562"/>
      <c r="X194" s="570"/>
      <c r="Y194" s="571"/>
      <c r="Z194" s="562"/>
      <c r="AA194" s="515"/>
      <c r="AB194" s="527"/>
      <c r="AC194" s="572"/>
      <c r="AD194" s="523" t="s">
        <v>603</v>
      </c>
      <c r="AE194" s="571" t="s">
        <v>1014</v>
      </c>
      <c r="AF194" s="233">
        <f>IF(CampList[[#This Row],[Type of Accomodation]]="camp",MAX(0,CampList[[#This Row],[HH]]-SUMIF(Table_Shelter[Pcode],CampList[[#This Row],[CP_Pcode]],Table_Shelter[HH Covered])),0)</f>
        <v>0</v>
      </c>
      <c r="AG194" s="525"/>
      <c r="AH194" s="218">
        <f>MIN(CampList[[#This Row],[Shelter Gap]],CampList[[#This Row],[Land Status]])</f>
        <v>0</v>
      </c>
      <c r="AI194" s="218" t="str">
        <f ca="1">IFERROR(OFFSET(DistanceToCamp[Nearest Town],MATCH(CampList[[#This Row],[CP_Pcode]],DistanceToCamp[CP_Pcode],0)-1,0,1,1),"")</f>
        <v/>
      </c>
      <c r="AJ194" s="336" t="str">
        <f ca="1">IFERROR(OFFSET(DistanceToCamp[distance],MATCH(CampList[[#This Row],[CP_Pcode]],DistanceToCamp[CP_Pcode],0)-1,0,1,1),"")</f>
        <v/>
      </c>
      <c r="AK194" s="337" t="str">
        <f ca="1">IFERROR(INT(CampList[[#This Row],[Distance]]/5)+1,"")</f>
        <v/>
      </c>
      <c r="AL194" s="727"/>
      <c r="AM194" s="727"/>
      <c r="AN194" s="727"/>
      <c r="BD194" s="5"/>
      <c r="BE194" s="5"/>
    </row>
    <row r="195" spans="1:57" s="4" customFormat="1" ht="15.6" customHeight="1" x14ac:dyDescent="0.25">
      <c r="A195" s="555" t="s">
        <v>502</v>
      </c>
      <c r="B195" s="527" t="s">
        <v>380</v>
      </c>
      <c r="C195" s="525" t="s">
        <v>527</v>
      </c>
      <c r="D195" s="525" t="s">
        <v>5</v>
      </c>
      <c r="E195" s="525" t="s">
        <v>531</v>
      </c>
      <c r="F195" s="525" t="s">
        <v>5</v>
      </c>
      <c r="G195" s="525" t="s">
        <v>532</v>
      </c>
      <c r="H195" s="582" t="s">
        <v>647</v>
      </c>
      <c r="I195" s="582" t="s">
        <v>648</v>
      </c>
      <c r="J195" s="582" t="s">
        <v>649</v>
      </c>
      <c r="K195" s="583">
        <v>166854</v>
      </c>
      <c r="L195" s="527" t="s">
        <v>366</v>
      </c>
      <c r="M195" s="527" t="s">
        <v>376</v>
      </c>
      <c r="N195" s="558">
        <v>97.252650000000003</v>
      </c>
      <c r="O195" s="558">
        <v>24.222349999999999</v>
      </c>
      <c r="P195" s="559">
        <v>0</v>
      </c>
      <c r="Q195" s="510">
        <v>157</v>
      </c>
      <c r="R195" s="533">
        <v>761</v>
      </c>
      <c r="S195" s="333">
        <f>IF(CampList[[#This Row],[HH]]&gt;0,CampList[[#This Row],[Total]]/CampList[[#This Row],[HH]],"NA")</f>
        <v>4.8471337579617835</v>
      </c>
      <c r="T195" s="581" t="s">
        <v>513</v>
      </c>
      <c r="U195" s="562" t="s">
        <v>1213</v>
      </c>
      <c r="V195" s="527" t="s">
        <v>556</v>
      </c>
      <c r="W195" s="562" t="s">
        <v>808</v>
      </c>
      <c r="X195" s="563">
        <v>41275</v>
      </c>
      <c r="Y195" s="564">
        <v>1</v>
      </c>
      <c r="Z195" s="563" t="s">
        <v>462</v>
      </c>
      <c r="AA195" s="518" t="s">
        <v>848</v>
      </c>
      <c r="AB195" s="527"/>
      <c r="AC195" s="565">
        <v>42340</v>
      </c>
      <c r="AD195" s="524" t="s">
        <v>1450</v>
      </c>
      <c r="AE195" s="564" t="s">
        <v>1100</v>
      </c>
      <c r="AF195" s="535">
        <f>IF(CampList[[#This Row],[Type of Accomodation]]="camp",MAX(0,CampList[[#This Row],[HH]]-SUMIF(Table_Shelter[Pcode],CampList[[#This Row],[CP_Pcode]],Table_Shelter[HH Covered])),0)</f>
        <v>31</v>
      </c>
      <c r="AG195" s="535"/>
      <c r="AH195" s="525">
        <f>MIN(CampList[[#This Row],[Shelter Gap]],CampList[[#This Row],[Land Status]])</f>
        <v>31</v>
      </c>
      <c r="AI195" s="525" t="str">
        <f ca="1">IFERROR(OFFSET(DistanceToCamp[Nearest Town],MATCH(CampList[[#This Row],[CP_Pcode]],DistanceToCamp[CP_Pcode],0)-1,0,1,1),"")</f>
        <v>Bhamo Town</v>
      </c>
      <c r="AJ195" s="336">
        <f ca="1">IFERROR(OFFSET(DistanceToCamp[distance],MATCH(CampList[[#This Row],[CP_Pcode]],DistanceToCamp[CP_Pcode],0)-1,0,1,1),"")</f>
        <v>4.067486452659054</v>
      </c>
      <c r="AK195" s="567">
        <f ca="1">IFERROR(INT(CampList[[#This Row],[Distance]]/5)+1,"")</f>
        <v>1</v>
      </c>
      <c r="AL195" s="727"/>
      <c r="AM195" s="727"/>
      <c r="AN195" s="727"/>
      <c r="BD195" s="5"/>
      <c r="BE195" s="5"/>
    </row>
    <row r="196" spans="1:57" s="4" customFormat="1" ht="15.6" customHeight="1" x14ac:dyDescent="0.25">
      <c r="A196" s="555" t="s">
        <v>502</v>
      </c>
      <c r="B196" s="527" t="s">
        <v>380</v>
      </c>
      <c r="C196" s="525" t="s">
        <v>527</v>
      </c>
      <c r="D196" s="525" t="s">
        <v>5</v>
      </c>
      <c r="E196" s="525" t="s">
        <v>531</v>
      </c>
      <c r="F196" s="525" t="s">
        <v>185</v>
      </c>
      <c r="G196" s="525" t="s">
        <v>535</v>
      </c>
      <c r="H196" s="582" t="s">
        <v>707</v>
      </c>
      <c r="I196" s="582" t="s">
        <v>708</v>
      </c>
      <c r="J196" s="582" t="s">
        <v>709</v>
      </c>
      <c r="K196" s="583">
        <v>167242</v>
      </c>
      <c r="L196" s="527" t="s">
        <v>221</v>
      </c>
      <c r="M196" s="527" t="s">
        <v>220</v>
      </c>
      <c r="N196" s="558">
        <v>97.429860000000005</v>
      </c>
      <c r="O196" s="558">
        <v>24.630859999999998</v>
      </c>
      <c r="P196" s="559"/>
      <c r="Q196" s="510">
        <v>39</v>
      </c>
      <c r="R196" s="533">
        <v>176</v>
      </c>
      <c r="S196" s="333">
        <f>IF(CampList[[#This Row],[HH]]&gt;0,CampList[[#This Row],[Total]]/CampList[[#This Row],[HH]],"NA")</f>
        <v>4.5128205128205128</v>
      </c>
      <c r="T196" s="581" t="s">
        <v>513</v>
      </c>
      <c r="U196" s="562" t="s">
        <v>1213</v>
      </c>
      <c r="V196" s="527" t="s">
        <v>12</v>
      </c>
      <c r="W196" s="562" t="s">
        <v>862</v>
      </c>
      <c r="X196" s="563"/>
      <c r="Y196" s="564"/>
      <c r="Z196" s="563"/>
      <c r="AA196" s="518" t="s">
        <v>847</v>
      </c>
      <c r="AB196" s="527"/>
      <c r="AC196" s="565">
        <v>41646</v>
      </c>
      <c r="AD196" s="524" t="s">
        <v>895</v>
      </c>
      <c r="AE196" s="564" t="s">
        <v>1100</v>
      </c>
      <c r="AF196" s="535">
        <f>IF(CampList[[#This Row],[Type of Accomodation]]="camp",MAX(0,CampList[[#This Row],[HH]]-SUMIF(Table_Shelter[Pcode],CampList[[#This Row],[CP_Pcode]],Table_Shelter[HH Covered])),0)</f>
        <v>0</v>
      </c>
      <c r="AG196" s="535"/>
      <c r="AH196" s="525">
        <f>MIN(CampList[[#This Row],[Shelter Gap]],CampList[[#This Row],[Land Status]])</f>
        <v>0</v>
      </c>
      <c r="AI196" s="525" t="str">
        <f ca="1">IFERROR(OFFSET(DistanceToCamp[Nearest Town],MATCH(CampList[[#This Row],[CP_Pcode]],DistanceToCamp[CP_Pcode],0)-1,0,1,1),"")</f>
        <v>Dawthponeyan  Town</v>
      </c>
      <c r="AJ196" s="336">
        <f ca="1">IFERROR(OFFSET(DistanceToCamp[distance],MATCH(CampList[[#This Row],[CP_Pcode]],DistanceToCamp[CP_Pcode],0)-1,0,1,1),"")</f>
        <v>3.6887624513681017</v>
      </c>
      <c r="AK196" s="567">
        <f ca="1">IFERROR(INT(CampList[[#This Row],[Distance]]/5)+1,"")</f>
        <v>1</v>
      </c>
      <c r="AL196" s="727"/>
      <c r="AM196" s="727"/>
      <c r="AN196" s="727"/>
      <c r="BD196" s="5"/>
      <c r="BE196" s="5"/>
    </row>
    <row r="197" spans="1:57" s="4" customFormat="1" ht="15.6" customHeight="1" x14ac:dyDescent="0.25">
      <c r="A197" s="690" t="s">
        <v>502</v>
      </c>
      <c r="B197" s="535" t="s">
        <v>380</v>
      </c>
      <c r="C197" s="535" t="s">
        <v>527</v>
      </c>
      <c r="D197" s="535" t="s">
        <v>237</v>
      </c>
      <c r="E197" s="535" t="s">
        <v>533</v>
      </c>
      <c r="F197" s="535" t="s">
        <v>310</v>
      </c>
      <c r="G197" s="535" t="s">
        <v>534</v>
      </c>
      <c r="H197" s="535" t="s">
        <v>720</v>
      </c>
      <c r="I197" s="598" t="s">
        <v>774</v>
      </c>
      <c r="J197" s="535"/>
      <c r="K197" s="535"/>
      <c r="L197" s="535" t="s">
        <v>355</v>
      </c>
      <c r="M197" s="535" t="s">
        <v>354</v>
      </c>
      <c r="N197" s="508">
        <v>97.990555999999998</v>
      </c>
      <c r="O197" s="508">
        <v>25.265277999999999</v>
      </c>
      <c r="P197" s="569">
        <v>2764</v>
      </c>
      <c r="Q197" s="511">
        <v>108</v>
      </c>
      <c r="R197" s="532">
        <v>647</v>
      </c>
      <c r="S197" s="333">
        <f>IF(CampList[[#This Row],[HH]]&gt;0,CampList[[#This Row],[Total]]/CampList[[#This Row],[HH]],"NA")</f>
        <v>5.9907407407407405</v>
      </c>
      <c r="T197" s="599" t="s">
        <v>515</v>
      </c>
      <c r="U197" s="561" t="s">
        <v>1213</v>
      </c>
      <c r="V197" s="496" t="s">
        <v>556</v>
      </c>
      <c r="W197" s="508" t="s">
        <v>863</v>
      </c>
      <c r="X197" s="577">
        <v>40848</v>
      </c>
      <c r="Y197" s="571">
        <v>2</v>
      </c>
      <c r="Z197" s="571" t="s">
        <v>1097</v>
      </c>
      <c r="AA197" s="511" t="s">
        <v>848</v>
      </c>
      <c r="AB197" s="599"/>
      <c r="AC197" s="579">
        <v>42340</v>
      </c>
      <c r="AD197" s="711" t="s">
        <v>1432</v>
      </c>
      <c r="AE197" s="597" t="s">
        <v>1084</v>
      </c>
      <c r="AF197" s="598">
        <f>IF(CampList[[#This Row],[Type of Accomodation]]="camp",MAX(0,CampList[[#This Row],[HH]]-SUMIF(Table_Shelter[Pcode],CampList[[#This Row],[CP_Pcode]],Table_Shelter[HH Covered])),0)</f>
        <v>108</v>
      </c>
      <c r="AG197" s="535"/>
      <c r="AH197" s="598">
        <f>MIN(CampList[[#This Row],[Shelter Gap]],CampList[[#This Row],[Land Status]])</f>
        <v>108</v>
      </c>
      <c r="AI197" s="598" t="str">
        <f ca="1">IFERROR(OFFSET(DistanceToCamp[Nearest Town],MATCH(CampList[[#This Row],[CP_Pcode]],DistanceToCamp[CP_Pcode],0)-1,0,1,1),"")</f>
        <v>Sadung Town</v>
      </c>
      <c r="AJ197" s="336">
        <f ca="1">IFERROR(OFFSET(DistanceToCamp[distance],MATCH(CampList[[#This Row],[CP_Pcode]],DistanceToCamp[CP_Pcode],0)-1,0,1,1),"")</f>
        <v>17.035515422123492</v>
      </c>
      <c r="AK197" s="600">
        <f ca="1">IFERROR(INT(CampList[[#This Row],[Distance]]/5)+1,"")</f>
        <v>4</v>
      </c>
      <c r="AL197" s="727"/>
      <c r="AM197" s="727"/>
      <c r="AN197" s="727"/>
      <c r="BD197" s="5"/>
      <c r="BE197" s="5"/>
    </row>
    <row r="198" spans="1:57" s="4" customFormat="1" ht="15.6" customHeight="1" x14ac:dyDescent="0.25">
      <c r="A198" s="590" t="s">
        <v>502</v>
      </c>
      <c r="B198" s="527" t="s">
        <v>380</v>
      </c>
      <c r="C198" s="525" t="s">
        <v>527</v>
      </c>
      <c r="D198" s="525" t="s">
        <v>237</v>
      </c>
      <c r="E198" s="525" t="s">
        <v>533</v>
      </c>
      <c r="F198" s="525" t="s">
        <v>310</v>
      </c>
      <c r="G198" s="218" t="s">
        <v>534</v>
      </c>
      <c r="H198" s="582" t="s">
        <v>697</v>
      </c>
      <c r="I198" s="582" t="s">
        <v>698</v>
      </c>
      <c r="J198" s="582" t="s">
        <v>718</v>
      </c>
      <c r="K198" s="583" t="s">
        <v>719</v>
      </c>
      <c r="L198" s="527" t="s">
        <v>318</v>
      </c>
      <c r="M198" s="527" t="s">
        <v>317</v>
      </c>
      <c r="N198" s="558">
        <v>97.441166388888902</v>
      </c>
      <c r="O198" s="558">
        <v>25.3540362037037</v>
      </c>
      <c r="P198" s="559">
        <v>0</v>
      </c>
      <c r="Q198" s="510">
        <v>94</v>
      </c>
      <c r="R198" s="533">
        <v>341</v>
      </c>
      <c r="S198" s="333">
        <f>IF(CampList[[#This Row],[HH]]&gt;0,CampList[[#This Row],[Total]]/CampList[[#This Row],[HH]],"NA")</f>
        <v>3.6276595744680851</v>
      </c>
      <c r="T198" s="581" t="s">
        <v>513</v>
      </c>
      <c r="U198" s="334" t="s">
        <v>1213</v>
      </c>
      <c r="V198" s="527" t="s">
        <v>556</v>
      </c>
      <c r="W198" s="562" t="s">
        <v>808</v>
      </c>
      <c r="X198" s="563">
        <v>40725</v>
      </c>
      <c r="Y198" s="564">
        <v>2</v>
      </c>
      <c r="Z198" s="563" t="s">
        <v>507</v>
      </c>
      <c r="AA198" s="518" t="s">
        <v>848</v>
      </c>
      <c r="AB198" s="527"/>
      <c r="AC198" s="579">
        <v>42235</v>
      </c>
      <c r="AD198" s="527" t="s">
        <v>1334</v>
      </c>
      <c r="AE198" s="564" t="s">
        <v>1100</v>
      </c>
      <c r="AF198" s="535">
        <f>IF(CampList[[#This Row],[Type of Accomodation]]="camp",MAX(0,CampList[[#This Row],[HH]]-SUMIF(Table_Shelter[Pcode],CampList[[#This Row],[CP_Pcode]],Table_Shelter[HH Covered])),0)</f>
        <v>0</v>
      </c>
      <c r="AG198" s="535"/>
      <c r="AH198" s="218">
        <f>MIN(CampList[[#This Row],[Shelter Gap]],CampList[[#This Row],[Land Status]])</f>
        <v>0</v>
      </c>
      <c r="AI198" s="218" t="str">
        <f ca="1">IFERROR(OFFSET(DistanceToCamp[Nearest Town],MATCH(CampList[[#This Row],[CP_Pcode]],DistanceToCamp[CP_Pcode],0)-1,0,1,1),"")</f>
        <v>Waingmaw Town</v>
      </c>
      <c r="AJ198" s="336">
        <f ca="1">IFERROR(OFFSET(DistanceToCamp[distance],MATCH(CampList[[#This Row],[CP_Pcode]],DistanceToCamp[CP_Pcode],0)-1,0,1,1),"")</f>
        <v>0.37684287609457234</v>
      </c>
      <c r="AK198" s="337">
        <f ca="1">IFERROR(INT(CampList[[#This Row],[Distance]]/5)+1,"")</f>
        <v>1</v>
      </c>
      <c r="AL198" s="727"/>
      <c r="AM198" s="727"/>
      <c r="AN198" s="727"/>
      <c r="BD198" s="5"/>
      <c r="BE198" s="5"/>
    </row>
    <row r="199" spans="1:57" s="4" customFormat="1" ht="15.6" customHeight="1" x14ac:dyDescent="0.25">
      <c r="A199" s="590" t="s">
        <v>502</v>
      </c>
      <c r="B199" s="527" t="s">
        <v>380</v>
      </c>
      <c r="C199" s="525" t="s">
        <v>527</v>
      </c>
      <c r="D199" s="525" t="s">
        <v>237</v>
      </c>
      <c r="E199" s="525" t="s">
        <v>533</v>
      </c>
      <c r="F199" s="525" t="s">
        <v>310</v>
      </c>
      <c r="G199" s="218" t="s">
        <v>534</v>
      </c>
      <c r="H199" s="582" t="s">
        <v>697</v>
      </c>
      <c r="I199" s="582" t="s">
        <v>698</v>
      </c>
      <c r="J199" s="582" t="s">
        <v>718</v>
      </c>
      <c r="K199" s="583" t="s">
        <v>719</v>
      </c>
      <c r="L199" s="527" t="s">
        <v>342</v>
      </c>
      <c r="M199" s="527" t="s">
        <v>341</v>
      </c>
      <c r="N199" s="558">
        <v>97.438432380952406</v>
      </c>
      <c r="O199" s="558">
        <v>25.351724999999998</v>
      </c>
      <c r="P199" s="559">
        <v>0</v>
      </c>
      <c r="Q199" s="510">
        <v>65</v>
      </c>
      <c r="R199" s="533">
        <v>322</v>
      </c>
      <c r="S199" s="333">
        <f>IF(CampList[[#This Row],[HH]]&gt;0,CampList[[#This Row],[Total]]/CampList[[#This Row],[HH]],"NA")</f>
        <v>4.953846153846154</v>
      </c>
      <c r="T199" s="581" t="s">
        <v>513</v>
      </c>
      <c r="U199" s="334" t="s">
        <v>1213</v>
      </c>
      <c r="V199" s="527" t="s">
        <v>556</v>
      </c>
      <c r="W199" s="562" t="s">
        <v>808</v>
      </c>
      <c r="X199" s="563">
        <v>40695</v>
      </c>
      <c r="Y199" s="564">
        <v>2</v>
      </c>
      <c r="Z199" s="563" t="s">
        <v>462</v>
      </c>
      <c r="AA199" s="518" t="s">
        <v>848</v>
      </c>
      <c r="AB199" s="527"/>
      <c r="AC199" s="335">
        <v>42340</v>
      </c>
      <c r="AD199" s="524" t="s">
        <v>1434</v>
      </c>
      <c r="AE199" s="564" t="s">
        <v>1100</v>
      </c>
      <c r="AF199" s="535">
        <f>IF(CampList[[#This Row],[Type of Accomodation]]="camp",MAX(0,CampList[[#This Row],[HH]]-SUMIF(Table_Shelter[Pcode],CampList[[#This Row],[CP_Pcode]],Table_Shelter[HH Covered])),0)</f>
        <v>27</v>
      </c>
      <c r="AG199" s="535"/>
      <c r="AH199" s="218">
        <f>MIN(CampList[[#This Row],[Shelter Gap]],CampList[[#This Row],[Land Status]])</f>
        <v>27</v>
      </c>
      <c r="AI199" s="218" t="str">
        <f ca="1">IFERROR(OFFSET(DistanceToCamp[Nearest Town],MATCH(CampList[[#This Row],[CP_Pcode]],DistanceToCamp[CP_Pcode],0)-1,0,1,1),"")</f>
        <v>Waingmaw Town</v>
      </c>
      <c r="AJ199" s="336">
        <f ca="1">IFERROR(OFFSET(DistanceToCamp[distance],MATCH(CampList[[#This Row],[CP_Pcode]],DistanceToCamp[CP_Pcode],0)-1,0,1,1),"")</f>
        <v>0.4474205416025816</v>
      </c>
      <c r="AK199" s="337">
        <f ca="1">IFERROR(INT(CampList[[#This Row],[Distance]]/5)+1,"")</f>
        <v>1</v>
      </c>
      <c r="AL199" s="727"/>
      <c r="AM199" s="727"/>
      <c r="AN199" s="727"/>
      <c r="BD199" s="5"/>
      <c r="BE199" s="5"/>
    </row>
    <row r="200" spans="1:57" s="4" customFormat="1" ht="15.6" customHeight="1" x14ac:dyDescent="0.25">
      <c r="A200" s="590" t="s">
        <v>502</v>
      </c>
      <c r="B200" s="527" t="s">
        <v>380</v>
      </c>
      <c r="C200" s="525" t="s">
        <v>527</v>
      </c>
      <c r="D200" s="525" t="s">
        <v>237</v>
      </c>
      <c r="E200" s="525" t="s">
        <v>533</v>
      </c>
      <c r="F200" s="525" t="s">
        <v>310</v>
      </c>
      <c r="G200" s="525" t="s">
        <v>534</v>
      </c>
      <c r="H200" s="582" t="s">
        <v>697</v>
      </c>
      <c r="I200" s="582" t="s">
        <v>698</v>
      </c>
      <c r="J200" s="582" t="s">
        <v>716</v>
      </c>
      <c r="K200" s="583" t="s">
        <v>717</v>
      </c>
      <c r="L200" s="527" t="s">
        <v>338</v>
      </c>
      <c r="M200" s="527" t="s">
        <v>337</v>
      </c>
      <c r="N200" s="558">
        <v>97.437472666666693</v>
      </c>
      <c r="O200" s="558">
        <v>25.345918166666699</v>
      </c>
      <c r="P200" s="559"/>
      <c r="Q200" s="510">
        <v>31</v>
      </c>
      <c r="R200" s="533">
        <v>170</v>
      </c>
      <c r="S200" s="333">
        <f>IF(CampList[[#This Row],[HH]]&gt;0,CampList[[#This Row],[Total]]/CampList[[#This Row],[HH]],"NA")</f>
        <v>5.4838709677419351</v>
      </c>
      <c r="T200" s="581" t="s">
        <v>513</v>
      </c>
      <c r="U200" s="562" t="s">
        <v>1213</v>
      </c>
      <c r="V200" s="527" t="s">
        <v>556</v>
      </c>
      <c r="W200" s="562" t="s">
        <v>808</v>
      </c>
      <c r="X200" s="563">
        <v>40695</v>
      </c>
      <c r="Y200" s="564">
        <v>1</v>
      </c>
      <c r="Z200" s="563" t="s">
        <v>507</v>
      </c>
      <c r="AA200" s="518" t="s">
        <v>848</v>
      </c>
      <c r="AB200" s="527"/>
      <c r="AC200" s="579">
        <v>42180</v>
      </c>
      <c r="AD200" s="527" t="s">
        <v>1294</v>
      </c>
      <c r="AE200" s="564" t="s">
        <v>1100</v>
      </c>
      <c r="AF200" s="535">
        <f>IF(CampList[[#This Row],[Type of Accomodation]]="camp",MAX(0,CampList[[#This Row],[HH]]-SUMIF(Table_Shelter[Pcode],CampList[[#This Row],[CP_Pcode]],Table_Shelter[HH Covered])),0)</f>
        <v>0</v>
      </c>
      <c r="AG200" s="535"/>
      <c r="AH200" s="525">
        <f>MIN(CampList[[#This Row],[Shelter Gap]],CampList[[#This Row],[Land Status]])</f>
        <v>0</v>
      </c>
      <c r="AI200" s="525" t="str">
        <f ca="1">IFERROR(OFFSET(DistanceToCamp[Nearest Town],MATCH(CampList[[#This Row],[CP_Pcode]],DistanceToCamp[CP_Pcode],0)-1,0,1,1),"")</f>
        <v>Waingmaw Town</v>
      </c>
      <c r="AJ200" s="336">
        <f ca="1">IFERROR(OFFSET(DistanceToCamp[distance],MATCH(CampList[[#This Row],[CP_Pcode]],DistanceToCamp[CP_Pcode],0)-1,0,1,1),"")</f>
        <v>0.77827912736780092</v>
      </c>
      <c r="AK200" s="567">
        <f ca="1">IFERROR(INT(CampList[[#This Row],[Distance]]/5)+1,"")</f>
        <v>1</v>
      </c>
      <c r="AL200" s="727"/>
      <c r="AM200" s="727"/>
      <c r="AN200" s="727"/>
      <c r="BD200" s="5"/>
      <c r="BE200" s="5"/>
    </row>
    <row r="201" spans="1:57" s="4" customFormat="1" ht="15.6" customHeight="1" x14ac:dyDescent="0.25">
      <c r="A201" s="590" t="s">
        <v>502</v>
      </c>
      <c r="B201" s="527" t="s">
        <v>380</v>
      </c>
      <c r="C201" s="525" t="s">
        <v>527</v>
      </c>
      <c r="D201" s="525" t="s">
        <v>237</v>
      </c>
      <c r="E201" s="525" t="s">
        <v>533</v>
      </c>
      <c r="F201" s="525" t="s">
        <v>310</v>
      </c>
      <c r="G201" s="525" t="s">
        <v>534</v>
      </c>
      <c r="H201" s="582" t="s">
        <v>697</v>
      </c>
      <c r="I201" s="582" t="s">
        <v>698</v>
      </c>
      <c r="J201" s="582" t="s">
        <v>699</v>
      </c>
      <c r="K201" s="583" t="s">
        <v>700</v>
      </c>
      <c r="L201" s="527" t="s">
        <v>351</v>
      </c>
      <c r="M201" s="527" t="s">
        <v>350</v>
      </c>
      <c r="N201" s="558">
        <v>97.432495000000003</v>
      </c>
      <c r="O201" s="558">
        <v>25.350809000000002</v>
      </c>
      <c r="P201" s="559">
        <v>0</v>
      </c>
      <c r="Q201" s="510">
        <v>91</v>
      </c>
      <c r="R201" s="533">
        <v>472</v>
      </c>
      <c r="S201" s="333">
        <f>IF(CampList[[#This Row],[HH]]&gt;0,CampList[[#This Row],[Total]]/CampList[[#This Row],[HH]],"NA")</f>
        <v>5.186813186813187</v>
      </c>
      <c r="T201" s="581" t="s">
        <v>513</v>
      </c>
      <c r="U201" s="562" t="s">
        <v>1213</v>
      </c>
      <c r="V201" s="527" t="s">
        <v>556</v>
      </c>
      <c r="W201" s="562" t="s">
        <v>808</v>
      </c>
      <c r="X201" s="563">
        <v>40940</v>
      </c>
      <c r="Y201" s="564">
        <v>1</v>
      </c>
      <c r="Z201" s="563" t="s">
        <v>507</v>
      </c>
      <c r="AA201" s="518" t="s">
        <v>848</v>
      </c>
      <c r="AB201" s="527"/>
      <c r="AC201" s="565">
        <v>42317</v>
      </c>
      <c r="AD201" s="524" t="s">
        <v>1394</v>
      </c>
      <c r="AE201" s="564" t="s">
        <v>1100</v>
      </c>
      <c r="AF201" s="535">
        <f>IF(CampList[[#This Row],[Type of Accomodation]]="camp",MAX(0,CampList[[#This Row],[HH]]-SUMIF(Table_Shelter[Pcode],CampList[[#This Row],[CP_Pcode]],Table_Shelter[HH Covered])),0)</f>
        <v>0</v>
      </c>
      <c r="AG201" s="535"/>
      <c r="AH201" s="525">
        <f>MIN(CampList[[#This Row],[Shelter Gap]],CampList[[#This Row],[Land Status]])</f>
        <v>0</v>
      </c>
      <c r="AI201" s="525" t="str">
        <f ca="1">IFERROR(OFFSET(DistanceToCamp[Nearest Town],MATCH(CampList[[#This Row],[CP_Pcode]],DistanceToCamp[CP_Pcode],0)-1,0,1,1),"")</f>
        <v>Waingmaw Town</v>
      </c>
      <c r="AJ201" s="336">
        <f ca="1">IFERROR(OFFSET(DistanceToCamp[distance],MATCH(CampList[[#This Row],[CP_Pcode]],DistanceToCamp[CP_Pcode],0)-1,0,1,1),"")</f>
        <v>1.0367202051285227</v>
      </c>
      <c r="AK201" s="567">
        <f ca="1">IFERROR(INT(CampList[[#This Row],[Distance]]/5)+1,"")</f>
        <v>1</v>
      </c>
      <c r="AL201" s="727"/>
      <c r="AM201" s="727"/>
      <c r="AN201" s="727"/>
      <c r="BD201" s="5"/>
      <c r="BE201" s="5"/>
    </row>
    <row r="202" spans="1:57" s="4" customFormat="1" ht="15.6" customHeight="1" x14ac:dyDescent="0.25">
      <c r="A202" s="555" t="s">
        <v>502</v>
      </c>
      <c r="B202" s="527" t="s">
        <v>380</v>
      </c>
      <c r="C202" s="525" t="s">
        <v>527</v>
      </c>
      <c r="D202" s="525" t="s">
        <v>180</v>
      </c>
      <c r="E202" s="525" t="s">
        <v>528</v>
      </c>
      <c r="F202" s="525" t="s">
        <v>529</v>
      </c>
      <c r="G202" s="218" t="s">
        <v>530</v>
      </c>
      <c r="H202" s="582" t="s">
        <v>600</v>
      </c>
      <c r="I202" s="582" t="s">
        <v>601</v>
      </c>
      <c r="J202" s="582" t="s">
        <v>602</v>
      </c>
      <c r="K202" s="583">
        <v>166785</v>
      </c>
      <c r="L202" s="527" t="s">
        <v>118</v>
      </c>
      <c r="M202" s="219" t="s">
        <v>117</v>
      </c>
      <c r="N202" s="558">
        <v>96.279200000000003</v>
      </c>
      <c r="O202" s="558">
        <v>25.56551</v>
      </c>
      <c r="P202" s="559">
        <v>259</v>
      </c>
      <c r="Q202" s="510">
        <v>10</v>
      </c>
      <c r="R202" s="533">
        <v>39</v>
      </c>
      <c r="S202" s="333">
        <f>IF(CampList[[#This Row],[HH]]&gt;0,CampList[[#This Row],[Total]]/CampList[[#This Row],[HH]],"NA")</f>
        <v>3.9</v>
      </c>
      <c r="T202" s="581" t="s">
        <v>513</v>
      </c>
      <c r="U202" s="334" t="s">
        <v>1213</v>
      </c>
      <c r="V202" s="219" t="s">
        <v>556</v>
      </c>
      <c r="W202" s="562" t="s">
        <v>862</v>
      </c>
      <c r="X202" s="563">
        <v>41275</v>
      </c>
      <c r="Y202" s="564">
        <v>1</v>
      </c>
      <c r="Z202" s="563" t="s">
        <v>507</v>
      </c>
      <c r="AA202" s="518" t="s">
        <v>848</v>
      </c>
      <c r="AB202" s="527"/>
      <c r="AC202" s="579">
        <v>42291</v>
      </c>
      <c r="AD202" s="524" t="s">
        <v>1375</v>
      </c>
      <c r="AE202" s="564" t="s">
        <v>1100</v>
      </c>
      <c r="AF202" s="233">
        <f>IF(CampList[[#This Row],[Type of Accomodation]]="camp",MAX(0,CampList[[#This Row],[HH]]-SUMIF(Table_Shelter[Pcode],CampList[[#This Row],[CP_Pcode]],Table_Shelter[HH Covered])),0)</f>
        <v>0</v>
      </c>
      <c r="AG202" s="535"/>
      <c r="AH202" s="218">
        <f>MIN(CampList[[#This Row],[Shelter Gap]],CampList[[#This Row],[Land Status]])</f>
        <v>0</v>
      </c>
      <c r="AI202" s="218" t="str">
        <f ca="1">IFERROR(OFFSET(DistanceToCamp[Nearest Town],MATCH(CampList[[#This Row],[CP_Pcode]],DistanceToCamp[CP_Pcode],0)-1,0,1,1),"")</f>
        <v>Hpakant Town</v>
      </c>
      <c r="AJ202" s="336">
        <f ca="1">IFERROR(OFFSET(DistanceToCamp[distance],MATCH(CampList[[#This Row],[CP_Pcode]],DistanceToCamp[CP_Pcode],0)-1,0,1,1),"")</f>
        <v>6.2085564346706201</v>
      </c>
      <c r="AK202" s="337">
        <f ca="1">IFERROR(INT(CampList[[#This Row],[Distance]]/5)+1,"")</f>
        <v>2</v>
      </c>
      <c r="AL202" s="727"/>
      <c r="AM202" s="727"/>
      <c r="AN202" s="727"/>
      <c r="BD202" s="5"/>
      <c r="BE202" s="5"/>
    </row>
    <row r="203" spans="1:57" s="4" customFormat="1" ht="15.6" customHeight="1" x14ac:dyDescent="0.25">
      <c r="A203" s="555" t="s">
        <v>502</v>
      </c>
      <c r="B203" s="527" t="s">
        <v>380</v>
      </c>
      <c r="C203" s="525" t="s">
        <v>527</v>
      </c>
      <c r="D203" s="525" t="s">
        <v>5</v>
      </c>
      <c r="E203" s="525" t="s">
        <v>531</v>
      </c>
      <c r="F203" s="525" t="s">
        <v>5</v>
      </c>
      <c r="G203" s="525" t="s">
        <v>532</v>
      </c>
      <c r="H203" s="582" t="s">
        <v>639</v>
      </c>
      <c r="I203" s="582" t="s">
        <v>640</v>
      </c>
      <c r="J203" s="582" t="s">
        <v>643</v>
      </c>
      <c r="K203" s="583" t="s">
        <v>644</v>
      </c>
      <c r="L203" s="527" t="s">
        <v>22</v>
      </c>
      <c r="M203" s="527" t="s">
        <v>21</v>
      </c>
      <c r="N203" s="558">
        <v>97.229116811594196</v>
      </c>
      <c r="O203" s="558">
        <v>24.268292826086999</v>
      </c>
      <c r="P203" s="559"/>
      <c r="Q203" s="510">
        <v>652</v>
      </c>
      <c r="R203" s="533">
        <v>3706</v>
      </c>
      <c r="S203" s="333">
        <f>IF(CampList[[#This Row],[HH]]&gt;0,CampList[[#This Row],[Total]]/CampList[[#This Row],[HH]],"NA")</f>
        <v>5.6840490797546011</v>
      </c>
      <c r="T203" s="581" t="s">
        <v>513</v>
      </c>
      <c r="U203" s="562" t="s">
        <v>1213</v>
      </c>
      <c r="V203" s="527" t="s">
        <v>556</v>
      </c>
      <c r="W203" s="562" t="s">
        <v>808</v>
      </c>
      <c r="X203" s="563">
        <v>40725</v>
      </c>
      <c r="Y203" s="564">
        <v>3</v>
      </c>
      <c r="Z203" s="563" t="s">
        <v>462</v>
      </c>
      <c r="AA203" s="518" t="s">
        <v>848</v>
      </c>
      <c r="AB203" s="527"/>
      <c r="AC203" s="565">
        <v>42340</v>
      </c>
      <c r="AD203" s="524" t="s">
        <v>1449</v>
      </c>
      <c r="AE203" s="564" t="s">
        <v>1100</v>
      </c>
      <c r="AF203" s="535">
        <f>IF(CampList[[#This Row],[Type of Accomodation]]="camp",MAX(0,CampList[[#This Row],[HH]]-SUMIF(Table_Shelter[Pcode],CampList[[#This Row],[CP_Pcode]],Table_Shelter[HH Covered])),0)</f>
        <v>227</v>
      </c>
      <c r="AG203" s="535"/>
      <c r="AH203" s="525">
        <f>MIN(CampList[[#This Row],[Shelter Gap]],CampList[[#This Row],[Land Status]])</f>
        <v>227</v>
      </c>
      <c r="AI203" s="525" t="str">
        <f ca="1">IFERROR(OFFSET(DistanceToCamp[Nearest Town],MATCH(CampList[[#This Row],[CP_Pcode]],DistanceToCamp[CP_Pcode],0)-1,0,1,1),"")</f>
        <v>Bhamo Town</v>
      </c>
      <c r="AJ203" s="336">
        <f ca="1">IFERROR(OFFSET(DistanceToCamp[distance],MATCH(CampList[[#This Row],[CP_Pcode]],DistanceToCamp[CP_Pcode],0)-1,0,1,1),"")</f>
        <v>1.5797992800898704</v>
      </c>
      <c r="AK203" s="567">
        <f ca="1">IFERROR(INT(CampList[[#This Row],[Distance]]/5)+1,"")</f>
        <v>1</v>
      </c>
      <c r="AL203" s="727"/>
      <c r="AM203" s="727"/>
      <c r="AN203" s="727"/>
      <c r="BD203" s="5"/>
      <c r="BE203" s="5"/>
    </row>
    <row r="204" spans="1:57" s="4" customFormat="1" ht="15.6" hidden="1" customHeight="1" x14ac:dyDescent="0.25">
      <c r="A204" s="555" t="s">
        <v>849</v>
      </c>
      <c r="B204" s="527" t="s">
        <v>380</v>
      </c>
      <c r="C204" s="527" t="s">
        <v>527</v>
      </c>
      <c r="D204" s="527" t="s">
        <v>180</v>
      </c>
      <c r="E204" s="527" t="s">
        <v>528</v>
      </c>
      <c r="F204" s="527" t="s">
        <v>529</v>
      </c>
      <c r="G204" s="525" t="s">
        <v>530</v>
      </c>
      <c r="H204" s="525"/>
      <c r="I204" s="527"/>
      <c r="J204" s="527"/>
      <c r="K204" s="573"/>
      <c r="L204" s="527" t="s">
        <v>122</v>
      </c>
      <c r="M204" s="527" t="s">
        <v>121</v>
      </c>
      <c r="N204" s="749"/>
      <c r="O204" s="749"/>
      <c r="P204" s="569"/>
      <c r="Q204" s="509">
        <v>0</v>
      </c>
      <c r="R204" s="531">
        <v>0</v>
      </c>
      <c r="S204" s="560" t="str">
        <f>IF(CampList[[#This Row],[HH]]&gt;0,CampList[[#This Row],[Total]]/CampList[[#This Row],[HH]],"NA")</f>
        <v>NA</v>
      </c>
      <c r="T204" s="561" t="s">
        <v>513</v>
      </c>
      <c r="U204" s="562" t="s">
        <v>1213</v>
      </c>
      <c r="V204" s="527" t="s">
        <v>556</v>
      </c>
      <c r="W204" s="562"/>
      <c r="X204" s="570"/>
      <c r="Y204" s="571"/>
      <c r="Z204" s="562"/>
      <c r="AA204" s="512"/>
      <c r="AB204" s="527"/>
      <c r="AC204" s="572"/>
      <c r="AD204" s="523"/>
      <c r="AE204" s="571" t="s">
        <v>1014</v>
      </c>
      <c r="AF204" s="535">
        <f>IF(CampList[[#This Row],[Type of Accomodation]]="camp",MAX(0,CampList[[#This Row],[HH]]-SUMIF(Table_Shelter[Pcode],CampList[[#This Row],[CP_Pcode]],Table_Shelter[HH Covered])),0)</f>
        <v>0</v>
      </c>
      <c r="AG204" s="525"/>
      <c r="AH204" s="525">
        <f>MIN(CampList[[#This Row],[Shelter Gap]],CampList[[#This Row],[Land Status]])</f>
        <v>0</v>
      </c>
      <c r="AI204" s="525" t="str">
        <f ca="1">IFERROR(OFFSET(DistanceToCamp[Nearest Town],MATCH(CampList[[#This Row],[CP_Pcode]],DistanceToCamp[CP_Pcode],0)-1,0,1,1),"")</f>
        <v/>
      </c>
      <c r="AJ204" s="566" t="str">
        <f ca="1">IFERROR(OFFSET(DistanceToCamp[distance],MATCH(CampList[[#This Row],[CP_Pcode]],DistanceToCamp[CP_Pcode],0)-1,0,1,1),"")</f>
        <v/>
      </c>
      <c r="AK204" s="567" t="str">
        <f ca="1">IFERROR(INT(CampList[[#This Row],[Distance]]/5)+1,"")</f>
        <v/>
      </c>
      <c r="AL204" s="727"/>
      <c r="AM204" s="727"/>
      <c r="AN204" s="727"/>
      <c r="BD204" s="5"/>
      <c r="BE204" s="5"/>
    </row>
    <row r="205" spans="1:57" s="4" customFormat="1" ht="15.6" customHeight="1" x14ac:dyDescent="0.25">
      <c r="A205" s="332" t="s">
        <v>502</v>
      </c>
      <c r="B205" s="527" t="s">
        <v>380</v>
      </c>
      <c r="C205" s="525" t="s">
        <v>527</v>
      </c>
      <c r="D205" s="525" t="s">
        <v>180</v>
      </c>
      <c r="E205" s="525" t="s">
        <v>528</v>
      </c>
      <c r="F205" s="525" t="s">
        <v>529</v>
      </c>
      <c r="G205" s="218" t="s">
        <v>530</v>
      </c>
      <c r="H205" s="525" t="s">
        <v>614</v>
      </c>
      <c r="I205" s="525" t="s">
        <v>1131</v>
      </c>
      <c r="J205" s="582"/>
      <c r="K205" s="583"/>
      <c r="L205" s="527" t="s">
        <v>124</v>
      </c>
      <c r="M205" s="527" t="s">
        <v>123</v>
      </c>
      <c r="N205" s="558">
        <v>96.353030000000004</v>
      </c>
      <c r="O205" s="558">
        <v>25.668399999999998</v>
      </c>
      <c r="P205" s="559">
        <v>0</v>
      </c>
      <c r="Q205" s="510">
        <v>8</v>
      </c>
      <c r="R205" s="533">
        <v>40</v>
      </c>
      <c r="S205" s="333">
        <f>IF(CampList[[#This Row],[HH]]&gt;0,CampList[[#This Row],[Total]]/CampList[[#This Row],[HH]],"NA")</f>
        <v>5</v>
      </c>
      <c r="T205" s="581" t="s">
        <v>513</v>
      </c>
      <c r="U205" s="334" t="s">
        <v>1213</v>
      </c>
      <c r="V205" s="527" t="s">
        <v>556</v>
      </c>
      <c r="W205" s="562" t="s">
        <v>862</v>
      </c>
      <c r="X205" s="563">
        <v>41275</v>
      </c>
      <c r="Y205" s="564">
        <v>1</v>
      </c>
      <c r="Z205" s="563" t="s">
        <v>462</v>
      </c>
      <c r="AA205" s="518" t="s">
        <v>848</v>
      </c>
      <c r="AB205" s="527"/>
      <c r="AC205" s="579">
        <v>42291</v>
      </c>
      <c r="AD205" s="524" t="s">
        <v>1374</v>
      </c>
      <c r="AE205" s="564" t="s">
        <v>1100</v>
      </c>
      <c r="AF205" s="233">
        <f>IF(CampList[[#This Row],[Type of Accomodation]]="camp",MAX(0,CampList[[#This Row],[HH]]-SUMIF(Table_Shelter[Pcode],CampList[[#This Row],[CP_Pcode]],Table_Shelter[HH Covered])),0)</f>
        <v>3</v>
      </c>
      <c r="AG205" s="535"/>
      <c r="AH205" s="218">
        <f>MIN(CampList[[#This Row],[Shelter Gap]],CampList[[#This Row],[Land Status]])</f>
        <v>3</v>
      </c>
      <c r="AI205" s="218" t="str">
        <f ca="1">IFERROR(OFFSET(DistanceToCamp[Nearest Town],MATCH(CampList[[#This Row],[CP_Pcode]],DistanceToCamp[CP_Pcode],0)-1,0,1,1),"")</f>
        <v>Hpakant Town</v>
      </c>
      <c r="AJ205" s="336">
        <f ca="1">IFERROR(OFFSET(DistanceToCamp[distance],MATCH(CampList[[#This Row],[CP_Pcode]],DistanceToCamp[CP_Pcode],0)-1,0,1,1),"")</f>
        <v>7.419312682373878</v>
      </c>
      <c r="AK205" s="337">
        <f ca="1">IFERROR(INT(CampList[[#This Row],[Distance]]/5)+1,"")</f>
        <v>2</v>
      </c>
      <c r="AL205" s="727"/>
      <c r="AM205" s="727"/>
      <c r="AN205" s="727"/>
      <c r="BD205" s="5"/>
      <c r="BE205" s="5"/>
    </row>
    <row r="206" spans="1:57" s="4" customFormat="1" ht="15.6" customHeight="1" x14ac:dyDescent="0.25">
      <c r="A206" s="495" t="s">
        <v>502</v>
      </c>
      <c r="B206" s="535" t="s">
        <v>380</v>
      </c>
      <c r="C206" s="525" t="s">
        <v>527</v>
      </c>
      <c r="D206" s="525" t="s">
        <v>300</v>
      </c>
      <c r="E206" s="525" t="s">
        <v>548</v>
      </c>
      <c r="F206" s="525" t="s">
        <v>813</v>
      </c>
      <c r="G206" s="525" t="s">
        <v>814</v>
      </c>
      <c r="H206" s="535"/>
      <c r="I206" s="598"/>
      <c r="J206" s="535"/>
      <c r="K206" s="535"/>
      <c r="L206" s="535" t="s">
        <v>1364</v>
      </c>
      <c r="M206" s="535" t="s">
        <v>1365</v>
      </c>
      <c r="N206" s="20">
        <v>97.75609</v>
      </c>
      <c r="O206" s="20">
        <v>26.548506</v>
      </c>
      <c r="P206" s="532"/>
      <c r="Q206" s="511"/>
      <c r="R206" s="532">
        <v>489</v>
      </c>
      <c r="S206" s="333" t="str">
        <f>IF(CampList[[#This Row],[HH]]&gt;0,CampList[[#This Row],[Total]]/CampList[[#This Row],[HH]],"NA")</f>
        <v>NA</v>
      </c>
      <c r="T206" s="599" t="s">
        <v>513</v>
      </c>
      <c r="U206" s="561" t="s">
        <v>1213</v>
      </c>
      <c r="V206" s="496" t="s">
        <v>556</v>
      </c>
      <c r="W206" s="508"/>
      <c r="X206" s="577"/>
      <c r="Y206" s="533"/>
      <c r="Z206" s="533"/>
      <c r="AA206" s="511"/>
      <c r="AB206" s="599"/>
      <c r="AC206" s="733">
        <v>42279</v>
      </c>
      <c r="AD206" s="714" t="s">
        <v>1363</v>
      </c>
      <c r="AE206" s="597"/>
      <c r="AF206" s="598">
        <f>IF(CampList[[#This Row],[Type of Accomodation]]="camp",MAX(0,CampList[[#This Row],[HH]]-SUMIF(Table_Shelter[Pcode],CampList[[#This Row],[CP_Pcode]],Table_Shelter[HH Covered])),0)</f>
        <v>0</v>
      </c>
      <c r="AG206" s="535"/>
      <c r="AH206" s="598">
        <f>MIN(CampList[[#This Row],[Shelter Gap]],CampList[[#This Row],[Land Status]])</f>
        <v>0</v>
      </c>
      <c r="AI206" s="598" t="str">
        <f ca="1">IFERROR(OFFSET(DistanceToCamp[Nearest Town],MATCH(CampList[[#This Row],[CP_Pcode]],DistanceToCamp[CP_Pcode],0)-1,0,1,1),"")</f>
        <v/>
      </c>
      <c r="AJ206" s="336" t="str">
        <f ca="1">IFERROR(OFFSET(DistanceToCamp[distance],MATCH(CampList[[#This Row],[CP_Pcode]],DistanceToCamp[CP_Pcode],0)-1,0,1,1),"")</f>
        <v/>
      </c>
      <c r="AK206" s="600" t="str">
        <f ca="1">IFERROR(INT(CampList[[#This Row],[Distance]]/5)+1,"")</f>
        <v/>
      </c>
      <c r="AL206" s="727"/>
      <c r="AM206" s="727"/>
      <c r="AN206" s="727"/>
      <c r="BD206" s="5"/>
      <c r="BE206" s="5"/>
    </row>
    <row r="207" spans="1:57" s="4" customFormat="1" ht="15.6" hidden="1" customHeight="1" x14ac:dyDescent="0.25">
      <c r="A207" s="555" t="s">
        <v>849</v>
      </c>
      <c r="B207" s="527" t="s">
        <v>380</v>
      </c>
      <c r="C207" s="527" t="s">
        <v>527</v>
      </c>
      <c r="D207" s="527" t="s">
        <v>180</v>
      </c>
      <c r="E207" s="527" t="s">
        <v>528</v>
      </c>
      <c r="F207" s="527" t="s">
        <v>529</v>
      </c>
      <c r="G207" s="525" t="s">
        <v>530</v>
      </c>
      <c r="H207" s="525"/>
      <c r="I207" s="525"/>
      <c r="J207" s="525"/>
      <c r="K207" s="573"/>
      <c r="L207" s="527" t="s">
        <v>96</v>
      </c>
      <c r="M207" s="527" t="s">
        <v>95</v>
      </c>
      <c r="N207" s="568"/>
      <c r="O207" s="568"/>
      <c r="P207" s="569"/>
      <c r="Q207" s="509">
        <v>0</v>
      </c>
      <c r="R207" s="531">
        <v>0</v>
      </c>
      <c r="S207" s="333" t="str">
        <f>IF(CampList[[#This Row],[HH]]&gt;0,CampList[[#This Row],[Total]]/CampList[[#This Row],[HH]],"NA")</f>
        <v>NA</v>
      </c>
      <c r="T207" s="561" t="s">
        <v>513</v>
      </c>
      <c r="U207" s="562" t="s">
        <v>1213</v>
      </c>
      <c r="V207" s="527" t="s">
        <v>556</v>
      </c>
      <c r="W207" s="562"/>
      <c r="X207" s="570"/>
      <c r="Y207" s="571"/>
      <c r="Z207" s="562"/>
      <c r="AA207" s="512"/>
      <c r="AB207" s="527"/>
      <c r="AC207" s="572"/>
      <c r="AD207" s="523" t="s">
        <v>603</v>
      </c>
      <c r="AE207" s="571" t="s">
        <v>1014</v>
      </c>
      <c r="AF207" s="535">
        <f>IF(CampList[[#This Row],[Type of Accomodation]]="camp",MAX(0,CampList[[#This Row],[HH]]-SUMIF(Table_Shelter[Pcode],CampList[[#This Row],[CP_Pcode]],Table_Shelter[HH Covered])),0)</f>
        <v>0</v>
      </c>
      <c r="AG207" s="525"/>
      <c r="AH207" s="525">
        <f>MIN(CampList[[#This Row],[Shelter Gap]],CampList[[#This Row],[Land Status]])</f>
        <v>0</v>
      </c>
      <c r="AI207" s="525" t="str">
        <f ca="1">IFERROR(OFFSET(DistanceToCamp[Nearest Town],MATCH(CampList[[#This Row],[CP_Pcode]],DistanceToCamp[CP_Pcode],0)-1,0,1,1),"")</f>
        <v/>
      </c>
      <c r="AJ207" s="336" t="str">
        <f ca="1">IFERROR(OFFSET(DistanceToCamp[distance],MATCH(CampList[[#This Row],[CP_Pcode]],DistanceToCamp[CP_Pcode],0)-1,0,1,1),"")</f>
        <v/>
      </c>
      <c r="AK207" s="567" t="str">
        <f ca="1">IFERROR(INT(CampList[[#This Row],[Distance]]/5)+1,"")</f>
        <v/>
      </c>
      <c r="AL207" s="727"/>
      <c r="AM207" s="727"/>
      <c r="AN207" s="727"/>
      <c r="BD207" s="5"/>
      <c r="BE207" s="5"/>
    </row>
    <row r="208" spans="1:57" s="4" customFormat="1" ht="15.6" customHeight="1" x14ac:dyDescent="0.25">
      <c r="A208" s="555" t="s">
        <v>502</v>
      </c>
      <c r="B208" s="525" t="s">
        <v>380</v>
      </c>
      <c r="C208" s="525"/>
      <c r="D208" s="525"/>
      <c r="E208" s="525"/>
      <c r="F208" s="525" t="s">
        <v>173</v>
      </c>
      <c r="G208" s="525" t="s">
        <v>547</v>
      </c>
      <c r="H208" s="525" t="s">
        <v>1307</v>
      </c>
      <c r="I208" s="525" t="s">
        <v>1308</v>
      </c>
      <c r="J208" s="525" t="s">
        <v>1307</v>
      </c>
      <c r="K208" s="586">
        <v>166724</v>
      </c>
      <c r="L208" s="525" t="s">
        <v>1312</v>
      </c>
      <c r="M208" s="525" t="s">
        <v>1303</v>
      </c>
      <c r="N208" s="558"/>
      <c r="O208" s="558"/>
      <c r="P208" s="532"/>
      <c r="Q208" s="511">
        <v>24</v>
      </c>
      <c r="R208" s="532">
        <v>83</v>
      </c>
      <c r="S208" s="333">
        <f>IF(CampList[[#This Row],[HH]]&gt;0,CampList[[#This Row],[Total]]/CampList[[#This Row],[HH]],"NA")</f>
        <v>3.4583333333333335</v>
      </c>
      <c r="T208" s="581" t="s">
        <v>513</v>
      </c>
      <c r="U208" s="562" t="s">
        <v>1213</v>
      </c>
      <c r="V208" s="527" t="s">
        <v>12</v>
      </c>
      <c r="W208" s="527" t="s">
        <v>862</v>
      </c>
      <c r="X208" s="577">
        <v>42125</v>
      </c>
      <c r="Y208" s="533"/>
      <c r="Z208" s="527"/>
      <c r="AA208" s="520" t="s">
        <v>847</v>
      </c>
      <c r="AB208" s="525"/>
      <c r="AC208" s="579">
        <v>42180</v>
      </c>
      <c r="AD208" s="528" t="s">
        <v>1306</v>
      </c>
      <c r="AE208" s="533"/>
      <c r="AF208" s="535">
        <f>IF(CampList[[#This Row],[Type of Accomodation]]="camp",MAX(0,CampList[[#This Row],[HH]]-SUMIF(Table_Shelter[Pcode],CampList[[#This Row],[CP_Pcode]],Table_Shelter[HH Covered])),0)</f>
        <v>0</v>
      </c>
      <c r="AG208" s="525"/>
      <c r="AH208" s="525">
        <f>MIN(CampList[[#This Row],[Shelter Gap]],CampList[[#This Row],[Land Status]])</f>
        <v>0</v>
      </c>
      <c r="AI208" s="525" t="str">
        <f ca="1">IFERROR(OFFSET(DistanceToCamp[Nearest Town],MATCH(CampList[[#This Row],[CP_Pcode]],DistanceToCamp[CP_Pcode],0)-1,0,1,1),"")</f>
        <v/>
      </c>
      <c r="AJ208" s="336" t="str">
        <f ca="1">IFERROR(OFFSET(DistanceToCamp[distance],MATCH(CampList[[#This Row],[CP_Pcode]],DistanceToCamp[CP_Pcode],0)-1,0,1,1),"")</f>
        <v/>
      </c>
      <c r="AK208" s="567" t="str">
        <f ca="1">IFERROR(INT(CampList[[#This Row],[Distance]]/5)+1,"")</f>
        <v/>
      </c>
      <c r="AL208" s="727"/>
      <c r="AM208" s="727"/>
      <c r="AN208" s="727"/>
      <c r="BD208" s="5"/>
      <c r="BE208" s="5"/>
    </row>
    <row r="209" spans="1:57" s="4" customFormat="1" ht="15.6" customHeight="1" x14ac:dyDescent="0.25">
      <c r="A209" s="555" t="s">
        <v>502</v>
      </c>
      <c r="B209" s="525" t="s">
        <v>380</v>
      </c>
      <c r="C209" s="525"/>
      <c r="D209" s="525"/>
      <c r="E209" s="525"/>
      <c r="F209" s="525" t="s">
        <v>173</v>
      </c>
      <c r="G209" s="525" t="s">
        <v>547</v>
      </c>
      <c r="H209" s="525" t="s">
        <v>1307</v>
      </c>
      <c r="I209" s="525" t="s">
        <v>1308</v>
      </c>
      <c r="J209" s="525" t="s">
        <v>1307</v>
      </c>
      <c r="K209" s="525">
        <v>166724</v>
      </c>
      <c r="L209" s="525" t="s">
        <v>1311</v>
      </c>
      <c r="M209" s="525" t="s">
        <v>1304</v>
      </c>
      <c r="N209" s="558"/>
      <c r="O209" s="558"/>
      <c r="P209" s="569"/>
      <c r="Q209" s="511">
        <v>40</v>
      </c>
      <c r="R209" s="532">
        <v>158</v>
      </c>
      <c r="S209" s="333">
        <f>IF(CampList[[#This Row],[HH]]&gt;0,CampList[[#This Row],[Total]]/CampList[[#This Row],[HH]],"NA")</f>
        <v>3.95</v>
      </c>
      <c r="T209" s="581" t="s">
        <v>513</v>
      </c>
      <c r="U209" s="562" t="s">
        <v>1213</v>
      </c>
      <c r="V209" s="527" t="s">
        <v>12</v>
      </c>
      <c r="W209" s="527" t="s">
        <v>862</v>
      </c>
      <c r="X209" s="577">
        <v>42125</v>
      </c>
      <c r="Y209" s="571"/>
      <c r="Z209" s="562"/>
      <c r="AA209" s="520" t="s">
        <v>847</v>
      </c>
      <c r="AB209" s="525"/>
      <c r="AC209" s="565">
        <v>42351</v>
      </c>
      <c r="AD209" s="528" t="s">
        <v>1470</v>
      </c>
      <c r="AE209" s="571"/>
      <c r="AF209" s="535">
        <f>IF(CampList[[#This Row],[Type of Accomodation]]="camp",MAX(0,CampList[[#This Row],[HH]]-SUMIF(Table_Shelter[Pcode],CampList[[#This Row],[CP_Pcode]],Table_Shelter[HH Covered])),0)</f>
        <v>0</v>
      </c>
      <c r="AG209" s="525"/>
      <c r="AH209" s="525">
        <f>MIN(CampList[[#This Row],[Shelter Gap]],CampList[[#This Row],[Land Status]])</f>
        <v>0</v>
      </c>
      <c r="AI209" s="525" t="str">
        <f ca="1">IFERROR(OFFSET(DistanceToCamp[Nearest Town],MATCH(CampList[[#This Row],[CP_Pcode]],DistanceToCamp[CP_Pcode],0)-1,0,1,1),"")</f>
        <v/>
      </c>
      <c r="AJ209" s="336" t="str">
        <f ca="1">IFERROR(OFFSET(DistanceToCamp[distance],MATCH(CampList[[#This Row],[CP_Pcode]],DistanceToCamp[CP_Pcode],0)-1,0,1,1),"")</f>
        <v/>
      </c>
      <c r="AK209" s="567" t="str">
        <f ca="1">IFERROR(INT(CampList[[#This Row],[Distance]]/5)+1,"")</f>
        <v/>
      </c>
      <c r="AL209" s="727"/>
      <c r="AM209" s="727"/>
      <c r="AN209" s="727"/>
      <c r="BD209" s="5"/>
      <c r="BE209" s="5"/>
    </row>
    <row r="210" spans="1:57" s="4" customFormat="1" ht="15.6" customHeight="1" x14ac:dyDescent="0.25">
      <c r="A210" s="495" t="s">
        <v>502</v>
      </c>
      <c r="B210" s="535" t="s">
        <v>380</v>
      </c>
      <c r="C210" s="535" t="s">
        <v>527</v>
      </c>
      <c r="D210" s="535" t="s">
        <v>237</v>
      </c>
      <c r="E210" s="535" t="s">
        <v>533</v>
      </c>
      <c r="F210" s="535" t="s">
        <v>27</v>
      </c>
      <c r="G210" s="535" t="s">
        <v>536</v>
      </c>
      <c r="H210" s="535"/>
      <c r="I210" s="598"/>
      <c r="J210" s="535"/>
      <c r="K210" s="535"/>
      <c r="L210" s="535" t="s">
        <v>1026</v>
      </c>
      <c r="M210" s="535" t="s">
        <v>1027</v>
      </c>
      <c r="N210" s="508">
        <v>98.356260000000006</v>
      </c>
      <c r="O210" s="508">
        <v>25.645959999999999</v>
      </c>
      <c r="P210" s="569">
        <v>1945</v>
      </c>
      <c r="Q210" s="511">
        <v>30</v>
      </c>
      <c r="R210" s="532">
        <v>181</v>
      </c>
      <c r="S210" s="333">
        <f>IF(CampList[[#This Row],[HH]]&gt;0,CampList[[#This Row],[Total]]/CampList[[#This Row],[HH]],"NA")</f>
        <v>6.0333333333333332</v>
      </c>
      <c r="T210" s="599" t="s">
        <v>513</v>
      </c>
      <c r="U210" s="561" t="s">
        <v>1213</v>
      </c>
      <c r="V210" s="496" t="s">
        <v>556</v>
      </c>
      <c r="W210" s="508" t="s">
        <v>808</v>
      </c>
      <c r="X210" s="577"/>
      <c r="Y210" s="571"/>
      <c r="Z210" s="571" t="s">
        <v>1097</v>
      </c>
      <c r="AA210" s="511" t="s">
        <v>848</v>
      </c>
      <c r="AB210" s="599"/>
      <c r="AC210" s="565">
        <v>42235</v>
      </c>
      <c r="AD210" s="535" t="s">
        <v>1347</v>
      </c>
      <c r="AE210" s="597" t="s">
        <v>1084</v>
      </c>
      <c r="AF210" s="598">
        <f>IF(CampList[[#This Row],[Type of Accomodation]]="camp",MAX(0,CampList[[#This Row],[HH]]-SUMIF(Table_Shelter[Pcode],CampList[[#This Row],[CP_Pcode]],Table_Shelter[HH Covered])),0)</f>
        <v>30</v>
      </c>
      <c r="AG210" s="535"/>
      <c r="AH210" s="598">
        <f>MIN(CampList[[#This Row],[Shelter Gap]],CampList[[#This Row],[Land Status]])</f>
        <v>30</v>
      </c>
      <c r="AI210" s="598" t="str">
        <f ca="1">IFERROR(OFFSET(DistanceToCamp[Nearest Town],MATCH(CampList[[#This Row],[CP_Pcode]],DistanceToCamp[CP_Pcode],0)-1,0,1,1),"")</f>
        <v>Naypyitaw Town</v>
      </c>
      <c r="AJ210" s="336">
        <f ca="1">IFERROR(OFFSET(DistanceToCamp[distance],MATCH(CampList[[#This Row],[CP_Pcode]],DistanceToCamp[CP_Pcode],0)-1,0,1,1),"")</f>
        <v>0</v>
      </c>
      <c r="AK210" s="600">
        <f ca="1">IFERROR(INT(CampList[[#This Row],[Distance]]/5)+1,"")</f>
        <v>1</v>
      </c>
      <c r="AL210" s="727"/>
      <c r="AM210" s="727"/>
      <c r="AN210" s="727"/>
      <c r="BD210" s="5"/>
      <c r="BE210" s="5"/>
    </row>
    <row r="211" spans="1:57" s="4" customFormat="1" ht="15.6" customHeight="1" x14ac:dyDescent="0.25">
      <c r="A211" s="332" t="s">
        <v>502</v>
      </c>
      <c r="B211" s="527" t="s">
        <v>380</v>
      </c>
      <c r="C211" s="525" t="s">
        <v>527</v>
      </c>
      <c r="D211" s="525" t="s">
        <v>5</v>
      </c>
      <c r="E211" s="525" t="s">
        <v>531</v>
      </c>
      <c r="F211" s="525" t="s">
        <v>185</v>
      </c>
      <c r="G211" s="218" t="s">
        <v>535</v>
      </c>
      <c r="H211" s="582" t="s">
        <v>1145</v>
      </c>
      <c r="I211" s="582" t="s">
        <v>1282</v>
      </c>
      <c r="J211" s="582"/>
      <c r="K211" s="583"/>
      <c r="L211" s="527" t="s">
        <v>225</v>
      </c>
      <c r="M211" s="527" t="s">
        <v>224</v>
      </c>
      <c r="N211" s="558">
        <v>97.710864000000001</v>
      </c>
      <c r="O211" s="558">
        <v>24.207332999999998</v>
      </c>
      <c r="P211" s="559">
        <v>0</v>
      </c>
      <c r="Q211" s="510">
        <v>45</v>
      </c>
      <c r="R211" s="533">
        <v>269</v>
      </c>
      <c r="S211" s="333">
        <f>IF(CampList[[#This Row],[HH]]&gt;0,CampList[[#This Row],[Total]]/CampList[[#This Row],[HH]],"NA")</f>
        <v>5.9777777777777779</v>
      </c>
      <c r="T211" s="581" t="s">
        <v>513</v>
      </c>
      <c r="U211" s="334" t="s">
        <v>1213</v>
      </c>
      <c r="V211" s="527" t="s">
        <v>556</v>
      </c>
      <c r="W211" s="562" t="s">
        <v>808</v>
      </c>
      <c r="X211" s="563">
        <v>41122</v>
      </c>
      <c r="Y211" s="564">
        <v>1</v>
      </c>
      <c r="Z211" s="563" t="s">
        <v>462</v>
      </c>
      <c r="AA211" s="518" t="s">
        <v>848</v>
      </c>
      <c r="AB211" s="527"/>
      <c r="AC211" s="565">
        <v>42340</v>
      </c>
      <c r="AD211" s="524" t="s">
        <v>1451</v>
      </c>
      <c r="AE211" s="564" t="s">
        <v>1086</v>
      </c>
      <c r="AF211" s="535">
        <f>IF(CampList[[#This Row],[Type of Accomodation]]="camp",MAX(0,CampList[[#This Row],[HH]]-SUMIF(Table_Shelter[Pcode],CampList[[#This Row],[CP_Pcode]],Table_Shelter[HH Covered])),0)</f>
        <v>5</v>
      </c>
      <c r="AG211" s="218"/>
      <c r="AH211" s="218">
        <f>MIN(CampList[[#This Row],[Shelter Gap]],CampList[[#This Row],[Land Status]])</f>
        <v>5</v>
      </c>
      <c r="AI211" s="218" t="str">
        <f ca="1">IFERROR(OFFSET(DistanceToCamp[Nearest Town],MATCH(CampList[[#This Row],[CP_Pcode]],DistanceToCamp[CP_Pcode],0)-1,0,1,1),"")</f>
        <v>Lwegel Town</v>
      </c>
      <c r="AJ211" s="336">
        <f ca="1">IFERROR(OFFSET(DistanceToCamp[distance],MATCH(CampList[[#This Row],[CP_Pcode]],DistanceToCamp[CP_Pcode],0)-1,0,1,1),"")</f>
        <v>1.343152344964242</v>
      </c>
      <c r="AK211" s="337">
        <f ca="1">IFERROR(INT(CampList[[#This Row],[Distance]]/5)+1,"")</f>
        <v>1</v>
      </c>
      <c r="AL211" s="727"/>
      <c r="AM211" s="727"/>
      <c r="AN211" s="727"/>
      <c r="BD211" s="5"/>
      <c r="BE211" s="5"/>
    </row>
    <row r="212" spans="1:57" s="4" customFormat="1" ht="15.6" customHeight="1" x14ac:dyDescent="0.25">
      <c r="A212" s="555" t="s">
        <v>502</v>
      </c>
      <c r="B212" s="527" t="s">
        <v>380</v>
      </c>
      <c r="C212" s="525" t="s">
        <v>527</v>
      </c>
      <c r="D212" s="525" t="s">
        <v>237</v>
      </c>
      <c r="E212" s="525" t="s">
        <v>533</v>
      </c>
      <c r="F212" s="525" t="s">
        <v>237</v>
      </c>
      <c r="G212" s="525" t="s">
        <v>537</v>
      </c>
      <c r="H212" s="582" t="s">
        <v>673</v>
      </c>
      <c r="I212" s="582" t="s">
        <v>674</v>
      </c>
      <c r="J212" s="582" t="s">
        <v>683</v>
      </c>
      <c r="K212" s="583" t="s">
        <v>684</v>
      </c>
      <c r="L212" s="527" t="s">
        <v>277</v>
      </c>
      <c r="M212" s="527" t="s">
        <v>276</v>
      </c>
      <c r="N212" s="558">
        <v>97.399628000000007</v>
      </c>
      <c r="O212" s="558">
        <v>25.412313000000001</v>
      </c>
      <c r="P212" s="559">
        <v>0</v>
      </c>
      <c r="Q212" s="510">
        <v>95</v>
      </c>
      <c r="R212" s="533">
        <v>385</v>
      </c>
      <c r="S212" s="333">
        <f>IF(CampList[[#This Row],[HH]]&gt;0,CampList[[#This Row],[Total]]/CampList[[#This Row],[HH]],"NA")</f>
        <v>4.0526315789473681</v>
      </c>
      <c r="T212" s="581" t="s">
        <v>513</v>
      </c>
      <c r="U212" s="562" t="s">
        <v>1213</v>
      </c>
      <c r="V212" s="527" t="s">
        <v>556</v>
      </c>
      <c r="W212" s="562" t="s">
        <v>808</v>
      </c>
      <c r="X212" s="563">
        <v>40756</v>
      </c>
      <c r="Y212" s="564">
        <v>2</v>
      </c>
      <c r="Z212" s="563" t="s">
        <v>462</v>
      </c>
      <c r="AA212" s="518" t="s">
        <v>848</v>
      </c>
      <c r="AB212" s="527"/>
      <c r="AC212" s="565">
        <v>42340</v>
      </c>
      <c r="AD212" s="524" t="s">
        <v>1446</v>
      </c>
      <c r="AE212" s="564" t="s">
        <v>1100</v>
      </c>
      <c r="AF212" s="535">
        <f>IF(CampList[[#This Row],[Type of Accomodation]]="camp",MAX(0,CampList[[#This Row],[HH]]-SUMIF(Table_Shelter[Pcode],CampList[[#This Row],[CP_Pcode]],Table_Shelter[HH Covered])),0)</f>
        <v>31</v>
      </c>
      <c r="AG212" s="218"/>
      <c r="AH212" s="218">
        <f>MIN(CampList[[#This Row],[Shelter Gap]],CampList[[#This Row],[Land Status]])</f>
        <v>31</v>
      </c>
      <c r="AI212" s="525" t="str">
        <f ca="1">IFERROR(OFFSET(DistanceToCamp[Nearest Town],MATCH(CampList[[#This Row],[CP_Pcode]],DistanceToCamp[CP_Pcode],0)-1,0,1,1),"")</f>
        <v>Myitkyina Town</v>
      </c>
      <c r="AJ212" s="336">
        <f ca="1">IFERROR(OFFSET(DistanceToCamp[distance],MATCH(CampList[[#This Row],[CP_Pcode]],DistanceToCamp[CP_Pcode],0)-1,0,1,1),"")</f>
        <v>2.9133254097712102</v>
      </c>
      <c r="AK212" s="567">
        <f ca="1">IFERROR(INT(CampList[[#This Row],[Distance]]/5)+1,"")</f>
        <v>1</v>
      </c>
      <c r="AL212" s="727"/>
      <c r="AM212" s="727"/>
      <c r="AN212" s="727"/>
      <c r="BD212" s="5"/>
      <c r="BE212" s="5"/>
    </row>
    <row r="213" spans="1:57" s="4" customFormat="1" ht="15.6" customHeight="1" x14ac:dyDescent="0.25">
      <c r="A213" s="734" t="s">
        <v>502</v>
      </c>
      <c r="B213" s="605" t="s">
        <v>380</v>
      </c>
      <c r="C213" s="602" t="s">
        <v>527</v>
      </c>
      <c r="D213" s="602" t="s">
        <v>237</v>
      </c>
      <c r="E213" s="602" t="s">
        <v>533</v>
      </c>
      <c r="F213" s="602" t="s">
        <v>237</v>
      </c>
      <c r="G213" s="602" t="s">
        <v>537</v>
      </c>
      <c r="H213" s="685" t="s">
        <v>673</v>
      </c>
      <c r="I213" s="685" t="s">
        <v>674</v>
      </c>
      <c r="J213" s="685" t="s">
        <v>683</v>
      </c>
      <c r="K213" s="686" t="s">
        <v>684</v>
      </c>
      <c r="L213" s="605" t="s">
        <v>279</v>
      </c>
      <c r="M213" s="605" t="s">
        <v>278</v>
      </c>
      <c r="N213" s="752">
        <v>97.418004999999994</v>
      </c>
      <c r="O213" s="752">
        <v>25.423817</v>
      </c>
      <c r="P213" s="753">
        <v>0</v>
      </c>
      <c r="Q213" s="755">
        <v>28</v>
      </c>
      <c r="R213" s="757">
        <v>130</v>
      </c>
      <c r="S213" s="603">
        <f>IF(CampList[[#This Row],[HH]]&gt;0,CampList[[#This Row],[Total]]/CampList[[#This Row],[HH]],"NA")</f>
        <v>4.6428571428571432</v>
      </c>
      <c r="T213" s="758" t="s">
        <v>513</v>
      </c>
      <c r="U213" s="604" t="s">
        <v>1213</v>
      </c>
      <c r="V213" s="605" t="s">
        <v>556</v>
      </c>
      <c r="W213" s="604" t="s">
        <v>808</v>
      </c>
      <c r="X213" s="759">
        <v>40909</v>
      </c>
      <c r="Y213" s="760">
        <v>1</v>
      </c>
      <c r="Z213" s="759" t="s">
        <v>507</v>
      </c>
      <c r="AA213" s="761" t="s">
        <v>848</v>
      </c>
      <c r="AB213" s="605"/>
      <c r="AC213" s="565">
        <v>42235</v>
      </c>
      <c r="AD213" s="762" t="s">
        <v>1332</v>
      </c>
      <c r="AE213" s="760" t="s">
        <v>1100</v>
      </c>
      <c r="AF213" s="607">
        <f>IF(CampList[[#This Row],[Type of Accomodation]]="camp",MAX(0,CampList[[#This Row],[HH]]-SUMIF(Table_Shelter[Pcode],CampList[[#This Row],[CP_Pcode]],Table_Shelter[HH Covered])),0)</f>
        <v>28</v>
      </c>
      <c r="AG213" s="602"/>
      <c r="AH213" s="602">
        <f>MIN(CampList[[#This Row],[Shelter Gap]],CampList[[#This Row],[Land Status]])</f>
        <v>28</v>
      </c>
      <c r="AI213" s="602" t="str">
        <f ca="1">IFERROR(OFFSET(DistanceToCamp[Nearest Town],MATCH(CampList[[#This Row],[CP_Pcode]],DistanceToCamp[CP_Pcode],0)-1,0,1,1),"")</f>
        <v>Myitkyina Town</v>
      </c>
      <c r="AJ213" s="608">
        <f ca="1">IFERROR(OFFSET(DistanceToCamp[distance],MATCH(CampList[[#This Row],[CP_Pcode]],DistanceToCamp[CP_Pcode],0)-1,0,1,1),"")</f>
        <v>4.9021696969220816</v>
      </c>
      <c r="AK213" s="609">
        <f ca="1">IFERROR(INT(CampList[[#This Row],[Distance]]/5)+1,"")</f>
        <v>1</v>
      </c>
      <c r="AL213" s="727"/>
      <c r="AM213" s="727"/>
      <c r="AN213" s="727"/>
      <c r="BD213" s="5"/>
      <c r="BE213" s="5"/>
    </row>
    <row r="214" spans="1:57" s="687" customFormat="1" ht="15.6" customHeight="1" x14ac:dyDescent="0.25">
      <c r="A214" s="590" t="s">
        <v>502</v>
      </c>
      <c r="B214" s="527" t="s">
        <v>380</v>
      </c>
      <c r="C214" s="525" t="s">
        <v>527</v>
      </c>
      <c r="D214" s="525" t="s">
        <v>237</v>
      </c>
      <c r="E214" s="525" t="s">
        <v>533</v>
      </c>
      <c r="F214" s="525" t="s">
        <v>310</v>
      </c>
      <c r="G214" s="525" t="s">
        <v>534</v>
      </c>
      <c r="H214" s="582" t="s">
        <v>776</v>
      </c>
      <c r="I214" s="582" t="s">
        <v>777</v>
      </c>
      <c r="J214" s="582" t="s">
        <v>778</v>
      </c>
      <c r="K214" s="583">
        <v>165845</v>
      </c>
      <c r="L214" s="527" t="s">
        <v>347</v>
      </c>
      <c r="M214" s="527" t="s">
        <v>346</v>
      </c>
      <c r="N214" s="558">
        <v>98.025662999999994</v>
      </c>
      <c r="O214" s="558">
        <v>25.418084</v>
      </c>
      <c r="P214" s="559"/>
      <c r="Q214" s="510">
        <v>172</v>
      </c>
      <c r="R214" s="533">
        <v>838</v>
      </c>
      <c r="S214" s="560">
        <f>IF(CampList[[#This Row],[HH]]&gt;0,CampList[[#This Row],[Total]]/CampList[[#This Row],[HH]],"NA")</f>
        <v>4.8720930232558137</v>
      </c>
      <c r="T214" s="581" t="s">
        <v>513</v>
      </c>
      <c r="U214" s="562" t="s">
        <v>1213</v>
      </c>
      <c r="V214" s="527" t="s">
        <v>556</v>
      </c>
      <c r="W214" s="562" t="s">
        <v>862</v>
      </c>
      <c r="X214" s="563"/>
      <c r="Y214" s="564">
        <v>2</v>
      </c>
      <c r="Z214" s="563" t="s">
        <v>462</v>
      </c>
      <c r="AA214" s="518" t="s">
        <v>848</v>
      </c>
      <c r="AB214" s="527"/>
      <c r="AC214" s="565">
        <v>42180</v>
      </c>
      <c r="AD214" s="527" t="s">
        <v>1285</v>
      </c>
      <c r="AE214" s="564" t="s">
        <v>1084</v>
      </c>
      <c r="AF214" s="535">
        <f>IF(CampList[[#This Row],[Type of Accomodation]]="camp",MAX(0,CampList[[#This Row],[HH]]-SUMIF(Table_Shelter[Pcode],CampList[[#This Row],[CP_Pcode]],Table_Shelter[HH Covered])),0)</f>
        <v>0</v>
      </c>
      <c r="AG214" s="525"/>
      <c r="AH214" s="525">
        <f>MIN(CampList[[#This Row],[Shelter Gap]],CampList[[#This Row],[Land Status]])</f>
        <v>0</v>
      </c>
      <c r="AI214" s="525" t="str">
        <f ca="1">IFERROR(OFFSET(DistanceToCamp[Nearest Town],MATCH(CampList[[#This Row],[CP_Pcode]],DistanceToCamp[CP_Pcode],0)-1,0,1,1),"")</f>
        <v>Kan Paik Ti Town</v>
      </c>
      <c r="AJ214" s="566">
        <f ca="1">IFERROR(OFFSET(DistanceToCamp[distance],MATCH(CampList[[#This Row],[CP_Pcode]],DistanceToCamp[CP_Pcode],0)-1,0,1,1),"")</f>
        <v>9.3609732231189877</v>
      </c>
      <c r="AK214" s="567">
        <f ca="1">IFERROR(INT(CampList[[#This Row],[Distance]]/5)+1,"")</f>
        <v>2</v>
      </c>
      <c r="AL214" s="728"/>
      <c r="AM214" s="728"/>
      <c r="AN214" s="728"/>
      <c r="AY214" s="688"/>
      <c r="AZ214" s="688"/>
    </row>
    <row r="215" spans="1:57" s="687" customFormat="1" ht="15.6" customHeight="1" x14ac:dyDescent="0.25">
      <c r="A215" s="590" t="s">
        <v>502</v>
      </c>
      <c r="B215" s="527" t="s">
        <v>380</v>
      </c>
      <c r="C215" s="525" t="s">
        <v>527</v>
      </c>
      <c r="D215" s="525" t="s">
        <v>5</v>
      </c>
      <c r="E215" s="525" t="s">
        <v>531</v>
      </c>
      <c r="F215" s="525" t="s">
        <v>302</v>
      </c>
      <c r="G215" s="525" t="s">
        <v>542</v>
      </c>
      <c r="H215" s="582" t="s">
        <v>623</v>
      </c>
      <c r="I215" s="582" t="s">
        <v>624</v>
      </c>
      <c r="J215" s="582" t="s">
        <v>623</v>
      </c>
      <c r="K215" s="583" t="s">
        <v>625</v>
      </c>
      <c r="L215" s="527" t="s">
        <v>306</v>
      </c>
      <c r="M215" s="527" t="s">
        <v>305</v>
      </c>
      <c r="N215" s="558">
        <v>96.807353000000006</v>
      </c>
      <c r="O215" s="558">
        <v>24.200361000000001</v>
      </c>
      <c r="P215" s="559">
        <v>0</v>
      </c>
      <c r="Q215" s="510">
        <v>83</v>
      </c>
      <c r="R215" s="533">
        <v>293</v>
      </c>
      <c r="S215" s="560">
        <f>IF(CampList[[#This Row],[HH]]&gt;0,CampList[[#This Row],[Total]]/CampList[[#This Row],[HH]],"NA")</f>
        <v>3.5301204819277108</v>
      </c>
      <c r="T215" s="581" t="s">
        <v>513</v>
      </c>
      <c r="U215" s="562" t="s">
        <v>1213</v>
      </c>
      <c r="V215" s="527" t="s">
        <v>556</v>
      </c>
      <c r="W215" s="562" t="s">
        <v>808</v>
      </c>
      <c r="X215" s="563">
        <v>40725</v>
      </c>
      <c r="Y215" s="564">
        <v>1</v>
      </c>
      <c r="Z215" s="563" t="s">
        <v>462</v>
      </c>
      <c r="AA215" s="518" t="s">
        <v>848</v>
      </c>
      <c r="AB215" s="527"/>
      <c r="AC215" s="565">
        <v>42340</v>
      </c>
      <c r="AD215" s="524" t="s">
        <v>1452</v>
      </c>
      <c r="AE215" s="564" t="s">
        <v>1100</v>
      </c>
      <c r="AF215" s="535">
        <f>IF(CampList[[#This Row],[Type of Accomodation]]="camp",MAX(0,CampList[[#This Row],[HH]]-SUMIF(Table_Shelter[Pcode],CampList[[#This Row],[CP_Pcode]],Table_Shelter[HH Covered])),0)</f>
        <v>41</v>
      </c>
      <c r="AG215" s="525"/>
      <c r="AH215" s="525">
        <f>MIN(CampList[[#This Row],[Shelter Gap]],CampList[[#This Row],[Land Status]])</f>
        <v>41</v>
      </c>
      <c r="AI215" s="525" t="str">
        <f ca="1">IFERROR(OFFSET(DistanceToCamp[Nearest Town],MATCH(CampList[[#This Row],[CP_Pcode]],DistanceToCamp[CP_Pcode],0)-1,0,1,1),"")</f>
        <v>Shwegu Town</v>
      </c>
      <c r="AJ215" s="566">
        <f ca="1">IFERROR(OFFSET(DistanceToCamp[distance],MATCH(CampList[[#This Row],[CP_Pcode]],DistanceToCamp[CP_Pcode],0)-1,0,1,1),"")</f>
        <v>0.74396039478864395</v>
      </c>
      <c r="AK215" s="567">
        <f ca="1">IFERROR(INT(CampList[[#This Row],[Distance]]/5)+1,"")</f>
        <v>1</v>
      </c>
      <c r="AL215" s="728"/>
      <c r="AM215" s="728"/>
      <c r="AN215" s="728"/>
      <c r="AY215" s="688"/>
      <c r="AZ215" s="688"/>
    </row>
    <row r="216" spans="1:57" s="687" customFormat="1" ht="15.6" customHeight="1" x14ac:dyDescent="0.25">
      <c r="A216" s="690" t="s">
        <v>502</v>
      </c>
      <c r="B216" s="535" t="s">
        <v>380</v>
      </c>
      <c r="C216" s="535" t="s">
        <v>527</v>
      </c>
      <c r="D216" s="535" t="s">
        <v>5</v>
      </c>
      <c r="E216" s="535" t="s">
        <v>531</v>
      </c>
      <c r="F216" s="535" t="s">
        <v>302</v>
      </c>
      <c r="G216" s="535" t="s">
        <v>542</v>
      </c>
      <c r="H216" s="535" t="s">
        <v>623</v>
      </c>
      <c r="I216" s="598" t="s">
        <v>624</v>
      </c>
      <c r="J216" s="535" t="s">
        <v>623</v>
      </c>
      <c r="K216" s="535" t="s">
        <v>625</v>
      </c>
      <c r="L216" s="535" t="s">
        <v>308</v>
      </c>
      <c r="M216" s="535" t="s">
        <v>307</v>
      </c>
      <c r="N216" s="508">
        <v>96.807353000000006</v>
      </c>
      <c r="O216" s="508">
        <v>24.200367</v>
      </c>
      <c r="P216" s="569"/>
      <c r="Q216" s="511">
        <v>40</v>
      </c>
      <c r="R216" s="532">
        <v>208</v>
      </c>
      <c r="S216" s="560">
        <f>IF(CampList[[#This Row],[HH]]&gt;0,CampList[[#This Row],[Total]]/CampList[[#This Row],[HH]],"NA")</f>
        <v>5.2</v>
      </c>
      <c r="T216" s="599" t="s">
        <v>513</v>
      </c>
      <c r="U216" s="561" t="s">
        <v>1213</v>
      </c>
      <c r="V216" s="496" t="s">
        <v>556</v>
      </c>
      <c r="W216" s="508" t="s">
        <v>808</v>
      </c>
      <c r="X216" s="577">
        <v>40725</v>
      </c>
      <c r="Y216" s="571">
        <v>2</v>
      </c>
      <c r="Z216" s="571" t="s">
        <v>1096</v>
      </c>
      <c r="AA216" s="511" t="s">
        <v>848</v>
      </c>
      <c r="AB216" s="599"/>
      <c r="AC216" s="565">
        <v>42235</v>
      </c>
      <c r="AD216" s="535" t="s">
        <v>1349</v>
      </c>
      <c r="AE216" s="597" t="s">
        <v>1100</v>
      </c>
      <c r="AF216" s="598">
        <f>IF(CampList[[#This Row],[Type of Accomodation]]="camp",MAX(0,CampList[[#This Row],[HH]]-SUMIF(Table_Shelter[Pcode],CampList[[#This Row],[CP_Pcode]],Table_Shelter[HH Covered])),0)</f>
        <v>0</v>
      </c>
      <c r="AG216" s="535"/>
      <c r="AH216" s="598">
        <f>MIN(CampList[[#This Row],[Shelter Gap]],CampList[[#This Row],[Land Status]])</f>
        <v>0</v>
      </c>
      <c r="AI216" s="598" t="str">
        <f ca="1">IFERROR(OFFSET(DistanceToCamp[Nearest Town],MATCH(CampList[[#This Row],[CP_Pcode]],DistanceToCamp[CP_Pcode],0)-1,0,1,1),"")</f>
        <v>Shwegu Town</v>
      </c>
      <c r="AJ216" s="566">
        <f ca="1">IFERROR(OFFSET(DistanceToCamp[distance],MATCH(CampList[[#This Row],[CP_Pcode]],DistanceToCamp[CP_Pcode],0)-1,0,1,1),"")</f>
        <v>0.74330366237812662</v>
      </c>
      <c r="AK216" s="600">
        <f ca="1">IFERROR(INT(CampList[[#This Row],[Distance]]/5)+1,"")</f>
        <v>1</v>
      </c>
      <c r="AL216" s="728"/>
      <c r="AM216" s="728"/>
      <c r="AN216" s="728"/>
      <c r="AY216" s="688"/>
      <c r="AZ216" s="688"/>
    </row>
    <row r="217" spans="1:57" s="687" customFormat="1" ht="15.6" customHeight="1" x14ac:dyDescent="0.25">
      <c r="A217" s="555" t="s">
        <v>502</v>
      </c>
      <c r="B217" s="527" t="s">
        <v>380</v>
      </c>
      <c r="C217" s="525" t="s">
        <v>527</v>
      </c>
      <c r="D217" s="525" t="s">
        <v>237</v>
      </c>
      <c r="E217" s="525" t="s">
        <v>533</v>
      </c>
      <c r="F217" s="525" t="s">
        <v>237</v>
      </c>
      <c r="G217" s="525" t="s">
        <v>537</v>
      </c>
      <c r="H217" s="582" t="s">
        <v>673</v>
      </c>
      <c r="I217" s="582" t="s">
        <v>674</v>
      </c>
      <c r="J217" s="582" t="s">
        <v>693</v>
      </c>
      <c r="K217" s="583" t="s">
        <v>694</v>
      </c>
      <c r="L217" s="527" t="s">
        <v>281</v>
      </c>
      <c r="M217" s="527" t="s">
        <v>280</v>
      </c>
      <c r="N217" s="558">
        <v>97.419403000000003</v>
      </c>
      <c r="O217" s="558">
        <v>25.440928</v>
      </c>
      <c r="P217" s="559">
        <v>0</v>
      </c>
      <c r="Q217" s="510">
        <v>90</v>
      </c>
      <c r="R217" s="533">
        <v>487</v>
      </c>
      <c r="S217" s="560">
        <f>IF(CampList[[#This Row],[HH]]&gt;0,CampList[[#This Row],[Total]]/CampList[[#This Row],[HH]],"NA")</f>
        <v>5.4111111111111114</v>
      </c>
      <c r="T217" s="581" t="s">
        <v>513</v>
      </c>
      <c r="U217" s="562" t="s">
        <v>1213</v>
      </c>
      <c r="V217" s="527" t="s">
        <v>556</v>
      </c>
      <c r="W217" s="562" t="s">
        <v>808</v>
      </c>
      <c r="X217" s="563">
        <v>40725</v>
      </c>
      <c r="Y217" s="564">
        <v>2</v>
      </c>
      <c r="Z217" s="563" t="s">
        <v>462</v>
      </c>
      <c r="AA217" s="518" t="s">
        <v>848</v>
      </c>
      <c r="AB217" s="527"/>
      <c r="AC217" s="565">
        <v>42340</v>
      </c>
      <c r="AD217" s="524" t="s">
        <v>1440</v>
      </c>
      <c r="AE217" s="564" t="s">
        <v>1100</v>
      </c>
      <c r="AF217" s="535">
        <f>IF(CampList[[#This Row],[Type of Accomodation]]="camp",MAX(0,CampList[[#This Row],[HH]]-SUMIF(Table_Shelter[Pcode],CampList[[#This Row],[CP_Pcode]],Table_Shelter[HH Covered])),0)</f>
        <v>40</v>
      </c>
      <c r="AG217" s="525"/>
      <c r="AH217" s="525">
        <f>MIN(CampList[[#This Row],[Shelter Gap]],CampList[[#This Row],[Land Status]])</f>
        <v>40</v>
      </c>
      <c r="AI217" s="525" t="str">
        <f ca="1">IFERROR(OFFSET(DistanceToCamp[Nearest Town],MATCH(CampList[[#This Row],[CP_Pcode]],DistanceToCamp[CP_Pcode],0)-1,0,1,1),"")</f>
        <v>Myitkyina Town</v>
      </c>
      <c r="AJ217" s="566">
        <f ca="1">IFERROR(OFFSET(DistanceToCamp[distance],MATCH(CampList[[#This Row],[CP_Pcode]],DistanceToCamp[CP_Pcode],0)-1,0,1,1),"")</f>
        <v>6.6198004689728469</v>
      </c>
      <c r="AK217" s="567">
        <f ca="1">IFERROR(INT(CampList[[#This Row],[Distance]]/5)+1,"")</f>
        <v>2</v>
      </c>
      <c r="AL217" s="728"/>
      <c r="AM217" s="728"/>
      <c r="AN217" s="728"/>
      <c r="AY217" s="688"/>
      <c r="AZ217" s="688"/>
    </row>
    <row r="218" spans="1:57" s="687" customFormat="1" ht="15.6" hidden="1" customHeight="1" x14ac:dyDescent="0.25">
      <c r="A218" s="555" t="s">
        <v>849</v>
      </c>
      <c r="B218" s="525" t="s">
        <v>380</v>
      </c>
      <c r="C218" s="525" t="s">
        <v>527</v>
      </c>
      <c r="D218" s="525" t="s">
        <v>5</v>
      </c>
      <c r="E218" s="527" t="s">
        <v>531</v>
      </c>
      <c r="F218" s="525" t="s">
        <v>151</v>
      </c>
      <c r="G218" s="525" t="s">
        <v>541</v>
      </c>
      <c r="H218" s="525"/>
      <c r="I218" s="525"/>
      <c r="J218" s="525"/>
      <c r="K218" s="525"/>
      <c r="L218" s="525" t="s">
        <v>893</v>
      </c>
      <c r="M218" s="527" t="s">
        <v>894</v>
      </c>
      <c r="N218" s="508"/>
      <c r="O218" s="508"/>
      <c r="P218" s="532"/>
      <c r="Q218" s="509">
        <v>0</v>
      </c>
      <c r="R218" s="531">
        <v>0</v>
      </c>
      <c r="S218" s="560" t="str">
        <f>IF(CampList[[#This Row],[HH]]&gt;0,CampList[[#This Row],[Total]]/CampList[[#This Row],[HH]],"NA")</f>
        <v>NA</v>
      </c>
      <c r="T218" s="581" t="s">
        <v>513</v>
      </c>
      <c r="U218" s="562" t="s">
        <v>1213</v>
      </c>
      <c r="V218" s="527" t="s">
        <v>556</v>
      </c>
      <c r="W218" s="527" t="s">
        <v>862</v>
      </c>
      <c r="X218" s="577"/>
      <c r="Y218" s="533"/>
      <c r="Z218" s="527"/>
      <c r="AA218" s="518" t="s">
        <v>848</v>
      </c>
      <c r="AB218" s="581"/>
      <c r="AC218" s="565">
        <v>41652</v>
      </c>
      <c r="AD218" s="526" t="s">
        <v>935</v>
      </c>
      <c r="AE218" s="533" t="s">
        <v>1014</v>
      </c>
      <c r="AF218" s="535">
        <f>IF(CampList[[#This Row],[Type of Accomodation]]="camp",MAX(0,CampList[[#This Row],[HH]]-SUMIF(Table_Shelter[Pcode],CampList[[#This Row],[CP_Pcode]],Table_Shelter[HH Covered])),0)</f>
        <v>0</v>
      </c>
      <c r="AG218" s="525"/>
      <c r="AH218" s="525">
        <f>MIN(CampList[[#This Row],[Shelter Gap]],CampList[[#This Row],[Land Status]])</f>
        <v>0</v>
      </c>
      <c r="AI218" s="525" t="str">
        <f ca="1">IFERROR(OFFSET(DistanceToCamp[Nearest Town],MATCH(CampList[[#This Row],[CP_Pcode]],DistanceToCamp[CP_Pcode],0)-1,0,1,1),"")</f>
        <v/>
      </c>
      <c r="AJ218" s="566" t="str">
        <f ca="1">IFERROR(OFFSET(DistanceToCamp[distance],MATCH(CampList[[#This Row],[CP_Pcode]],DistanceToCamp[CP_Pcode],0)-1,0,1,1),"")</f>
        <v/>
      </c>
      <c r="AK218" s="567" t="str">
        <f ca="1">IFERROR(INT(CampList[[#This Row],[Distance]]/5)+1,"")</f>
        <v/>
      </c>
      <c r="AL218" s="728"/>
      <c r="AM218" s="728"/>
      <c r="AN218" s="728"/>
      <c r="AY218" s="688"/>
      <c r="AZ218" s="688"/>
    </row>
    <row r="219" spans="1:57" s="687" customFormat="1" ht="15.6" customHeight="1" x14ac:dyDescent="0.25">
      <c r="A219" s="495" t="s">
        <v>502</v>
      </c>
      <c r="B219" s="535" t="s">
        <v>380</v>
      </c>
      <c r="C219" s="535" t="s">
        <v>527</v>
      </c>
      <c r="D219" s="535" t="s">
        <v>180</v>
      </c>
      <c r="E219" s="535" t="s">
        <v>528</v>
      </c>
      <c r="F219" s="535" t="s">
        <v>180</v>
      </c>
      <c r="G219" s="535" t="s">
        <v>553</v>
      </c>
      <c r="H219" s="535" t="s">
        <v>1142</v>
      </c>
      <c r="I219" s="598" t="s">
        <v>1277</v>
      </c>
      <c r="J219" s="535"/>
      <c r="K219" s="535"/>
      <c r="L219" s="535" t="s">
        <v>181</v>
      </c>
      <c r="M219" s="535" t="s">
        <v>179</v>
      </c>
      <c r="N219" s="508">
        <v>96.367059999999995</v>
      </c>
      <c r="O219" s="508">
        <v>24.764800000000001</v>
      </c>
      <c r="P219" s="569"/>
      <c r="Q219" s="511">
        <v>12</v>
      </c>
      <c r="R219" s="532">
        <v>52</v>
      </c>
      <c r="S219" s="560">
        <f>IF(CampList[[#This Row],[HH]]&gt;0,CampList[[#This Row],[Total]]/CampList[[#This Row],[HH]],"NA")</f>
        <v>4.333333333333333</v>
      </c>
      <c r="T219" s="599" t="s">
        <v>513</v>
      </c>
      <c r="U219" s="561" t="s">
        <v>1213</v>
      </c>
      <c r="V219" s="496" t="s">
        <v>556</v>
      </c>
      <c r="W219" s="508" t="s">
        <v>808</v>
      </c>
      <c r="X219" s="577"/>
      <c r="Y219" s="571"/>
      <c r="Z219" s="571" t="s">
        <v>1097</v>
      </c>
      <c r="AA219" s="511" t="s">
        <v>848</v>
      </c>
      <c r="AB219" s="599"/>
      <c r="AC219" s="565">
        <v>42340</v>
      </c>
      <c r="AD219" s="711" t="s">
        <v>1427</v>
      </c>
      <c r="AE219" s="597" t="s">
        <v>1100</v>
      </c>
      <c r="AF219" s="598">
        <f>IF(CampList[[#This Row],[Type of Accomodation]]="camp",MAX(0,CampList[[#This Row],[HH]]-SUMIF(Table_Shelter[Pcode],CampList[[#This Row],[CP_Pcode]],Table_Shelter[HH Covered])),0)</f>
        <v>0</v>
      </c>
      <c r="AG219" s="535"/>
      <c r="AH219" s="598">
        <f>MIN(CampList[[#This Row],[Shelter Gap]],CampList[[#This Row],[Land Status]])</f>
        <v>0</v>
      </c>
      <c r="AI219" s="598" t="str">
        <f ca="1">IFERROR(OFFSET(DistanceToCamp[Nearest Town],MATCH(CampList[[#This Row],[CP_Pcode]],DistanceToCamp[CP_Pcode],0)-1,0,1,1),"")</f>
        <v>Mohnyin Town</v>
      </c>
      <c r="AJ219" s="566">
        <f ca="1">IFERROR(OFFSET(DistanceToCamp[distance],MATCH(CampList[[#This Row],[CP_Pcode]],DistanceToCamp[CP_Pcode],0)-1,0,1,1),"")</f>
        <v>1.7021273757523427</v>
      </c>
      <c r="AK219" s="600">
        <f ca="1">IFERROR(INT(CampList[[#This Row],[Distance]]/5)+1,"")</f>
        <v>1</v>
      </c>
      <c r="AL219" s="728"/>
      <c r="AM219" s="728"/>
      <c r="AN219" s="728"/>
      <c r="AY219" s="688"/>
      <c r="AZ219" s="688"/>
    </row>
    <row r="220" spans="1:57" s="687" customFormat="1" ht="15.6" hidden="1" customHeight="1" x14ac:dyDescent="0.25">
      <c r="A220" s="555" t="s">
        <v>849</v>
      </c>
      <c r="B220" s="525" t="s">
        <v>380</v>
      </c>
      <c r="C220" s="525" t="s">
        <v>527</v>
      </c>
      <c r="D220" s="525" t="s">
        <v>5</v>
      </c>
      <c r="E220" s="525" t="s">
        <v>531</v>
      </c>
      <c r="F220" s="527" t="s">
        <v>5</v>
      </c>
      <c r="G220" s="525" t="s">
        <v>532</v>
      </c>
      <c r="H220" s="525"/>
      <c r="I220" s="525"/>
      <c r="J220" s="525"/>
      <c r="K220" s="525"/>
      <c r="L220" s="525" t="s">
        <v>904</v>
      </c>
      <c r="M220" s="527" t="s">
        <v>903</v>
      </c>
      <c r="N220" s="568"/>
      <c r="O220" s="568"/>
      <c r="P220" s="532"/>
      <c r="Q220" s="509">
        <v>0</v>
      </c>
      <c r="R220" s="531">
        <v>0</v>
      </c>
      <c r="S220" s="560" t="str">
        <f>IF(CampList[[#This Row],[HH]]&gt;0,CampList[[#This Row],[Total]]/CampList[[#This Row],[HH]],"NA")</f>
        <v>NA</v>
      </c>
      <c r="T220" s="561" t="s">
        <v>513</v>
      </c>
      <c r="U220" s="562" t="s">
        <v>1213</v>
      </c>
      <c r="V220" s="527" t="s">
        <v>556</v>
      </c>
      <c r="W220" s="562" t="s">
        <v>808</v>
      </c>
      <c r="X220" s="577"/>
      <c r="Y220" s="533"/>
      <c r="Z220" s="527"/>
      <c r="AA220" s="515" t="s">
        <v>848</v>
      </c>
      <c r="AB220" s="581"/>
      <c r="AC220" s="565">
        <v>41702</v>
      </c>
      <c r="AD220" s="525" t="s">
        <v>1023</v>
      </c>
      <c r="AE220" s="533" t="s">
        <v>1014</v>
      </c>
      <c r="AF220" s="535">
        <f>IF(CampList[[#This Row],[Type of Accomodation]]="camp",MAX(0,CampList[[#This Row],[HH]]-SUMIF(Table_Shelter[Pcode],CampList[[#This Row],[CP_Pcode]],Table_Shelter[HH Covered])),0)</f>
        <v>0</v>
      </c>
      <c r="AG220" s="525"/>
      <c r="AH220" s="525">
        <f>MIN(CampList[[#This Row],[Shelter Gap]],CampList[[#This Row],[Land Status]])</f>
        <v>0</v>
      </c>
      <c r="AI220" s="525" t="str">
        <f ca="1">IFERROR(OFFSET(DistanceToCamp[Nearest Town],MATCH(CampList[[#This Row],[CP_Pcode]],DistanceToCamp[CP_Pcode],0)-1,0,1,1),"")</f>
        <v/>
      </c>
      <c r="AJ220" s="566" t="str">
        <f ca="1">IFERROR(OFFSET(DistanceToCamp[distance],MATCH(CampList[[#This Row],[CP_Pcode]],DistanceToCamp[CP_Pcode],0)-1,0,1,1),"")</f>
        <v/>
      </c>
      <c r="AK220" s="567" t="str">
        <f ca="1">IFERROR(INT(CampList[[#This Row],[Distance]]/5)+1,"")</f>
        <v/>
      </c>
      <c r="AL220" s="728"/>
      <c r="AM220" s="728"/>
      <c r="AN220" s="728"/>
      <c r="AY220" s="688"/>
      <c r="AZ220" s="688"/>
    </row>
    <row r="221" spans="1:57" s="687" customFormat="1" ht="15.6" customHeight="1" x14ac:dyDescent="0.25">
      <c r="A221" s="590" t="s">
        <v>502</v>
      </c>
      <c r="B221" s="527" t="s">
        <v>380</v>
      </c>
      <c r="C221" s="525" t="s">
        <v>527</v>
      </c>
      <c r="D221" s="525" t="s">
        <v>300</v>
      </c>
      <c r="E221" s="525" t="s">
        <v>548</v>
      </c>
      <c r="F221" s="525" t="s">
        <v>813</v>
      </c>
      <c r="G221" s="525" t="s">
        <v>814</v>
      </c>
      <c r="H221" s="582" t="s">
        <v>815</v>
      </c>
      <c r="I221" s="582" t="s">
        <v>816</v>
      </c>
      <c r="J221" s="582"/>
      <c r="K221" s="583"/>
      <c r="L221" s="527" t="s">
        <v>813</v>
      </c>
      <c r="M221" s="527" t="s">
        <v>817</v>
      </c>
      <c r="N221" s="558">
        <v>97.568836000000005</v>
      </c>
      <c r="O221" s="558">
        <v>26.541930000000001</v>
      </c>
      <c r="P221" s="559">
        <v>1025</v>
      </c>
      <c r="Q221" s="510">
        <v>5</v>
      </c>
      <c r="R221" s="533">
        <v>32</v>
      </c>
      <c r="S221" s="560">
        <f>IF(CampList[[#This Row],[HH]]&gt;0,CampList[[#This Row],[Total]]/CampList[[#This Row],[HH]],"NA")</f>
        <v>6.4</v>
      </c>
      <c r="T221" s="581" t="s">
        <v>513</v>
      </c>
      <c r="U221" s="562" t="s">
        <v>1213</v>
      </c>
      <c r="V221" s="527" t="s">
        <v>556</v>
      </c>
      <c r="W221" s="562" t="s">
        <v>862</v>
      </c>
      <c r="X221" s="563"/>
      <c r="Y221" s="564"/>
      <c r="Z221" s="563"/>
      <c r="AA221" s="518" t="s">
        <v>847</v>
      </c>
      <c r="AB221" s="527"/>
      <c r="AC221" s="579"/>
      <c r="AD221" s="527" t="s">
        <v>603</v>
      </c>
      <c r="AE221" s="564" t="s">
        <v>1100</v>
      </c>
      <c r="AF221" s="535">
        <f>IF(CampList[[#This Row],[Type of Accomodation]]="camp",MAX(0,CampList[[#This Row],[HH]]-SUMIF(Table_Shelter[Pcode],CampList[[#This Row],[CP_Pcode]],Table_Shelter[HH Covered])),0)</f>
        <v>5</v>
      </c>
      <c r="AG221" s="525"/>
      <c r="AH221" s="525">
        <f>MIN(CampList[[#This Row],[Shelter Gap]],CampList[[#This Row],[Land Status]])</f>
        <v>5</v>
      </c>
      <c r="AI221" s="525" t="str">
        <f ca="1">IFERROR(OFFSET(DistanceToCamp[Nearest Town],MATCH(CampList[[#This Row],[CP_Pcode]],DistanceToCamp[CP_Pcode],0)-1,0,1,1),"")</f>
        <v>Sumprabum Town</v>
      </c>
      <c r="AJ221" s="566">
        <f ca="1">IFERROR(OFFSET(DistanceToCamp[distance],MATCH(CampList[[#This Row],[CP_Pcode]],DistanceToCamp[CP_Pcode],0)-1,0,1,1),"")</f>
        <v>0.23004407510846425</v>
      </c>
      <c r="AK221" s="567">
        <f ca="1">IFERROR(INT(CampList[[#This Row],[Distance]]/5)+1,"")</f>
        <v>1</v>
      </c>
      <c r="AL221" s="728"/>
      <c r="AM221" s="728"/>
      <c r="AN221" s="728"/>
      <c r="AY221" s="688"/>
      <c r="AZ221" s="688"/>
    </row>
    <row r="222" spans="1:57" s="687" customFormat="1" ht="15.6" customHeight="1" x14ac:dyDescent="0.25">
      <c r="A222" s="555" t="s">
        <v>502</v>
      </c>
      <c r="B222" s="527" t="s">
        <v>380</v>
      </c>
      <c r="C222" s="525" t="s">
        <v>527</v>
      </c>
      <c r="D222" s="525" t="s">
        <v>5</v>
      </c>
      <c r="E222" s="525" t="s">
        <v>531</v>
      </c>
      <c r="F222" s="525" t="s">
        <v>5</v>
      </c>
      <c r="G222" s="525" t="s">
        <v>532</v>
      </c>
      <c r="H222" s="582" t="s">
        <v>639</v>
      </c>
      <c r="I222" s="582" t="s">
        <v>640</v>
      </c>
      <c r="J222" s="582" t="s">
        <v>641</v>
      </c>
      <c r="K222" s="583" t="s">
        <v>642</v>
      </c>
      <c r="L222" s="527" t="s">
        <v>24</v>
      </c>
      <c r="M222" s="527" t="s">
        <v>23</v>
      </c>
      <c r="N222" s="558">
        <v>97.227789999999999</v>
      </c>
      <c r="O222" s="558">
        <v>24.29138</v>
      </c>
      <c r="P222" s="559">
        <v>0</v>
      </c>
      <c r="Q222" s="510">
        <v>25</v>
      </c>
      <c r="R222" s="533">
        <v>104</v>
      </c>
      <c r="S222" s="560">
        <f>IF(CampList[[#This Row],[HH]]&gt;0,CampList[[#This Row],[Total]]/CampList[[#This Row],[HH]],"NA")</f>
        <v>4.16</v>
      </c>
      <c r="T222" s="581" t="s">
        <v>513</v>
      </c>
      <c r="U222" s="562" t="s">
        <v>1213</v>
      </c>
      <c r="V222" s="527" t="s">
        <v>556</v>
      </c>
      <c r="W222" s="562" t="s">
        <v>808</v>
      </c>
      <c r="X222" s="563">
        <v>41030</v>
      </c>
      <c r="Y222" s="564">
        <v>2</v>
      </c>
      <c r="Z222" s="563" t="s">
        <v>507</v>
      </c>
      <c r="AA222" s="518" t="s">
        <v>848</v>
      </c>
      <c r="AB222" s="527"/>
      <c r="AC222" s="565">
        <v>42317</v>
      </c>
      <c r="AD222" s="524" t="s">
        <v>1401</v>
      </c>
      <c r="AE222" s="564" t="s">
        <v>1100</v>
      </c>
      <c r="AF222" s="535">
        <f>IF(CampList[[#This Row],[Type of Accomodation]]="camp",MAX(0,CampList[[#This Row],[HH]]-SUMIF(Table_Shelter[Pcode],CampList[[#This Row],[CP_Pcode]],Table_Shelter[HH Covered])),0)</f>
        <v>0</v>
      </c>
      <c r="AG222" s="525">
        <v>0</v>
      </c>
      <c r="AH222" s="525">
        <f>MIN(CampList[[#This Row],[Shelter Gap]],CampList[[#This Row],[Land Status]])</f>
        <v>0</v>
      </c>
      <c r="AI222" s="525" t="str">
        <f ca="1">IFERROR(OFFSET(DistanceToCamp[Nearest Town],MATCH(CampList[[#This Row],[CP_Pcode]],DistanceToCamp[CP_Pcode],0)-1,0,1,1),"")</f>
        <v>Bhamo Town</v>
      </c>
      <c r="AJ222" s="566">
        <f ca="1">IFERROR(OFFSET(DistanceToCamp[distance],MATCH(CampList[[#This Row],[CP_Pcode]],DistanceToCamp[CP_Pcode],0)-1,0,1,1),"")</f>
        <v>4.108228790802368</v>
      </c>
      <c r="AK222" s="567">
        <f ca="1">IFERROR(INT(CampList[[#This Row],[Distance]]/5)+1,"")</f>
        <v>1</v>
      </c>
      <c r="AL222" s="728"/>
      <c r="AM222" s="728"/>
      <c r="AN222" s="728"/>
      <c r="AY222" s="688"/>
      <c r="AZ222" s="688"/>
    </row>
    <row r="223" spans="1:57" s="687" customFormat="1" ht="15.6" hidden="1" customHeight="1" x14ac:dyDescent="0.25">
      <c r="A223" s="555" t="s">
        <v>849</v>
      </c>
      <c r="B223" s="527" t="s">
        <v>380</v>
      </c>
      <c r="C223" s="527" t="s">
        <v>527</v>
      </c>
      <c r="D223" s="527" t="s">
        <v>180</v>
      </c>
      <c r="E223" s="527" t="s">
        <v>528</v>
      </c>
      <c r="F223" s="527" t="s">
        <v>529</v>
      </c>
      <c r="G223" s="525" t="s">
        <v>530</v>
      </c>
      <c r="H223" s="556" t="s">
        <v>714</v>
      </c>
      <c r="I223" s="556" t="s">
        <v>715</v>
      </c>
      <c r="J223" s="556" t="s">
        <v>714</v>
      </c>
      <c r="K223" s="557">
        <v>166794</v>
      </c>
      <c r="L223" s="527" t="s">
        <v>132</v>
      </c>
      <c r="M223" s="527" t="s">
        <v>131</v>
      </c>
      <c r="N223" s="568"/>
      <c r="O223" s="568"/>
      <c r="P223" s="569"/>
      <c r="Q223" s="509">
        <v>0</v>
      </c>
      <c r="R223" s="531">
        <v>0</v>
      </c>
      <c r="S223" s="560" t="str">
        <f>IF(CampList[[#This Row],[HH]]&gt;0,CampList[[#This Row],[Total]]/CampList[[#This Row],[HH]],"NA")</f>
        <v>NA</v>
      </c>
      <c r="T223" s="561" t="s">
        <v>513</v>
      </c>
      <c r="U223" s="562" t="s">
        <v>1213</v>
      </c>
      <c r="V223" s="527" t="s">
        <v>556</v>
      </c>
      <c r="W223" s="562"/>
      <c r="X223" s="570"/>
      <c r="Y223" s="571"/>
      <c r="Z223" s="562"/>
      <c r="AA223" s="512"/>
      <c r="AB223" s="527"/>
      <c r="AC223" s="572"/>
      <c r="AD223" s="523"/>
      <c r="AE223" s="571" t="s">
        <v>1014</v>
      </c>
      <c r="AF223" s="535">
        <f>IF(CampList[[#This Row],[Type of Accomodation]]="camp",MAX(0,CampList[[#This Row],[HH]]-SUMIF(Table_Shelter[Pcode],CampList[[#This Row],[CP_Pcode]],Table_Shelter[HH Covered])),0)</f>
        <v>0</v>
      </c>
      <c r="AG223" s="525"/>
      <c r="AH223" s="525">
        <f>MIN(CampList[[#This Row],[Shelter Gap]],CampList[[#This Row],[Land Status]])</f>
        <v>0</v>
      </c>
      <c r="AI223" s="525" t="str">
        <f ca="1">IFERROR(OFFSET(DistanceToCamp[Nearest Town],MATCH(CampList[[#This Row],[CP_Pcode]],DistanceToCamp[CP_Pcode],0)-1,0,1,1),"")</f>
        <v/>
      </c>
      <c r="AJ223" s="566" t="str">
        <f ca="1">IFERROR(OFFSET(DistanceToCamp[distance],MATCH(CampList[[#This Row],[CP_Pcode]],DistanceToCamp[CP_Pcode],0)-1,0,1,1),"")</f>
        <v/>
      </c>
      <c r="AK223" s="567" t="str">
        <f ca="1">IFERROR(INT(CampList[[#This Row],[Distance]]/5)+1,"")</f>
        <v/>
      </c>
      <c r="AL223" s="728"/>
      <c r="AM223" s="728"/>
      <c r="AN223" s="728"/>
      <c r="AY223" s="688"/>
      <c r="AZ223" s="688"/>
    </row>
    <row r="224" spans="1:57" s="687" customFormat="1" ht="15.6" customHeight="1" x14ac:dyDescent="0.25">
      <c r="A224" s="555" t="s">
        <v>502</v>
      </c>
      <c r="B224" s="527" t="s">
        <v>380</v>
      </c>
      <c r="C224" s="525" t="s">
        <v>527</v>
      </c>
      <c r="D224" s="525" t="s">
        <v>5</v>
      </c>
      <c r="E224" s="525" t="s">
        <v>531</v>
      </c>
      <c r="F224" s="525" t="s">
        <v>185</v>
      </c>
      <c r="G224" s="525" t="s">
        <v>535</v>
      </c>
      <c r="H224" s="582" t="s">
        <v>801</v>
      </c>
      <c r="I224" s="582" t="s">
        <v>802</v>
      </c>
      <c r="J224" s="582" t="s">
        <v>801</v>
      </c>
      <c r="K224" s="583">
        <v>167086</v>
      </c>
      <c r="L224" s="527" t="s">
        <v>227</v>
      </c>
      <c r="M224" s="527" t="s">
        <v>226</v>
      </c>
      <c r="N224" s="558">
        <v>97.416826999999998</v>
      </c>
      <c r="O224" s="558">
        <v>24.492493</v>
      </c>
      <c r="P224" s="559"/>
      <c r="Q224" s="510">
        <v>10</v>
      </c>
      <c r="R224" s="533">
        <v>38</v>
      </c>
      <c r="S224" s="560">
        <f>IF(CampList[[#This Row],[HH]]&gt;0,CampList[[#This Row],[Total]]/CampList[[#This Row],[HH]],"NA")</f>
        <v>3.8</v>
      </c>
      <c r="T224" s="581" t="s">
        <v>513</v>
      </c>
      <c r="U224" s="562" t="s">
        <v>1213</v>
      </c>
      <c r="V224" s="527" t="s">
        <v>12</v>
      </c>
      <c r="W224" s="562" t="s">
        <v>862</v>
      </c>
      <c r="X224" s="563"/>
      <c r="Y224" s="564"/>
      <c r="Z224" s="563"/>
      <c r="AA224" s="518" t="s">
        <v>847</v>
      </c>
      <c r="AB224" s="527"/>
      <c r="AC224" s="565">
        <v>41803</v>
      </c>
      <c r="AD224" s="524" t="s">
        <v>1075</v>
      </c>
      <c r="AE224" s="564" t="s">
        <v>1100</v>
      </c>
      <c r="AF224" s="535">
        <f>IF(CampList[[#This Row],[Type of Accomodation]]="camp",MAX(0,CampList[[#This Row],[HH]]-SUMIF(Table_Shelter[Pcode],CampList[[#This Row],[CP_Pcode]],Table_Shelter[HH Covered])),0)</f>
        <v>0</v>
      </c>
      <c r="AG224" s="525"/>
      <c r="AH224" s="525">
        <f>MIN(CampList[[#This Row],[Shelter Gap]],CampList[[#This Row],[Land Status]])</f>
        <v>0</v>
      </c>
      <c r="AI224" s="525" t="str">
        <f ca="1">IFERROR(OFFSET(DistanceToCamp[Nearest Town],MATCH(CampList[[#This Row],[CP_Pcode]],DistanceToCamp[CP_Pcode],0)-1,0,1,1),"")</f>
        <v>Dawthponeyan  Town</v>
      </c>
      <c r="AJ224" s="566">
        <f ca="1">IFERROR(OFFSET(DistanceToCamp[distance],MATCH(CampList[[#This Row],[CP_Pcode]],DistanceToCamp[CP_Pcode],0)-1,0,1,1),"")</f>
        <v>14.236592976936194</v>
      </c>
      <c r="AK224" s="567">
        <f ca="1">IFERROR(INT(CampList[[#This Row],[Distance]]/5)+1,"")</f>
        <v>3</v>
      </c>
      <c r="AL224" s="728"/>
      <c r="AM224" s="728"/>
      <c r="AN224" s="728"/>
      <c r="AY224" s="688"/>
      <c r="AZ224" s="688"/>
    </row>
    <row r="225" spans="1:52" s="687" customFormat="1" ht="15.6" customHeight="1" x14ac:dyDescent="0.25">
      <c r="A225" s="555" t="s">
        <v>502</v>
      </c>
      <c r="B225" s="527" t="s">
        <v>380</v>
      </c>
      <c r="C225" s="525" t="s">
        <v>527</v>
      </c>
      <c r="D225" s="525" t="s">
        <v>237</v>
      </c>
      <c r="E225" s="525" t="s">
        <v>533</v>
      </c>
      <c r="F225" s="525" t="s">
        <v>237</v>
      </c>
      <c r="G225" s="525" t="s">
        <v>537</v>
      </c>
      <c r="H225" s="582" t="s">
        <v>673</v>
      </c>
      <c r="I225" s="582" t="s">
        <v>674</v>
      </c>
      <c r="J225" s="582" t="s">
        <v>678</v>
      </c>
      <c r="K225" s="583" t="s">
        <v>679</v>
      </c>
      <c r="L225" s="527" t="s">
        <v>238</v>
      </c>
      <c r="M225" s="527" t="s">
        <v>236</v>
      </c>
      <c r="N225" s="558">
        <v>97.386718999999999</v>
      </c>
      <c r="O225" s="558">
        <v>25.415482000000001</v>
      </c>
      <c r="P225" s="559">
        <v>0</v>
      </c>
      <c r="Q225" s="510">
        <v>70</v>
      </c>
      <c r="R225" s="533">
        <v>369</v>
      </c>
      <c r="S225" s="560">
        <f>IF(CampList[[#This Row],[HH]]&gt;0,CampList[[#This Row],[Total]]/CampList[[#This Row],[HH]],"NA")</f>
        <v>5.2714285714285714</v>
      </c>
      <c r="T225" s="581" t="s">
        <v>513</v>
      </c>
      <c r="U225" s="562" t="s">
        <v>1213</v>
      </c>
      <c r="V225" s="527" t="s">
        <v>556</v>
      </c>
      <c r="W225" s="562" t="s">
        <v>808</v>
      </c>
      <c r="X225" s="563">
        <v>40695</v>
      </c>
      <c r="Y225" s="564">
        <v>1</v>
      </c>
      <c r="Z225" s="563" t="s">
        <v>462</v>
      </c>
      <c r="AA225" s="518" t="s">
        <v>848</v>
      </c>
      <c r="AB225" s="527"/>
      <c r="AC225" s="565">
        <v>42340</v>
      </c>
      <c r="AD225" s="524" t="s">
        <v>1445</v>
      </c>
      <c r="AE225" s="564" t="s">
        <v>1100</v>
      </c>
      <c r="AF225" s="535">
        <f>IF(CampList[[#This Row],[Type of Accomodation]]="camp",MAX(0,CampList[[#This Row],[HH]]-SUMIF(Table_Shelter[Pcode],CampList[[#This Row],[CP_Pcode]],Table_Shelter[HH Covered])),0)</f>
        <v>10</v>
      </c>
      <c r="AG225" s="525"/>
      <c r="AH225" s="525">
        <f>MIN(CampList[[#This Row],[Shelter Gap]],CampList[[#This Row],[Land Status]])</f>
        <v>10</v>
      </c>
      <c r="AI225" s="525" t="str">
        <f ca="1">IFERROR(OFFSET(DistanceToCamp[Nearest Town],MATCH(CampList[[#This Row],[CP_Pcode]],DistanceToCamp[CP_Pcode],0)-1,0,1,1),"")</f>
        <v>Myitkyina Town</v>
      </c>
      <c r="AJ225" s="566">
        <f ca="1">IFERROR(OFFSET(DistanceToCamp[distance],MATCH(CampList[[#This Row],[CP_Pcode]],DistanceToCamp[CP_Pcode],0)-1,0,1,1),"")</f>
        <v>3.1341427522962952</v>
      </c>
      <c r="AK225" s="567">
        <f ca="1">IFERROR(INT(CampList[[#This Row],[Distance]]/5)+1,"")</f>
        <v>1</v>
      </c>
      <c r="AL225" s="728"/>
      <c r="AM225" s="728"/>
      <c r="AN225" s="728"/>
      <c r="AY225" s="688"/>
      <c r="AZ225" s="688"/>
    </row>
    <row r="226" spans="1:52" s="687" customFormat="1" ht="15.6" customHeight="1" x14ac:dyDescent="0.25">
      <c r="A226" s="555" t="s">
        <v>502</v>
      </c>
      <c r="B226" s="527" t="s">
        <v>380</v>
      </c>
      <c r="C226" s="525" t="s">
        <v>527</v>
      </c>
      <c r="D226" s="525" t="s">
        <v>237</v>
      </c>
      <c r="E226" s="525" t="s">
        <v>533</v>
      </c>
      <c r="F226" s="525" t="s">
        <v>237</v>
      </c>
      <c r="G226" s="525" t="s">
        <v>537</v>
      </c>
      <c r="H226" s="582" t="s">
        <v>673</v>
      </c>
      <c r="I226" s="582" t="s">
        <v>674</v>
      </c>
      <c r="J226" s="582" t="s">
        <v>678</v>
      </c>
      <c r="K226" s="583" t="s">
        <v>679</v>
      </c>
      <c r="L226" s="527" t="s">
        <v>1267</v>
      </c>
      <c r="M226" s="527" t="s">
        <v>241</v>
      </c>
      <c r="N226" s="558">
        <v>97.387636874999998</v>
      </c>
      <c r="O226" s="558">
        <v>25.410913749999999</v>
      </c>
      <c r="P226" s="559">
        <v>0</v>
      </c>
      <c r="Q226" s="510">
        <v>68</v>
      </c>
      <c r="R226" s="533">
        <v>339</v>
      </c>
      <c r="S226" s="560">
        <f>IF(CampList[[#This Row],[HH]]&gt;0,CampList[[#This Row],[Total]]/CampList[[#This Row],[HH]],"NA")</f>
        <v>4.9852941176470589</v>
      </c>
      <c r="T226" s="581" t="s">
        <v>513</v>
      </c>
      <c r="U226" s="562" t="s">
        <v>1213</v>
      </c>
      <c r="V226" s="527" t="s">
        <v>556</v>
      </c>
      <c r="W226" s="562" t="s">
        <v>808</v>
      </c>
      <c r="X226" s="563">
        <v>41000</v>
      </c>
      <c r="Y226" s="564">
        <v>1</v>
      </c>
      <c r="Z226" s="563" t="s">
        <v>507</v>
      </c>
      <c r="AA226" s="518" t="s">
        <v>848</v>
      </c>
      <c r="AB226" s="527"/>
      <c r="AC226" s="565">
        <v>42317</v>
      </c>
      <c r="AD226" s="524" t="s">
        <v>1392</v>
      </c>
      <c r="AE226" s="564" t="s">
        <v>1100</v>
      </c>
      <c r="AF226" s="535">
        <f>IF(CampList[[#This Row],[Type of Accomodation]]="camp",MAX(0,CampList[[#This Row],[HH]]-SUMIF(Table_Shelter[Pcode],CampList[[#This Row],[CP_Pcode]],Table_Shelter[HH Covered])),0)</f>
        <v>0</v>
      </c>
      <c r="AG226" s="525"/>
      <c r="AH226" s="525">
        <f>MIN(CampList[[#This Row],[Shelter Gap]],CampList[[#This Row],[Land Status]])</f>
        <v>0</v>
      </c>
      <c r="AI226" s="525" t="str">
        <f ca="1">IFERROR(OFFSET(DistanceToCamp[Nearest Town],MATCH(CampList[[#This Row],[CP_Pcode]],DistanceToCamp[CP_Pcode],0)-1,0,1,1),"")</f>
        <v>Myitkyina Town</v>
      </c>
      <c r="AJ226" s="566">
        <f ca="1">IFERROR(OFFSET(DistanceToCamp[distance],MATCH(CampList[[#This Row],[CP_Pcode]],DistanceToCamp[CP_Pcode],0)-1,0,1,1),"")</f>
        <v>2.6190942927115026</v>
      </c>
      <c r="AK226" s="567">
        <f ca="1">IFERROR(INT(CampList[[#This Row],[Distance]]/5)+1,"")</f>
        <v>1</v>
      </c>
      <c r="AL226" s="728"/>
      <c r="AM226" s="728"/>
      <c r="AN226" s="728"/>
      <c r="AY226" s="688"/>
      <c r="AZ226" s="688"/>
    </row>
    <row r="227" spans="1:52" s="687" customFormat="1" ht="15.6" customHeight="1" x14ac:dyDescent="0.25">
      <c r="A227" s="555" t="s">
        <v>502</v>
      </c>
      <c r="B227" s="527" t="s">
        <v>380</v>
      </c>
      <c r="C227" s="525" t="s">
        <v>527</v>
      </c>
      <c r="D227" s="525" t="s">
        <v>237</v>
      </c>
      <c r="E227" s="525" t="s">
        <v>533</v>
      </c>
      <c r="F227" s="525" t="s">
        <v>237</v>
      </c>
      <c r="G227" s="525" t="s">
        <v>537</v>
      </c>
      <c r="H227" s="582" t="s">
        <v>673</v>
      </c>
      <c r="I227" s="582" t="s">
        <v>674</v>
      </c>
      <c r="J227" s="582" t="s">
        <v>678</v>
      </c>
      <c r="K227" s="583" t="s">
        <v>679</v>
      </c>
      <c r="L227" s="527" t="s">
        <v>249</v>
      </c>
      <c r="M227" s="527" t="s">
        <v>248</v>
      </c>
      <c r="N227" s="558">
        <v>97.389778000000007</v>
      </c>
      <c r="O227" s="558">
        <v>25.417733999999999</v>
      </c>
      <c r="P227" s="559">
        <v>0</v>
      </c>
      <c r="Q227" s="510">
        <v>12</v>
      </c>
      <c r="R227" s="533">
        <v>55</v>
      </c>
      <c r="S227" s="560">
        <f>IF(CampList[[#This Row],[HH]]&gt;0,CampList[[#This Row],[Total]]/CampList[[#This Row],[HH]],"NA")</f>
        <v>4.583333333333333</v>
      </c>
      <c r="T227" s="581" t="s">
        <v>513</v>
      </c>
      <c r="U227" s="562" t="s">
        <v>1213</v>
      </c>
      <c r="V227" s="527" t="s">
        <v>556</v>
      </c>
      <c r="W227" s="562" t="s">
        <v>808</v>
      </c>
      <c r="X227" s="563">
        <v>40756</v>
      </c>
      <c r="Y227" s="564">
        <v>1</v>
      </c>
      <c r="Z227" s="563" t="s">
        <v>507</v>
      </c>
      <c r="AA227" s="518" t="s">
        <v>848</v>
      </c>
      <c r="AB227" s="527"/>
      <c r="AC227" s="579">
        <v>42317</v>
      </c>
      <c r="AD227" s="524" t="s">
        <v>1391</v>
      </c>
      <c r="AE227" s="564" t="s">
        <v>1100</v>
      </c>
      <c r="AF227" s="535">
        <f>IF(CampList[[#This Row],[Type of Accomodation]]="camp",MAX(0,CampList[[#This Row],[HH]]-SUMIF(Table_Shelter[Pcode],CampList[[#This Row],[CP_Pcode]],Table_Shelter[HH Covered])),0)</f>
        <v>0</v>
      </c>
      <c r="AG227" s="525"/>
      <c r="AH227" s="525">
        <f>MIN(CampList[[#This Row],[Shelter Gap]],CampList[[#This Row],[Land Status]])</f>
        <v>0</v>
      </c>
      <c r="AI227" s="525" t="str">
        <f ca="1">IFERROR(OFFSET(DistanceToCamp[Nearest Town],MATCH(CampList[[#This Row],[CP_Pcode]],DistanceToCamp[CP_Pcode],0)-1,0,1,1),"")</f>
        <v>Myitkyina Town</v>
      </c>
      <c r="AJ227" s="566">
        <f ca="1">IFERROR(OFFSET(DistanceToCamp[distance],MATCH(CampList[[#This Row],[CP_Pcode]],DistanceToCamp[CP_Pcode],0)-1,0,1,1),"")</f>
        <v>3.3637010801853577</v>
      </c>
      <c r="AK227" s="567">
        <f ca="1">IFERROR(INT(CampList[[#This Row],[Distance]]/5)+1,"")</f>
        <v>1</v>
      </c>
      <c r="AL227" s="728"/>
      <c r="AM227" s="728"/>
      <c r="AN227" s="728"/>
      <c r="AY227" s="688"/>
      <c r="AZ227" s="688"/>
    </row>
    <row r="228" spans="1:52" s="687" customFormat="1" ht="15.6" customHeight="1" x14ac:dyDescent="0.25">
      <c r="A228" s="555" t="s">
        <v>502</v>
      </c>
      <c r="B228" s="527" t="s">
        <v>380</v>
      </c>
      <c r="C228" s="525" t="s">
        <v>527</v>
      </c>
      <c r="D228" s="525" t="s">
        <v>237</v>
      </c>
      <c r="E228" s="525" t="s">
        <v>533</v>
      </c>
      <c r="F228" s="525" t="s">
        <v>237</v>
      </c>
      <c r="G228" s="525" t="s">
        <v>537</v>
      </c>
      <c r="H228" s="582" t="s">
        <v>673</v>
      </c>
      <c r="I228" s="582" t="s">
        <v>674</v>
      </c>
      <c r="J228" s="582" t="s">
        <v>678</v>
      </c>
      <c r="K228" s="583" t="s">
        <v>679</v>
      </c>
      <c r="L228" s="527" t="s">
        <v>251</v>
      </c>
      <c r="M228" s="527" t="s">
        <v>250</v>
      </c>
      <c r="N228" s="558">
        <v>97.377662999999998</v>
      </c>
      <c r="O228" s="558">
        <v>25.404752999999999</v>
      </c>
      <c r="P228" s="559">
        <v>0</v>
      </c>
      <c r="Q228" s="510">
        <v>32</v>
      </c>
      <c r="R228" s="533">
        <v>146</v>
      </c>
      <c r="S228" s="560">
        <f>IF(CampList[[#This Row],[HH]]&gt;0,CampList[[#This Row],[Total]]/CampList[[#This Row],[HH]],"NA")</f>
        <v>4.5625</v>
      </c>
      <c r="T228" s="581" t="s">
        <v>513</v>
      </c>
      <c r="U228" s="562" t="s">
        <v>1213</v>
      </c>
      <c r="V228" s="527" t="s">
        <v>556</v>
      </c>
      <c r="W228" s="562" t="s">
        <v>808</v>
      </c>
      <c r="X228" s="563">
        <v>40725</v>
      </c>
      <c r="Y228" s="564">
        <v>1</v>
      </c>
      <c r="Z228" s="563" t="s">
        <v>462</v>
      </c>
      <c r="AA228" s="518" t="s">
        <v>848</v>
      </c>
      <c r="AB228" s="527"/>
      <c r="AC228" s="565">
        <v>42235</v>
      </c>
      <c r="AD228" s="524" t="s">
        <v>1326</v>
      </c>
      <c r="AE228" s="564" t="s">
        <v>1100</v>
      </c>
      <c r="AF228" s="535">
        <f>IF(CampList[[#This Row],[Type of Accomodation]]="camp",MAX(0,CampList[[#This Row],[HH]]-SUMIF(Table_Shelter[Pcode],CampList[[#This Row],[CP_Pcode]],Table_Shelter[HH Covered])),0)</f>
        <v>12</v>
      </c>
      <c r="AG228" s="525"/>
      <c r="AH228" s="525">
        <f>MIN(CampList[[#This Row],[Shelter Gap]],CampList[[#This Row],[Land Status]])</f>
        <v>12</v>
      </c>
      <c r="AI228" s="525" t="str">
        <f ca="1">IFERROR(OFFSET(DistanceToCamp[Nearest Town],MATCH(CampList[[#This Row],[CP_Pcode]],DistanceToCamp[CP_Pcode],0)-1,0,1,1),"")</f>
        <v>Myitkyina Town</v>
      </c>
      <c r="AJ228" s="566">
        <f ca="1">IFERROR(OFFSET(DistanceToCamp[distance],MATCH(CampList[[#This Row],[CP_Pcode]],DistanceToCamp[CP_Pcode],0)-1,0,1,1),"")</f>
        <v>2.3045478259125423</v>
      </c>
      <c r="AK228" s="567">
        <f ca="1">IFERROR(INT(CampList[[#This Row],[Distance]]/5)+1,"")</f>
        <v>1</v>
      </c>
      <c r="AL228" s="728"/>
      <c r="AM228" s="728"/>
      <c r="AN228" s="728"/>
      <c r="AY228" s="688"/>
      <c r="AZ228" s="688"/>
    </row>
    <row r="229" spans="1:52" s="687" customFormat="1" ht="15.6" customHeight="1" x14ac:dyDescent="0.25">
      <c r="A229" s="555" t="s">
        <v>502</v>
      </c>
      <c r="B229" s="527" t="s">
        <v>380</v>
      </c>
      <c r="C229" s="525" t="s">
        <v>527</v>
      </c>
      <c r="D229" s="525" t="s">
        <v>237</v>
      </c>
      <c r="E229" s="525" t="s">
        <v>533</v>
      </c>
      <c r="F229" s="525" t="s">
        <v>237</v>
      </c>
      <c r="G229" s="525" t="s">
        <v>537</v>
      </c>
      <c r="H229" s="582" t="s">
        <v>673</v>
      </c>
      <c r="I229" s="582" t="s">
        <v>674</v>
      </c>
      <c r="J229" s="582" t="s">
        <v>678</v>
      </c>
      <c r="K229" s="583" t="s">
        <v>679</v>
      </c>
      <c r="L229" s="527" t="s">
        <v>275</v>
      </c>
      <c r="M229" s="527" t="s">
        <v>274</v>
      </c>
      <c r="N229" s="558">
        <v>97.382192000000003</v>
      </c>
      <c r="O229" s="558">
        <v>25.404015000000001</v>
      </c>
      <c r="P229" s="559">
        <v>0</v>
      </c>
      <c r="Q229" s="510">
        <v>44</v>
      </c>
      <c r="R229" s="533">
        <v>212</v>
      </c>
      <c r="S229" s="560">
        <f>IF(CampList[[#This Row],[HH]]&gt;0,CampList[[#This Row],[Total]]/CampList[[#This Row],[HH]],"NA")</f>
        <v>4.8181818181818183</v>
      </c>
      <c r="T229" s="581" t="s">
        <v>513</v>
      </c>
      <c r="U229" s="562" t="s">
        <v>1213</v>
      </c>
      <c r="V229" s="527" t="s">
        <v>556</v>
      </c>
      <c r="W229" s="562" t="s">
        <v>808</v>
      </c>
      <c r="X229" s="563"/>
      <c r="Y229" s="564">
        <v>1</v>
      </c>
      <c r="Z229" s="563" t="s">
        <v>462</v>
      </c>
      <c r="AA229" s="518" t="s">
        <v>848</v>
      </c>
      <c r="AB229" s="527"/>
      <c r="AC229" s="565">
        <v>42340</v>
      </c>
      <c r="AD229" s="524" t="s">
        <v>1439</v>
      </c>
      <c r="AE229" s="564" t="s">
        <v>1100</v>
      </c>
      <c r="AF229" s="535">
        <f>IF(CampList[[#This Row],[Type of Accomodation]]="camp",MAX(0,CampList[[#This Row],[HH]]-SUMIF(Table_Shelter[Pcode],CampList[[#This Row],[CP_Pcode]],Table_Shelter[HH Covered])),0)</f>
        <v>12</v>
      </c>
      <c r="AG229" s="525"/>
      <c r="AH229" s="525">
        <f>MIN(CampList[[#This Row],[Shelter Gap]],CampList[[#This Row],[Land Status]])</f>
        <v>12</v>
      </c>
      <c r="AI229" s="525" t="str">
        <f ca="1">IFERROR(OFFSET(DistanceToCamp[Nearest Town],MATCH(CampList[[#This Row],[CP_Pcode]],DistanceToCamp[CP_Pcode],0)-1,0,1,1),"")</f>
        <v>Myitkyina Town</v>
      </c>
      <c r="AJ229" s="566">
        <f ca="1">IFERROR(OFFSET(DistanceToCamp[distance],MATCH(CampList[[#This Row],[CP_Pcode]],DistanceToCamp[CP_Pcode],0)-1,0,1,1),"")</f>
        <v>2.0123527499589278</v>
      </c>
      <c r="AK229" s="567">
        <f ca="1">IFERROR(INT(CampList[[#This Row],[Distance]]/5)+1,"")</f>
        <v>1</v>
      </c>
      <c r="AL229" s="728"/>
      <c r="AM229" s="728"/>
      <c r="AN229" s="728"/>
      <c r="AY229" s="688"/>
      <c r="AZ229" s="688"/>
    </row>
    <row r="230" spans="1:52" s="687" customFormat="1" ht="15.6" customHeight="1" x14ac:dyDescent="0.25">
      <c r="A230" s="590" t="s">
        <v>502</v>
      </c>
      <c r="B230" s="527" t="s">
        <v>380</v>
      </c>
      <c r="C230" s="525" t="s">
        <v>527</v>
      </c>
      <c r="D230" s="525" t="s">
        <v>237</v>
      </c>
      <c r="E230" s="525" t="s">
        <v>533</v>
      </c>
      <c r="F230" s="525" t="s">
        <v>310</v>
      </c>
      <c r="G230" s="525" t="s">
        <v>534</v>
      </c>
      <c r="H230" s="582" t="s">
        <v>697</v>
      </c>
      <c r="I230" s="582" t="s">
        <v>698</v>
      </c>
      <c r="J230" s="582" t="s">
        <v>699</v>
      </c>
      <c r="K230" s="583" t="s">
        <v>700</v>
      </c>
      <c r="L230" s="527" t="s">
        <v>349</v>
      </c>
      <c r="M230" s="527" t="s">
        <v>348</v>
      </c>
      <c r="N230" s="558">
        <v>97.428251153846105</v>
      </c>
      <c r="O230" s="558">
        <v>25.333683333333301</v>
      </c>
      <c r="P230" s="559"/>
      <c r="Q230" s="510">
        <v>42</v>
      </c>
      <c r="R230" s="533">
        <v>180</v>
      </c>
      <c r="S230" s="560">
        <f>IF(CampList[[#This Row],[HH]]&gt;0,CampList[[#This Row],[Total]]/CampList[[#This Row],[HH]],"NA")</f>
        <v>4.2857142857142856</v>
      </c>
      <c r="T230" s="581" t="s">
        <v>513</v>
      </c>
      <c r="U230" s="562" t="s">
        <v>1213</v>
      </c>
      <c r="V230" s="527" t="s">
        <v>556</v>
      </c>
      <c r="W230" s="562" t="s">
        <v>808</v>
      </c>
      <c r="X230" s="563"/>
      <c r="Y230" s="564">
        <v>1</v>
      </c>
      <c r="Z230" s="563" t="s">
        <v>507</v>
      </c>
      <c r="AA230" s="518" t="s">
        <v>848</v>
      </c>
      <c r="AB230" s="527"/>
      <c r="AC230" s="579">
        <v>42317</v>
      </c>
      <c r="AD230" s="524" t="s">
        <v>1394</v>
      </c>
      <c r="AE230" s="564" t="s">
        <v>1100</v>
      </c>
      <c r="AF230" s="535">
        <f>IF(CampList[[#This Row],[Type of Accomodation]]="camp",MAX(0,CampList[[#This Row],[HH]]-SUMIF(Table_Shelter[Pcode],CampList[[#This Row],[CP_Pcode]],Table_Shelter[HH Covered])),0)</f>
        <v>0</v>
      </c>
      <c r="AG230" s="525"/>
      <c r="AH230" s="525">
        <f>MIN(CampList[[#This Row],[Shelter Gap]],CampList[[#This Row],[Land Status]])</f>
        <v>0</v>
      </c>
      <c r="AI230" s="525" t="str">
        <f ca="1">IFERROR(OFFSET(DistanceToCamp[Nearest Town],MATCH(CampList[[#This Row],[CP_Pcode]],DistanceToCamp[CP_Pcode],0)-1,0,1,1),"")</f>
        <v>Waingmaw Town</v>
      </c>
      <c r="AJ230" s="566">
        <f ca="1">IFERROR(OFFSET(DistanceToCamp[distance],MATCH(CampList[[#This Row],[CP_Pcode]],DistanceToCamp[CP_Pcode],0)-1,0,1,1),"")</f>
        <v>2.4174307716662291</v>
      </c>
      <c r="AK230" s="567">
        <f ca="1">IFERROR(INT(CampList[[#This Row],[Distance]]/5)+1,"")</f>
        <v>1</v>
      </c>
      <c r="AL230" s="728"/>
      <c r="AM230" s="728"/>
      <c r="AN230" s="728"/>
      <c r="AY230" s="688"/>
      <c r="AZ230" s="688"/>
    </row>
    <row r="231" spans="1:52" s="687" customFormat="1" ht="15.6" hidden="1" customHeight="1" x14ac:dyDescent="0.25">
      <c r="A231" s="340" t="s">
        <v>849</v>
      </c>
      <c r="B231" s="525" t="s">
        <v>380</v>
      </c>
      <c r="C231" s="525" t="s">
        <v>527</v>
      </c>
      <c r="D231" s="525" t="s">
        <v>5</v>
      </c>
      <c r="E231" s="525" t="s">
        <v>531</v>
      </c>
      <c r="F231" s="525" t="s">
        <v>5</v>
      </c>
      <c r="G231" s="525" t="s">
        <v>532</v>
      </c>
      <c r="H231" s="525" t="s">
        <v>647</v>
      </c>
      <c r="I231" s="525" t="s">
        <v>648</v>
      </c>
      <c r="J231" s="525"/>
      <c r="K231" s="525"/>
      <c r="L231" s="525" t="s">
        <v>1028</v>
      </c>
      <c r="M231" s="525" t="s">
        <v>1025</v>
      </c>
      <c r="N231" s="568">
        <v>97.239130000000003</v>
      </c>
      <c r="O231" s="508">
        <v>24.229189999999999</v>
      </c>
      <c r="P231" s="532">
        <v>126</v>
      </c>
      <c r="Q231" s="511">
        <v>0</v>
      </c>
      <c r="R231" s="532">
        <v>0</v>
      </c>
      <c r="S231" s="560" t="str">
        <f>IF(CampList[[#This Row],[HH]]&gt;0,CampList[[#This Row],[Total]]/CampList[[#This Row],[HH]],"NA")</f>
        <v>NA</v>
      </c>
      <c r="T231" s="561" t="s">
        <v>513</v>
      </c>
      <c r="U231" s="562" t="s">
        <v>1213</v>
      </c>
      <c r="V231" s="527" t="s">
        <v>556</v>
      </c>
      <c r="W231" s="527" t="s">
        <v>808</v>
      </c>
      <c r="X231" s="577"/>
      <c r="Y231" s="533"/>
      <c r="Z231" s="527" t="s">
        <v>507</v>
      </c>
      <c r="AA231" s="520" t="s">
        <v>848</v>
      </c>
      <c r="AB231" s="525"/>
      <c r="AC231" s="579">
        <v>41906</v>
      </c>
      <c r="AD231" s="525" t="s">
        <v>1125</v>
      </c>
      <c r="AE231" s="533" t="s">
        <v>1100</v>
      </c>
      <c r="AF231" s="535">
        <f>IF(CampList[[#This Row],[Type of Accomodation]]="camp",MAX(0,CampList[[#This Row],[HH]]-SUMIF(Table_Shelter[Pcode],CampList[[#This Row],[CP_Pcode]],Table_Shelter[HH Covered])),0)</f>
        <v>0</v>
      </c>
      <c r="AG231" s="525"/>
      <c r="AH231" s="525">
        <f>MIN(CampList[[#This Row],[Shelter Gap]],CampList[[#This Row],[Land Status]])</f>
        <v>0</v>
      </c>
      <c r="AI231" s="525" t="str">
        <f ca="1">IFERROR(OFFSET(DistanceToCamp[Nearest Town],MATCH(CampList[[#This Row],[CP_Pcode]],DistanceToCamp[CP_Pcode],0)-1,0,1,1),"")</f>
        <v/>
      </c>
      <c r="AJ231" s="566" t="str">
        <f ca="1">IFERROR(OFFSET(DistanceToCamp[distance],MATCH(CampList[[#This Row],[CP_Pcode]],DistanceToCamp[CP_Pcode],0)-1,0,1,1),"")</f>
        <v/>
      </c>
      <c r="AK231" s="567" t="str">
        <f ca="1">IFERROR(INT(CampList[[#This Row],[Distance]]/5)+1,"")</f>
        <v/>
      </c>
      <c r="AL231" s="728"/>
      <c r="AM231" s="728"/>
      <c r="AN231" s="728"/>
      <c r="AY231" s="688"/>
      <c r="AZ231" s="688"/>
    </row>
    <row r="232" spans="1:52" s="687" customFormat="1" ht="15.6" hidden="1" customHeight="1" x14ac:dyDescent="0.25">
      <c r="A232" s="555" t="s">
        <v>849</v>
      </c>
      <c r="B232" s="527" t="s">
        <v>380</v>
      </c>
      <c r="C232" s="527" t="s">
        <v>527</v>
      </c>
      <c r="D232" s="527" t="s">
        <v>180</v>
      </c>
      <c r="E232" s="527" t="s">
        <v>528</v>
      </c>
      <c r="F232" s="527" t="s">
        <v>529</v>
      </c>
      <c r="G232" s="525" t="s">
        <v>530</v>
      </c>
      <c r="H232" s="556" t="s">
        <v>605</v>
      </c>
      <c r="I232" s="556" t="s">
        <v>606</v>
      </c>
      <c r="J232" s="556" t="s">
        <v>705</v>
      </c>
      <c r="K232" s="557" t="s">
        <v>706</v>
      </c>
      <c r="L232" s="527" t="s">
        <v>134</v>
      </c>
      <c r="M232" s="527" t="s">
        <v>133</v>
      </c>
      <c r="N232" s="568"/>
      <c r="O232" s="568"/>
      <c r="P232" s="569"/>
      <c r="Q232" s="509">
        <v>0</v>
      </c>
      <c r="R232" s="531">
        <v>0</v>
      </c>
      <c r="S232" s="560" t="str">
        <f>IF(CampList[[#This Row],[HH]]&gt;0,CampList[[#This Row],[Total]]/CampList[[#This Row],[HH]],"NA")</f>
        <v>NA</v>
      </c>
      <c r="T232" s="561" t="s">
        <v>513</v>
      </c>
      <c r="U232" s="562" t="s">
        <v>1213</v>
      </c>
      <c r="V232" s="527" t="s">
        <v>556</v>
      </c>
      <c r="W232" s="562"/>
      <c r="X232" s="570"/>
      <c r="Y232" s="571"/>
      <c r="Z232" s="562"/>
      <c r="AA232" s="515"/>
      <c r="AB232" s="527"/>
      <c r="AC232" s="572"/>
      <c r="AD232" s="523" t="s">
        <v>603</v>
      </c>
      <c r="AE232" s="571" t="s">
        <v>1014</v>
      </c>
      <c r="AF232" s="535">
        <f>IF(CampList[[#This Row],[Type of Accomodation]]="camp",MAX(0,CampList[[#This Row],[HH]]-SUMIF(Table_Shelter[Pcode],CampList[[#This Row],[CP_Pcode]],Table_Shelter[HH Covered])),0)</f>
        <v>0</v>
      </c>
      <c r="AG232" s="525"/>
      <c r="AH232" s="525">
        <f>MIN(CampList[[#This Row],[Shelter Gap]],CampList[[#This Row],[Land Status]])</f>
        <v>0</v>
      </c>
      <c r="AI232" s="525" t="str">
        <f ca="1">IFERROR(OFFSET(DistanceToCamp[Nearest Town],MATCH(CampList[[#This Row],[CP_Pcode]],DistanceToCamp[CP_Pcode],0)-1,0,1,1),"")</f>
        <v/>
      </c>
      <c r="AJ232" s="566" t="str">
        <f ca="1">IFERROR(OFFSET(DistanceToCamp[distance],MATCH(CampList[[#This Row],[CP_Pcode]],DistanceToCamp[CP_Pcode],0)-1,0,1,1),"")</f>
        <v/>
      </c>
      <c r="AK232" s="567" t="str">
        <f ca="1">IFERROR(INT(CampList[[#This Row],[Distance]]/5)+1,"")</f>
        <v/>
      </c>
      <c r="AL232" s="728"/>
      <c r="AM232" s="728"/>
      <c r="AN232" s="728"/>
      <c r="AY232" s="688"/>
      <c r="AZ232" s="688"/>
    </row>
    <row r="233" spans="1:52" s="687" customFormat="1" ht="15.6" hidden="1" customHeight="1" x14ac:dyDescent="0.25">
      <c r="A233" s="555" t="s">
        <v>849</v>
      </c>
      <c r="B233" s="527" t="s">
        <v>380</v>
      </c>
      <c r="C233" s="527" t="s">
        <v>527</v>
      </c>
      <c r="D233" s="527" t="s">
        <v>5</v>
      </c>
      <c r="E233" s="527" t="s">
        <v>531</v>
      </c>
      <c r="F233" s="527" t="s">
        <v>5</v>
      </c>
      <c r="G233" s="525" t="s">
        <v>532</v>
      </c>
      <c r="H233" s="556"/>
      <c r="I233" s="556"/>
      <c r="J233" s="556"/>
      <c r="K233" s="557"/>
      <c r="L233" s="527" t="s">
        <v>875</v>
      </c>
      <c r="M233" s="527" t="s">
        <v>861</v>
      </c>
      <c r="N233" s="568"/>
      <c r="O233" s="568"/>
      <c r="P233" s="559"/>
      <c r="Q233" s="509">
        <v>0</v>
      </c>
      <c r="R233" s="531">
        <v>0</v>
      </c>
      <c r="S233" s="560" t="str">
        <f>IF(CampList[[#This Row],[HH]]&gt;0,CampList[[#This Row],[Total]]/CampList[[#This Row],[HH]],"NA")</f>
        <v>NA</v>
      </c>
      <c r="T233" s="561" t="s">
        <v>513</v>
      </c>
      <c r="U233" s="562" t="s">
        <v>1213</v>
      </c>
      <c r="V233" s="527" t="s">
        <v>556</v>
      </c>
      <c r="W233" s="562" t="s">
        <v>808</v>
      </c>
      <c r="X233" s="563"/>
      <c r="Y233" s="564"/>
      <c r="Z233" s="563"/>
      <c r="AA233" s="516" t="s">
        <v>848</v>
      </c>
      <c r="AB233" s="527"/>
      <c r="AC233" s="579">
        <v>41701</v>
      </c>
      <c r="AD233" s="523" t="s">
        <v>1024</v>
      </c>
      <c r="AE233" s="564" t="s">
        <v>1014</v>
      </c>
      <c r="AF233" s="535">
        <f>IF(CampList[[#This Row],[Type of Accomodation]]="camp",MAX(0,CampList[[#This Row],[HH]]-SUMIF(Table_Shelter[Pcode],CampList[[#This Row],[CP_Pcode]],Table_Shelter[HH Covered])),0)</f>
        <v>0</v>
      </c>
      <c r="AG233" s="525"/>
      <c r="AH233" s="525">
        <f>MIN(CampList[[#This Row],[Shelter Gap]],CampList[[#This Row],[Land Status]])</f>
        <v>0</v>
      </c>
      <c r="AI233" s="525" t="str">
        <f ca="1">IFERROR(OFFSET(DistanceToCamp[Nearest Town],MATCH(CampList[[#This Row],[CP_Pcode]],DistanceToCamp[CP_Pcode],0)-1,0,1,1),"")</f>
        <v/>
      </c>
      <c r="AJ233" s="566" t="str">
        <f ca="1">IFERROR(OFFSET(DistanceToCamp[distance],MATCH(CampList[[#This Row],[CP_Pcode]],DistanceToCamp[CP_Pcode],0)-1,0,1,1),"")</f>
        <v/>
      </c>
      <c r="AK233" s="567" t="str">
        <f ca="1">IFERROR(INT(CampList[[#This Row],[Distance]]/5)+1,"")</f>
        <v/>
      </c>
      <c r="AL233" s="728"/>
      <c r="AM233" s="728"/>
      <c r="AN233" s="728"/>
      <c r="AY233" s="688"/>
      <c r="AZ233" s="688"/>
    </row>
    <row r="234" spans="1:52" s="687" customFormat="1" ht="15.6" customHeight="1" x14ac:dyDescent="0.25">
      <c r="A234" s="590" t="s">
        <v>502</v>
      </c>
      <c r="B234" s="527" t="s">
        <v>380</v>
      </c>
      <c r="C234" s="525" t="s">
        <v>527</v>
      </c>
      <c r="D234" s="525" t="s">
        <v>300</v>
      </c>
      <c r="E234" s="525" t="s">
        <v>548</v>
      </c>
      <c r="F234" s="525" t="s">
        <v>300</v>
      </c>
      <c r="G234" s="525" t="s">
        <v>554</v>
      </c>
      <c r="H234" s="582" t="s">
        <v>805</v>
      </c>
      <c r="I234" s="582" t="s">
        <v>806</v>
      </c>
      <c r="J234" s="582" t="s">
        <v>1039</v>
      </c>
      <c r="K234" s="583" t="s">
        <v>1040</v>
      </c>
      <c r="L234" s="527" t="s">
        <v>301</v>
      </c>
      <c r="M234" s="527" t="s">
        <v>299</v>
      </c>
      <c r="N234" s="558">
        <v>97.415289999999999</v>
      </c>
      <c r="O234" s="558">
        <v>27.311699999999998</v>
      </c>
      <c r="P234" s="559">
        <v>476.7</v>
      </c>
      <c r="Q234" s="510">
        <v>14</v>
      </c>
      <c r="R234" s="533">
        <v>64</v>
      </c>
      <c r="S234" s="560">
        <f>IF(CampList[[#This Row],[HH]]&gt;0,CampList[[#This Row],[Total]]/CampList[[#This Row],[HH]],"NA")</f>
        <v>4.5714285714285712</v>
      </c>
      <c r="T234" s="581" t="s">
        <v>513</v>
      </c>
      <c r="U234" s="562" t="s">
        <v>1213</v>
      </c>
      <c r="V234" s="527" t="s">
        <v>12</v>
      </c>
      <c r="W234" s="562" t="s">
        <v>862</v>
      </c>
      <c r="X234" s="563"/>
      <c r="Y234" s="564"/>
      <c r="Z234" s="563"/>
      <c r="AA234" s="518" t="s">
        <v>848</v>
      </c>
      <c r="AB234" s="527"/>
      <c r="AC234" s="565">
        <v>41736</v>
      </c>
      <c r="AD234" s="527" t="s">
        <v>1046</v>
      </c>
      <c r="AE234" s="564" t="s">
        <v>1086</v>
      </c>
      <c r="AF234" s="535">
        <f>IF(CampList[[#This Row],[Type of Accomodation]]="camp",MAX(0,CampList[[#This Row],[HH]]-SUMIF(Table_Shelter[Pcode],CampList[[#This Row],[CP_Pcode]],Table_Shelter[HH Covered])),0)</f>
        <v>0</v>
      </c>
      <c r="AG234" s="525"/>
      <c r="AH234" s="525">
        <f>MIN(CampList[[#This Row],[Shelter Gap]],CampList[[#This Row],[Land Status]])</f>
        <v>0</v>
      </c>
      <c r="AI234" s="525" t="str">
        <f ca="1">IFERROR(OFFSET(DistanceToCamp[Nearest Town],MATCH(CampList[[#This Row],[CP_Pcode]],DistanceToCamp[CP_Pcode],0)-1,0,1,1),"")</f>
        <v>Puta-O Town</v>
      </c>
      <c r="AJ234" s="566">
        <f ca="1">IFERROR(OFFSET(DistanceToCamp[distance],MATCH(CampList[[#This Row],[CP_Pcode]],DistanceToCamp[CP_Pcode],0)-1,0,1,1),"")</f>
        <v>1.3759254000531889</v>
      </c>
      <c r="AK234" s="567">
        <f ca="1">IFERROR(INT(CampList[[#This Row],[Distance]]/5)+1,"")</f>
        <v>1</v>
      </c>
      <c r="AL234" s="728"/>
      <c r="AM234" s="728"/>
      <c r="AN234" s="728"/>
      <c r="AY234" s="688"/>
      <c r="AZ234" s="688"/>
    </row>
    <row r="235" spans="1:52" s="687" customFormat="1" ht="15.6" customHeight="1" x14ac:dyDescent="0.25">
      <c r="A235" s="590" t="s">
        <v>502</v>
      </c>
      <c r="B235" s="527" t="s">
        <v>380</v>
      </c>
      <c r="C235" s="525" t="s">
        <v>527</v>
      </c>
      <c r="D235" s="525" t="s">
        <v>237</v>
      </c>
      <c r="E235" s="525" t="s">
        <v>533</v>
      </c>
      <c r="F235" s="525" t="s">
        <v>310</v>
      </c>
      <c r="G235" s="525" t="s">
        <v>534</v>
      </c>
      <c r="H235" s="582" t="s">
        <v>697</v>
      </c>
      <c r="I235" s="582" t="s">
        <v>698</v>
      </c>
      <c r="J235" s="582" t="s">
        <v>716</v>
      </c>
      <c r="K235" s="583" t="s">
        <v>717</v>
      </c>
      <c r="L235" s="527" t="s">
        <v>316</v>
      </c>
      <c r="M235" s="527" t="s">
        <v>315</v>
      </c>
      <c r="N235" s="558">
        <v>97.444283730158702</v>
      </c>
      <c r="O235" s="558">
        <v>25.351250396825399</v>
      </c>
      <c r="P235" s="559">
        <v>476</v>
      </c>
      <c r="Q235" s="510">
        <v>91</v>
      </c>
      <c r="R235" s="533">
        <v>368</v>
      </c>
      <c r="S235" s="560">
        <f>IF(CampList[[#This Row],[HH]]&gt;0,CampList[[#This Row],[Total]]/CampList[[#This Row],[HH]],"NA")</f>
        <v>4.0439560439560438</v>
      </c>
      <c r="T235" s="581" t="s">
        <v>513</v>
      </c>
      <c r="U235" s="562" t="s">
        <v>1213</v>
      </c>
      <c r="V235" s="527" t="s">
        <v>556</v>
      </c>
      <c r="W235" s="562" t="s">
        <v>808</v>
      </c>
      <c r="X235" s="563">
        <v>40848</v>
      </c>
      <c r="Y235" s="564">
        <v>1</v>
      </c>
      <c r="Z235" s="563" t="s">
        <v>507</v>
      </c>
      <c r="AA235" s="518" t="s">
        <v>848</v>
      </c>
      <c r="AB235" s="527"/>
      <c r="AC235" s="565">
        <v>42317</v>
      </c>
      <c r="AD235" s="524" t="s">
        <v>1394</v>
      </c>
      <c r="AE235" s="564" t="s">
        <v>1100</v>
      </c>
      <c r="AF235" s="535">
        <f>IF(CampList[[#This Row],[Type of Accomodation]]="camp",MAX(0,CampList[[#This Row],[HH]]-SUMIF(Table_Shelter[Pcode],CampList[[#This Row],[CP_Pcode]],Table_Shelter[HH Covered])),0)</f>
        <v>36</v>
      </c>
      <c r="AG235" s="525"/>
      <c r="AH235" s="525">
        <f>MIN(CampList[[#This Row],[Shelter Gap]],CampList[[#This Row],[Land Status]])</f>
        <v>36</v>
      </c>
      <c r="AI235" s="525" t="str">
        <f ca="1">IFERROR(OFFSET(DistanceToCamp[Nearest Town],MATCH(CampList[[#This Row],[CP_Pcode]],DistanceToCamp[CP_Pcode],0)-1,0,1,1),"")</f>
        <v>Waingmaw Town</v>
      </c>
      <c r="AJ235" s="566">
        <f ca="1">IFERROR(OFFSET(DistanceToCamp[distance],MATCH(CampList[[#This Row],[CP_Pcode]],DistanceToCamp[CP_Pcode],0)-1,0,1,1),"")</f>
        <v>0.15089472113650237</v>
      </c>
      <c r="AK235" s="567">
        <f ca="1">IFERROR(INT(CampList[[#This Row],[Distance]]/5)+1,"")</f>
        <v>1</v>
      </c>
      <c r="AL235" s="728"/>
      <c r="AM235" s="728"/>
      <c r="AN235" s="728"/>
      <c r="AY235" s="688"/>
      <c r="AZ235" s="688"/>
    </row>
    <row r="236" spans="1:52" s="687" customFormat="1" ht="15.6" customHeight="1" x14ac:dyDescent="0.25">
      <c r="A236" s="590" t="s">
        <v>502</v>
      </c>
      <c r="B236" s="527" t="s">
        <v>380</v>
      </c>
      <c r="C236" s="525" t="s">
        <v>527</v>
      </c>
      <c r="D236" s="525" t="s">
        <v>237</v>
      </c>
      <c r="E236" s="525" t="s">
        <v>533</v>
      </c>
      <c r="F236" s="525" t="s">
        <v>310</v>
      </c>
      <c r="G236" s="525" t="s">
        <v>534</v>
      </c>
      <c r="H236" s="582" t="s">
        <v>697</v>
      </c>
      <c r="I236" s="582" t="s">
        <v>698</v>
      </c>
      <c r="J236" s="582" t="s">
        <v>718</v>
      </c>
      <c r="K236" s="583" t="s">
        <v>719</v>
      </c>
      <c r="L236" s="527" t="s">
        <v>311</v>
      </c>
      <c r="M236" s="527" t="s">
        <v>309</v>
      </c>
      <c r="N236" s="558">
        <v>97.438259000000002</v>
      </c>
      <c r="O236" s="558">
        <v>25.355841999999999</v>
      </c>
      <c r="P236" s="559">
        <v>0</v>
      </c>
      <c r="Q236" s="510">
        <v>0</v>
      </c>
      <c r="R236" s="533">
        <v>90</v>
      </c>
      <c r="S236" s="560" t="str">
        <f>IF(CampList[[#This Row],[HH]]&gt;0,CampList[[#This Row],[Total]]/CampList[[#This Row],[HH]],"NA")</f>
        <v>NA</v>
      </c>
      <c r="T236" s="581" t="s">
        <v>513</v>
      </c>
      <c r="U236" s="562" t="s">
        <v>1213</v>
      </c>
      <c r="V236" s="527" t="s">
        <v>993</v>
      </c>
      <c r="W236" s="527" t="s">
        <v>808</v>
      </c>
      <c r="X236" s="563">
        <v>40848</v>
      </c>
      <c r="Y236" s="564">
        <v>1</v>
      </c>
      <c r="Z236" s="563" t="s">
        <v>462</v>
      </c>
      <c r="AA236" s="518" t="s">
        <v>848</v>
      </c>
      <c r="AB236" s="527"/>
      <c r="AC236" s="565">
        <v>42340</v>
      </c>
      <c r="AD236" s="524" t="s">
        <v>1437</v>
      </c>
      <c r="AE236" s="564" t="s">
        <v>1100</v>
      </c>
      <c r="AF236" s="535">
        <f>IF(CampList[[#This Row],[Type of Accomodation]]="camp",MAX(0,CampList[[#This Row],[HH]]-SUMIF(Table_Shelter[Pcode],CampList[[#This Row],[CP_Pcode]],Table_Shelter[HH Covered])),0)</f>
        <v>0</v>
      </c>
      <c r="AG236" s="525"/>
      <c r="AH236" s="525">
        <f>MIN(CampList[[#This Row],[Shelter Gap]],CampList[[#This Row],[Land Status]])</f>
        <v>0</v>
      </c>
      <c r="AI236" s="525" t="str">
        <f ca="1">IFERROR(OFFSET(DistanceToCamp[Nearest Town],MATCH(CampList[[#This Row],[CP_Pcode]],DistanceToCamp[CP_Pcode],0)-1,0,1,1),"")</f>
        <v>Waingmaw Town</v>
      </c>
      <c r="AJ236" s="566">
        <f ca="1">IFERROR(OFFSET(DistanceToCamp[distance],MATCH(CampList[[#This Row],[CP_Pcode]],DistanceToCamp[CP_Pcode],0)-1,0,1,1),"")</f>
        <v>0.70725493400809891</v>
      </c>
      <c r="AK236" s="567">
        <f ca="1">IFERROR(INT(CampList[[#This Row],[Distance]]/5)+1,"")</f>
        <v>1</v>
      </c>
      <c r="AL236" s="728"/>
      <c r="AM236" s="728"/>
      <c r="AN236" s="728"/>
      <c r="AY236" s="688"/>
      <c r="AZ236" s="688"/>
    </row>
    <row r="237" spans="1:52" s="687" customFormat="1" ht="15.6" hidden="1" customHeight="1" x14ac:dyDescent="0.25">
      <c r="A237" s="555" t="s">
        <v>849</v>
      </c>
      <c r="B237" s="527" t="s">
        <v>380</v>
      </c>
      <c r="C237" s="527" t="s">
        <v>527</v>
      </c>
      <c r="D237" s="527" t="s">
        <v>180</v>
      </c>
      <c r="E237" s="527" t="s">
        <v>528</v>
      </c>
      <c r="F237" s="527" t="s">
        <v>529</v>
      </c>
      <c r="G237" s="525" t="s">
        <v>530</v>
      </c>
      <c r="H237" s="556" t="s">
        <v>600</v>
      </c>
      <c r="I237" s="556" t="s">
        <v>601</v>
      </c>
      <c r="J237" s="556" t="s">
        <v>600</v>
      </c>
      <c r="K237" s="557">
        <v>166783</v>
      </c>
      <c r="L237" s="527" t="s">
        <v>64</v>
      </c>
      <c r="M237" s="527" t="s">
        <v>63</v>
      </c>
      <c r="N237" s="558">
        <v>96.288250000000005</v>
      </c>
      <c r="O237" s="558">
        <v>25.57921</v>
      </c>
      <c r="P237" s="559">
        <v>0</v>
      </c>
      <c r="Q237" s="509">
        <v>0</v>
      </c>
      <c r="R237" s="531">
        <v>0</v>
      </c>
      <c r="S237" s="560" t="str">
        <f>IF(CampList[[#This Row],[HH]]&gt;0,CampList[[#This Row],[Total]]/CampList[[#This Row],[HH]],"NA")</f>
        <v>NA</v>
      </c>
      <c r="T237" s="561" t="s">
        <v>513</v>
      </c>
      <c r="U237" s="562" t="s">
        <v>1213</v>
      </c>
      <c r="V237" s="527" t="s">
        <v>556</v>
      </c>
      <c r="W237" s="562" t="s">
        <v>862</v>
      </c>
      <c r="X237" s="563">
        <v>41275</v>
      </c>
      <c r="Y237" s="564"/>
      <c r="Z237" s="563" t="s">
        <v>1097</v>
      </c>
      <c r="AA237" s="515" t="s">
        <v>847</v>
      </c>
      <c r="AB237" s="527"/>
      <c r="AC237" s="565">
        <v>41736</v>
      </c>
      <c r="AD237" s="527" t="s">
        <v>1045</v>
      </c>
      <c r="AE237" s="564" t="s">
        <v>1014</v>
      </c>
      <c r="AF237" s="535">
        <f>IF(CampList[[#This Row],[Type of Accomodation]]="camp",MAX(0,CampList[[#This Row],[HH]]-SUMIF(Table_Shelter[Pcode],CampList[[#This Row],[CP_Pcode]],Table_Shelter[HH Covered])),0)</f>
        <v>0</v>
      </c>
      <c r="AG237" s="525"/>
      <c r="AH237" s="525">
        <f>MIN(CampList[[#This Row],[Shelter Gap]],CampList[[#This Row],[Land Status]])</f>
        <v>0</v>
      </c>
      <c r="AI237" s="525" t="str">
        <f ca="1">IFERROR(OFFSET(DistanceToCamp[Nearest Town],MATCH(CampList[[#This Row],[CP_Pcode]],DistanceToCamp[CP_Pcode],0)-1,0,1,1),"")</f>
        <v/>
      </c>
      <c r="AJ237" s="566" t="str">
        <f ca="1">IFERROR(OFFSET(DistanceToCamp[distance],MATCH(CampList[[#This Row],[CP_Pcode]],DistanceToCamp[CP_Pcode],0)-1,0,1,1),"")</f>
        <v/>
      </c>
      <c r="AK237" s="567" t="str">
        <f ca="1">IFERROR(INT(CampList[[#This Row],[Distance]]/5)+1,"")</f>
        <v/>
      </c>
      <c r="AL237" s="728"/>
      <c r="AM237" s="728"/>
      <c r="AN237" s="728"/>
      <c r="AY237" s="688"/>
      <c r="AZ237" s="688"/>
    </row>
    <row r="238" spans="1:52" s="687" customFormat="1" ht="15.6" customHeight="1" x14ac:dyDescent="0.25">
      <c r="A238" s="555" t="s">
        <v>502</v>
      </c>
      <c r="B238" s="527" t="s">
        <v>380</v>
      </c>
      <c r="C238" s="525" t="s">
        <v>527</v>
      </c>
      <c r="D238" s="525" t="s">
        <v>180</v>
      </c>
      <c r="E238" s="525" t="s">
        <v>528</v>
      </c>
      <c r="F238" s="525" t="s">
        <v>529</v>
      </c>
      <c r="G238" s="525" t="s">
        <v>530</v>
      </c>
      <c r="H238" s="582" t="s">
        <v>600</v>
      </c>
      <c r="I238" s="582" t="s">
        <v>601</v>
      </c>
      <c r="J238" s="582" t="s">
        <v>604</v>
      </c>
      <c r="K238" s="583">
        <v>166788</v>
      </c>
      <c r="L238" s="527" t="s">
        <v>126</v>
      </c>
      <c r="M238" s="527" t="s">
        <v>125</v>
      </c>
      <c r="N238" s="558">
        <v>96.286680000000004</v>
      </c>
      <c r="O238" s="558">
        <v>25.577559999999998</v>
      </c>
      <c r="P238" s="559">
        <v>0</v>
      </c>
      <c r="Q238" s="510">
        <v>41</v>
      </c>
      <c r="R238" s="533">
        <v>201</v>
      </c>
      <c r="S238" s="560">
        <f>IF(CampList[[#This Row],[HH]]&gt;0,CampList[[#This Row],[Total]]/CampList[[#This Row],[HH]],"NA")</f>
        <v>4.9024390243902438</v>
      </c>
      <c r="T238" s="581" t="s">
        <v>513</v>
      </c>
      <c r="U238" s="562" t="s">
        <v>1213</v>
      </c>
      <c r="V238" s="527" t="s">
        <v>556</v>
      </c>
      <c r="W238" s="527" t="s">
        <v>808</v>
      </c>
      <c r="X238" s="563">
        <v>41275</v>
      </c>
      <c r="Y238" s="564">
        <v>2</v>
      </c>
      <c r="Z238" s="563" t="s">
        <v>462</v>
      </c>
      <c r="AA238" s="518" t="s">
        <v>848</v>
      </c>
      <c r="AB238" s="527"/>
      <c r="AC238" s="579">
        <v>42340</v>
      </c>
      <c r="AD238" s="524" t="s">
        <v>1459</v>
      </c>
      <c r="AE238" s="564" t="s">
        <v>1100</v>
      </c>
      <c r="AF238" s="535">
        <f>IF(CampList[[#This Row],[Type of Accomodation]]="camp",MAX(0,CampList[[#This Row],[HH]]-SUMIF(Table_Shelter[Pcode],CampList[[#This Row],[CP_Pcode]],Table_Shelter[HH Covered])),0)</f>
        <v>26</v>
      </c>
      <c r="AG238" s="525"/>
      <c r="AH238" s="525">
        <f>MIN(CampList[[#This Row],[Shelter Gap]],CampList[[#This Row],[Land Status]])</f>
        <v>26</v>
      </c>
      <c r="AI238" s="525" t="str">
        <f ca="1">IFERROR(OFFSET(DistanceToCamp[Nearest Town],MATCH(CampList[[#This Row],[CP_Pcode]],DistanceToCamp[CP_Pcode],0)-1,0,1,1),"")</f>
        <v>Hpakant Town</v>
      </c>
      <c r="AJ238" s="566">
        <f ca="1">IFERROR(OFFSET(DistanceToCamp[distance],MATCH(CampList[[#This Row],[CP_Pcode]],DistanceToCamp[CP_Pcode],0)-1,0,1,1),"")</f>
        <v>4.6754712546149264</v>
      </c>
      <c r="AK238" s="567">
        <f ca="1">IFERROR(INT(CampList[[#This Row],[Distance]]/5)+1,"")</f>
        <v>1</v>
      </c>
      <c r="AL238" s="728"/>
      <c r="AM238" s="728"/>
      <c r="AN238" s="728"/>
      <c r="AY238" s="688"/>
      <c r="AZ238" s="688"/>
    </row>
    <row r="239" spans="1:52" s="687" customFormat="1" ht="15.6" customHeight="1" x14ac:dyDescent="0.25">
      <c r="A239" s="690" t="s">
        <v>502</v>
      </c>
      <c r="B239" s="535" t="s">
        <v>380</v>
      </c>
      <c r="C239" s="535" t="s">
        <v>527</v>
      </c>
      <c r="D239" s="535" t="s">
        <v>237</v>
      </c>
      <c r="E239" s="535" t="s">
        <v>533</v>
      </c>
      <c r="F239" s="535" t="s">
        <v>310</v>
      </c>
      <c r="G239" s="535" t="s">
        <v>534</v>
      </c>
      <c r="H239" s="535" t="s">
        <v>729</v>
      </c>
      <c r="I239" s="598" t="s">
        <v>730</v>
      </c>
      <c r="J239" s="535" t="s">
        <v>729</v>
      </c>
      <c r="K239" s="535">
        <v>165772</v>
      </c>
      <c r="L239" s="535" t="s">
        <v>353</v>
      </c>
      <c r="M239" s="535" t="s">
        <v>352</v>
      </c>
      <c r="N239" s="508">
        <v>97.546893999999995</v>
      </c>
      <c r="O239" s="508">
        <v>24.755253</v>
      </c>
      <c r="P239" s="569">
        <v>316</v>
      </c>
      <c r="Q239" s="511">
        <v>1345</v>
      </c>
      <c r="R239" s="532">
        <v>6811</v>
      </c>
      <c r="S239" s="560">
        <f>IF(CampList[[#This Row],[HH]]&gt;0,CampList[[#This Row],[Total]]/CampList[[#This Row],[HH]],"NA")</f>
        <v>5.0639405204460965</v>
      </c>
      <c r="T239" s="599" t="s">
        <v>515</v>
      </c>
      <c r="U239" s="561" t="s">
        <v>1213</v>
      </c>
      <c r="V239" s="496" t="s">
        <v>556</v>
      </c>
      <c r="W239" s="508" t="s">
        <v>808</v>
      </c>
      <c r="X239" s="577">
        <v>40695</v>
      </c>
      <c r="Y239" s="571">
        <v>5</v>
      </c>
      <c r="Z239" s="571" t="s">
        <v>1097</v>
      </c>
      <c r="AA239" s="511" t="s">
        <v>574</v>
      </c>
      <c r="AB239" s="599"/>
      <c r="AC239" s="579">
        <v>42340</v>
      </c>
      <c r="AD239" s="711" t="s">
        <v>1433</v>
      </c>
      <c r="AE239" s="597" t="s">
        <v>1100</v>
      </c>
      <c r="AF239" s="598">
        <f>IF(CampList[[#This Row],[Type of Accomodation]]="camp",MAX(0,CampList[[#This Row],[HH]]-SUMIF(Table_Shelter[Pcode],CampList[[#This Row],[CP_Pcode]],Table_Shelter[HH Covered])),0)</f>
        <v>1185</v>
      </c>
      <c r="AG239" s="535"/>
      <c r="AH239" s="598">
        <f>MIN(CampList[[#This Row],[Shelter Gap]],CampList[[#This Row],[Land Status]])</f>
        <v>1185</v>
      </c>
      <c r="AI239" s="598" t="str">
        <f ca="1">IFERROR(OFFSET(DistanceToCamp[Nearest Town],MATCH(CampList[[#This Row],[CP_Pcode]],DistanceToCamp[CP_Pcode],0)-1,0,1,1),"")</f>
        <v>Laiza town</v>
      </c>
      <c r="AJ239" s="566">
        <f ca="1">IFERROR(OFFSET(DistanceToCamp[distance],MATCH(CampList[[#This Row],[CP_Pcode]],DistanceToCamp[CP_Pcode],0)-1,0,1,1),"")</f>
        <v>1.7420415164460403</v>
      </c>
      <c r="AK239" s="600">
        <f ca="1">IFERROR(INT(CampList[[#This Row],[Distance]]/5)+1,"")</f>
        <v>1</v>
      </c>
      <c r="AL239" s="728"/>
      <c r="AM239" s="728"/>
      <c r="AN239" s="728"/>
      <c r="AY239" s="688"/>
      <c r="AZ239" s="688"/>
    </row>
    <row r="240" spans="1:52" s="687" customFormat="1" ht="15.6" hidden="1" customHeight="1" x14ac:dyDescent="0.25">
      <c r="A240" s="555" t="s">
        <v>849</v>
      </c>
      <c r="B240" s="527" t="s">
        <v>380</v>
      </c>
      <c r="C240" s="527" t="s">
        <v>527</v>
      </c>
      <c r="D240" s="527" t="s">
        <v>237</v>
      </c>
      <c r="E240" s="527" t="s">
        <v>533</v>
      </c>
      <c r="F240" s="527" t="s">
        <v>27</v>
      </c>
      <c r="G240" s="525" t="s">
        <v>536</v>
      </c>
      <c r="H240" s="525"/>
      <c r="I240" s="527"/>
      <c r="J240" s="527"/>
      <c r="K240" s="573"/>
      <c r="L240" s="527" t="s">
        <v>37</v>
      </c>
      <c r="M240" s="527" t="s">
        <v>36</v>
      </c>
      <c r="N240" s="568"/>
      <c r="O240" s="568"/>
      <c r="P240" s="569"/>
      <c r="Q240" s="509">
        <v>0</v>
      </c>
      <c r="R240" s="531">
        <v>0</v>
      </c>
      <c r="S240" s="560" t="str">
        <f>IF(CampList[[#This Row],[HH]]&gt;0,CampList[[#This Row],[Total]]/CampList[[#This Row],[HH]],"NA")</f>
        <v>NA</v>
      </c>
      <c r="T240" s="561" t="s">
        <v>513</v>
      </c>
      <c r="U240" s="562" t="s">
        <v>1213</v>
      </c>
      <c r="V240" s="527" t="s">
        <v>556</v>
      </c>
      <c r="W240" s="562"/>
      <c r="X240" s="570"/>
      <c r="Y240" s="571"/>
      <c r="Z240" s="562"/>
      <c r="AA240" s="512"/>
      <c r="AB240" s="527"/>
      <c r="AC240" s="572"/>
      <c r="AD240" s="523" t="s">
        <v>603</v>
      </c>
      <c r="AE240" s="571" t="s">
        <v>1014</v>
      </c>
      <c r="AF240" s="535">
        <f>IF(CampList[[#This Row],[Type of Accomodation]]="camp",MAX(0,CampList[[#This Row],[HH]]-SUMIF(Table_Shelter[Pcode],CampList[[#This Row],[CP_Pcode]],Table_Shelter[HH Covered])),0)</f>
        <v>0</v>
      </c>
      <c r="AG240" s="525"/>
      <c r="AH240" s="525">
        <f>MIN(CampList[[#This Row],[Shelter Gap]],CampList[[#This Row],[Land Status]])</f>
        <v>0</v>
      </c>
      <c r="AI240" s="525" t="str">
        <f ca="1">IFERROR(OFFSET(DistanceToCamp[Nearest Town],MATCH(CampList[[#This Row],[CP_Pcode]],DistanceToCamp[CP_Pcode],0)-1,0,1,1),"")</f>
        <v/>
      </c>
      <c r="AJ240" s="566" t="str">
        <f ca="1">IFERROR(OFFSET(DistanceToCamp[distance],MATCH(CampList[[#This Row],[CP_Pcode]],DistanceToCamp[CP_Pcode],0)-1,0,1,1),"")</f>
        <v/>
      </c>
      <c r="AK240" s="567" t="str">
        <f ca="1">IFERROR(INT(CampList[[#This Row],[Distance]]/5)+1,"")</f>
        <v/>
      </c>
      <c r="AL240" s="728"/>
      <c r="AM240" s="728"/>
      <c r="AN240" s="728"/>
      <c r="AY240" s="688"/>
      <c r="AZ240" s="688"/>
    </row>
    <row r="241" spans="1:52" s="687" customFormat="1" ht="15.6" hidden="1" customHeight="1" x14ac:dyDescent="0.25">
      <c r="A241" s="555" t="s">
        <v>849</v>
      </c>
      <c r="B241" s="527" t="s">
        <v>380</v>
      </c>
      <c r="C241" s="527" t="s">
        <v>527</v>
      </c>
      <c r="D241" s="527" t="s">
        <v>180</v>
      </c>
      <c r="E241" s="527" t="s">
        <v>528</v>
      </c>
      <c r="F241" s="527" t="s">
        <v>529</v>
      </c>
      <c r="G241" s="525" t="s">
        <v>530</v>
      </c>
      <c r="H241" s="556" t="s">
        <v>605</v>
      </c>
      <c r="I241" s="556" t="s">
        <v>606</v>
      </c>
      <c r="J241" s="556" t="s">
        <v>703</v>
      </c>
      <c r="K241" s="557" t="s">
        <v>704</v>
      </c>
      <c r="L241" s="527" t="s">
        <v>74</v>
      </c>
      <c r="M241" s="527" t="s">
        <v>73</v>
      </c>
      <c r="N241" s="568"/>
      <c r="O241" s="568"/>
      <c r="P241" s="569"/>
      <c r="Q241" s="509">
        <v>0</v>
      </c>
      <c r="R241" s="531">
        <v>0</v>
      </c>
      <c r="S241" s="560" t="str">
        <f>IF(CampList[[#This Row],[HH]]&gt;0,CampList[[#This Row],[Total]]/CampList[[#This Row],[HH]],"NA")</f>
        <v>NA</v>
      </c>
      <c r="T241" s="561" t="s">
        <v>513</v>
      </c>
      <c r="U241" s="562" t="s">
        <v>1213</v>
      </c>
      <c r="V241" s="527" t="s">
        <v>556</v>
      </c>
      <c r="W241" s="562"/>
      <c r="X241" s="570"/>
      <c r="Y241" s="571"/>
      <c r="Z241" s="562"/>
      <c r="AA241" s="515"/>
      <c r="AB241" s="527"/>
      <c r="AC241" s="572"/>
      <c r="AD241" s="523" t="s">
        <v>603</v>
      </c>
      <c r="AE241" s="571" t="s">
        <v>1014</v>
      </c>
      <c r="AF241" s="535">
        <f>IF(CampList[[#This Row],[Type of Accomodation]]="camp",MAX(0,CampList[[#This Row],[HH]]-SUMIF(Table_Shelter[Pcode],CampList[[#This Row],[CP_Pcode]],Table_Shelter[HH Covered])),0)</f>
        <v>0</v>
      </c>
      <c r="AG241" s="525"/>
      <c r="AH241" s="525">
        <f>MIN(CampList[[#This Row],[Shelter Gap]],CampList[[#This Row],[Land Status]])</f>
        <v>0</v>
      </c>
      <c r="AI241" s="525" t="str">
        <f ca="1">IFERROR(OFFSET(DistanceToCamp[Nearest Town],MATCH(CampList[[#This Row],[CP_Pcode]],DistanceToCamp[CP_Pcode],0)-1,0,1,1),"")</f>
        <v/>
      </c>
      <c r="AJ241" s="566" t="str">
        <f ca="1">IFERROR(OFFSET(DistanceToCamp[distance],MATCH(CampList[[#This Row],[CP_Pcode]],DistanceToCamp[CP_Pcode],0)-1,0,1,1),"")</f>
        <v/>
      </c>
      <c r="AK241" s="567" t="str">
        <f ca="1">IFERROR(INT(CampList[[#This Row],[Distance]]/5)+1,"")</f>
        <v/>
      </c>
      <c r="AL241" s="728"/>
      <c r="AM241" s="728"/>
      <c r="AN241" s="728"/>
      <c r="AY241" s="688"/>
      <c r="AZ241" s="688"/>
    </row>
    <row r="242" spans="1:52" s="687" customFormat="1" ht="15.6" customHeight="1" x14ac:dyDescent="0.25">
      <c r="A242" s="555" t="s">
        <v>502</v>
      </c>
      <c r="B242" s="527" t="s">
        <v>380</v>
      </c>
      <c r="C242" s="525" t="s">
        <v>527</v>
      </c>
      <c r="D242" s="525" t="s">
        <v>237</v>
      </c>
      <c r="E242" s="525" t="s">
        <v>533</v>
      </c>
      <c r="F242" s="525" t="s">
        <v>237</v>
      </c>
      <c r="G242" s="525" t="s">
        <v>537</v>
      </c>
      <c r="H242" s="582" t="s">
        <v>673</v>
      </c>
      <c r="I242" s="582" t="s">
        <v>674</v>
      </c>
      <c r="J242" s="582" t="s">
        <v>685</v>
      </c>
      <c r="K242" s="583" t="s">
        <v>686</v>
      </c>
      <c r="L242" s="527" t="s">
        <v>283</v>
      </c>
      <c r="M242" s="527" t="s">
        <v>282</v>
      </c>
      <c r="N242" s="558">
        <v>97.403878500000005</v>
      </c>
      <c r="O242" s="558">
        <v>25.377038166666701</v>
      </c>
      <c r="P242" s="559">
        <v>0</v>
      </c>
      <c r="Q242" s="510">
        <v>7</v>
      </c>
      <c r="R242" s="533">
        <v>37</v>
      </c>
      <c r="S242" s="560">
        <f>IF(CampList[[#This Row],[HH]]&gt;0,CampList[[#This Row],[Total]]/CampList[[#This Row],[HH]],"NA")</f>
        <v>5.2857142857142856</v>
      </c>
      <c r="T242" s="581" t="s">
        <v>513</v>
      </c>
      <c r="U242" s="562" t="s">
        <v>1213</v>
      </c>
      <c r="V242" s="527" t="s">
        <v>556</v>
      </c>
      <c r="W242" s="527" t="s">
        <v>808</v>
      </c>
      <c r="X242" s="563">
        <v>41000</v>
      </c>
      <c r="Y242" s="564">
        <v>1</v>
      </c>
      <c r="Z242" s="563" t="s">
        <v>507</v>
      </c>
      <c r="AA242" s="518" t="s">
        <v>848</v>
      </c>
      <c r="AB242" s="527"/>
      <c r="AC242" s="565">
        <v>42317</v>
      </c>
      <c r="AD242" s="524" t="s">
        <v>1389</v>
      </c>
      <c r="AE242" s="564" t="s">
        <v>1100</v>
      </c>
      <c r="AF242" s="535">
        <f>IF(CampList[[#This Row],[Type of Accomodation]]="camp",MAX(0,CampList[[#This Row],[HH]]-SUMIF(Table_Shelter[Pcode],CampList[[#This Row],[CP_Pcode]],Table_Shelter[HH Covered])),0)</f>
        <v>0</v>
      </c>
      <c r="AG242" s="525"/>
      <c r="AH242" s="525">
        <f>MIN(CampList[[#This Row],[Shelter Gap]],CampList[[#This Row],[Land Status]])</f>
        <v>0</v>
      </c>
      <c r="AI242" s="525" t="str">
        <f ca="1">IFERROR(OFFSET(DistanceToCamp[Nearest Town],MATCH(CampList[[#This Row],[CP_Pcode]],DistanceToCamp[CP_Pcode],0)-1,0,1,1),"")</f>
        <v>Myitkyina Town</v>
      </c>
      <c r="AJ242" s="566">
        <f ca="1">IFERROR(OFFSET(DistanceToCamp[distance],MATCH(CampList[[#This Row],[CP_Pcode]],DistanceToCamp[CP_Pcode],0)-1,0,1,1),"")</f>
        <v>1.7877148351104664</v>
      </c>
      <c r="AK242" s="567">
        <f ca="1">IFERROR(INT(CampList[[#This Row],[Distance]]/5)+1,"")</f>
        <v>1</v>
      </c>
      <c r="AL242" s="728"/>
      <c r="AM242" s="728"/>
      <c r="AN242" s="728"/>
      <c r="AY242" s="688"/>
      <c r="AZ242" s="688"/>
    </row>
    <row r="243" spans="1:52" s="715" customFormat="1" ht="15.6" customHeight="1" x14ac:dyDescent="0.25">
      <c r="A243" s="555" t="s">
        <v>502</v>
      </c>
      <c r="B243" s="527" t="s">
        <v>380</v>
      </c>
      <c r="C243" s="525" t="s">
        <v>527</v>
      </c>
      <c r="D243" s="525" t="s">
        <v>5</v>
      </c>
      <c r="E243" s="525" t="s">
        <v>531</v>
      </c>
      <c r="F243" s="525" t="s">
        <v>5</v>
      </c>
      <c r="G243" s="525" t="s">
        <v>532</v>
      </c>
      <c r="H243" s="556" t="s">
        <v>639</v>
      </c>
      <c r="I243" s="556" t="s">
        <v>640</v>
      </c>
      <c r="J243" s="582"/>
      <c r="K243" s="583"/>
      <c r="L243" s="527" t="s">
        <v>26</v>
      </c>
      <c r="M243" s="527" t="s">
        <v>25</v>
      </c>
      <c r="N243" s="558">
        <v>97.240639999999999</v>
      </c>
      <c r="O243" s="558">
        <v>24.24953</v>
      </c>
      <c r="P243" s="559">
        <v>0</v>
      </c>
      <c r="Q243" s="510">
        <v>15</v>
      </c>
      <c r="R243" s="533">
        <v>64</v>
      </c>
      <c r="S243" s="560">
        <f>IF(CampList[[#This Row],[HH]]&gt;0,CampList[[#This Row],[Total]]/CampList[[#This Row],[HH]],"NA")</f>
        <v>4.2666666666666666</v>
      </c>
      <c r="T243" s="581" t="s">
        <v>513</v>
      </c>
      <c r="U243" s="562" t="s">
        <v>1213</v>
      </c>
      <c r="V243" s="527" t="s">
        <v>556</v>
      </c>
      <c r="W243" s="527" t="s">
        <v>808</v>
      </c>
      <c r="X243" s="563">
        <v>41122</v>
      </c>
      <c r="Y243" s="564">
        <v>1</v>
      </c>
      <c r="Z243" s="563" t="s">
        <v>507</v>
      </c>
      <c r="AA243" s="518" t="s">
        <v>848</v>
      </c>
      <c r="AB243" s="527"/>
      <c r="AC243" s="579">
        <v>42317</v>
      </c>
      <c r="AD243" s="524" t="s">
        <v>1402</v>
      </c>
      <c r="AE243" s="564" t="s">
        <v>1100</v>
      </c>
      <c r="AF243" s="535">
        <f>IF(CampList[[#This Row],[Type of Accomodation]]="camp",MAX(0,CampList[[#This Row],[HH]]-SUMIF(Table_Shelter[Pcode],CampList[[#This Row],[CP_Pcode]],Table_Shelter[HH Covered])),0)</f>
        <v>0</v>
      </c>
      <c r="AG243" s="525">
        <v>0</v>
      </c>
      <c r="AH243" s="525">
        <f>MIN(CampList[[#This Row],[Shelter Gap]],CampList[[#This Row],[Land Status]])</f>
        <v>0</v>
      </c>
      <c r="AI243" s="525" t="str">
        <f ca="1">IFERROR(OFFSET(DistanceToCamp[Nearest Town],MATCH(CampList[[#This Row],[CP_Pcode]],DistanceToCamp[CP_Pcode],0)-1,0,1,1),"")</f>
        <v>Bhamo Town</v>
      </c>
      <c r="AJ243" s="566">
        <f ca="1">IFERROR(OFFSET(DistanceToCamp[distance],MATCH(CampList[[#This Row],[CP_Pcode]],DistanceToCamp[CP_Pcode],0)-1,0,1,1),"")</f>
        <v>0.87147615879849294</v>
      </c>
      <c r="AK243" s="567">
        <f ca="1">IFERROR(INT(CampList[[#This Row],[Distance]]/5)+1,"")</f>
        <v>1</v>
      </c>
      <c r="AL243" s="729"/>
      <c r="AM243" s="729"/>
      <c r="AN243" s="729"/>
      <c r="AY243" s="716"/>
      <c r="AZ243" s="716"/>
    </row>
    <row r="244" spans="1:52" s="715" customFormat="1" ht="15.6" customHeight="1" x14ac:dyDescent="0.25">
      <c r="A244" s="555" t="s">
        <v>502</v>
      </c>
      <c r="B244" s="527" t="s">
        <v>380</v>
      </c>
      <c r="C244" s="525" t="s">
        <v>527</v>
      </c>
      <c r="D244" s="525" t="s">
        <v>180</v>
      </c>
      <c r="E244" s="525" t="s">
        <v>528</v>
      </c>
      <c r="F244" s="525" t="s">
        <v>529</v>
      </c>
      <c r="G244" s="525" t="s">
        <v>530</v>
      </c>
      <c r="H244" s="556" t="s">
        <v>611</v>
      </c>
      <c r="I244" s="556" t="s">
        <v>612</v>
      </c>
      <c r="J244" s="582"/>
      <c r="K244" s="583"/>
      <c r="L244" s="527" t="s">
        <v>140</v>
      </c>
      <c r="M244" s="527" t="s">
        <v>139</v>
      </c>
      <c r="N244" s="558">
        <v>96.306910999999999</v>
      </c>
      <c r="O244" s="558">
        <v>25.599250000000001</v>
      </c>
      <c r="P244" s="559">
        <v>0</v>
      </c>
      <c r="Q244" s="510">
        <v>20</v>
      </c>
      <c r="R244" s="533">
        <v>80</v>
      </c>
      <c r="S244" s="560">
        <f>IF(CampList[[#This Row],[HH]]&gt;0,CampList[[#This Row],[Total]]/CampList[[#This Row],[HH]],"NA")</f>
        <v>4</v>
      </c>
      <c r="T244" s="581" t="s">
        <v>513</v>
      </c>
      <c r="U244" s="562" t="s">
        <v>1213</v>
      </c>
      <c r="V244" s="527" t="s">
        <v>556</v>
      </c>
      <c r="W244" s="527" t="s">
        <v>808</v>
      </c>
      <c r="X244" s="563">
        <v>41122</v>
      </c>
      <c r="Y244" s="564">
        <v>1</v>
      </c>
      <c r="Z244" s="563" t="s">
        <v>462</v>
      </c>
      <c r="AA244" s="518" t="s">
        <v>848</v>
      </c>
      <c r="AB244" s="527"/>
      <c r="AC244" s="579">
        <v>42340</v>
      </c>
      <c r="AD244" s="524" t="s">
        <v>1458</v>
      </c>
      <c r="AE244" s="564" t="s">
        <v>1100</v>
      </c>
      <c r="AF244" s="535">
        <f>IF(CampList[[#This Row],[Type of Accomodation]]="camp",MAX(0,CampList[[#This Row],[HH]]-SUMIF(Table_Shelter[Pcode],CampList[[#This Row],[CP_Pcode]],Table_Shelter[HH Covered])),0)</f>
        <v>10</v>
      </c>
      <c r="AG244" s="525"/>
      <c r="AH244" s="525">
        <f>MIN(CampList[[#This Row],[Shelter Gap]],CampList[[#This Row],[Land Status]])</f>
        <v>10</v>
      </c>
      <c r="AI244" s="525" t="str">
        <f ca="1">IFERROR(OFFSET(DistanceToCamp[Nearest Town],MATCH(CampList[[#This Row],[CP_Pcode]],DistanceToCamp[CP_Pcode],0)-1,0,1,1),"")</f>
        <v>Hpakant Town</v>
      </c>
      <c r="AJ244" s="566">
        <f ca="1">IFERROR(OFFSET(DistanceToCamp[distance],MATCH(CampList[[#This Row],[CP_Pcode]],DistanceToCamp[CP_Pcode],0)-1,0,1,1),"")</f>
        <v>1.5942018764815451</v>
      </c>
      <c r="AK244" s="567">
        <f ca="1">IFERROR(INT(CampList[[#This Row],[Distance]]/5)+1,"")</f>
        <v>1</v>
      </c>
      <c r="AL244" s="729"/>
      <c r="AM244" s="729"/>
      <c r="AN244" s="729"/>
      <c r="AY244" s="716"/>
      <c r="AZ244" s="716"/>
    </row>
    <row r="245" spans="1:52" s="687" customFormat="1" ht="15.6" customHeight="1" x14ac:dyDescent="0.25">
      <c r="A245" s="742" t="s">
        <v>502</v>
      </c>
      <c r="B245" s="605" t="s">
        <v>380</v>
      </c>
      <c r="C245" s="602" t="s">
        <v>527</v>
      </c>
      <c r="D245" s="602" t="s">
        <v>237</v>
      </c>
      <c r="E245" s="602" t="s">
        <v>533</v>
      </c>
      <c r="F245" s="602" t="s">
        <v>310</v>
      </c>
      <c r="G245" s="602" t="s">
        <v>534</v>
      </c>
      <c r="H245" s="685" t="s">
        <v>768</v>
      </c>
      <c r="I245" s="685" t="s">
        <v>769</v>
      </c>
      <c r="J245" s="685" t="s">
        <v>770</v>
      </c>
      <c r="K245" s="686"/>
      <c r="L245" s="605" t="s">
        <v>1268</v>
      </c>
      <c r="M245" s="605" t="s">
        <v>356</v>
      </c>
      <c r="N245" s="752">
        <v>97.756789999999995</v>
      </c>
      <c r="O245" s="752">
        <v>25.106670000000001</v>
      </c>
      <c r="P245" s="753">
        <v>756</v>
      </c>
      <c r="Q245" s="755">
        <v>680</v>
      </c>
      <c r="R245" s="757">
        <v>2913</v>
      </c>
      <c r="S245" s="603">
        <f>IF(CampList[[#This Row],[HH]]&gt;0,CampList[[#This Row],[Total]]/CampList[[#This Row],[HH]],"NA")</f>
        <v>4.283823529411765</v>
      </c>
      <c r="T245" s="758" t="s">
        <v>515</v>
      </c>
      <c r="U245" s="604" t="s">
        <v>1213</v>
      </c>
      <c r="V245" s="605" t="s">
        <v>556</v>
      </c>
      <c r="W245" s="605" t="s">
        <v>862</v>
      </c>
      <c r="X245" s="759">
        <v>40848</v>
      </c>
      <c r="Y245" s="760">
        <v>3</v>
      </c>
      <c r="Z245" s="759" t="s">
        <v>462</v>
      </c>
      <c r="AA245" s="761" t="s">
        <v>848</v>
      </c>
      <c r="AB245" s="605"/>
      <c r="AC245" s="606">
        <v>42340</v>
      </c>
      <c r="AD245" s="762" t="s">
        <v>1462</v>
      </c>
      <c r="AE245" s="760" t="s">
        <v>1085</v>
      </c>
      <c r="AF245" s="607">
        <f>IF(CampList[[#This Row],[Type of Accomodation]]="camp",MAX(0,CampList[[#This Row],[HH]]-SUMIF(Table_Shelter[Pcode],CampList[[#This Row],[CP_Pcode]],Table_Shelter[HH Covered])),0)</f>
        <v>59</v>
      </c>
      <c r="AG245" s="602"/>
      <c r="AH245" s="602">
        <f>MIN(CampList[[#This Row],[Shelter Gap]],CampList[[#This Row],[Land Status]])</f>
        <v>59</v>
      </c>
      <c r="AI245" s="602" t="str">
        <f ca="1">IFERROR(OFFSET(DistanceToCamp[Nearest Town],MATCH(CampList[[#This Row],[CP_Pcode]],DistanceToCamp[CP_Pcode],0)-1,0,1,1),"")</f>
        <v>Sadung Town</v>
      </c>
      <c r="AJ245" s="608">
        <f ca="1">IFERROR(OFFSET(DistanceToCamp[distance],MATCH(CampList[[#This Row],[CP_Pcode]],DistanceToCamp[CP_Pcode],0)-1,0,1,1),"")</f>
        <v>32.827754639406997</v>
      </c>
      <c r="AK245" s="609">
        <f ca="1">IFERROR(INT(CampList[[#This Row],[Distance]]/5)+1,"")</f>
        <v>7</v>
      </c>
      <c r="AL245" s="728"/>
      <c r="AM245" s="728"/>
      <c r="AN245" s="728"/>
      <c r="AY245" s="688"/>
      <c r="AZ245" s="688"/>
    </row>
    <row r="246" spans="1:52" ht="15.6" hidden="1" customHeight="1" x14ac:dyDescent="0.25">
      <c r="A246" s="555" t="s">
        <v>849</v>
      </c>
      <c r="B246" s="527" t="s">
        <v>380</v>
      </c>
      <c r="C246" s="527" t="s">
        <v>527</v>
      </c>
      <c r="D246" s="527" t="s">
        <v>180</v>
      </c>
      <c r="E246" s="605" t="s">
        <v>528</v>
      </c>
      <c r="F246" s="744" t="s">
        <v>529</v>
      </c>
      <c r="G246" s="745" t="s">
        <v>530</v>
      </c>
      <c r="H246" s="747" t="s">
        <v>605</v>
      </c>
      <c r="I246" s="747" t="s">
        <v>606</v>
      </c>
      <c r="J246" s="556" t="s">
        <v>609</v>
      </c>
      <c r="K246" s="557" t="s">
        <v>610</v>
      </c>
      <c r="L246" s="527" t="s">
        <v>516</v>
      </c>
      <c r="M246" s="527" t="s">
        <v>517</v>
      </c>
      <c r="N246" s="751">
        <v>96.315601999999998</v>
      </c>
      <c r="O246" s="751">
        <v>25.615006000000001</v>
      </c>
      <c r="P246" s="569"/>
      <c r="Q246" s="509">
        <v>0</v>
      </c>
      <c r="R246" s="531">
        <v>0</v>
      </c>
      <c r="S246" s="560" t="str">
        <f>IF(CampList[[#This Row],[HH]]&gt;0,CampList[[#This Row],[Total]]/CampList[[#This Row],[HH]],"NA")</f>
        <v>NA</v>
      </c>
      <c r="T246" s="561" t="s">
        <v>513</v>
      </c>
      <c r="U246" s="562" t="s">
        <v>1213</v>
      </c>
      <c r="V246" s="527" t="s">
        <v>556</v>
      </c>
      <c r="W246" s="562"/>
      <c r="X246" s="570"/>
      <c r="Y246" s="571"/>
      <c r="Z246" s="562"/>
      <c r="AA246" s="517"/>
      <c r="AB246" s="527"/>
      <c r="AC246" s="572"/>
      <c r="AD246" s="523" t="s">
        <v>603</v>
      </c>
      <c r="AE246" s="571" t="s">
        <v>1014</v>
      </c>
      <c r="AF246" s="535">
        <f>IF(CampList[[#This Row],[Type of Accomodation]]="camp",MAX(0,CampList[[#This Row],[HH]]-SUMIF(Table_Shelter[Pcode],CampList[[#This Row],[CP_Pcode]],Table_Shelter[HH Covered])),0)</f>
        <v>0</v>
      </c>
      <c r="AG246" s="525"/>
      <c r="AH246" s="525">
        <f>MIN(CampList[[#This Row],[Shelter Gap]],CampList[[#This Row],[Land Status]])</f>
        <v>0</v>
      </c>
      <c r="AI246" s="525" t="str">
        <f ca="1">IFERROR(OFFSET(DistanceToCamp[Nearest Town],MATCH(CampList[[#This Row],[CP_Pcode]],DistanceToCamp[CP_Pcode],0)-1,0,1,1),"")</f>
        <v/>
      </c>
      <c r="AJ246" s="566" t="str">
        <f ca="1">IFERROR(OFFSET(DistanceToCamp[distance],MATCH(CampList[[#This Row],[CP_Pcode]],DistanceToCamp[CP_Pcode],0)-1,0,1,1),"")</f>
        <v/>
      </c>
      <c r="AK246" s="567" t="str">
        <f ca="1">IFERROR(INT(CampList[[#This Row],[Distance]]/5)+1,"")</f>
        <v/>
      </c>
    </row>
    <row r="247" spans="1:52" ht="15.6" customHeight="1" x14ac:dyDescent="0.25">
      <c r="A247" s="590" t="s">
        <v>502</v>
      </c>
      <c r="B247" s="527" t="s">
        <v>555</v>
      </c>
      <c r="C247" s="525" t="s">
        <v>538</v>
      </c>
      <c r="D247" s="525" t="s">
        <v>230</v>
      </c>
      <c r="E247" s="525" t="s">
        <v>539</v>
      </c>
      <c r="F247" s="525" t="s">
        <v>146</v>
      </c>
      <c r="G247" s="525" t="s">
        <v>546</v>
      </c>
      <c r="H247" s="746" t="s">
        <v>771</v>
      </c>
      <c r="I247" s="582" t="s">
        <v>772</v>
      </c>
      <c r="J247" s="582" t="s">
        <v>773</v>
      </c>
      <c r="K247" s="583">
        <v>208557</v>
      </c>
      <c r="L247" s="748" t="s">
        <v>373</v>
      </c>
      <c r="M247" s="527" t="s">
        <v>387</v>
      </c>
      <c r="N247" s="735">
        <v>97.837040000000002</v>
      </c>
      <c r="O247" s="735">
        <v>23.38503</v>
      </c>
      <c r="P247" s="559">
        <v>0</v>
      </c>
      <c r="Q247" s="510">
        <v>178</v>
      </c>
      <c r="R247" s="533">
        <v>827</v>
      </c>
      <c r="S247" s="560">
        <f>IF(CampList[[#This Row],[HH]]&gt;0,CampList[[#This Row],[Total]]/CampList[[#This Row],[HH]],"NA")</f>
        <v>4.6460674157303368</v>
      </c>
      <c r="T247" s="581" t="s">
        <v>513</v>
      </c>
      <c r="U247" s="562" t="s">
        <v>1213</v>
      </c>
      <c r="V247" s="527" t="s">
        <v>556</v>
      </c>
      <c r="W247" s="527" t="s">
        <v>862</v>
      </c>
      <c r="X247" s="563">
        <v>41244</v>
      </c>
      <c r="Y247" s="564"/>
      <c r="Z247" s="563" t="s">
        <v>462</v>
      </c>
      <c r="AA247" s="518" t="s">
        <v>848</v>
      </c>
      <c r="AB247" s="527"/>
      <c r="AC247" s="579">
        <v>42180</v>
      </c>
      <c r="AD247" s="527" t="s">
        <v>1288</v>
      </c>
      <c r="AE247" s="564" t="s">
        <v>1086</v>
      </c>
      <c r="AF247" s="535">
        <f>IF(CampList[[#This Row],[Type of Accomodation]]="camp",MAX(0,CampList[[#This Row],[HH]]-SUMIF(Table_Shelter[Pcode],CampList[[#This Row],[CP_Pcode]],Table_Shelter[HH Covered])),0)</f>
        <v>93</v>
      </c>
      <c r="AG247" s="525"/>
      <c r="AH247" s="525">
        <f>MIN(CampList[[#This Row],[Shelter Gap]],CampList[[#This Row],[Land Status]])</f>
        <v>93</v>
      </c>
      <c r="AI247" s="525" t="str">
        <f ca="1">IFERROR(OFFSET(DistanceToCamp[Nearest Town],MATCH(CampList[[#This Row],[CP_Pcode]],DistanceToCamp[CP_Pcode],0)-1,0,1,1),"")</f>
        <v>Kutkai Town</v>
      </c>
      <c r="AJ247" s="566">
        <f ca="1">IFERROR(OFFSET(DistanceToCamp[distance],MATCH(CampList[[#This Row],[CP_Pcode]],DistanceToCamp[CP_Pcode],0)-1,0,1,1),"")</f>
        <v>13.632081902964599</v>
      </c>
      <c r="AK247" s="567">
        <f ca="1">IFERROR(INT(CampList[[#This Row],[Distance]]/5)+1,"")</f>
        <v>3</v>
      </c>
    </row>
    <row r="249" spans="1:52" ht="15.6" customHeight="1" x14ac:dyDescent="0.25">
      <c r="M249" s="497"/>
    </row>
    <row r="250" spans="1:52" ht="15.6" customHeight="1" x14ac:dyDescent="0.25">
      <c r="M250" s="497"/>
    </row>
    <row r="251" spans="1:52" ht="15.6" customHeight="1" x14ac:dyDescent="0.25">
      <c r="M251" s="497"/>
    </row>
    <row r="252" spans="1:52" ht="15.6" customHeight="1" x14ac:dyDescent="0.25">
      <c r="M252" s="497"/>
    </row>
    <row r="253" spans="1:52" ht="15.6" customHeight="1" x14ac:dyDescent="0.25">
      <c r="M253" s="497"/>
    </row>
    <row r="254" spans="1:52" ht="15.6" customHeight="1" x14ac:dyDescent="0.25">
      <c r="M254" s="497"/>
    </row>
    <row r="255" spans="1:52" ht="15.6" customHeight="1" x14ac:dyDescent="0.25">
      <c r="M255" s="497"/>
    </row>
    <row r="256" spans="1:52" ht="15.6" customHeight="1" x14ac:dyDescent="0.25">
      <c r="M256" s="497"/>
    </row>
    <row r="257" spans="13:13" ht="15.6" customHeight="1" x14ac:dyDescent="0.25">
      <c r="M257" s="497"/>
    </row>
    <row r="258" spans="13:13" ht="15.6" customHeight="1" x14ac:dyDescent="0.25">
      <c r="M258" s="497"/>
    </row>
    <row r="259" spans="13:13" ht="15.6" customHeight="1" x14ac:dyDescent="0.25">
      <c r="M259" s="497"/>
    </row>
    <row r="260" spans="13:13" ht="15.6" customHeight="1" x14ac:dyDescent="0.25">
      <c r="M260" s="497"/>
    </row>
    <row r="261" spans="13:13" ht="15.6" customHeight="1" x14ac:dyDescent="0.25">
      <c r="M261" s="497"/>
    </row>
    <row r="262" spans="13:13" ht="15.6" customHeight="1" x14ac:dyDescent="0.25">
      <c r="M262" s="497"/>
    </row>
    <row r="263" spans="13:13" ht="15.6" customHeight="1" x14ac:dyDescent="0.25">
      <c r="M263" s="497"/>
    </row>
  </sheetData>
  <sortState ref="A73:AK238">
    <sortCondition ref="G1:G1048576"/>
    <sortCondition ref="L1:L1048576"/>
  </sortState>
  <mergeCells count="1">
    <mergeCell ref="A3:C3"/>
  </mergeCells>
  <conditionalFormatting sqref="A117:A155 A5:A110">
    <cfRule type="cellIs" dxfId="1023" priority="76" operator="equal">
      <formula>"closed"</formula>
    </cfRule>
  </conditionalFormatting>
  <conditionalFormatting sqref="A111">
    <cfRule type="cellIs" dxfId="1022" priority="72" operator="equal">
      <formula>"closed"</formula>
    </cfRule>
  </conditionalFormatting>
  <conditionalFormatting sqref="A112">
    <cfRule type="cellIs" dxfId="1021" priority="71" operator="equal">
      <formula>"closed"</formula>
    </cfRule>
  </conditionalFormatting>
  <conditionalFormatting sqref="A113:A115">
    <cfRule type="cellIs" dxfId="1020" priority="70" operator="equal">
      <formula>"closed"</formula>
    </cfRule>
  </conditionalFormatting>
  <conditionalFormatting sqref="A116">
    <cfRule type="cellIs" dxfId="1019" priority="69" operator="equal">
      <formula>"closed"</formula>
    </cfRule>
  </conditionalFormatting>
  <conditionalFormatting sqref="AB1:AB3 AA4:AA155 AB214:AB1048576">
    <cfRule type="cellIs" dxfId="1018" priority="65" operator="equal">
      <formula>"RRD"</formula>
    </cfRule>
    <cfRule type="cellIs" dxfId="1017" priority="66" operator="equal">
      <formula>"IP"</formula>
    </cfRule>
    <cfRule type="cellIs" dxfId="1016" priority="67" operator="equal">
      <formula>"IRRC"</formula>
    </cfRule>
  </conditionalFormatting>
  <conditionalFormatting sqref="A156:A205">
    <cfRule type="cellIs" dxfId="1015" priority="45" operator="equal">
      <formula>"closed"</formula>
    </cfRule>
  </conditionalFormatting>
  <conditionalFormatting sqref="AA156:AA205">
    <cfRule type="cellIs" dxfId="1014" priority="42" operator="equal">
      <formula>"RRD"</formula>
    </cfRule>
    <cfRule type="cellIs" dxfId="1013" priority="43" operator="equal">
      <formula>"IP"</formula>
    </cfRule>
    <cfRule type="cellIs" dxfId="1012" priority="44" operator="equal">
      <formula>"IRRC"</formula>
    </cfRule>
  </conditionalFormatting>
  <conditionalFormatting sqref="A206">
    <cfRule type="cellIs" dxfId="1011" priority="41" operator="equal">
      <formula>"closed"</formula>
    </cfRule>
  </conditionalFormatting>
  <conditionalFormatting sqref="AA206">
    <cfRule type="cellIs" dxfId="1010" priority="38" operator="equal">
      <formula>"RRD"</formula>
    </cfRule>
    <cfRule type="cellIs" dxfId="1009" priority="39" operator="equal">
      <formula>"IP"</formula>
    </cfRule>
    <cfRule type="cellIs" dxfId="1008" priority="40" operator="equal">
      <formula>"IRRC"</formula>
    </cfRule>
  </conditionalFormatting>
  <conditionalFormatting sqref="AG5:AG206">
    <cfRule type="notContainsBlanks" dxfId="1007" priority="77">
      <formula>LEN(TRIM(AG5))&gt;0</formula>
    </cfRule>
  </conditionalFormatting>
  <conditionalFormatting sqref="AA208 AA210 AA212">
    <cfRule type="cellIs" dxfId="1006" priority="1" operator="equal">
      <formula>"RRD"</formula>
    </cfRule>
    <cfRule type="cellIs" dxfId="1005" priority="2" operator="equal">
      <formula>"IP"</formula>
    </cfRule>
    <cfRule type="cellIs" dxfId="1004" priority="3" operator="equal">
      <formula>"IRRC"</formula>
    </cfRule>
  </conditionalFormatting>
  <conditionalFormatting sqref="A207 A209 A211 A213">
    <cfRule type="cellIs" dxfId="1003" priority="8" operator="equal">
      <formula>"closed"</formula>
    </cfRule>
  </conditionalFormatting>
  <conditionalFormatting sqref="AA207 AA209 AA211 AA213">
    <cfRule type="cellIs" dxfId="1002" priority="5" operator="equal">
      <formula>"RRD"</formula>
    </cfRule>
    <cfRule type="cellIs" dxfId="1001" priority="6" operator="equal">
      <formula>"IP"</formula>
    </cfRule>
    <cfRule type="cellIs" dxfId="1000" priority="7" operator="equal">
      <formula>"IRRC"</formula>
    </cfRule>
  </conditionalFormatting>
  <conditionalFormatting sqref="A208 A210 A212">
    <cfRule type="cellIs" dxfId="999" priority="4" operator="equal">
      <formula>"closed"</formula>
    </cfRule>
  </conditionalFormatting>
  <conditionalFormatting sqref="AG207:AG213">
    <cfRule type="notContainsBlanks" dxfId="998" priority="9">
      <formula>LEN(TRIM(AG207))&gt;0</formula>
    </cfRule>
  </conditionalFormatting>
  <pageMargins left="0.7" right="0.7" top="0.75" bottom="0.75" header="0.3" footer="0.3"/>
  <pageSetup scale="82"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C160"/>
  <sheetViews>
    <sheetView topLeftCell="A151" workbookViewId="0">
      <selection activeCell="A161" sqref="A161"/>
    </sheetView>
  </sheetViews>
  <sheetFormatPr defaultRowHeight="15" x14ac:dyDescent="0.25"/>
  <cols>
    <col min="1" max="1" width="20" style="129" customWidth="1"/>
    <col min="2" max="2" width="23" style="129" customWidth="1"/>
    <col min="3" max="3" width="11.7109375" style="195" customWidth="1"/>
  </cols>
  <sheetData>
    <row r="1" spans="1:3" s="197" customFormat="1" x14ac:dyDescent="0.25">
      <c r="A1" s="196" t="s">
        <v>932</v>
      </c>
      <c r="B1" s="198" t="s">
        <v>1214</v>
      </c>
      <c r="C1" s="199" t="s">
        <v>1215</v>
      </c>
    </row>
    <row r="2" spans="1:3" x14ac:dyDescent="0.25">
      <c r="A2" s="136" t="s">
        <v>236</v>
      </c>
      <c r="B2" s="185" t="s">
        <v>673</v>
      </c>
      <c r="C2" s="192">
        <v>3.1341427522962952</v>
      </c>
    </row>
    <row r="3" spans="1:3" x14ac:dyDescent="0.25">
      <c r="A3" s="136" t="s">
        <v>268</v>
      </c>
      <c r="B3" s="185" t="s">
        <v>673</v>
      </c>
      <c r="C3" s="192">
        <v>3.8820329084732181</v>
      </c>
    </row>
    <row r="4" spans="1:3" x14ac:dyDescent="0.25">
      <c r="A4" s="136" t="s">
        <v>250</v>
      </c>
      <c r="B4" s="185" t="s">
        <v>673</v>
      </c>
      <c r="C4" s="192">
        <v>2.3045478259125423</v>
      </c>
    </row>
    <row r="5" spans="1:3" x14ac:dyDescent="0.25">
      <c r="A5" s="136" t="s">
        <v>248</v>
      </c>
      <c r="B5" s="185" t="s">
        <v>673</v>
      </c>
      <c r="C5" s="192">
        <v>3.3637010801853577</v>
      </c>
    </row>
    <row r="6" spans="1:3" x14ac:dyDescent="0.25">
      <c r="A6" s="136" t="s">
        <v>274</v>
      </c>
      <c r="B6" s="185" t="s">
        <v>673</v>
      </c>
      <c r="C6" s="192">
        <v>2.0123527499589278</v>
      </c>
    </row>
    <row r="7" spans="1:3" x14ac:dyDescent="0.25">
      <c r="A7" s="136" t="s">
        <v>276</v>
      </c>
      <c r="B7" s="185" t="s">
        <v>673</v>
      </c>
      <c r="C7" s="192">
        <v>2.9133254097712102</v>
      </c>
    </row>
    <row r="8" spans="1:3" x14ac:dyDescent="0.25">
      <c r="A8" s="136" t="s">
        <v>278</v>
      </c>
      <c r="B8" s="185" t="s">
        <v>673</v>
      </c>
      <c r="C8" s="192">
        <v>4.9021696969220816</v>
      </c>
    </row>
    <row r="9" spans="1:3" x14ac:dyDescent="0.25">
      <c r="A9" s="186" t="s">
        <v>260</v>
      </c>
      <c r="B9" s="185" t="s">
        <v>673</v>
      </c>
      <c r="C9" s="192">
        <v>5.4145379230647226</v>
      </c>
    </row>
    <row r="10" spans="1:3" x14ac:dyDescent="0.25">
      <c r="A10" s="186" t="s">
        <v>280</v>
      </c>
      <c r="B10" s="185" t="s">
        <v>673</v>
      </c>
      <c r="C10" s="192">
        <v>6.6198004689728469</v>
      </c>
    </row>
    <row r="11" spans="1:3" x14ac:dyDescent="0.25">
      <c r="A11" s="136" t="s">
        <v>244</v>
      </c>
      <c r="B11" s="185" t="s">
        <v>673</v>
      </c>
      <c r="C11" s="192">
        <v>1.1985969617964649</v>
      </c>
    </row>
    <row r="12" spans="1:3" x14ac:dyDescent="0.25">
      <c r="A12" s="136" t="s">
        <v>246</v>
      </c>
      <c r="B12" s="185" t="s">
        <v>673</v>
      </c>
      <c r="C12" s="192">
        <v>1.3510454549069482</v>
      </c>
    </row>
    <row r="13" spans="1:3" x14ac:dyDescent="0.25">
      <c r="A13" s="136" t="s">
        <v>242</v>
      </c>
      <c r="B13" s="185" t="s">
        <v>673</v>
      </c>
      <c r="C13" s="192">
        <v>1.5295244799681529</v>
      </c>
    </row>
    <row r="14" spans="1:3" x14ac:dyDescent="0.25">
      <c r="A14" s="136" t="s">
        <v>256</v>
      </c>
      <c r="B14" s="185" t="s">
        <v>673</v>
      </c>
      <c r="C14" s="192">
        <v>2.8164250706222882</v>
      </c>
    </row>
    <row r="15" spans="1:3" x14ac:dyDescent="0.25">
      <c r="A15" s="136" t="s">
        <v>284</v>
      </c>
      <c r="B15" s="185" t="s">
        <v>673</v>
      </c>
      <c r="C15" s="192">
        <v>4.262018365878137</v>
      </c>
    </row>
    <row r="16" spans="1:3" x14ac:dyDescent="0.25">
      <c r="A16" s="136" t="s">
        <v>239</v>
      </c>
      <c r="B16" s="185" t="s">
        <v>673</v>
      </c>
      <c r="C16" s="192">
        <v>3.3602711423118103</v>
      </c>
    </row>
    <row r="17" spans="1:3" x14ac:dyDescent="0.25">
      <c r="A17" s="136" t="s">
        <v>258</v>
      </c>
      <c r="B17" s="185" t="s">
        <v>697</v>
      </c>
      <c r="C17" s="192">
        <v>3.3362307375127798</v>
      </c>
    </row>
    <row r="18" spans="1:3" x14ac:dyDescent="0.25">
      <c r="A18" s="136" t="s">
        <v>266</v>
      </c>
      <c r="B18" s="185" t="s">
        <v>673</v>
      </c>
      <c r="C18" s="192">
        <v>1.3751794210741128</v>
      </c>
    </row>
    <row r="19" spans="1:3" x14ac:dyDescent="0.25">
      <c r="A19" s="136" t="s">
        <v>252</v>
      </c>
      <c r="B19" s="185" t="s">
        <v>673</v>
      </c>
      <c r="C19" s="192">
        <v>2.4647367211404561</v>
      </c>
    </row>
    <row r="20" spans="1:3" x14ac:dyDescent="0.25">
      <c r="A20" s="136" t="s">
        <v>254</v>
      </c>
      <c r="B20" s="185" t="s">
        <v>673</v>
      </c>
      <c r="C20" s="192">
        <v>1.8563710010113432</v>
      </c>
    </row>
    <row r="21" spans="1:3" x14ac:dyDescent="0.25">
      <c r="A21" s="136" t="s">
        <v>262</v>
      </c>
      <c r="B21" s="185" t="s">
        <v>673</v>
      </c>
      <c r="C21" s="192">
        <v>10.744749696609457</v>
      </c>
    </row>
    <row r="22" spans="1:3" x14ac:dyDescent="0.25">
      <c r="A22" s="136" t="s">
        <v>264</v>
      </c>
      <c r="B22" s="185" t="s">
        <v>673</v>
      </c>
      <c r="C22" s="192">
        <v>10.15228229456989</v>
      </c>
    </row>
    <row r="23" spans="1:3" x14ac:dyDescent="0.25">
      <c r="A23" s="136" t="s">
        <v>282</v>
      </c>
      <c r="B23" s="185" t="s">
        <v>673</v>
      </c>
      <c r="C23" s="192">
        <v>1.7877148351104664</v>
      </c>
    </row>
    <row r="24" spans="1:3" x14ac:dyDescent="0.25">
      <c r="A24" s="136" t="s">
        <v>241</v>
      </c>
      <c r="B24" s="185" t="s">
        <v>673</v>
      </c>
      <c r="C24" s="192">
        <v>2.6190942927115026</v>
      </c>
    </row>
    <row r="25" spans="1:3" x14ac:dyDescent="0.25">
      <c r="A25" s="136" t="s">
        <v>270</v>
      </c>
      <c r="B25" s="185" t="s">
        <v>673</v>
      </c>
      <c r="C25" s="192">
        <v>4.037940696665812</v>
      </c>
    </row>
    <row r="26" spans="1:3" x14ac:dyDescent="0.25">
      <c r="A26" s="136" t="s">
        <v>341</v>
      </c>
      <c r="B26" s="185" t="s">
        <v>697</v>
      </c>
      <c r="C26" s="192">
        <v>0.4474205416025816</v>
      </c>
    </row>
    <row r="27" spans="1:3" x14ac:dyDescent="0.25">
      <c r="A27" s="136" t="s">
        <v>350</v>
      </c>
      <c r="B27" s="185" t="s">
        <v>697</v>
      </c>
      <c r="C27" s="192">
        <v>1.0367202051285227</v>
      </c>
    </row>
    <row r="28" spans="1:3" x14ac:dyDescent="0.25">
      <c r="A28" s="193" t="s">
        <v>319</v>
      </c>
      <c r="B28" s="185" t="s">
        <v>697</v>
      </c>
      <c r="C28" s="192">
        <v>1.1134935940025397</v>
      </c>
    </row>
    <row r="29" spans="1:3" x14ac:dyDescent="0.25">
      <c r="A29" s="136" t="s">
        <v>312</v>
      </c>
      <c r="B29" s="185" t="s">
        <v>697</v>
      </c>
      <c r="C29" s="192">
        <v>5.0655036329811631</v>
      </c>
    </row>
    <row r="30" spans="1:3" x14ac:dyDescent="0.25">
      <c r="A30" s="186" t="s">
        <v>329</v>
      </c>
      <c r="B30" s="185" t="s">
        <v>673</v>
      </c>
      <c r="C30" s="192">
        <v>5.7019834469756479</v>
      </c>
    </row>
    <row r="31" spans="1:3" x14ac:dyDescent="0.25">
      <c r="A31" s="136" t="s">
        <v>337</v>
      </c>
      <c r="B31" s="185" t="s">
        <v>697</v>
      </c>
      <c r="C31" s="192">
        <v>0.77827912736780092</v>
      </c>
    </row>
    <row r="32" spans="1:3" x14ac:dyDescent="0.25">
      <c r="A32" s="136" t="s">
        <v>327</v>
      </c>
      <c r="B32" s="185" t="s">
        <v>673</v>
      </c>
      <c r="C32" s="192">
        <v>5.9727739497559158</v>
      </c>
    </row>
    <row r="33" spans="1:3" x14ac:dyDescent="0.25">
      <c r="A33" s="136" t="s">
        <v>317</v>
      </c>
      <c r="B33" s="185" t="s">
        <v>697</v>
      </c>
      <c r="C33" s="192">
        <v>0.37684287609457234</v>
      </c>
    </row>
    <row r="34" spans="1:3" x14ac:dyDescent="0.25">
      <c r="A34" s="136" t="s">
        <v>343</v>
      </c>
      <c r="B34" s="185" t="s">
        <v>673</v>
      </c>
      <c r="C34" s="192">
        <v>6.0275881703713861</v>
      </c>
    </row>
    <row r="35" spans="1:3" x14ac:dyDescent="0.25">
      <c r="A35" s="193" t="s">
        <v>309</v>
      </c>
      <c r="B35" s="185" t="s">
        <v>697</v>
      </c>
      <c r="C35" s="192">
        <v>0.70725493400809891</v>
      </c>
    </row>
    <row r="36" spans="1:3" x14ac:dyDescent="0.25">
      <c r="A36" s="136" t="s">
        <v>348</v>
      </c>
      <c r="B36" s="185" t="s">
        <v>697</v>
      </c>
      <c r="C36" s="192">
        <v>2.4174307716662291</v>
      </c>
    </row>
    <row r="37" spans="1:3" x14ac:dyDescent="0.25">
      <c r="A37" s="136" t="s">
        <v>315</v>
      </c>
      <c r="B37" s="185" t="s">
        <v>697</v>
      </c>
      <c r="C37" s="192">
        <v>0.15089472113650237</v>
      </c>
    </row>
    <row r="38" spans="1:3" x14ac:dyDescent="0.25">
      <c r="A38" s="136" t="s">
        <v>325</v>
      </c>
      <c r="B38" s="185" t="s">
        <v>673</v>
      </c>
      <c r="C38" s="192">
        <v>4.3887485673235673</v>
      </c>
    </row>
    <row r="39" spans="1:3" x14ac:dyDescent="0.25">
      <c r="A39" s="136" t="s">
        <v>323</v>
      </c>
      <c r="B39" s="185" t="s">
        <v>673</v>
      </c>
      <c r="C39" s="192">
        <v>5.2238983299151851</v>
      </c>
    </row>
    <row r="40" spans="1:3" x14ac:dyDescent="0.25">
      <c r="A40" s="136" t="s">
        <v>346</v>
      </c>
      <c r="B40" s="185" t="s">
        <v>1230</v>
      </c>
      <c r="C40" s="192">
        <v>9.3609732231189877</v>
      </c>
    </row>
    <row r="41" spans="1:3" x14ac:dyDescent="0.25">
      <c r="A41" s="136" t="s">
        <v>30</v>
      </c>
      <c r="B41" s="185" t="s">
        <v>796</v>
      </c>
      <c r="C41" s="192">
        <v>0.15809623370782155</v>
      </c>
    </row>
    <row r="42" spans="1:3" x14ac:dyDescent="0.25">
      <c r="A42" s="136" t="s">
        <v>29</v>
      </c>
      <c r="B42" s="185" t="s">
        <v>1217</v>
      </c>
      <c r="C42" s="192">
        <v>19.834999342466848</v>
      </c>
    </row>
    <row r="43" spans="1:3" x14ac:dyDescent="0.25">
      <c r="A43" s="136" t="s">
        <v>33</v>
      </c>
      <c r="B43" s="185" t="s">
        <v>1217</v>
      </c>
      <c r="C43" s="192">
        <v>12.486065224161463</v>
      </c>
    </row>
    <row r="44" spans="1:3" x14ac:dyDescent="0.25">
      <c r="A44" s="136" t="s">
        <v>21</v>
      </c>
      <c r="B44" s="185" t="s">
        <v>639</v>
      </c>
      <c r="C44" s="192">
        <v>1.5797992800898704</v>
      </c>
    </row>
    <row r="45" spans="1:3" x14ac:dyDescent="0.25">
      <c r="A45" s="136" t="s">
        <v>17</v>
      </c>
      <c r="B45" s="185" t="s">
        <v>639</v>
      </c>
      <c r="C45" s="192">
        <v>1.0876401420946245</v>
      </c>
    </row>
    <row r="46" spans="1:3" x14ac:dyDescent="0.25">
      <c r="A46" s="136" t="s">
        <v>4</v>
      </c>
      <c r="B46" s="185" t="s">
        <v>639</v>
      </c>
      <c r="C46" s="192">
        <v>0.78440046838596356</v>
      </c>
    </row>
    <row r="47" spans="1:3" x14ac:dyDescent="0.25">
      <c r="A47" s="136" t="s">
        <v>7</v>
      </c>
      <c r="B47" s="185" t="s">
        <v>639</v>
      </c>
      <c r="C47" s="192">
        <v>0.20824727902294948</v>
      </c>
    </row>
    <row r="48" spans="1:3" x14ac:dyDescent="0.25">
      <c r="A48" s="136" t="s">
        <v>13</v>
      </c>
      <c r="B48" s="185" t="s">
        <v>639</v>
      </c>
      <c r="C48" s="192">
        <v>0.84749304721635399</v>
      </c>
    </row>
    <row r="49" spans="1:3" x14ac:dyDescent="0.25">
      <c r="A49" s="136" t="s">
        <v>25</v>
      </c>
      <c r="B49" s="185" t="s">
        <v>639</v>
      </c>
      <c r="C49" s="192">
        <v>0.87147615879849294</v>
      </c>
    </row>
    <row r="50" spans="1:3" x14ac:dyDescent="0.25">
      <c r="A50" s="186" t="s">
        <v>19</v>
      </c>
      <c r="B50" s="185" t="s">
        <v>664</v>
      </c>
      <c r="C50" s="192">
        <v>8.3788619521763046</v>
      </c>
    </row>
    <row r="51" spans="1:3" x14ac:dyDescent="0.25">
      <c r="A51" s="136" t="s">
        <v>23</v>
      </c>
      <c r="B51" s="185" t="s">
        <v>639</v>
      </c>
      <c r="C51" s="192">
        <v>4.108228790802368</v>
      </c>
    </row>
    <row r="52" spans="1:3" x14ac:dyDescent="0.25">
      <c r="A52" s="136" t="s">
        <v>208</v>
      </c>
      <c r="B52" s="185" t="s">
        <v>664</v>
      </c>
      <c r="C52" s="192">
        <v>0.62513510418653162</v>
      </c>
    </row>
    <row r="53" spans="1:3" x14ac:dyDescent="0.25">
      <c r="A53" s="136" t="s">
        <v>206</v>
      </c>
      <c r="B53" s="185" t="s">
        <v>664</v>
      </c>
      <c r="C53" s="192">
        <v>0.49034468319599833</v>
      </c>
    </row>
    <row r="54" spans="1:3" x14ac:dyDescent="0.25">
      <c r="A54" s="136" t="s">
        <v>216</v>
      </c>
      <c r="B54" s="185" t="s">
        <v>664</v>
      </c>
      <c r="C54" s="192">
        <v>0.32830807173487342</v>
      </c>
    </row>
    <row r="55" spans="1:3" x14ac:dyDescent="0.25">
      <c r="A55" s="136" t="s">
        <v>226</v>
      </c>
      <c r="B55" s="185" t="s">
        <v>1227</v>
      </c>
      <c r="C55" s="192">
        <v>14.236592976936194</v>
      </c>
    </row>
    <row r="56" spans="1:3" x14ac:dyDescent="0.25">
      <c r="A56" s="136" t="s">
        <v>212</v>
      </c>
      <c r="B56" s="185" t="s">
        <v>664</v>
      </c>
      <c r="C56" s="192">
        <v>17.689123339899055</v>
      </c>
    </row>
    <row r="57" spans="1:3" x14ac:dyDescent="0.25">
      <c r="A57" s="136" t="s">
        <v>201</v>
      </c>
      <c r="B57" s="185" t="s">
        <v>664</v>
      </c>
      <c r="C57" s="192">
        <v>2.4411071835305544</v>
      </c>
    </row>
    <row r="58" spans="1:3" x14ac:dyDescent="0.25">
      <c r="A58" s="136" t="s">
        <v>203</v>
      </c>
      <c r="B58" s="185" t="s">
        <v>664</v>
      </c>
      <c r="C58" s="192">
        <v>17.282528446236295</v>
      </c>
    </row>
    <row r="59" spans="1:3" x14ac:dyDescent="0.25">
      <c r="A59" s="136" t="s">
        <v>199</v>
      </c>
      <c r="B59" s="185" t="s">
        <v>1227</v>
      </c>
      <c r="C59" s="192">
        <v>19.860265975801305</v>
      </c>
    </row>
    <row r="60" spans="1:3" x14ac:dyDescent="0.25">
      <c r="A60" s="193" t="s">
        <v>220</v>
      </c>
      <c r="B60" s="185" t="s">
        <v>1227</v>
      </c>
      <c r="C60" s="192">
        <v>3.6887624513681017</v>
      </c>
    </row>
    <row r="61" spans="1:3" x14ac:dyDescent="0.25">
      <c r="A61" s="136" t="s">
        <v>150</v>
      </c>
      <c r="B61" s="185" t="s">
        <v>652</v>
      </c>
      <c r="C61" s="192">
        <v>1.0576516850656514</v>
      </c>
    </row>
    <row r="62" spans="1:3" x14ac:dyDescent="0.25">
      <c r="A62" s="136" t="s">
        <v>305</v>
      </c>
      <c r="B62" s="185" t="s">
        <v>623</v>
      </c>
      <c r="C62" s="192">
        <v>0.74396039478864395</v>
      </c>
    </row>
    <row r="63" spans="1:3" x14ac:dyDescent="0.25">
      <c r="A63" s="136" t="s">
        <v>307</v>
      </c>
      <c r="B63" s="185" t="s">
        <v>623</v>
      </c>
      <c r="C63" s="192">
        <v>0.74330366237812662</v>
      </c>
    </row>
    <row r="64" spans="1:3" x14ac:dyDescent="0.25">
      <c r="A64" s="136" t="s">
        <v>222</v>
      </c>
      <c r="B64" s="185" t="s">
        <v>755</v>
      </c>
      <c r="C64" s="192">
        <v>0.77978735578277303</v>
      </c>
    </row>
    <row r="65" spans="1:3" x14ac:dyDescent="0.25">
      <c r="A65" s="136" t="s">
        <v>189</v>
      </c>
      <c r="B65" s="185" t="s">
        <v>755</v>
      </c>
      <c r="C65" s="192">
        <v>0.38934692601696641</v>
      </c>
    </row>
    <row r="66" spans="1:3" x14ac:dyDescent="0.25">
      <c r="A66" s="136" t="s">
        <v>184</v>
      </c>
      <c r="B66" s="185" t="s">
        <v>755</v>
      </c>
      <c r="C66" s="192">
        <v>0.28829825866869707</v>
      </c>
    </row>
    <row r="67" spans="1:3" x14ac:dyDescent="0.25">
      <c r="A67" s="136" t="s">
        <v>228</v>
      </c>
      <c r="B67" s="185" t="s">
        <v>755</v>
      </c>
      <c r="C67" s="192">
        <v>0.77561767807574999</v>
      </c>
    </row>
    <row r="68" spans="1:3" x14ac:dyDescent="0.25">
      <c r="A68" s="136" t="s">
        <v>224</v>
      </c>
      <c r="B68" s="185" t="s">
        <v>755</v>
      </c>
      <c r="C68" s="192">
        <v>1.343152344964242</v>
      </c>
    </row>
    <row r="69" spans="1:3" x14ac:dyDescent="0.25">
      <c r="A69" s="136" t="s">
        <v>143</v>
      </c>
      <c r="B69" s="185" t="s">
        <v>1221</v>
      </c>
      <c r="C69" s="192">
        <v>28.422357500443528</v>
      </c>
    </row>
    <row r="70" spans="1:3" x14ac:dyDescent="0.25">
      <c r="A70" s="193" t="s">
        <v>299</v>
      </c>
      <c r="B70" s="185" t="s">
        <v>805</v>
      </c>
      <c r="C70" s="192">
        <v>1.3759254000531889</v>
      </c>
    </row>
    <row r="71" spans="1:3" x14ac:dyDescent="0.25">
      <c r="A71" s="136" t="s">
        <v>175</v>
      </c>
      <c r="B71" s="185" t="s">
        <v>632</v>
      </c>
      <c r="C71" s="192">
        <v>0.71141459237180937</v>
      </c>
    </row>
    <row r="72" spans="1:3" x14ac:dyDescent="0.25">
      <c r="A72" s="136" t="s">
        <v>172</v>
      </c>
      <c r="B72" s="185" t="s">
        <v>632</v>
      </c>
      <c r="C72" s="192">
        <v>1.815139598767344</v>
      </c>
    </row>
    <row r="73" spans="1:3" x14ac:dyDescent="0.25">
      <c r="A73" s="136" t="s">
        <v>177</v>
      </c>
      <c r="B73" s="185" t="s">
        <v>632</v>
      </c>
      <c r="C73" s="192">
        <v>0.86042374061342075</v>
      </c>
    </row>
    <row r="74" spans="1:3" x14ac:dyDescent="0.25">
      <c r="A74" s="136" t="s">
        <v>179</v>
      </c>
      <c r="B74" s="185" t="s">
        <v>1142</v>
      </c>
      <c r="C74" s="192">
        <v>1.7021273757523427</v>
      </c>
    </row>
    <row r="75" spans="1:3" x14ac:dyDescent="0.25">
      <c r="A75" s="136" t="s">
        <v>99</v>
      </c>
      <c r="B75" s="185" t="s">
        <v>1218</v>
      </c>
      <c r="C75" s="192">
        <v>0.79577754007276646</v>
      </c>
    </row>
    <row r="76" spans="1:3" x14ac:dyDescent="0.25">
      <c r="A76" s="136" t="s">
        <v>107</v>
      </c>
      <c r="B76" s="185" t="s">
        <v>1218</v>
      </c>
      <c r="C76" s="192">
        <v>2.9334852607184256</v>
      </c>
    </row>
    <row r="77" spans="1:3" x14ac:dyDescent="0.25">
      <c r="A77" s="136" t="s">
        <v>139</v>
      </c>
      <c r="B77" s="185" t="s">
        <v>1218</v>
      </c>
      <c r="C77" s="192">
        <v>1.5942018764815451</v>
      </c>
    </row>
    <row r="78" spans="1:3" x14ac:dyDescent="0.25">
      <c r="A78" s="136" t="s">
        <v>71</v>
      </c>
      <c r="B78" s="185" t="s">
        <v>1218</v>
      </c>
      <c r="C78" s="192">
        <v>4.4704963044882238</v>
      </c>
    </row>
    <row r="79" spans="1:3" x14ac:dyDescent="0.25">
      <c r="A79" s="136" t="s">
        <v>356</v>
      </c>
      <c r="B79" s="185" t="s">
        <v>1231</v>
      </c>
      <c r="C79" s="192">
        <v>32.827754639406997</v>
      </c>
    </row>
    <row r="80" spans="1:3" x14ac:dyDescent="0.25">
      <c r="A80" s="136" t="s">
        <v>333</v>
      </c>
      <c r="B80" s="185" t="s">
        <v>1231</v>
      </c>
      <c r="C80" s="192">
        <v>18.198335991626355</v>
      </c>
    </row>
    <row r="81" spans="1:3" x14ac:dyDescent="0.25">
      <c r="A81" s="136" t="s">
        <v>335</v>
      </c>
      <c r="B81" s="185" t="s">
        <v>1231</v>
      </c>
      <c r="C81" s="192">
        <v>21.287604662770121</v>
      </c>
    </row>
    <row r="82" spans="1:3" x14ac:dyDescent="0.25">
      <c r="A82" s="186" t="s">
        <v>352</v>
      </c>
      <c r="B82" s="185" t="s">
        <v>1226</v>
      </c>
      <c r="C82" s="192">
        <v>1.7420415164460403</v>
      </c>
    </row>
    <row r="83" spans="1:3" x14ac:dyDescent="0.25">
      <c r="A83" s="186" t="s">
        <v>314</v>
      </c>
      <c r="B83" s="185" t="s">
        <v>1226</v>
      </c>
      <c r="C83" s="192">
        <v>1.857513522619473</v>
      </c>
    </row>
    <row r="84" spans="1:3" x14ac:dyDescent="0.25">
      <c r="A84" s="136" t="s">
        <v>321</v>
      </c>
      <c r="B84" s="185" t="s">
        <v>1226</v>
      </c>
      <c r="C84" s="192">
        <v>28.888856599204185</v>
      </c>
    </row>
    <row r="85" spans="1:3" x14ac:dyDescent="0.25">
      <c r="A85" s="136" t="s">
        <v>345</v>
      </c>
      <c r="B85" s="185" t="s">
        <v>1226</v>
      </c>
      <c r="C85" s="192">
        <v>20.599512012485512</v>
      </c>
    </row>
    <row r="86" spans="1:3" x14ac:dyDescent="0.25">
      <c r="A86" s="136" t="s">
        <v>195</v>
      </c>
      <c r="B86" s="185" t="s">
        <v>1226</v>
      </c>
      <c r="C86" s="192">
        <v>7.985347533011188</v>
      </c>
    </row>
    <row r="87" spans="1:3" x14ac:dyDescent="0.25">
      <c r="A87" s="136" t="s">
        <v>193</v>
      </c>
      <c r="B87" s="185" t="s">
        <v>1226</v>
      </c>
      <c r="C87" s="192">
        <v>10.953347686331073</v>
      </c>
    </row>
    <row r="88" spans="1:3" x14ac:dyDescent="0.25">
      <c r="A88" s="136" t="s">
        <v>191</v>
      </c>
      <c r="B88" s="185" t="s">
        <v>1227</v>
      </c>
      <c r="C88" s="192">
        <v>18.65617244319267</v>
      </c>
    </row>
    <row r="89" spans="1:3" x14ac:dyDescent="0.25">
      <c r="A89" s="136" t="s">
        <v>218</v>
      </c>
      <c r="B89" s="185" t="s">
        <v>755</v>
      </c>
      <c r="C89" s="192">
        <v>8.953204937938569</v>
      </c>
    </row>
    <row r="90" spans="1:3" x14ac:dyDescent="0.25">
      <c r="A90" s="136" t="s">
        <v>197</v>
      </c>
      <c r="B90" s="185" t="s">
        <v>755</v>
      </c>
      <c r="C90" s="192">
        <v>18.620903555062636</v>
      </c>
    </row>
    <row r="91" spans="1:3" x14ac:dyDescent="0.25">
      <c r="A91" s="136" t="s">
        <v>187</v>
      </c>
      <c r="B91" s="185" t="s">
        <v>1222</v>
      </c>
      <c r="C91" s="192">
        <v>19.796407430638478</v>
      </c>
    </row>
    <row r="92" spans="1:3" x14ac:dyDescent="0.25">
      <c r="A92" s="136" t="s">
        <v>214</v>
      </c>
      <c r="B92" s="185" t="s">
        <v>755</v>
      </c>
      <c r="C92" s="192">
        <v>20.558236360788097</v>
      </c>
    </row>
    <row r="93" spans="1:3" x14ac:dyDescent="0.25">
      <c r="A93" s="136" t="s">
        <v>153</v>
      </c>
      <c r="B93" s="185" t="s">
        <v>1222</v>
      </c>
      <c r="C93" s="192">
        <v>10.509375400480517</v>
      </c>
    </row>
    <row r="94" spans="1:3" x14ac:dyDescent="0.25">
      <c r="A94" s="136" t="s">
        <v>159</v>
      </c>
      <c r="B94" s="185" t="s">
        <v>1222</v>
      </c>
      <c r="C94" s="192">
        <v>9.3704379947870464</v>
      </c>
    </row>
    <row r="95" spans="1:3" x14ac:dyDescent="0.25">
      <c r="A95" s="136" t="s">
        <v>155</v>
      </c>
      <c r="B95" s="185" t="s">
        <v>1222</v>
      </c>
      <c r="C95" s="192">
        <v>9.5650381623500511</v>
      </c>
    </row>
    <row r="96" spans="1:3" x14ac:dyDescent="0.25">
      <c r="A96" s="136" t="s">
        <v>157</v>
      </c>
      <c r="B96" s="185" t="s">
        <v>1222</v>
      </c>
      <c r="C96" s="192">
        <v>12.392289083396149</v>
      </c>
    </row>
    <row r="97" spans="1:3" x14ac:dyDescent="0.25">
      <c r="A97" s="136" t="s">
        <v>87</v>
      </c>
      <c r="B97" s="185" t="s">
        <v>1219</v>
      </c>
      <c r="C97" s="192">
        <v>1.1537462444167914</v>
      </c>
    </row>
    <row r="98" spans="1:3" x14ac:dyDescent="0.25">
      <c r="A98" s="186" t="s">
        <v>339</v>
      </c>
      <c r="B98" s="185" t="s">
        <v>1231</v>
      </c>
      <c r="C98" s="192">
        <v>34.344689881690819</v>
      </c>
    </row>
    <row r="99" spans="1:3" x14ac:dyDescent="0.25">
      <c r="A99" s="136" t="s">
        <v>286</v>
      </c>
      <c r="B99" s="185" t="s">
        <v>1225</v>
      </c>
      <c r="C99" s="192">
        <v>16.668825701583572</v>
      </c>
    </row>
    <row r="100" spans="1:3" x14ac:dyDescent="0.25">
      <c r="A100" s="136" t="s">
        <v>354</v>
      </c>
      <c r="B100" s="185" t="s">
        <v>1231</v>
      </c>
      <c r="C100" s="192">
        <v>17.035515422123492</v>
      </c>
    </row>
    <row r="101" spans="1:3" x14ac:dyDescent="0.25">
      <c r="A101" s="186" t="s">
        <v>272</v>
      </c>
      <c r="B101" s="185" t="s">
        <v>673</v>
      </c>
      <c r="C101" s="192">
        <v>12.627188913244609</v>
      </c>
    </row>
    <row r="102" spans="1:3" x14ac:dyDescent="0.25">
      <c r="A102" s="136" t="s">
        <v>11</v>
      </c>
      <c r="B102" s="185" t="s">
        <v>639</v>
      </c>
      <c r="C102" s="192">
        <v>1.1354007641426449</v>
      </c>
    </row>
    <row r="103" spans="1:3" x14ac:dyDescent="0.25">
      <c r="A103" s="136" t="s">
        <v>91</v>
      </c>
      <c r="B103" s="185" t="s">
        <v>1218</v>
      </c>
      <c r="C103" s="192">
        <v>0.75842119772531946</v>
      </c>
    </row>
    <row r="104" spans="1:3" x14ac:dyDescent="0.25">
      <c r="A104" s="136" t="s">
        <v>119</v>
      </c>
      <c r="B104" s="185" t="s">
        <v>1218</v>
      </c>
      <c r="C104" s="192">
        <v>6.3039408411778268</v>
      </c>
    </row>
    <row r="105" spans="1:3" x14ac:dyDescent="0.25">
      <c r="A105" s="136" t="s">
        <v>51</v>
      </c>
      <c r="B105" s="185" t="s">
        <v>1218</v>
      </c>
      <c r="C105" s="192">
        <v>5.184483270539272</v>
      </c>
    </row>
    <row r="106" spans="1:3" x14ac:dyDescent="0.25">
      <c r="A106" s="136" t="s">
        <v>75</v>
      </c>
      <c r="B106" s="185" t="s">
        <v>1218</v>
      </c>
      <c r="C106" s="192">
        <v>4.8862832644478198</v>
      </c>
    </row>
    <row r="107" spans="1:3" x14ac:dyDescent="0.25">
      <c r="A107" s="136" t="s">
        <v>40</v>
      </c>
      <c r="B107" s="185" t="s">
        <v>1218</v>
      </c>
      <c r="C107" s="192">
        <v>4.1842484710239098</v>
      </c>
    </row>
    <row r="108" spans="1:3" x14ac:dyDescent="0.25">
      <c r="A108" s="136" t="s">
        <v>61</v>
      </c>
      <c r="B108" s="185" t="s">
        <v>1218</v>
      </c>
      <c r="C108" s="192">
        <v>6.4753396248436657</v>
      </c>
    </row>
    <row r="109" spans="1:3" x14ac:dyDescent="0.25">
      <c r="A109" s="136" t="s">
        <v>89</v>
      </c>
      <c r="B109" s="185" t="s">
        <v>1218</v>
      </c>
      <c r="C109" s="192">
        <v>6.7094919928483892</v>
      </c>
    </row>
    <row r="110" spans="1:3" x14ac:dyDescent="0.25">
      <c r="A110" s="136" t="s">
        <v>117</v>
      </c>
      <c r="B110" s="185" t="s">
        <v>1218</v>
      </c>
      <c r="C110" s="192">
        <v>6.2085564346706201</v>
      </c>
    </row>
    <row r="111" spans="1:3" x14ac:dyDescent="0.25">
      <c r="A111" s="136" t="s">
        <v>123</v>
      </c>
      <c r="B111" s="185" t="s">
        <v>1218</v>
      </c>
      <c r="C111" s="192">
        <v>7.419312682373878</v>
      </c>
    </row>
    <row r="112" spans="1:3" x14ac:dyDescent="0.25">
      <c r="A112" s="136" t="s">
        <v>125</v>
      </c>
      <c r="B112" s="185" t="s">
        <v>1218</v>
      </c>
      <c r="C112" s="192">
        <v>4.6754712546149264</v>
      </c>
    </row>
    <row r="113" spans="1:3" x14ac:dyDescent="0.25">
      <c r="A113" s="136" t="s">
        <v>57</v>
      </c>
      <c r="B113" s="185" t="s">
        <v>1219</v>
      </c>
      <c r="C113" s="192">
        <v>23.222739740353646</v>
      </c>
    </row>
    <row r="114" spans="1:3" x14ac:dyDescent="0.25">
      <c r="A114" s="136" t="s">
        <v>42</v>
      </c>
      <c r="B114" s="185" t="s">
        <v>1218</v>
      </c>
      <c r="C114" s="192">
        <v>0.66733171900141897</v>
      </c>
    </row>
    <row r="115" spans="1:3" x14ac:dyDescent="0.25">
      <c r="A115" s="136" t="s">
        <v>45</v>
      </c>
      <c r="B115" s="185" t="s">
        <v>1218</v>
      </c>
      <c r="C115" s="192">
        <v>0.56771790814545575</v>
      </c>
    </row>
    <row r="116" spans="1:3" x14ac:dyDescent="0.25">
      <c r="A116" s="136" t="s">
        <v>46</v>
      </c>
      <c r="B116" s="185" t="s">
        <v>1218</v>
      </c>
      <c r="C116" s="192">
        <v>2.814225084976667</v>
      </c>
    </row>
    <row r="117" spans="1:3" x14ac:dyDescent="0.25">
      <c r="A117" s="136" t="s">
        <v>376</v>
      </c>
      <c r="B117" s="185" t="s">
        <v>639</v>
      </c>
      <c r="C117" s="192">
        <v>4.067486452659054</v>
      </c>
    </row>
    <row r="118" spans="1:3" x14ac:dyDescent="0.25">
      <c r="A118" s="136" t="s">
        <v>377</v>
      </c>
      <c r="B118" s="185" t="s">
        <v>639</v>
      </c>
      <c r="C118" s="192">
        <v>1.9489261822960435</v>
      </c>
    </row>
    <row r="119" spans="1:3" x14ac:dyDescent="0.25">
      <c r="A119" s="136" t="s">
        <v>391</v>
      </c>
      <c r="B119" s="185" t="s">
        <v>652</v>
      </c>
      <c r="C119" s="192">
        <v>0.51447052329458698</v>
      </c>
    </row>
    <row r="120" spans="1:3" x14ac:dyDescent="0.25">
      <c r="A120" s="136" t="s">
        <v>392</v>
      </c>
      <c r="B120" s="185" t="s">
        <v>664</v>
      </c>
      <c r="C120" s="192">
        <v>0.60629049139006752</v>
      </c>
    </row>
    <row r="121" spans="1:3" x14ac:dyDescent="0.25">
      <c r="A121" s="136" t="s">
        <v>393</v>
      </c>
      <c r="B121" s="185" t="s">
        <v>1227</v>
      </c>
      <c r="C121" s="192">
        <v>24.701686141136339</v>
      </c>
    </row>
    <row r="122" spans="1:3" x14ac:dyDescent="0.25">
      <c r="A122" s="136" t="s">
        <v>394</v>
      </c>
      <c r="B122" s="185" t="s">
        <v>623</v>
      </c>
      <c r="C122" s="192">
        <v>2.3794331620169178</v>
      </c>
    </row>
    <row r="123" spans="1:3" x14ac:dyDescent="0.25">
      <c r="A123" s="136" t="s">
        <v>524</v>
      </c>
      <c r="B123" s="185" t="s">
        <v>664</v>
      </c>
      <c r="C123" s="192">
        <v>13.446032768350749</v>
      </c>
    </row>
    <row r="124" spans="1:3" x14ac:dyDescent="0.25">
      <c r="A124" s="193" t="s">
        <v>817</v>
      </c>
      <c r="B124" s="185" t="s">
        <v>815</v>
      </c>
      <c r="C124" s="192">
        <v>0.23004407510846425</v>
      </c>
    </row>
    <row r="125" spans="1:3" x14ac:dyDescent="0.25">
      <c r="A125" s="186" t="s">
        <v>819</v>
      </c>
      <c r="B125" s="185" t="s">
        <v>1226</v>
      </c>
      <c r="C125" s="192">
        <v>2.3307568207764655</v>
      </c>
    </row>
    <row r="126" spans="1:3" x14ac:dyDescent="0.25">
      <c r="A126" s="193" t="s">
        <v>869</v>
      </c>
      <c r="B126" s="185" t="s">
        <v>1217</v>
      </c>
      <c r="C126" s="192">
        <v>0.18710270881855062</v>
      </c>
    </row>
    <row r="127" spans="1:3" x14ac:dyDescent="0.25">
      <c r="A127" s="136" t="s">
        <v>892</v>
      </c>
      <c r="B127" s="185" t="s">
        <v>652</v>
      </c>
      <c r="C127" s="192">
        <v>17.731070777343263</v>
      </c>
    </row>
    <row r="128" spans="1:3" x14ac:dyDescent="0.25">
      <c r="A128" s="193" t="s">
        <v>898</v>
      </c>
      <c r="B128" s="185" t="s">
        <v>1232</v>
      </c>
      <c r="C128" s="192">
        <v>1.7005689699647559</v>
      </c>
    </row>
    <row r="129" spans="1:3" x14ac:dyDescent="0.25">
      <c r="A129" s="193" t="s">
        <v>902</v>
      </c>
      <c r="B129" s="185" t="s">
        <v>1232</v>
      </c>
      <c r="C129" s="192">
        <v>1.136583238544624</v>
      </c>
    </row>
    <row r="130" spans="1:3" x14ac:dyDescent="0.25">
      <c r="A130" s="136" t="s">
        <v>948</v>
      </c>
      <c r="B130" s="185" t="s">
        <v>1219</v>
      </c>
      <c r="C130" s="192">
        <v>12.257552920582597</v>
      </c>
    </row>
    <row r="131" spans="1:3" x14ac:dyDescent="0.25">
      <c r="A131" s="136" t="s">
        <v>1027</v>
      </c>
      <c r="B131" s="185" t="s">
        <v>1216</v>
      </c>
      <c r="C131" s="192">
        <v>0</v>
      </c>
    </row>
    <row r="132" spans="1:3" x14ac:dyDescent="0.25">
      <c r="A132" s="94" t="s">
        <v>1042</v>
      </c>
      <c r="B132" s="185" t="s">
        <v>1222</v>
      </c>
      <c r="C132" s="192">
        <v>19.631786732140053</v>
      </c>
    </row>
    <row r="133" spans="1:3" x14ac:dyDescent="0.25">
      <c r="A133" s="194" t="s">
        <v>1050</v>
      </c>
      <c r="B133" s="185" t="s">
        <v>1232</v>
      </c>
      <c r="C133" s="192">
        <v>4.789460146835963</v>
      </c>
    </row>
    <row r="134" spans="1:3" x14ac:dyDescent="0.25">
      <c r="A134" s="136" t="s">
        <v>1069</v>
      </c>
      <c r="B134" s="185" t="s">
        <v>1222</v>
      </c>
      <c r="C134" s="192">
        <v>10.527586947557506</v>
      </c>
    </row>
    <row r="135" spans="1:3" x14ac:dyDescent="0.25">
      <c r="A135" s="136" t="s">
        <v>1073</v>
      </c>
      <c r="B135" s="185" t="s">
        <v>1218</v>
      </c>
      <c r="C135" s="192">
        <v>0.19374952337076978</v>
      </c>
    </row>
    <row r="136" spans="1:3" x14ac:dyDescent="0.25">
      <c r="A136" s="136" t="s">
        <v>1103</v>
      </c>
      <c r="B136" s="185" t="s">
        <v>1222</v>
      </c>
      <c r="C136" s="192">
        <v>9.2957189123335944</v>
      </c>
    </row>
    <row r="137" spans="1:3" x14ac:dyDescent="0.25">
      <c r="A137" s="136" t="s">
        <v>288</v>
      </c>
      <c r="B137" s="185" t="s">
        <v>1222</v>
      </c>
      <c r="C137" s="192">
        <v>1.5619149693996526</v>
      </c>
    </row>
    <row r="138" spans="1:3" x14ac:dyDescent="0.25">
      <c r="A138" s="136" t="s">
        <v>295</v>
      </c>
      <c r="B138" s="185" t="s">
        <v>1222</v>
      </c>
      <c r="C138" s="192">
        <v>1.5239325151406049</v>
      </c>
    </row>
    <row r="139" spans="1:3" x14ac:dyDescent="0.25">
      <c r="A139" s="136" t="s">
        <v>291</v>
      </c>
      <c r="B139" s="185" t="s">
        <v>1222</v>
      </c>
      <c r="C139" s="192">
        <v>1.7369508287203668</v>
      </c>
    </row>
    <row r="140" spans="1:3" x14ac:dyDescent="0.25">
      <c r="A140" s="136" t="s">
        <v>234</v>
      </c>
      <c r="B140" s="185" t="s">
        <v>1229</v>
      </c>
      <c r="C140" s="192">
        <v>7.490291417449443</v>
      </c>
    </row>
    <row r="141" spans="1:3" x14ac:dyDescent="0.25">
      <c r="A141" s="136" t="s">
        <v>147</v>
      </c>
      <c r="B141" s="185" t="s">
        <v>1223</v>
      </c>
      <c r="C141" s="192">
        <v>23.172399462804503</v>
      </c>
    </row>
    <row r="142" spans="1:3" x14ac:dyDescent="0.25">
      <c r="A142" s="136" t="s">
        <v>148</v>
      </c>
      <c r="B142" s="185" t="s">
        <v>1222</v>
      </c>
      <c r="C142" s="192">
        <v>21.148671772283631</v>
      </c>
    </row>
    <row r="143" spans="1:3" x14ac:dyDescent="0.25">
      <c r="A143" s="136" t="s">
        <v>165</v>
      </c>
      <c r="B143" s="185" t="s">
        <v>1224</v>
      </c>
      <c r="C143" s="192">
        <v>0.43878855438285824</v>
      </c>
    </row>
    <row r="144" spans="1:3" x14ac:dyDescent="0.25">
      <c r="A144" s="136" t="s">
        <v>168</v>
      </c>
      <c r="B144" s="185" t="s">
        <v>1229</v>
      </c>
      <c r="C144" s="192">
        <v>18.405283544772924</v>
      </c>
    </row>
    <row r="145" spans="1:3" x14ac:dyDescent="0.25">
      <c r="A145" s="136" t="s">
        <v>170</v>
      </c>
      <c r="B145" s="185" t="s">
        <v>1229</v>
      </c>
      <c r="C145" s="192">
        <v>12.794700705104317</v>
      </c>
    </row>
    <row r="146" spans="1:3" x14ac:dyDescent="0.25">
      <c r="A146" s="136" t="s">
        <v>232</v>
      </c>
      <c r="B146" s="185" t="s">
        <v>1228</v>
      </c>
      <c r="C146" s="192">
        <v>1.789574394782699</v>
      </c>
    </row>
    <row r="147" spans="1:3" x14ac:dyDescent="0.25">
      <c r="A147" s="136" t="s">
        <v>297</v>
      </c>
      <c r="B147" s="185" t="s">
        <v>823</v>
      </c>
      <c r="C147" s="192">
        <v>0.37588352961435612</v>
      </c>
    </row>
    <row r="148" spans="1:3" x14ac:dyDescent="0.25">
      <c r="A148" s="136" t="s">
        <v>382</v>
      </c>
      <c r="B148" s="185" t="s">
        <v>731</v>
      </c>
      <c r="C148" s="192">
        <v>11.65743881259678</v>
      </c>
    </row>
    <row r="149" spans="1:3" x14ac:dyDescent="0.25">
      <c r="A149" s="136" t="s">
        <v>383</v>
      </c>
      <c r="B149" s="185" t="s">
        <v>731</v>
      </c>
      <c r="C149" s="192">
        <v>1.9281430163271129</v>
      </c>
    </row>
    <row r="150" spans="1:3" x14ac:dyDescent="0.25">
      <c r="A150" s="136" t="s">
        <v>384</v>
      </c>
      <c r="B150" s="185" t="s">
        <v>731</v>
      </c>
      <c r="C150" s="192">
        <v>0.42212558305526549</v>
      </c>
    </row>
    <row r="151" spans="1:3" x14ac:dyDescent="0.25">
      <c r="A151" s="136" t="s">
        <v>385</v>
      </c>
      <c r="B151" s="185" t="s">
        <v>731</v>
      </c>
      <c r="C151" s="192">
        <v>21.050742639251741</v>
      </c>
    </row>
    <row r="152" spans="1:3" x14ac:dyDescent="0.25">
      <c r="A152" s="136" t="s">
        <v>387</v>
      </c>
      <c r="B152" s="185" t="s">
        <v>731</v>
      </c>
      <c r="C152" s="192">
        <v>13.632081902964599</v>
      </c>
    </row>
    <row r="153" spans="1:3" x14ac:dyDescent="0.25">
      <c r="A153" s="136" t="s">
        <v>388</v>
      </c>
      <c r="B153" s="185" t="s">
        <v>1229</v>
      </c>
      <c r="C153" s="192">
        <v>5.5919136174199959</v>
      </c>
    </row>
    <row r="154" spans="1:3" x14ac:dyDescent="0.25">
      <c r="A154" s="136" t="s">
        <v>844</v>
      </c>
      <c r="B154" s="185" t="s">
        <v>1220</v>
      </c>
      <c r="C154" s="192">
        <v>30.037709702375544</v>
      </c>
    </row>
    <row r="155" spans="1:3" x14ac:dyDescent="0.25">
      <c r="A155" s="136" t="s">
        <v>829</v>
      </c>
      <c r="B155" s="185" t="s">
        <v>1224</v>
      </c>
      <c r="C155" s="192">
        <v>0.71762888500316424</v>
      </c>
    </row>
    <row r="156" spans="1:3" x14ac:dyDescent="0.25">
      <c r="A156" s="136" t="s">
        <v>830</v>
      </c>
      <c r="B156" s="185" t="s">
        <v>823</v>
      </c>
      <c r="C156" s="192">
        <v>0.63626694856259092</v>
      </c>
    </row>
    <row r="157" spans="1:3" x14ac:dyDescent="0.25">
      <c r="A157" s="94" t="s">
        <v>1061</v>
      </c>
      <c r="B157" s="185" t="s">
        <v>1056</v>
      </c>
      <c r="C157" s="192">
        <v>1.989668595899414</v>
      </c>
    </row>
    <row r="158" spans="1:3" x14ac:dyDescent="0.25">
      <c r="A158" s="94" t="s">
        <v>1063</v>
      </c>
      <c r="B158" s="185" t="s">
        <v>1222</v>
      </c>
      <c r="C158" s="192">
        <v>2.0141034419413328</v>
      </c>
    </row>
    <row r="159" spans="1:3" x14ac:dyDescent="0.25">
      <c r="A159" s="94" t="s">
        <v>1067</v>
      </c>
      <c r="B159" s="185" t="s">
        <v>1222</v>
      </c>
      <c r="C159" s="192">
        <v>2.8590638493982405</v>
      </c>
    </row>
    <row r="160" spans="1:3" x14ac:dyDescent="0.25">
      <c r="A160" s="94" t="s">
        <v>1071</v>
      </c>
      <c r="B160" s="185" t="s">
        <v>1056</v>
      </c>
      <c r="C160" s="192">
        <v>2.1362355825722226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8" activePane="bottomLeft" state="frozen"/>
      <selection pane="bottomLeft" activeCell="G51" sqref="G51"/>
    </sheetView>
  </sheetViews>
  <sheetFormatPr defaultColWidth="9.140625" defaultRowHeight="15" x14ac:dyDescent="0.25"/>
  <cols>
    <col min="1" max="1" width="19.5703125" style="6" customWidth="1"/>
    <col min="2" max="2" width="16.28515625" style="6" customWidth="1"/>
    <col min="3" max="3" width="6.28515625" style="6" customWidth="1"/>
    <col min="4" max="5" width="11.28515625" style="6" customWidth="1"/>
    <col min="6" max="6" width="7" style="6" customWidth="1"/>
    <col min="7" max="7" width="16.42578125" style="6" customWidth="1"/>
    <col min="8" max="8" width="11.28515625" style="6" customWidth="1"/>
    <col min="9" max="9" width="7.28515625" style="6" customWidth="1"/>
    <col min="10" max="10" width="11.28515625" style="6" customWidth="1"/>
    <col min="11" max="11" width="8.7109375" style="6" customWidth="1"/>
    <col min="12" max="12" width="11.28515625" style="6" customWidth="1"/>
    <col min="13" max="13" width="12.28515625" style="6" customWidth="1"/>
    <col min="14" max="14" width="9.140625" style="6"/>
    <col min="15" max="15" width="0" style="6" hidden="1" customWidth="1"/>
    <col min="16" max="16" width="19.42578125" style="6" hidden="1" customWidth="1"/>
    <col min="17" max="17" width="20.5703125" style="6" hidden="1" customWidth="1"/>
    <col min="18" max="18" width="0" style="6" hidden="1" customWidth="1"/>
    <col min="19" max="22" width="9.140625" style="6"/>
    <col min="23" max="23" width="15.5703125" style="6" customWidth="1"/>
    <col min="24" max="24" width="10.7109375" style="6" customWidth="1"/>
    <col min="25" max="25" width="14.28515625" style="6" bestFit="1" customWidth="1"/>
    <col min="26" max="26" width="10.140625" style="6" customWidth="1"/>
    <col min="27" max="27" width="9.140625" style="6"/>
    <col min="28" max="28" width="7.42578125" style="6" customWidth="1"/>
    <col min="29" max="29" width="7" style="6" customWidth="1"/>
    <col min="30" max="30" width="6.5703125" style="6" customWidth="1"/>
    <col min="31" max="31" width="9.85546875" style="6" bestFit="1" customWidth="1"/>
    <col min="32" max="32" width="7.140625" style="6" customWidth="1"/>
    <col min="33" max="33" width="8.140625" style="6" customWidth="1"/>
    <col min="34" max="34" width="6" style="6" customWidth="1"/>
    <col min="35" max="35" width="8" style="6" customWidth="1"/>
    <col min="36" max="36" width="9.42578125" style="6" bestFit="1" customWidth="1"/>
    <col min="37" max="37" width="9" style="6" customWidth="1"/>
    <col min="38" max="38" width="10.85546875" style="6" bestFit="1" customWidth="1"/>
    <col min="39" max="39" width="9.85546875" style="6" bestFit="1" customWidth="1"/>
    <col min="40" max="40" width="13.85546875" style="6" bestFit="1" customWidth="1"/>
    <col min="41" max="42" width="7.28515625" style="6" customWidth="1"/>
    <col min="43" max="43" width="11.5703125" style="6" bestFit="1" customWidth="1"/>
    <col min="44" max="16384" width="9.140625" style="6"/>
  </cols>
  <sheetData>
    <row r="1" spans="1:59" s="129" customFormat="1" ht="36" x14ac:dyDescent="0.25">
      <c r="A1" s="303"/>
      <c r="B1" s="304"/>
      <c r="C1" s="304"/>
      <c r="D1" s="304"/>
      <c r="E1" s="304"/>
      <c r="F1" s="304"/>
      <c r="G1" s="304"/>
      <c r="H1" s="304"/>
      <c r="I1" s="304"/>
      <c r="J1" s="304"/>
      <c r="K1" s="304"/>
      <c r="L1" s="304"/>
      <c r="M1" s="304"/>
      <c r="N1" s="254"/>
      <c r="O1" s="6"/>
      <c r="P1" s="6"/>
      <c r="Q1" s="6"/>
      <c r="R1" s="6"/>
      <c r="S1" s="6"/>
      <c r="T1" s="6"/>
      <c r="U1" s="6"/>
      <c r="BF1" s="2"/>
      <c r="BG1" s="2"/>
    </row>
    <row r="2" spans="1:59" s="1" customFormat="1" ht="63.75" customHeight="1" x14ac:dyDescent="0.25">
      <c r="A2" s="324" t="s">
        <v>419</v>
      </c>
      <c r="B2" s="58"/>
      <c r="C2" s="58"/>
      <c r="D2" s="58"/>
      <c r="E2" s="58"/>
      <c r="F2" s="58"/>
      <c r="G2" s="58"/>
      <c r="H2" s="58"/>
      <c r="I2" s="58"/>
      <c r="J2" s="58"/>
      <c r="K2" s="58"/>
      <c r="L2" s="58"/>
      <c r="M2" s="58"/>
      <c r="N2" s="255"/>
      <c r="O2" s="6"/>
      <c r="P2" s="6"/>
      <c r="Q2" s="6"/>
      <c r="R2" s="6"/>
      <c r="S2" s="384"/>
      <c r="T2" s="384"/>
      <c r="U2" s="384"/>
      <c r="V2" s="251"/>
      <c r="BF2" s="59"/>
      <c r="BG2" s="59"/>
    </row>
    <row r="3" spans="1:59" s="18" customFormat="1" ht="18" customHeight="1" x14ac:dyDescent="0.25">
      <c r="A3" s="325">
        <f>Report_Date</f>
        <v>42309</v>
      </c>
      <c r="B3" s="326"/>
      <c r="C3" s="326"/>
      <c r="D3" s="326"/>
      <c r="E3" s="326"/>
      <c r="F3" s="326"/>
      <c r="G3" s="326"/>
      <c r="H3" s="326"/>
      <c r="I3" s="326"/>
      <c r="J3" s="326"/>
      <c r="K3" s="326"/>
      <c r="L3" s="326"/>
      <c r="M3" s="326"/>
      <c r="N3" s="327"/>
      <c r="O3" s="45"/>
      <c r="P3" s="45"/>
      <c r="Q3" s="45"/>
      <c r="R3" s="45"/>
      <c r="S3" s="385"/>
      <c r="T3" s="386"/>
      <c r="U3" s="386"/>
      <c r="V3" s="251"/>
      <c r="BF3" s="60"/>
      <c r="BG3" s="60"/>
    </row>
    <row r="4" spans="1:59" s="18" customFormat="1" ht="18" hidden="1" customHeight="1" x14ac:dyDescent="0.25">
      <c r="A4" s="214"/>
      <c r="B4" s="214"/>
      <c r="C4" s="234"/>
      <c r="D4" s="234"/>
      <c r="E4" s="234"/>
      <c r="F4" s="234"/>
      <c r="G4" s="235"/>
      <c r="H4" s="235"/>
      <c r="I4" s="235"/>
      <c r="J4" s="235"/>
      <c r="K4" s="39"/>
      <c r="L4" s="235"/>
      <c r="M4" s="235"/>
      <c r="N4" s="235"/>
      <c r="O4" s="45"/>
      <c r="P4" s="45"/>
      <c r="Q4" s="45"/>
      <c r="R4" s="45"/>
      <c r="S4" s="385"/>
      <c r="T4" s="386"/>
      <c r="U4" s="386"/>
      <c r="V4" s="251"/>
      <c r="BF4" s="60"/>
      <c r="BG4" s="60"/>
    </row>
    <row r="5" spans="1:59" s="18" customFormat="1" ht="16.5" customHeight="1" x14ac:dyDescent="0.25">
      <c r="A5" s="675" t="s">
        <v>396</v>
      </c>
      <c r="B5" s="675" t="s">
        <v>598</v>
      </c>
      <c r="C5" s="236"/>
      <c r="D5" s="236"/>
      <c r="E5" s="236"/>
      <c r="F5" s="236"/>
      <c r="G5" s="236"/>
      <c r="H5" s="236"/>
      <c r="I5" s="236"/>
      <c r="J5" s="236"/>
      <c r="K5" s="236"/>
      <c r="L5" s="235"/>
      <c r="M5" s="235"/>
      <c r="N5" s="235"/>
      <c r="O5" s="45"/>
      <c r="P5" s="45"/>
      <c r="Q5" s="45"/>
      <c r="R5" s="45"/>
      <c r="S5" s="385"/>
      <c r="T5" s="386"/>
      <c r="U5" s="386"/>
      <c r="V5" s="251"/>
      <c r="BF5" s="60"/>
      <c r="BG5" s="60"/>
    </row>
    <row r="6" spans="1:59" ht="18.75" x14ac:dyDescent="0.25">
      <c r="A6" s="675" t="s">
        <v>0</v>
      </c>
      <c r="B6" s="675" t="s">
        <v>598</v>
      </c>
      <c r="C6" s="254"/>
      <c r="S6" s="387"/>
      <c r="T6" s="384"/>
      <c r="U6" s="384"/>
      <c r="V6" s="384"/>
    </row>
    <row r="7" spans="1:59" x14ac:dyDescent="0.25">
      <c r="A7" s="741" t="s">
        <v>1272</v>
      </c>
      <c r="B7" s="740" t="s">
        <v>1213</v>
      </c>
      <c r="C7" s="258" t="s">
        <v>422</v>
      </c>
      <c r="P7" s="129"/>
      <c r="Q7" s="129"/>
      <c r="S7" s="384"/>
      <c r="T7" s="384"/>
      <c r="U7" s="384"/>
      <c r="V7" s="384"/>
    </row>
    <row r="8" spans="1:59" x14ac:dyDescent="0.25">
      <c r="P8" s="129"/>
      <c r="Q8" s="129"/>
      <c r="S8" s="384"/>
      <c r="T8" s="384"/>
      <c r="U8" s="384"/>
      <c r="V8" s="384"/>
    </row>
    <row r="9" spans="1:59" x14ac:dyDescent="0.25">
      <c r="A9" s="613" t="s">
        <v>415</v>
      </c>
      <c r="B9" s="614" t="s">
        <v>418</v>
      </c>
      <c r="C9" s="612" t="s">
        <v>417</v>
      </c>
      <c r="P9" s="503" t="s">
        <v>396</v>
      </c>
      <c r="Q9" s="500" t="s">
        <v>598</v>
      </c>
      <c r="R9" s="6" t="s">
        <v>422</v>
      </c>
      <c r="S9" s="384"/>
      <c r="T9" s="384"/>
      <c r="U9" s="384"/>
      <c r="V9" s="384"/>
    </row>
    <row r="10" spans="1:59" x14ac:dyDescent="0.25">
      <c r="A10" s="615" t="s">
        <v>502</v>
      </c>
      <c r="B10" s="616">
        <v>19506</v>
      </c>
      <c r="C10" s="617">
        <v>95922</v>
      </c>
      <c r="S10" s="384"/>
      <c r="T10" s="384"/>
      <c r="U10" s="384"/>
      <c r="V10" s="384"/>
      <c r="W10" s="129"/>
      <c r="X10" s="129"/>
    </row>
    <row r="11" spans="1:59" x14ac:dyDescent="0.25">
      <c r="A11" s="618" t="s">
        <v>5</v>
      </c>
      <c r="B11" s="616">
        <v>1578</v>
      </c>
      <c r="C11" s="617">
        <v>8185</v>
      </c>
      <c r="P11" s="500" t="s">
        <v>415</v>
      </c>
      <c r="Q11" s="500" t="s">
        <v>417</v>
      </c>
      <c r="R11" s="129"/>
      <c r="S11" s="384"/>
      <c r="T11" s="384"/>
      <c r="U11" s="384"/>
      <c r="V11" s="384"/>
      <c r="W11" s="129"/>
      <c r="X11" s="129"/>
    </row>
    <row r="12" spans="1:59" x14ac:dyDescent="0.25">
      <c r="A12" s="618" t="s">
        <v>27</v>
      </c>
      <c r="B12" s="616">
        <v>511</v>
      </c>
      <c r="C12" s="617">
        <v>2570</v>
      </c>
      <c r="P12" s="501" t="s">
        <v>5</v>
      </c>
      <c r="Q12" s="502"/>
      <c r="R12" s="129"/>
      <c r="S12" s="384"/>
      <c r="T12" s="384"/>
      <c r="U12" s="384"/>
      <c r="V12" s="384"/>
      <c r="W12" s="129"/>
      <c r="X12" s="129"/>
    </row>
    <row r="13" spans="1:59" x14ac:dyDescent="0.25">
      <c r="A13" s="618" t="s">
        <v>529</v>
      </c>
      <c r="B13" s="616">
        <v>724</v>
      </c>
      <c r="C13" s="617">
        <v>3574</v>
      </c>
      <c r="P13" s="507" t="s">
        <v>5</v>
      </c>
      <c r="Q13" s="502">
        <v>8185</v>
      </c>
      <c r="R13" s="129"/>
      <c r="S13" s="384"/>
      <c r="T13" s="384"/>
      <c r="U13" s="384"/>
      <c r="V13" s="384"/>
      <c r="W13" s="129"/>
      <c r="X13" s="129"/>
    </row>
    <row r="14" spans="1:59" x14ac:dyDescent="0.25">
      <c r="A14" s="618" t="s">
        <v>784</v>
      </c>
      <c r="B14" s="616">
        <v>111</v>
      </c>
      <c r="C14" s="617">
        <v>665</v>
      </c>
      <c r="P14" s="501" t="s">
        <v>27</v>
      </c>
      <c r="Q14" s="502"/>
      <c r="R14" s="129"/>
      <c r="W14" s="129"/>
      <c r="X14" s="129"/>
    </row>
    <row r="15" spans="1:59" x14ac:dyDescent="0.25">
      <c r="A15" s="618" t="s">
        <v>1204</v>
      </c>
      <c r="B15" s="616">
        <v>1465</v>
      </c>
      <c r="C15" s="617">
        <v>6884</v>
      </c>
      <c r="P15" s="507" t="s">
        <v>27</v>
      </c>
      <c r="Q15" s="502">
        <v>2570</v>
      </c>
      <c r="R15" s="129"/>
      <c r="W15" s="129"/>
      <c r="X15" s="129"/>
    </row>
    <row r="16" spans="1:59" x14ac:dyDescent="0.25">
      <c r="A16" s="618" t="s">
        <v>146</v>
      </c>
      <c r="B16" s="616">
        <v>686</v>
      </c>
      <c r="C16" s="617">
        <v>3291</v>
      </c>
      <c r="P16" s="501" t="s">
        <v>529</v>
      </c>
      <c r="Q16" s="502"/>
      <c r="R16" s="129"/>
      <c r="W16" s="129"/>
      <c r="X16" s="129"/>
    </row>
    <row r="17" spans="1:24" x14ac:dyDescent="0.25">
      <c r="A17" s="618" t="s">
        <v>151</v>
      </c>
      <c r="B17" s="616">
        <v>2758</v>
      </c>
      <c r="C17" s="617">
        <v>12643</v>
      </c>
      <c r="P17" s="507" t="s">
        <v>529</v>
      </c>
      <c r="Q17" s="502">
        <v>3574</v>
      </c>
      <c r="R17" s="129"/>
      <c r="W17" s="129"/>
      <c r="X17" s="129"/>
    </row>
    <row r="18" spans="1:24" x14ac:dyDescent="0.25">
      <c r="A18" s="618" t="s">
        <v>185</v>
      </c>
      <c r="B18" s="616">
        <v>4966</v>
      </c>
      <c r="C18" s="617">
        <v>24326</v>
      </c>
      <c r="P18" s="501" t="s">
        <v>784</v>
      </c>
      <c r="Q18" s="502"/>
      <c r="R18" s="129"/>
      <c r="W18" s="129"/>
      <c r="X18" s="129"/>
    </row>
    <row r="19" spans="1:24" x14ac:dyDescent="0.25">
      <c r="A19" s="618" t="s">
        <v>237</v>
      </c>
      <c r="B19" s="616">
        <v>1524</v>
      </c>
      <c r="C19" s="617">
        <v>7446</v>
      </c>
      <c r="P19" s="507" t="s">
        <v>784</v>
      </c>
      <c r="Q19" s="502">
        <v>665</v>
      </c>
      <c r="R19" s="129"/>
      <c r="W19" s="129"/>
      <c r="X19" s="129"/>
    </row>
    <row r="20" spans="1:24" x14ac:dyDescent="0.25">
      <c r="A20" s="618" t="s">
        <v>289</v>
      </c>
      <c r="B20" s="616">
        <v>382</v>
      </c>
      <c r="C20" s="617">
        <v>1896</v>
      </c>
      <c r="P20" s="501" t="s">
        <v>363</v>
      </c>
      <c r="Q20" s="502"/>
      <c r="R20" s="129"/>
      <c r="W20" s="129"/>
      <c r="X20" s="129"/>
    </row>
    <row r="21" spans="1:24" x14ac:dyDescent="0.25">
      <c r="A21" s="618" t="s">
        <v>310</v>
      </c>
      <c r="B21" s="616">
        <v>4801</v>
      </c>
      <c r="C21" s="617">
        <v>24442</v>
      </c>
      <c r="P21" s="507" t="s">
        <v>363</v>
      </c>
      <c r="Q21" s="502">
        <v>0</v>
      </c>
      <c r="R21" s="129"/>
      <c r="W21" s="129"/>
      <c r="X21" s="129"/>
    </row>
    <row r="22" spans="1:24" x14ac:dyDescent="0.25">
      <c r="A22" s="615" t="s">
        <v>849</v>
      </c>
      <c r="B22" s="616">
        <v>0</v>
      </c>
      <c r="C22" s="617">
        <v>0</v>
      </c>
      <c r="P22" s="501" t="s">
        <v>1204</v>
      </c>
      <c r="Q22" s="502"/>
      <c r="R22" s="129"/>
      <c r="W22" s="129"/>
      <c r="X22" s="129"/>
    </row>
    <row r="23" spans="1:24" x14ac:dyDescent="0.25">
      <c r="A23" s="618" t="s">
        <v>5</v>
      </c>
      <c r="B23" s="616">
        <v>0</v>
      </c>
      <c r="C23" s="617">
        <v>0</v>
      </c>
      <c r="P23" s="507" t="s">
        <v>144</v>
      </c>
      <c r="Q23" s="502">
        <v>17</v>
      </c>
      <c r="R23" s="129"/>
      <c r="W23" s="129"/>
      <c r="X23" s="129"/>
    </row>
    <row r="24" spans="1:24" x14ac:dyDescent="0.25">
      <c r="A24" s="618" t="s">
        <v>27</v>
      </c>
      <c r="B24" s="616">
        <v>0</v>
      </c>
      <c r="C24" s="617">
        <v>0</v>
      </c>
      <c r="P24" s="507" t="s">
        <v>899</v>
      </c>
      <c r="Q24" s="502">
        <v>0</v>
      </c>
      <c r="R24" s="129"/>
      <c r="W24" s="129"/>
      <c r="X24" s="129"/>
    </row>
    <row r="25" spans="1:24" x14ac:dyDescent="0.25">
      <c r="A25" s="618" t="s">
        <v>529</v>
      </c>
      <c r="B25" s="616">
        <v>0</v>
      </c>
      <c r="C25" s="617">
        <v>0</v>
      </c>
      <c r="P25" s="507" t="s">
        <v>166</v>
      </c>
      <c r="Q25" s="502">
        <v>355</v>
      </c>
      <c r="R25" s="129"/>
      <c r="W25" s="129"/>
      <c r="X25" s="129"/>
    </row>
    <row r="26" spans="1:24" x14ac:dyDescent="0.25">
      <c r="A26" s="618" t="s">
        <v>363</v>
      </c>
      <c r="B26" s="616">
        <v>0</v>
      </c>
      <c r="C26" s="617">
        <v>0</v>
      </c>
      <c r="P26" s="507" t="s">
        <v>173</v>
      </c>
      <c r="Q26" s="502">
        <v>472</v>
      </c>
      <c r="R26" s="129"/>
      <c r="W26" s="129"/>
      <c r="X26" s="129"/>
    </row>
    <row r="27" spans="1:24" x14ac:dyDescent="0.25">
      <c r="A27" s="618" t="s">
        <v>1204</v>
      </c>
      <c r="B27" s="616">
        <v>0</v>
      </c>
      <c r="C27" s="617">
        <v>0</v>
      </c>
      <c r="P27" s="507" t="s">
        <v>180</v>
      </c>
      <c r="Q27" s="502">
        <v>420</v>
      </c>
      <c r="W27" s="129"/>
      <c r="X27" s="129"/>
    </row>
    <row r="28" spans="1:24" x14ac:dyDescent="0.25">
      <c r="A28" s="618" t="s">
        <v>146</v>
      </c>
      <c r="B28" s="616">
        <v>0</v>
      </c>
      <c r="C28" s="617">
        <v>0</v>
      </c>
      <c r="P28" s="507" t="s">
        <v>230</v>
      </c>
      <c r="Q28" s="502">
        <v>1211</v>
      </c>
      <c r="W28" s="129"/>
      <c r="X28" s="129"/>
    </row>
    <row r="29" spans="1:24" x14ac:dyDescent="0.25">
      <c r="A29" s="618" t="s">
        <v>151</v>
      </c>
      <c r="B29" s="616">
        <v>0</v>
      </c>
      <c r="C29" s="617">
        <v>0</v>
      </c>
      <c r="P29" s="507" t="s">
        <v>298</v>
      </c>
      <c r="Q29" s="502">
        <v>561</v>
      </c>
      <c r="W29" s="129"/>
      <c r="X29" s="129"/>
    </row>
    <row r="30" spans="1:24" x14ac:dyDescent="0.25">
      <c r="A30" s="618" t="s">
        <v>185</v>
      </c>
      <c r="B30" s="616"/>
      <c r="C30" s="617"/>
      <c r="P30" s="507" t="s">
        <v>300</v>
      </c>
      <c r="Q30" s="502">
        <v>394</v>
      </c>
      <c r="W30" s="129"/>
      <c r="X30" s="129"/>
    </row>
    <row r="31" spans="1:24" x14ac:dyDescent="0.25">
      <c r="A31" s="618" t="s">
        <v>237</v>
      </c>
      <c r="B31" s="616">
        <v>0</v>
      </c>
      <c r="C31" s="617">
        <v>0</v>
      </c>
      <c r="P31" s="507" t="s">
        <v>302</v>
      </c>
      <c r="Q31" s="502">
        <v>2222</v>
      </c>
      <c r="W31" s="129"/>
      <c r="X31" s="129"/>
    </row>
    <row r="32" spans="1:24" x14ac:dyDescent="0.25">
      <c r="A32" s="618" t="s">
        <v>289</v>
      </c>
      <c r="B32" s="616">
        <v>0</v>
      </c>
      <c r="C32" s="617">
        <v>0</v>
      </c>
      <c r="P32" s="507" t="s">
        <v>813</v>
      </c>
      <c r="Q32" s="502">
        <v>1232</v>
      </c>
      <c r="W32" s="129"/>
      <c r="X32" s="129"/>
    </row>
    <row r="33" spans="1:24" x14ac:dyDescent="0.25">
      <c r="A33" s="618" t="s">
        <v>310</v>
      </c>
      <c r="B33" s="616">
        <v>0</v>
      </c>
      <c r="C33" s="617">
        <v>0</v>
      </c>
      <c r="P33" s="501" t="s">
        <v>146</v>
      </c>
      <c r="Q33" s="502"/>
      <c r="W33" s="129"/>
      <c r="X33" s="129"/>
    </row>
    <row r="34" spans="1:24" x14ac:dyDescent="0.25">
      <c r="A34" s="619" t="s">
        <v>416</v>
      </c>
      <c r="B34" s="620">
        <v>19506</v>
      </c>
      <c r="C34" s="721">
        <v>95922</v>
      </c>
      <c r="P34" s="507" t="s">
        <v>146</v>
      </c>
      <c r="Q34" s="502">
        <v>3291</v>
      </c>
      <c r="W34" s="129"/>
      <c r="X34" s="129"/>
    </row>
    <row r="35" spans="1:24" x14ac:dyDescent="0.25">
      <c r="A35"/>
      <c r="B35"/>
      <c r="C35"/>
      <c r="P35" s="501" t="s">
        <v>151</v>
      </c>
      <c r="Q35" s="502"/>
      <c r="W35" s="129"/>
      <c r="X35" s="129"/>
    </row>
    <row r="36" spans="1:24" hidden="1" x14ac:dyDescent="0.25">
      <c r="A36"/>
      <c r="B36"/>
      <c r="C36"/>
      <c r="P36" s="507" t="s">
        <v>151</v>
      </c>
      <c r="Q36" s="502">
        <v>12643</v>
      </c>
      <c r="W36" s="129"/>
      <c r="X36" s="129"/>
    </row>
    <row r="37" spans="1:24" hidden="1" x14ac:dyDescent="0.25">
      <c r="P37" s="501" t="s">
        <v>185</v>
      </c>
      <c r="Q37" s="502"/>
      <c r="W37" s="129"/>
      <c r="X37" s="129"/>
    </row>
    <row r="38" spans="1:24" hidden="1" x14ac:dyDescent="0.25">
      <c r="P38" s="507" t="s">
        <v>185</v>
      </c>
      <c r="Q38" s="502">
        <v>24326</v>
      </c>
      <c r="W38" s="129"/>
      <c r="X38" s="129"/>
    </row>
    <row r="39" spans="1:24" hidden="1" x14ac:dyDescent="0.25">
      <c r="P39" s="501" t="s">
        <v>237</v>
      </c>
      <c r="Q39" s="502"/>
      <c r="W39" s="129"/>
      <c r="X39" s="129"/>
    </row>
    <row r="40" spans="1:24" hidden="1" x14ac:dyDescent="0.25">
      <c r="P40" s="507" t="s">
        <v>237</v>
      </c>
      <c r="Q40" s="502">
        <v>7446</v>
      </c>
      <c r="W40" s="129"/>
      <c r="X40" s="129"/>
    </row>
    <row r="41" spans="1:24" hidden="1" x14ac:dyDescent="0.25">
      <c r="P41" s="501" t="s">
        <v>289</v>
      </c>
      <c r="Q41" s="502"/>
      <c r="W41" s="129"/>
      <c r="X41" s="129"/>
    </row>
    <row r="42" spans="1:24" hidden="1" x14ac:dyDescent="0.25">
      <c r="P42" s="507" t="s">
        <v>289</v>
      </c>
      <c r="Q42" s="502">
        <v>1896</v>
      </c>
      <c r="W42" s="129"/>
      <c r="X42" s="129"/>
    </row>
    <row r="43" spans="1:24" x14ac:dyDescent="0.25">
      <c r="A43" s="637" t="s">
        <v>396</v>
      </c>
      <c r="B43" s="629" t="s">
        <v>598</v>
      </c>
      <c r="P43" s="501" t="s">
        <v>310</v>
      </c>
      <c r="Q43" s="502"/>
      <c r="W43" s="129"/>
      <c r="X43" s="129"/>
    </row>
    <row r="44" spans="1:24" x14ac:dyDescent="0.25">
      <c r="A44" s="637" t="s">
        <v>1272</v>
      </c>
      <c r="B44" s="629" t="s">
        <v>1213</v>
      </c>
      <c r="C44" s="383" t="s">
        <v>422</v>
      </c>
      <c r="P44" s="507" t="s">
        <v>310</v>
      </c>
      <c r="Q44" s="502">
        <v>28892</v>
      </c>
      <c r="W44" s="129"/>
      <c r="X44" s="129"/>
    </row>
    <row r="45" spans="1:24" x14ac:dyDescent="0.25">
      <c r="P45" s="720" t="s">
        <v>416</v>
      </c>
      <c r="Q45" s="719">
        <v>100372</v>
      </c>
      <c r="W45" s="129"/>
      <c r="X45" s="129"/>
    </row>
    <row r="46" spans="1:24" x14ac:dyDescent="0.25">
      <c r="A46" s="623" t="s">
        <v>832</v>
      </c>
      <c r="B46" s="536" t="s">
        <v>831</v>
      </c>
      <c r="C46" s="536"/>
      <c r="D46" s="537"/>
      <c r="E46"/>
      <c r="P46"/>
      <c r="Q46"/>
      <c r="W46" s="129"/>
      <c r="X46" s="129"/>
    </row>
    <row r="47" spans="1:24" x14ac:dyDescent="0.25">
      <c r="A47" s="624" t="s">
        <v>415</v>
      </c>
      <c r="B47" s="514" t="s">
        <v>513</v>
      </c>
      <c r="C47" s="514" t="s">
        <v>515</v>
      </c>
      <c r="D47" s="538" t="s">
        <v>416</v>
      </c>
      <c r="E47"/>
      <c r="P47"/>
      <c r="Q47"/>
      <c r="W47" s="129"/>
      <c r="X47" s="129"/>
    </row>
    <row r="48" spans="1:24" x14ac:dyDescent="0.25">
      <c r="A48" s="631" t="s">
        <v>502</v>
      </c>
      <c r="B48" s="632">
        <v>53559</v>
      </c>
      <c r="C48" s="632">
        <v>42363</v>
      </c>
      <c r="D48" s="633">
        <v>95922</v>
      </c>
      <c r="E48"/>
      <c r="W48" s="129"/>
      <c r="X48" s="129"/>
    </row>
    <row r="49" spans="1:24" x14ac:dyDescent="0.25">
      <c r="A49" s="631" t="s">
        <v>849</v>
      </c>
      <c r="B49" s="632">
        <v>0</v>
      </c>
      <c r="C49" s="632">
        <v>0</v>
      </c>
      <c r="D49" s="633">
        <v>0</v>
      </c>
      <c r="E49"/>
      <c r="W49" s="129"/>
      <c r="X49" s="129"/>
    </row>
    <row r="50" spans="1:24" x14ac:dyDescent="0.25">
      <c r="A50" s="722" t="s">
        <v>416</v>
      </c>
      <c r="B50" s="723">
        <v>53559</v>
      </c>
      <c r="C50" s="723">
        <v>42363</v>
      </c>
      <c r="D50" s="721">
        <v>95922</v>
      </c>
      <c r="E50"/>
      <c r="W50" s="129"/>
      <c r="X50" s="129"/>
    </row>
    <row r="51" spans="1:24" x14ac:dyDescent="0.25">
      <c r="A51"/>
      <c r="B51"/>
      <c r="C51"/>
      <c r="D51"/>
      <c r="E51"/>
      <c r="W51" s="129"/>
      <c r="X51" s="129"/>
    </row>
    <row r="52" spans="1:24" s="500" customFormat="1" x14ac:dyDescent="0.25">
      <c r="A52" s="497"/>
      <c r="B52" s="497"/>
      <c r="C52" s="497"/>
      <c r="D52" s="497"/>
      <c r="E52" s="497"/>
      <c r="W52" s="497"/>
      <c r="X52" s="497"/>
    </row>
    <row r="53" spans="1:24" x14ac:dyDescent="0.25">
      <c r="A53" s="675" t="s">
        <v>500</v>
      </c>
      <c r="B53" s="675" t="s">
        <v>502</v>
      </c>
      <c r="W53" s="129"/>
      <c r="X53" s="129"/>
    </row>
    <row r="54" spans="1:24" x14ac:dyDescent="0.25">
      <c r="A54" s="637" t="s">
        <v>1272</v>
      </c>
      <c r="B54" s="629" t="s">
        <v>1213</v>
      </c>
    </row>
    <row r="56" spans="1:24" x14ac:dyDescent="0.25">
      <c r="A56" s="623" t="s">
        <v>832</v>
      </c>
      <c r="B56" s="536" t="s">
        <v>831</v>
      </c>
      <c r="C56" s="536"/>
      <c r="D56" s="537"/>
    </row>
    <row r="57" spans="1:24" x14ac:dyDescent="0.25">
      <c r="A57" s="624" t="s">
        <v>415</v>
      </c>
      <c r="B57" s="514" t="s">
        <v>513</v>
      </c>
      <c r="C57" s="514" t="s">
        <v>515</v>
      </c>
      <c r="D57" s="538" t="s">
        <v>416</v>
      </c>
    </row>
    <row r="58" spans="1:24" x14ac:dyDescent="0.25">
      <c r="A58" s="634" t="s">
        <v>556</v>
      </c>
      <c r="B58" s="635">
        <v>48431</v>
      </c>
      <c r="C58" s="635">
        <v>38543</v>
      </c>
      <c r="D58" s="636">
        <v>86974</v>
      </c>
    </row>
    <row r="59" spans="1:24" x14ac:dyDescent="0.25">
      <c r="A59" s="634" t="s">
        <v>12</v>
      </c>
      <c r="B59" s="635">
        <v>4989</v>
      </c>
      <c r="C59" s="635">
        <v>2773</v>
      </c>
      <c r="D59" s="636">
        <v>7762</v>
      </c>
    </row>
    <row r="60" spans="1:24" x14ac:dyDescent="0.25">
      <c r="A60" s="634" t="s">
        <v>993</v>
      </c>
      <c r="B60" s="635">
        <v>139</v>
      </c>
      <c r="C60" s="635">
        <v>1047</v>
      </c>
      <c r="D60" s="636">
        <v>1186</v>
      </c>
    </row>
    <row r="61" spans="1:24" x14ac:dyDescent="0.25">
      <c r="A61" s="626" t="s">
        <v>416</v>
      </c>
      <c r="B61" s="627">
        <v>53559</v>
      </c>
      <c r="C61" s="627">
        <v>42363</v>
      </c>
      <c r="D61" s="628">
        <v>95922</v>
      </c>
    </row>
    <row r="62" spans="1:24" x14ac:dyDescent="0.25">
      <c r="A62"/>
      <c r="B62"/>
      <c r="C62"/>
      <c r="D62"/>
    </row>
    <row r="65" spans="1:4" x14ac:dyDescent="0.25">
      <c r="A65" s="621" t="s">
        <v>500</v>
      </c>
      <c r="B65" s="622" t="s">
        <v>502</v>
      </c>
    </row>
    <row r="66" spans="1:4" x14ac:dyDescent="0.25">
      <c r="A66" s="621" t="s">
        <v>1272</v>
      </c>
      <c r="B66" s="622" t="s">
        <v>1213</v>
      </c>
    </row>
    <row r="68" spans="1:4" x14ac:dyDescent="0.25">
      <c r="A68" s="644" t="s">
        <v>947</v>
      </c>
      <c r="B68" s="645" t="s">
        <v>831</v>
      </c>
      <c r="C68" s="610"/>
      <c r="D68" s="611"/>
    </row>
    <row r="69" spans="1:4" x14ac:dyDescent="0.25">
      <c r="A69" s="646" t="s">
        <v>415</v>
      </c>
      <c r="B69" s="498" t="s">
        <v>513</v>
      </c>
      <c r="C69" s="498" t="s">
        <v>515</v>
      </c>
      <c r="D69" s="554" t="s">
        <v>416</v>
      </c>
    </row>
    <row r="70" spans="1:4" x14ac:dyDescent="0.25">
      <c r="A70" s="647" t="s">
        <v>556</v>
      </c>
      <c r="B70" s="539">
        <v>120</v>
      </c>
      <c r="C70" s="539">
        <v>18</v>
      </c>
      <c r="D70" s="648">
        <v>138</v>
      </c>
    </row>
    <row r="71" spans="1:4" x14ac:dyDescent="0.25">
      <c r="A71" s="647" t="s">
        <v>12</v>
      </c>
      <c r="B71" s="539">
        <v>22</v>
      </c>
      <c r="C71" s="539">
        <v>4</v>
      </c>
      <c r="D71" s="648">
        <v>26</v>
      </c>
    </row>
    <row r="72" spans="1:4" x14ac:dyDescent="0.25">
      <c r="A72" s="647" t="s">
        <v>993</v>
      </c>
      <c r="B72" s="539">
        <v>2</v>
      </c>
      <c r="C72" s="539">
        <v>1</v>
      </c>
      <c r="D72" s="648">
        <v>3</v>
      </c>
    </row>
    <row r="73" spans="1:4" x14ac:dyDescent="0.25">
      <c r="A73" s="649" t="s">
        <v>416</v>
      </c>
      <c r="B73" s="650">
        <v>144</v>
      </c>
      <c r="C73" s="650">
        <v>23</v>
      </c>
      <c r="D73" s="651">
        <v>167</v>
      </c>
    </row>
    <row r="74" spans="1:4" x14ac:dyDescent="0.25">
      <c r="A74"/>
      <c r="B74"/>
      <c r="C74"/>
      <c r="D74"/>
    </row>
    <row r="78" spans="1:4" x14ac:dyDescent="0.25">
      <c r="A78" s="675" t="s">
        <v>500</v>
      </c>
      <c r="B78" s="676" t="s">
        <v>502</v>
      </c>
    </row>
    <row r="79" spans="1:4" x14ac:dyDescent="0.25">
      <c r="A79" s="741" t="s">
        <v>1272</v>
      </c>
      <c r="B79" s="740" t="s">
        <v>1213</v>
      </c>
      <c r="C79" s="383" t="s">
        <v>422</v>
      </c>
    </row>
    <row r="81" spans="1:4" x14ac:dyDescent="0.25">
      <c r="A81" s="623" t="s">
        <v>415</v>
      </c>
      <c r="B81" s="536" t="s">
        <v>1197</v>
      </c>
      <c r="C81" s="536" t="s">
        <v>832</v>
      </c>
      <c r="D81" s="537" t="s">
        <v>1198</v>
      </c>
    </row>
    <row r="82" spans="1:4" x14ac:dyDescent="0.25">
      <c r="A82" s="625" t="s">
        <v>380</v>
      </c>
      <c r="B82" s="630">
        <v>139</v>
      </c>
      <c r="C82" s="630">
        <v>87943</v>
      </c>
      <c r="D82" s="638">
        <v>0.91681783115447968</v>
      </c>
    </row>
    <row r="83" spans="1:4" x14ac:dyDescent="0.25">
      <c r="A83" s="618" t="s">
        <v>513</v>
      </c>
      <c r="B83" s="616"/>
      <c r="C83" s="616"/>
      <c r="D83" s="639"/>
    </row>
    <row r="84" spans="1:4" x14ac:dyDescent="0.25">
      <c r="A84" s="640" t="s">
        <v>993</v>
      </c>
      <c r="B84" s="616">
        <v>2</v>
      </c>
      <c r="C84" s="616">
        <v>139</v>
      </c>
      <c r="D84" s="641">
        <v>1.4490940555868309E-3</v>
      </c>
    </row>
    <row r="85" spans="1:4" x14ac:dyDescent="0.25">
      <c r="A85" s="640" t="s">
        <v>556</v>
      </c>
      <c r="B85" s="616">
        <v>100</v>
      </c>
      <c r="C85" s="616">
        <v>42150</v>
      </c>
      <c r="D85" s="641">
        <v>0.43941952836679804</v>
      </c>
    </row>
    <row r="86" spans="1:4" x14ac:dyDescent="0.25">
      <c r="A86" s="640" t="s">
        <v>12</v>
      </c>
      <c r="B86" s="616">
        <v>19</v>
      </c>
      <c r="C86" s="616">
        <v>4469</v>
      </c>
      <c r="D86" s="641">
        <v>4.65899376576802E-2</v>
      </c>
    </row>
    <row r="87" spans="1:4" x14ac:dyDescent="0.25">
      <c r="A87" s="618" t="s">
        <v>515</v>
      </c>
      <c r="B87" s="616"/>
      <c r="C87" s="616"/>
      <c r="D87" s="641"/>
    </row>
    <row r="88" spans="1:4" x14ac:dyDescent="0.25">
      <c r="A88" s="640" t="s">
        <v>993</v>
      </c>
      <c r="B88" s="616">
        <v>1</v>
      </c>
      <c r="C88" s="616">
        <v>1047</v>
      </c>
      <c r="D88" s="641">
        <v>1.0915118533808719E-2</v>
      </c>
    </row>
    <row r="89" spans="1:4" x14ac:dyDescent="0.25">
      <c r="A89" s="640" t="s">
        <v>556</v>
      </c>
      <c r="B89" s="616">
        <v>16</v>
      </c>
      <c r="C89" s="616">
        <v>38447</v>
      </c>
      <c r="D89" s="641">
        <v>0.40081524572048122</v>
      </c>
    </row>
    <row r="90" spans="1:4" x14ac:dyDescent="0.25">
      <c r="A90" s="640" t="s">
        <v>12</v>
      </c>
      <c r="B90" s="616">
        <v>1</v>
      </c>
      <c r="C90" s="616">
        <v>1691</v>
      </c>
      <c r="D90" s="641">
        <v>1.7628906820124683E-2</v>
      </c>
    </row>
    <row r="91" spans="1:4" x14ac:dyDescent="0.25">
      <c r="A91" s="642" t="s">
        <v>555</v>
      </c>
      <c r="B91" s="616">
        <v>28</v>
      </c>
      <c r="C91" s="616">
        <v>7979</v>
      </c>
      <c r="D91" s="641">
        <v>8.3182168845520321E-2</v>
      </c>
    </row>
    <row r="92" spans="1:4" x14ac:dyDescent="0.25">
      <c r="A92" s="619" t="s">
        <v>416</v>
      </c>
      <c r="B92" s="620">
        <v>167</v>
      </c>
      <c r="C92" s="620">
        <v>95922</v>
      </c>
      <c r="D92" s="643">
        <v>1</v>
      </c>
    </row>
    <row r="93" spans="1:4" x14ac:dyDescent="0.25">
      <c r="A93"/>
      <c r="B93"/>
      <c r="C93"/>
      <c r="D93"/>
    </row>
    <row r="94" spans="1:4" x14ac:dyDescent="0.25">
      <c r="A94" s="384"/>
      <c r="B94" s="384"/>
      <c r="C94" s="384"/>
      <c r="D94" s="384"/>
    </row>
    <row r="95" spans="1:4" x14ac:dyDescent="0.25">
      <c r="A95" s="384"/>
      <c r="B95" s="384"/>
      <c r="C95" s="384"/>
      <c r="D95" s="384"/>
    </row>
    <row r="96" spans="1:4" x14ac:dyDescent="0.25">
      <c r="A96" s="384"/>
      <c r="B96" s="384"/>
      <c r="C96" s="384"/>
      <c r="D96" s="384"/>
    </row>
    <row r="97" spans="1:4" x14ac:dyDescent="0.25">
      <c r="A97" s="384"/>
      <c r="B97" s="384"/>
      <c r="C97" s="384"/>
      <c r="D97" s="384"/>
    </row>
    <row r="98" spans="1:4" x14ac:dyDescent="0.25">
      <c r="A98" s="384"/>
      <c r="B98" s="384"/>
      <c r="C98" s="384"/>
      <c r="D98" s="384"/>
    </row>
    <row r="99" spans="1:4" x14ac:dyDescent="0.25">
      <c r="A99" s="384"/>
      <c r="B99" s="384"/>
      <c r="C99" s="384"/>
      <c r="D99" s="384"/>
    </row>
    <row r="100" spans="1:4" x14ac:dyDescent="0.25">
      <c r="A100" s="384"/>
      <c r="B100" s="384"/>
      <c r="C100" s="384"/>
      <c r="D100" s="384"/>
    </row>
    <row r="101" spans="1:4" x14ac:dyDescent="0.25">
      <c r="A101" s="384"/>
      <c r="B101" s="384"/>
      <c r="C101" s="384"/>
      <c r="D101" s="384"/>
    </row>
    <row r="102" spans="1:4" x14ac:dyDescent="0.25">
      <c r="A102" s="384"/>
      <c r="B102" s="384"/>
      <c r="C102" s="384"/>
      <c r="D102" s="384"/>
    </row>
    <row r="103" spans="1:4" x14ac:dyDescent="0.25">
      <c r="A103" s="384"/>
      <c r="B103" s="384"/>
      <c r="C103" s="384"/>
      <c r="D103" s="384"/>
    </row>
    <row r="104" spans="1:4" x14ac:dyDescent="0.25">
      <c r="A104" s="384"/>
      <c r="B104" s="384"/>
      <c r="C104" s="384"/>
      <c r="D104" s="384"/>
    </row>
    <row r="105" spans="1:4" x14ac:dyDescent="0.25">
      <c r="A105" s="384"/>
      <c r="B105" s="384"/>
      <c r="C105" s="384"/>
      <c r="D105" s="384"/>
    </row>
    <row r="106" spans="1:4" x14ac:dyDescent="0.25">
      <c r="A106" s="384"/>
      <c r="B106" s="384"/>
      <c r="C106" s="384"/>
      <c r="D106" s="384"/>
    </row>
    <row r="107" spans="1:4" x14ac:dyDescent="0.25">
      <c r="A107" s="384"/>
      <c r="B107" s="384"/>
      <c r="C107" s="384"/>
      <c r="D107" s="384"/>
    </row>
    <row r="108" spans="1:4" x14ac:dyDescent="0.25">
      <c r="A108" s="384"/>
      <c r="B108" s="384"/>
      <c r="C108" s="384"/>
      <c r="D108" s="384"/>
    </row>
    <row r="109" spans="1:4" x14ac:dyDescent="0.25">
      <c r="A109" s="384"/>
      <c r="B109" s="384"/>
      <c r="C109" s="384"/>
      <c r="D109" s="384"/>
    </row>
    <row r="110" spans="1:4" x14ac:dyDescent="0.25">
      <c r="A110" s="384"/>
      <c r="B110" s="384"/>
      <c r="C110" s="384"/>
      <c r="D110" s="384"/>
    </row>
    <row r="111" spans="1:4" x14ac:dyDescent="0.25">
      <c r="A111" s="384"/>
      <c r="B111" s="384"/>
      <c r="C111" s="384"/>
      <c r="D111" s="384"/>
    </row>
    <row r="112" spans="1:4" x14ac:dyDescent="0.25">
      <c r="A112" s="384"/>
      <c r="B112" s="384"/>
      <c r="C112" s="384"/>
      <c r="D112" s="384"/>
    </row>
    <row r="113" spans="1:4" x14ac:dyDescent="0.25">
      <c r="A113" s="384"/>
      <c r="B113" s="384"/>
      <c r="C113" s="384"/>
      <c r="D113" s="384"/>
    </row>
    <row r="114" spans="1:4" x14ac:dyDescent="0.25">
      <c r="A114" s="384"/>
      <c r="B114" s="384"/>
      <c r="C114" s="384"/>
      <c r="D114" s="384"/>
    </row>
    <row r="115" spans="1:4" x14ac:dyDescent="0.25">
      <c r="A115" s="384"/>
      <c r="B115" s="384"/>
      <c r="C115" s="384"/>
      <c r="D115" s="384"/>
    </row>
    <row r="116" spans="1:4" x14ac:dyDescent="0.25">
      <c r="A116" s="384"/>
      <c r="B116" s="384"/>
      <c r="C116" s="384"/>
      <c r="D116" s="384"/>
    </row>
    <row r="117" spans="1:4" x14ac:dyDescent="0.25">
      <c r="A117" s="384"/>
      <c r="B117" s="384"/>
      <c r="C117" s="384"/>
      <c r="D117" s="384"/>
    </row>
    <row r="118" spans="1:4" x14ac:dyDescent="0.25">
      <c r="A118" s="384"/>
      <c r="B118" s="384"/>
      <c r="C118" s="384"/>
      <c r="D118" s="384"/>
    </row>
    <row r="119" spans="1:4" x14ac:dyDescent="0.25">
      <c r="A119" s="384"/>
      <c r="B119" s="384"/>
      <c r="C119" s="384"/>
      <c r="D119" s="384"/>
    </row>
    <row r="120" spans="1:4" x14ac:dyDescent="0.25">
      <c r="A120" s="384"/>
      <c r="B120" s="384"/>
      <c r="C120" s="384"/>
      <c r="D120" s="384"/>
    </row>
    <row r="121" spans="1:4" x14ac:dyDescent="0.25">
      <c r="A121" s="384"/>
      <c r="B121" s="384"/>
      <c r="C121" s="384"/>
      <c r="D121" s="384"/>
    </row>
    <row r="122" spans="1:4" x14ac:dyDescent="0.25">
      <c r="A122" s="384"/>
      <c r="B122" s="384"/>
      <c r="C122" s="384"/>
      <c r="D122" s="384"/>
    </row>
    <row r="123" spans="1:4" x14ac:dyDescent="0.25">
      <c r="A123" s="384"/>
      <c r="B123" s="384"/>
      <c r="C123" s="384"/>
      <c r="D123" s="384"/>
    </row>
    <row r="124" spans="1:4" x14ac:dyDescent="0.25">
      <c r="A124" s="384"/>
      <c r="B124" s="384"/>
      <c r="C124" s="384"/>
      <c r="D124" s="384"/>
    </row>
    <row r="125" spans="1:4" x14ac:dyDescent="0.25">
      <c r="A125" s="384"/>
      <c r="B125" s="384"/>
      <c r="C125" s="384"/>
      <c r="D125" s="384"/>
    </row>
    <row r="126" spans="1:4" x14ac:dyDescent="0.25">
      <c r="A126" s="384"/>
      <c r="B126" s="384"/>
      <c r="C126" s="384"/>
      <c r="D126" s="384"/>
    </row>
    <row r="127" spans="1:4" x14ac:dyDescent="0.25">
      <c r="A127" s="384"/>
      <c r="B127" s="384"/>
      <c r="C127" s="384"/>
      <c r="D127" s="384"/>
    </row>
    <row r="128" spans="1:4" x14ac:dyDescent="0.25">
      <c r="A128" s="384"/>
      <c r="B128" s="384"/>
      <c r="C128" s="384"/>
      <c r="D128" s="384"/>
    </row>
    <row r="129" spans="1:4" x14ac:dyDescent="0.25">
      <c r="A129" s="384"/>
      <c r="B129" s="384"/>
      <c r="C129" s="384"/>
      <c r="D129" s="384"/>
    </row>
    <row r="130" spans="1:4" x14ac:dyDescent="0.25">
      <c r="A130" s="384"/>
      <c r="B130" s="384"/>
      <c r="C130" s="384"/>
      <c r="D130" s="384"/>
    </row>
    <row r="131" spans="1:4" x14ac:dyDescent="0.25">
      <c r="A131" s="384"/>
      <c r="B131" s="384"/>
      <c r="C131" s="384"/>
      <c r="D131" s="384"/>
    </row>
    <row r="132" spans="1:4" x14ac:dyDescent="0.25">
      <c r="A132" s="384"/>
      <c r="B132" s="384"/>
      <c r="C132" s="384"/>
      <c r="D132" s="384"/>
    </row>
    <row r="133" spans="1:4" x14ac:dyDescent="0.25">
      <c r="A133" s="384"/>
      <c r="B133" s="384"/>
      <c r="C133" s="384"/>
      <c r="D133" s="384"/>
    </row>
    <row r="134" spans="1:4" x14ac:dyDescent="0.25">
      <c r="A134" s="384"/>
      <c r="B134" s="384"/>
      <c r="C134" s="384"/>
      <c r="D134" s="384"/>
    </row>
    <row r="135" spans="1:4" x14ac:dyDescent="0.25">
      <c r="A135" s="384"/>
      <c r="B135" s="384"/>
      <c r="C135" s="384"/>
      <c r="D135" s="384"/>
    </row>
    <row r="136" spans="1:4" x14ac:dyDescent="0.25">
      <c r="A136" s="384"/>
      <c r="B136" s="384"/>
      <c r="C136" s="384"/>
      <c r="D136" s="384"/>
    </row>
    <row r="137" spans="1:4" x14ac:dyDescent="0.25">
      <c r="A137" s="384"/>
      <c r="B137" s="384"/>
      <c r="C137" s="384"/>
      <c r="D137" s="384"/>
    </row>
    <row r="138" spans="1:4" x14ac:dyDescent="0.25">
      <c r="A138" s="384"/>
      <c r="B138" s="384"/>
      <c r="C138" s="384"/>
      <c r="D138" s="384"/>
    </row>
    <row r="139" spans="1:4" x14ac:dyDescent="0.25">
      <c r="A139" s="384"/>
      <c r="B139" s="384"/>
      <c r="C139" s="384"/>
      <c r="D139" s="384"/>
    </row>
    <row r="140" spans="1:4" x14ac:dyDescent="0.25">
      <c r="A140" s="384"/>
      <c r="B140" s="384"/>
      <c r="C140" s="384"/>
      <c r="D140" s="384"/>
    </row>
    <row r="141" spans="1:4" x14ac:dyDescent="0.25">
      <c r="A141" s="384"/>
      <c r="B141" s="384"/>
      <c r="C141" s="384"/>
      <c r="D141" s="384"/>
    </row>
    <row r="142" spans="1:4" x14ac:dyDescent="0.25">
      <c r="A142" s="384"/>
      <c r="B142" s="384"/>
      <c r="C142" s="384"/>
      <c r="D142" s="384"/>
    </row>
    <row r="143" spans="1:4" x14ac:dyDescent="0.25">
      <c r="A143" s="384"/>
      <c r="B143" s="384"/>
      <c r="C143" s="384"/>
      <c r="D143" s="384"/>
    </row>
    <row r="144" spans="1:4" x14ac:dyDescent="0.25">
      <c r="A144" s="384"/>
      <c r="B144" s="384"/>
      <c r="C144" s="384"/>
      <c r="D144" s="384"/>
    </row>
    <row r="145" spans="1:4" x14ac:dyDescent="0.25">
      <c r="A145" s="384"/>
      <c r="B145" s="384"/>
      <c r="C145" s="384"/>
      <c r="D145" s="384"/>
    </row>
    <row r="146" spans="1:4" x14ac:dyDescent="0.25">
      <c r="A146" s="384"/>
      <c r="B146" s="384"/>
      <c r="C146" s="384"/>
      <c r="D146" s="384"/>
    </row>
    <row r="147" spans="1:4" x14ac:dyDescent="0.25">
      <c r="A147" s="384"/>
      <c r="B147" s="384"/>
      <c r="C147" s="384"/>
      <c r="D147" s="384"/>
    </row>
    <row r="148" spans="1:4" x14ac:dyDescent="0.25">
      <c r="A148" s="384"/>
      <c r="B148" s="384"/>
      <c r="C148" s="384"/>
      <c r="D148" s="384"/>
    </row>
    <row r="149" spans="1:4" x14ac:dyDescent="0.25">
      <c r="A149" s="384"/>
      <c r="B149" s="384"/>
      <c r="C149" s="384"/>
      <c r="D149" s="384"/>
    </row>
    <row r="150" spans="1:4" x14ac:dyDescent="0.25">
      <c r="A150" s="384"/>
      <c r="B150" s="384"/>
      <c r="C150" s="384"/>
      <c r="D150" s="384"/>
    </row>
    <row r="151" spans="1:4" x14ac:dyDescent="0.25">
      <c r="A151" s="384"/>
      <c r="B151" s="384"/>
      <c r="C151" s="384"/>
      <c r="D151" s="384"/>
    </row>
    <row r="152" spans="1:4" x14ac:dyDescent="0.25">
      <c r="A152" s="384"/>
      <c r="B152" s="384"/>
      <c r="C152" s="384"/>
      <c r="D152" s="384"/>
    </row>
    <row r="153" spans="1:4" x14ac:dyDescent="0.25">
      <c r="A153" s="384"/>
      <c r="B153" s="384"/>
      <c r="C153" s="384"/>
      <c r="D153" s="384"/>
    </row>
    <row r="154" spans="1:4" x14ac:dyDescent="0.25">
      <c r="A154" s="384"/>
      <c r="B154" s="384"/>
      <c r="C154" s="384"/>
      <c r="D154" s="384"/>
    </row>
    <row r="155" spans="1:4" x14ac:dyDescent="0.25">
      <c r="A155" s="384"/>
      <c r="B155" s="384"/>
      <c r="C155" s="384"/>
      <c r="D155" s="384"/>
    </row>
    <row r="156" spans="1:4" x14ac:dyDescent="0.25">
      <c r="A156" s="384"/>
      <c r="B156" s="384"/>
      <c r="C156" s="384"/>
      <c r="D156" s="384"/>
    </row>
    <row r="157" spans="1:4" x14ac:dyDescent="0.25">
      <c r="A157" s="384"/>
      <c r="B157" s="384"/>
      <c r="C157" s="384"/>
      <c r="D157" s="384"/>
    </row>
    <row r="158" spans="1:4" x14ac:dyDescent="0.25">
      <c r="A158" s="129"/>
      <c r="B158" s="129"/>
      <c r="C158" s="129"/>
      <c r="D158" s="129"/>
    </row>
    <row r="159" spans="1:4" x14ac:dyDescent="0.25">
      <c r="A159" s="129"/>
      <c r="B159" s="129"/>
      <c r="C159" s="129"/>
      <c r="D159" s="129"/>
    </row>
    <row r="160" spans="1:4" x14ac:dyDescent="0.25">
      <c r="A160" s="129"/>
      <c r="B160" s="129"/>
      <c r="C160" s="129"/>
      <c r="D160" s="129"/>
    </row>
    <row r="161" spans="1:4" x14ac:dyDescent="0.25">
      <c r="A161" s="129"/>
      <c r="B161" s="129"/>
      <c r="C161" s="129"/>
      <c r="D161" s="129"/>
    </row>
    <row r="162" spans="1:4" x14ac:dyDescent="0.25">
      <c r="A162" s="129"/>
      <c r="B162" s="129"/>
      <c r="C162" s="129"/>
      <c r="D162" s="129"/>
    </row>
    <row r="163" spans="1:4" x14ac:dyDescent="0.25">
      <c r="A163" s="129"/>
      <c r="B163" s="129"/>
      <c r="C163" s="129"/>
      <c r="D163" s="129"/>
    </row>
    <row r="164" spans="1:4" x14ac:dyDescent="0.25">
      <c r="A164" s="129"/>
      <c r="B164" s="129"/>
      <c r="C164" s="129"/>
      <c r="D164" s="129"/>
    </row>
    <row r="165" spans="1:4" x14ac:dyDescent="0.25">
      <c r="A165" s="129"/>
      <c r="B165" s="129"/>
      <c r="C165" s="129"/>
      <c r="D165" s="129"/>
    </row>
    <row r="166" spans="1:4" x14ac:dyDescent="0.25">
      <c r="A166" s="129"/>
      <c r="B166" s="129"/>
      <c r="C166" s="129"/>
      <c r="D166" s="129"/>
    </row>
    <row r="167" spans="1:4" x14ac:dyDescent="0.25">
      <c r="A167" s="129"/>
      <c r="B167" s="129"/>
      <c r="C167" s="129"/>
      <c r="D167" s="129"/>
    </row>
    <row r="168" spans="1:4" x14ac:dyDescent="0.25">
      <c r="A168" s="129"/>
      <c r="B168" s="129"/>
      <c r="C168" s="129"/>
      <c r="D168" s="129"/>
    </row>
    <row r="169" spans="1:4" x14ac:dyDescent="0.25">
      <c r="A169" s="129"/>
      <c r="B169" s="129"/>
      <c r="C169" s="129"/>
      <c r="D169" s="129"/>
    </row>
    <row r="170" spans="1:4" x14ac:dyDescent="0.25">
      <c r="A170" s="129"/>
      <c r="B170" s="129"/>
      <c r="C170" s="129"/>
      <c r="D170" s="129"/>
    </row>
    <row r="171" spans="1:4" x14ac:dyDescent="0.25">
      <c r="A171" s="129"/>
      <c r="B171" s="129"/>
      <c r="C171" s="129"/>
      <c r="D171" s="129"/>
    </row>
    <row r="172" spans="1:4" x14ac:dyDescent="0.25">
      <c r="A172" s="129"/>
      <c r="B172" s="129"/>
      <c r="C172" s="129"/>
      <c r="D172" s="129"/>
    </row>
    <row r="173" spans="1:4" x14ac:dyDescent="0.25">
      <c r="A173" s="129"/>
      <c r="B173" s="129"/>
      <c r="C173" s="129"/>
      <c r="D173" s="129"/>
    </row>
    <row r="174" spans="1:4" x14ac:dyDescent="0.25">
      <c r="A174" s="129"/>
      <c r="B174" s="129"/>
      <c r="C174" s="129"/>
      <c r="D174" s="129"/>
    </row>
    <row r="175" spans="1:4" x14ac:dyDescent="0.25">
      <c r="A175" s="129"/>
      <c r="B175" s="129"/>
      <c r="C175" s="129"/>
      <c r="D175" s="129"/>
    </row>
    <row r="176" spans="1:4" x14ac:dyDescent="0.25">
      <c r="A176" s="129"/>
      <c r="B176" s="129"/>
      <c r="C176" s="129"/>
      <c r="D176" s="129"/>
    </row>
    <row r="177" spans="1:4" x14ac:dyDescent="0.25">
      <c r="A177" s="129"/>
      <c r="B177" s="129"/>
      <c r="C177" s="129"/>
      <c r="D177" s="129"/>
    </row>
    <row r="178" spans="1:4" x14ac:dyDescent="0.25">
      <c r="A178" s="129"/>
      <c r="B178" s="129"/>
      <c r="C178" s="129"/>
      <c r="D178" s="129"/>
    </row>
    <row r="179" spans="1:4" x14ac:dyDescent="0.25">
      <c r="A179" s="129"/>
      <c r="B179" s="129"/>
      <c r="C179" s="129"/>
      <c r="D179" s="129"/>
    </row>
    <row r="180" spans="1:4" x14ac:dyDescent="0.25">
      <c r="A180" s="129"/>
      <c r="B180" s="129"/>
      <c r="C180" s="129"/>
      <c r="D180" s="129"/>
    </row>
    <row r="181" spans="1:4" x14ac:dyDescent="0.25">
      <c r="A181" s="129"/>
      <c r="B181" s="129"/>
      <c r="C181" s="129"/>
      <c r="D181" s="129"/>
    </row>
    <row r="182" spans="1:4" x14ac:dyDescent="0.25">
      <c r="A182" s="129"/>
      <c r="B182" s="129"/>
      <c r="C182" s="129"/>
      <c r="D182" s="129"/>
    </row>
    <row r="183" spans="1:4" x14ac:dyDescent="0.25">
      <c r="A183" s="129"/>
      <c r="B183" s="129"/>
      <c r="C183" s="129"/>
      <c r="D183" s="129"/>
    </row>
    <row r="184" spans="1:4" x14ac:dyDescent="0.25">
      <c r="A184" s="129"/>
      <c r="B184" s="129"/>
      <c r="C184" s="129"/>
      <c r="D184" s="129"/>
    </row>
    <row r="185" spans="1:4" x14ac:dyDescent="0.25">
      <c r="A185" s="129"/>
      <c r="B185" s="129"/>
      <c r="C185" s="129"/>
      <c r="D185" s="129"/>
    </row>
    <row r="186" spans="1:4" x14ac:dyDescent="0.25">
      <c r="A186" s="129"/>
      <c r="B186" s="129"/>
      <c r="C186" s="129"/>
      <c r="D186" s="129"/>
    </row>
    <row r="187" spans="1:4" x14ac:dyDescent="0.25">
      <c r="A187" s="129"/>
      <c r="B187" s="129"/>
      <c r="C187" s="129"/>
      <c r="D187" s="129"/>
    </row>
    <row r="188" spans="1:4" x14ac:dyDescent="0.25">
      <c r="A188" s="129"/>
      <c r="B188" s="129"/>
      <c r="C188" s="129"/>
      <c r="D188" s="129"/>
    </row>
    <row r="189" spans="1:4" x14ac:dyDescent="0.25">
      <c r="A189" s="129"/>
      <c r="B189" s="129"/>
      <c r="C189" s="129"/>
      <c r="D189" s="129"/>
    </row>
    <row r="190" spans="1:4" x14ac:dyDescent="0.25">
      <c r="A190" s="129"/>
      <c r="B190" s="129"/>
      <c r="C190" s="129"/>
      <c r="D190" s="129"/>
    </row>
    <row r="191" spans="1:4" x14ac:dyDescent="0.25">
      <c r="A191" s="129"/>
      <c r="B191" s="129"/>
      <c r="C191" s="129"/>
      <c r="D191" s="129"/>
    </row>
    <row r="192" spans="1:4" x14ac:dyDescent="0.25">
      <c r="A192" s="129"/>
      <c r="B192" s="129"/>
      <c r="C192" s="129"/>
      <c r="D192" s="129"/>
    </row>
    <row r="193" spans="1:4" x14ac:dyDescent="0.25">
      <c r="A193" s="129"/>
      <c r="B193" s="129"/>
      <c r="C193" s="129"/>
      <c r="D193" s="129"/>
    </row>
    <row r="194" spans="1:4" x14ac:dyDescent="0.25">
      <c r="A194" s="129"/>
      <c r="B194" s="129"/>
      <c r="C194" s="129"/>
      <c r="D194" s="129"/>
    </row>
    <row r="195" spans="1:4" x14ac:dyDescent="0.25">
      <c r="A195" s="129"/>
      <c r="B195" s="129"/>
      <c r="C195" s="129"/>
      <c r="D195" s="129"/>
    </row>
    <row r="196" spans="1:4" x14ac:dyDescent="0.25">
      <c r="A196" s="129"/>
      <c r="B196" s="129"/>
      <c r="C196" s="129"/>
      <c r="D196" s="129"/>
    </row>
    <row r="197" spans="1:4" x14ac:dyDescent="0.25">
      <c r="A197" s="129"/>
      <c r="B197" s="129"/>
      <c r="C197" s="129"/>
      <c r="D197" s="129"/>
    </row>
    <row r="198" spans="1:4" x14ac:dyDescent="0.25">
      <c r="A198" s="129"/>
      <c r="B198" s="129"/>
      <c r="C198" s="129"/>
      <c r="D198" s="129"/>
    </row>
    <row r="199" spans="1:4" x14ac:dyDescent="0.25">
      <c r="A199" s="129"/>
      <c r="B199" s="129"/>
      <c r="C199" s="129"/>
      <c r="D199" s="129"/>
    </row>
    <row r="200" spans="1:4" x14ac:dyDescent="0.25">
      <c r="A200" s="129"/>
      <c r="B200" s="129"/>
      <c r="C200" s="129"/>
      <c r="D200" s="129"/>
    </row>
    <row r="201" spans="1:4" x14ac:dyDescent="0.25">
      <c r="A201" s="129"/>
      <c r="B201" s="129"/>
      <c r="C201" s="129"/>
      <c r="D201" s="129"/>
    </row>
    <row r="202" spans="1:4" x14ac:dyDescent="0.25">
      <c r="A202" s="129"/>
      <c r="B202" s="129"/>
      <c r="C202" s="129"/>
      <c r="D202" s="129"/>
    </row>
    <row r="203" spans="1:4" x14ac:dyDescent="0.25">
      <c r="A203" s="129"/>
      <c r="B203" s="129"/>
      <c r="C203" s="129"/>
      <c r="D203" s="129"/>
    </row>
    <row r="204" spans="1:4" x14ac:dyDescent="0.25">
      <c r="A204" s="129"/>
      <c r="B204" s="129"/>
      <c r="C204" s="129"/>
      <c r="D204" s="129"/>
    </row>
    <row r="205" spans="1:4" x14ac:dyDescent="0.25">
      <c r="A205" s="129"/>
      <c r="B205" s="129"/>
      <c r="C205" s="129"/>
      <c r="D205" s="129"/>
    </row>
    <row r="206" spans="1:4" x14ac:dyDescent="0.25">
      <c r="A206" s="129"/>
      <c r="B206" s="129"/>
      <c r="C206" s="129"/>
      <c r="D206" s="129"/>
    </row>
    <row r="207" spans="1:4" x14ac:dyDescent="0.25">
      <c r="A207" s="129"/>
      <c r="B207" s="129"/>
      <c r="C207" s="129"/>
      <c r="D207" s="129"/>
    </row>
    <row r="208" spans="1:4" x14ac:dyDescent="0.25">
      <c r="A208" s="129"/>
      <c r="B208" s="129"/>
      <c r="C208" s="129"/>
      <c r="D208" s="129"/>
    </row>
    <row r="209" spans="1:4" x14ac:dyDescent="0.25">
      <c r="A209" s="129"/>
      <c r="B209" s="129"/>
      <c r="C209" s="129"/>
      <c r="D209" s="129"/>
    </row>
    <row r="210" spans="1:4" x14ac:dyDescent="0.25">
      <c r="A210" s="129"/>
      <c r="B210" s="129"/>
      <c r="C210" s="129"/>
      <c r="D210" s="129"/>
    </row>
    <row r="211" spans="1:4" x14ac:dyDescent="0.25">
      <c r="A211" s="129"/>
      <c r="B211" s="129"/>
      <c r="C211" s="129"/>
      <c r="D211" s="129"/>
    </row>
    <row r="212" spans="1:4" x14ac:dyDescent="0.25">
      <c r="A212" s="129"/>
      <c r="B212" s="129"/>
      <c r="C212" s="129"/>
      <c r="D212" s="129"/>
    </row>
    <row r="213" spans="1:4" x14ac:dyDescent="0.25">
      <c r="A213" s="129"/>
      <c r="B213" s="129"/>
      <c r="C213" s="129"/>
      <c r="D213" s="129"/>
    </row>
    <row r="214" spans="1:4" x14ac:dyDescent="0.25">
      <c r="A214" s="129"/>
      <c r="B214" s="129"/>
      <c r="C214" s="129"/>
      <c r="D214" s="129"/>
    </row>
    <row r="215" spans="1:4" x14ac:dyDescent="0.25">
      <c r="A215" s="129"/>
      <c r="B215" s="129"/>
      <c r="C215" s="129"/>
      <c r="D215" s="129"/>
    </row>
    <row r="216" spans="1:4" x14ac:dyDescent="0.25">
      <c r="A216" s="129"/>
      <c r="B216" s="129"/>
      <c r="C216" s="129"/>
      <c r="D216" s="129"/>
    </row>
    <row r="217" spans="1:4" x14ac:dyDescent="0.25">
      <c r="A217" s="129"/>
      <c r="B217" s="129"/>
      <c r="C217" s="129"/>
      <c r="D217" s="129"/>
    </row>
    <row r="218" spans="1:4" x14ac:dyDescent="0.25">
      <c r="A218" s="129"/>
      <c r="B218" s="129"/>
      <c r="C218" s="129"/>
      <c r="D218" s="129"/>
    </row>
    <row r="219" spans="1:4" x14ac:dyDescent="0.25">
      <c r="A219" s="129"/>
      <c r="B219" s="129"/>
      <c r="C219" s="129"/>
      <c r="D219" s="129"/>
    </row>
    <row r="220" spans="1:4" x14ac:dyDescent="0.25">
      <c r="A220" s="129"/>
      <c r="B220" s="129"/>
      <c r="C220" s="129"/>
      <c r="D220" s="129"/>
    </row>
    <row r="221" spans="1:4" x14ac:dyDescent="0.25">
      <c r="A221" s="129"/>
      <c r="B221" s="129"/>
      <c r="C221" s="129"/>
      <c r="D221" s="129"/>
    </row>
    <row r="222" spans="1:4" x14ac:dyDescent="0.25">
      <c r="A222" s="129"/>
      <c r="B222" s="129"/>
      <c r="C222" s="129"/>
      <c r="D222" s="129"/>
    </row>
    <row r="223" spans="1:4" x14ac:dyDescent="0.25">
      <c r="A223" s="129"/>
      <c r="B223" s="129"/>
      <c r="C223" s="129"/>
      <c r="D223" s="129"/>
    </row>
    <row r="224" spans="1:4" x14ac:dyDescent="0.25">
      <c r="A224" s="129"/>
      <c r="B224" s="129"/>
      <c r="C224" s="129"/>
      <c r="D224" s="129"/>
    </row>
    <row r="225" spans="1:4" x14ac:dyDescent="0.25">
      <c r="A225" s="129"/>
      <c r="B225" s="129"/>
      <c r="C225" s="129"/>
      <c r="D225" s="129"/>
    </row>
    <row r="226" spans="1:4" x14ac:dyDescent="0.25">
      <c r="A226" s="129"/>
      <c r="B226" s="129"/>
      <c r="C226" s="129"/>
      <c r="D226" s="129"/>
    </row>
    <row r="227" spans="1:4" x14ac:dyDescent="0.25">
      <c r="A227" s="129"/>
      <c r="B227" s="129"/>
      <c r="C227" s="129"/>
      <c r="D227" s="129"/>
    </row>
    <row r="228" spans="1:4" x14ac:dyDescent="0.25">
      <c r="A228" s="129"/>
      <c r="B228" s="129"/>
      <c r="C228" s="129"/>
      <c r="D228" s="129"/>
    </row>
    <row r="229" spans="1:4" x14ac:dyDescent="0.25">
      <c r="A229" s="129"/>
      <c r="B229" s="129"/>
      <c r="C229" s="129"/>
      <c r="D229" s="129"/>
    </row>
    <row r="230" spans="1:4" x14ac:dyDescent="0.25">
      <c r="A230" s="129"/>
      <c r="B230" s="129"/>
      <c r="C230" s="129"/>
      <c r="D230" s="129"/>
    </row>
    <row r="231" spans="1:4" x14ac:dyDescent="0.25">
      <c r="A231" s="129"/>
      <c r="B231" s="129"/>
      <c r="C231" s="129"/>
      <c r="D231" s="129"/>
    </row>
    <row r="232" spans="1:4" x14ac:dyDescent="0.25">
      <c r="A232" s="129"/>
      <c r="B232" s="129"/>
      <c r="C232" s="129"/>
      <c r="D232" s="129"/>
    </row>
    <row r="233" spans="1:4" x14ac:dyDescent="0.25">
      <c r="A233" s="129"/>
      <c r="B233" s="129"/>
      <c r="C233" s="129"/>
      <c r="D233" s="129"/>
    </row>
    <row r="234" spans="1:4" x14ac:dyDescent="0.25">
      <c r="A234" s="129"/>
      <c r="B234" s="129"/>
      <c r="C234" s="129"/>
      <c r="D234" s="129"/>
    </row>
    <row r="235" spans="1:4" x14ac:dyDescent="0.25">
      <c r="A235" s="129"/>
      <c r="B235" s="129"/>
      <c r="C235" s="129"/>
      <c r="D235" s="129"/>
    </row>
    <row r="236" spans="1:4" x14ac:dyDescent="0.25">
      <c r="A236" s="129"/>
      <c r="B236" s="129"/>
      <c r="C236" s="129"/>
      <c r="D236" s="129"/>
    </row>
    <row r="237" spans="1:4" x14ac:dyDescent="0.25">
      <c r="A237" s="129"/>
      <c r="B237" s="129"/>
      <c r="C237" s="129"/>
      <c r="D237" s="129"/>
    </row>
    <row r="238" spans="1:4" x14ac:dyDescent="0.25">
      <c r="A238" s="129"/>
      <c r="B238" s="129"/>
      <c r="C238" s="129"/>
      <c r="D238" s="129"/>
    </row>
    <row r="239" spans="1:4" x14ac:dyDescent="0.25">
      <c r="A239" s="129"/>
      <c r="B239" s="129"/>
      <c r="C239" s="129"/>
      <c r="D239" s="129"/>
    </row>
    <row r="240" spans="1:4" x14ac:dyDescent="0.25">
      <c r="A240" s="129"/>
      <c r="B240" s="129"/>
      <c r="C240" s="129"/>
      <c r="D240" s="129"/>
    </row>
    <row r="241" spans="1:4" x14ac:dyDescent="0.25">
      <c r="A241" s="129"/>
      <c r="B241" s="129"/>
      <c r="C241" s="129"/>
      <c r="D241" s="129"/>
    </row>
    <row r="242" spans="1:4" x14ac:dyDescent="0.25">
      <c r="A242" s="129"/>
      <c r="B242" s="129"/>
      <c r="C242" s="129"/>
      <c r="D242" s="129"/>
    </row>
    <row r="243" spans="1:4" x14ac:dyDescent="0.25">
      <c r="A243" s="129"/>
      <c r="B243" s="129"/>
      <c r="C243" s="129"/>
      <c r="D243" s="129"/>
    </row>
    <row r="244" spans="1:4" x14ac:dyDescent="0.25">
      <c r="A244" s="129"/>
      <c r="B244" s="129"/>
      <c r="C244" s="129"/>
      <c r="D244" s="129"/>
    </row>
    <row r="245" spans="1:4" x14ac:dyDescent="0.25">
      <c r="A245" s="129"/>
      <c r="B245" s="129"/>
      <c r="C245" s="129"/>
      <c r="D245" s="129"/>
    </row>
    <row r="246" spans="1:4" x14ac:dyDescent="0.25">
      <c r="A246" s="129"/>
      <c r="B246" s="129"/>
      <c r="C246" s="129"/>
      <c r="D246" s="129"/>
    </row>
    <row r="247" spans="1:4" x14ac:dyDescent="0.25">
      <c r="A247" s="129"/>
      <c r="B247" s="129"/>
      <c r="C247" s="129"/>
      <c r="D247" s="129"/>
    </row>
    <row r="248" spans="1:4" x14ac:dyDescent="0.25">
      <c r="A248" s="129"/>
      <c r="B248" s="129"/>
      <c r="C248" s="129"/>
      <c r="D248" s="129"/>
    </row>
    <row r="249" spans="1:4" x14ac:dyDescent="0.25">
      <c r="A249" s="129"/>
      <c r="B249" s="129"/>
      <c r="C249" s="129"/>
      <c r="D249" s="129"/>
    </row>
    <row r="250" spans="1:4" x14ac:dyDescent="0.25">
      <c r="A250" s="129"/>
      <c r="B250" s="129"/>
      <c r="C250" s="129"/>
      <c r="D250" s="129"/>
    </row>
    <row r="251" spans="1:4" x14ac:dyDescent="0.25">
      <c r="A251" s="129"/>
      <c r="B251" s="129"/>
      <c r="C251" s="129"/>
      <c r="D251" s="129"/>
    </row>
    <row r="252" spans="1:4" x14ac:dyDescent="0.25">
      <c r="A252" s="129"/>
      <c r="B252" s="129"/>
      <c r="C252" s="129"/>
      <c r="D252" s="129"/>
    </row>
    <row r="253" spans="1:4" x14ac:dyDescent="0.25">
      <c r="A253" s="129"/>
      <c r="B253" s="129"/>
      <c r="C253" s="129"/>
      <c r="D253" s="129"/>
    </row>
    <row r="254" spans="1:4" x14ac:dyDescent="0.25">
      <c r="A254" s="129"/>
      <c r="B254" s="129"/>
      <c r="C254" s="129"/>
      <c r="D254" s="129"/>
    </row>
    <row r="255" spans="1:4" x14ac:dyDescent="0.25">
      <c r="A255" s="129"/>
      <c r="B255" s="129"/>
      <c r="C255" s="129"/>
      <c r="D255" s="129"/>
    </row>
    <row r="256" spans="1:4" x14ac:dyDescent="0.25">
      <c r="A256" s="129"/>
      <c r="B256" s="129"/>
      <c r="C256" s="129"/>
      <c r="D256" s="129"/>
    </row>
    <row r="257" spans="1:4" x14ac:dyDescent="0.25">
      <c r="A257" s="129"/>
      <c r="B257" s="129"/>
      <c r="C257" s="129"/>
      <c r="D257" s="129"/>
    </row>
    <row r="258" spans="1:4" x14ac:dyDescent="0.25">
      <c r="A258" s="129"/>
      <c r="B258" s="129"/>
      <c r="C258" s="129"/>
      <c r="D258" s="129"/>
    </row>
    <row r="259" spans="1:4" x14ac:dyDescent="0.25">
      <c r="A259" s="129"/>
      <c r="B259" s="129"/>
      <c r="C259" s="129"/>
      <c r="D259" s="129"/>
    </row>
    <row r="260" spans="1:4" x14ac:dyDescent="0.25">
      <c r="A260" s="129"/>
      <c r="B260" s="129"/>
      <c r="C260" s="129"/>
      <c r="D260" s="129"/>
    </row>
    <row r="261" spans="1:4" x14ac:dyDescent="0.25">
      <c r="A261" s="129"/>
      <c r="B261" s="129"/>
      <c r="C261" s="129"/>
      <c r="D261" s="129"/>
    </row>
    <row r="262" spans="1:4" x14ac:dyDescent="0.25">
      <c r="A262" s="129"/>
      <c r="B262" s="129"/>
      <c r="C262" s="129"/>
      <c r="D262" s="129"/>
    </row>
    <row r="263" spans="1:4" x14ac:dyDescent="0.25">
      <c r="A263" s="129"/>
      <c r="B263" s="129"/>
      <c r="C263" s="129"/>
      <c r="D263" s="129"/>
    </row>
    <row r="264" spans="1:4" x14ac:dyDescent="0.25">
      <c r="A264" s="129"/>
      <c r="B264" s="129"/>
      <c r="C264" s="129"/>
      <c r="D264" s="129"/>
    </row>
    <row r="265" spans="1:4" x14ac:dyDescent="0.25">
      <c r="A265" s="129"/>
      <c r="B265" s="129"/>
      <c r="C265" s="129"/>
      <c r="D265" s="129"/>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90" zoomScaleNormal="90" workbookViewId="0">
      <selection activeCell="C11" sqref="C11"/>
    </sheetView>
  </sheetViews>
  <sheetFormatPr defaultRowHeight="15" x14ac:dyDescent="0.25"/>
  <cols>
    <col min="1" max="1" width="11.28515625" style="129" customWidth="1"/>
    <col min="2" max="2" width="12.7109375" style="129" customWidth="1"/>
    <col min="3" max="3" width="47" style="129" bestFit="1" customWidth="1"/>
    <col min="4" max="4" width="19.140625" style="129" customWidth="1"/>
    <col min="5" max="5" width="15" style="129" customWidth="1"/>
    <col min="6" max="6" width="12" style="129" customWidth="1"/>
    <col min="7" max="7" width="10.7109375" style="25" customWidth="1"/>
    <col min="8" max="8" width="11.28515625" style="25" customWidth="1"/>
    <col min="9" max="9" width="9.7109375" style="129" customWidth="1"/>
    <col min="10" max="11" width="9.140625" style="129"/>
  </cols>
  <sheetData>
    <row r="1" spans="1:11" x14ac:dyDescent="0.25">
      <c r="A1" s="382"/>
      <c r="B1" s="253"/>
      <c r="C1" s="253"/>
      <c r="D1" s="253"/>
      <c r="E1" s="253"/>
      <c r="F1" s="253"/>
      <c r="G1" s="253"/>
      <c r="H1" s="254"/>
      <c r="I1" s="4"/>
      <c r="J1" s="4"/>
      <c r="K1" s="4"/>
    </row>
    <row r="2" spans="1:11" ht="28.5" x14ac:dyDescent="0.45">
      <c r="A2" s="388" t="s">
        <v>864</v>
      </c>
      <c r="B2" s="237"/>
      <c r="C2" s="237"/>
      <c r="D2" s="237"/>
      <c r="E2" s="237"/>
      <c r="F2" s="237"/>
      <c r="G2" s="237"/>
      <c r="H2" s="389"/>
      <c r="I2" s="128"/>
      <c r="J2" s="140"/>
      <c r="K2" s="140"/>
    </row>
    <row r="3" spans="1:11" ht="28.5" x14ac:dyDescent="0.45">
      <c r="A3" s="834">
        <f>Report_Date</f>
        <v>42309</v>
      </c>
      <c r="B3" s="835"/>
      <c r="C3" s="390"/>
      <c r="D3" s="390"/>
      <c r="E3" s="390"/>
      <c r="F3" s="390"/>
      <c r="G3" s="390"/>
      <c r="H3" s="391"/>
      <c r="I3" s="128"/>
      <c r="J3" s="141"/>
      <c r="K3" s="128"/>
    </row>
    <row r="4" spans="1:11" ht="17.25" customHeight="1" x14ac:dyDescent="0.45">
      <c r="A4" s="621" t="s">
        <v>500</v>
      </c>
      <c r="B4" s="622" t="s">
        <v>502</v>
      </c>
      <c r="C4" s="128"/>
      <c r="D4" s="128"/>
      <c r="E4" s="128"/>
      <c r="F4" s="128"/>
      <c r="G4" s="128"/>
      <c r="H4" s="128"/>
      <c r="I4" s="128"/>
      <c r="J4" s="141"/>
      <c r="K4" s="128"/>
    </row>
    <row r="5" spans="1:11" x14ac:dyDescent="0.25">
      <c r="A5" s="621" t="s">
        <v>1272</v>
      </c>
      <c r="B5" s="622" t="s">
        <v>1213</v>
      </c>
    </row>
    <row r="7" spans="1:11" ht="45" x14ac:dyDescent="0.25">
      <c r="A7" s="652" t="s">
        <v>396</v>
      </c>
      <c r="B7" s="653" t="s">
        <v>0</v>
      </c>
      <c r="C7" s="653" t="s">
        <v>556</v>
      </c>
      <c r="D7" s="653" t="s">
        <v>932</v>
      </c>
      <c r="E7" s="653" t="s">
        <v>1354</v>
      </c>
      <c r="F7" s="703" t="s">
        <v>933</v>
      </c>
      <c r="G7" s="654" t="s">
        <v>499</v>
      </c>
      <c r="H7" s="655" t="s">
        <v>866</v>
      </c>
      <c r="I7" s="655" t="s">
        <v>867</v>
      </c>
      <c r="J7" s="611" t="s">
        <v>1353</v>
      </c>
      <c r="K7" s="184"/>
    </row>
    <row r="8" spans="1:11" ht="11.25" customHeight="1" x14ac:dyDescent="0.25">
      <c r="A8" s="553" t="s">
        <v>380</v>
      </c>
      <c r="B8" s="498" t="s">
        <v>5</v>
      </c>
      <c r="C8" s="498" t="s">
        <v>6</v>
      </c>
      <c r="D8" s="498" t="s">
        <v>4</v>
      </c>
      <c r="E8" s="498" t="s">
        <v>556</v>
      </c>
      <c r="F8" s="498" t="s">
        <v>1096</v>
      </c>
      <c r="G8" s="498" t="s">
        <v>513</v>
      </c>
      <c r="H8" s="539">
        <v>301</v>
      </c>
      <c r="I8" s="539">
        <v>1404</v>
      </c>
      <c r="J8" s="648">
        <v>1</v>
      </c>
    </row>
    <row r="9" spans="1:11" ht="11.25" customHeight="1" x14ac:dyDescent="0.25">
      <c r="A9" s="553"/>
      <c r="B9" s="498"/>
      <c r="C9" s="498" t="s">
        <v>514</v>
      </c>
      <c r="D9" s="498" t="s">
        <v>377</v>
      </c>
      <c r="E9" s="498" t="s">
        <v>556</v>
      </c>
      <c r="F9" s="498" t="s">
        <v>462</v>
      </c>
      <c r="G9" s="498" t="s">
        <v>513</v>
      </c>
      <c r="H9" s="539">
        <v>12</v>
      </c>
      <c r="I9" s="539">
        <v>51</v>
      </c>
      <c r="J9" s="648">
        <v>1</v>
      </c>
    </row>
    <row r="10" spans="1:11" ht="11.25" customHeight="1" x14ac:dyDescent="0.25">
      <c r="A10" s="553"/>
      <c r="B10" s="498"/>
      <c r="C10" s="498" t="s">
        <v>12</v>
      </c>
      <c r="D10" s="498" t="s">
        <v>11</v>
      </c>
      <c r="E10" s="498" t="s">
        <v>12</v>
      </c>
      <c r="F10" s="498" t="s">
        <v>603</v>
      </c>
      <c r="G10" s="498" t="s">
        <v>513</v>
      </c>
      <c r="H10" s="539">
        <v>211</v>
      </c>
      <c r="I10" s="539">
        <v>989</v>
      </c>
      <c r="J10" s="648">
        <v>1</v>
      </c>
    </row>
    <row r="11" spans="1:11" x14ac:dyDescent="0.25">
      <c r="A11" s="553"/>
      <c r="B11" s="498"/>
      <c r="C11" s="498" t="s">
        <v>14</v>
      </c>
      <c r="D11" s="498" t="s">
        <v>13</v>
      </c>
      <c r="E11" s="498" t="s">
        <v>556</v>
      </c>
      <c r="F11" s="498" t="s">
        <v>462</v>
      </c>
      <c r="G11" s="498" t="s">
        <v>513</v>
      </c>
      <c r="H11" s="539">
        <v>43</v>
      </c>
      <c r="I11" s="539">
        <v>237</v>
      </c>
      <c r="J11" s="648">
        <v>1</v>
      </c>
    </row>
    <row r="12" spans="1:11" ht="11.25" customHeight="1" x14ac:dyDescent="0.25">
      <c r="A12" s="553"/>
      <c r="B12" s="498"/>
      <c r="C12" s="504" t="s">
        <v>18</v>
      </c>
      <c r="D12" s="498" t="s">
        <v>17</v>
      </c>
      <c r="E12" s="498" t="s">
        <v>556</v>
      </c>
      <c r="F12" s="498" t="s">
        <v>507</v>
      </c>
      <c r="G12" s="498" t="s">
        <v>513</v>
      </c>
      <c r="H12" s="539">
        <v>116</v>
      </c>
      <c r="I12" s="539">
        <v>659</v>
      </c>
      <c r="J12" s="648">
        <v>1</v>
      </c>
    </row>
    <row r="13" spans="1:11" ht="11.25" customHeight="1" x14ac:dyDescent="0.25">
      <c r="A13" s="553"/>
      <c r="B13" s="498"/>
      <c r="C13" s="504" t="s">
        <v>8</v>
      </c>
      <c r="D13" s="498" t="s">
        <v>7</v>
      </c>
      <c r="E13" s="498" t="s">
        <v>556</v>
      </c>
      <c r="F13" s="498" t="s">
        <v>507</v>
      </c>
      <c r="G13" s="498" t="s">
        <v>513</v>
      </c>
      <c r="H13" s="539">
        <v>23</v>
      </c>
      <c r="I13" s="539">
        <v>86</v>
      </c>
      <c r="J13" s="648">
        <v>1</v>
      </c>
    </row>
    <row r="14" spans="1:11" ht="11.25" customHeight="1" x14ac:dyDescent="0.25">
      <c r="A14" s="553"/>
      <c r="B14" s="498"/>
      <c r="C14" s="504" t="s">
        <v>20</v>
      </c>
      <c r="D14" s="498" t="s">
        <v>19</v>
      </c>
      <c r="E14" s="498" t="s">
        <v>556</v>
      </c>
      <c r="F14" s="498" t="s">
        <v>1096</v>
      </c>
      <c r="G14" s="498" t="s">
        <v>513</v>
      </c>
      <c r="H14" s="539">
        <v>23</v>
      </c>
      <c r="I14" s="539">
        <v>124</v>
      </c>
      <c r="J14" s="648">
        <v>1</v>
      </c>
    </row>
    <row r="15" spans="1:11" ht="11.25" customHeight="1" x14ac:dyDescent="0.25">
      <c r="A15" s="553"/>
      <c r="B15" s="498"/>
      <c r="C15" s="504" t="s">
        <v>366</v>
      </c>
      <c r="D15" s="498" t="s">
        <v>376</v>
      </c>
      <c r="E15" s="498" t="s">
        <v>556</v>
      </c>
      <c r="F15" s="498" t="s">
        <v>462</v>
      </c>
      <c r="G15" s="498" t="s">
        <v>513</v>
      </c>
      <c r="H15" s="539">
        <v>157</v>
      </c>
      <c r="I15" s="539">
        <v>761</v>
      </c>
      <c r="J15" s="648">
        <v>1</v>
      </c>
    </row>
    <row r="16" spans="1:11" ht="11.25" customHeight="1" x14ac:dyDescent="0.25">
      <c r="A16" s="553"/>
      <c r="B16" s="498"/>
      <c r="C16" s="504" t="s">
        <v>22</v>
      </c>
      <c r="D16" s="498" t="s">
        <v>21</v>
      </c>
      <c r="E16" s="498" t="s">
        <v>556</v>
      </c>
      <c r="F16" s="498" t="s">
        <v>462</v>
      </c>
      <c r="G16" s="498" t="s">
        <v>513</v>
      </c>
      <c r="H16" s="539">
        <v>652</v>
      </c>
      <c r="I16" s="539">
        <v>3706</v>
      </c>
      <c r="J16" s="648">
        <v>1</v>
      </c>
    </row>
    <row r="17" spans="1:10" ht="11.25" customHeight="1" x14ac:dyDescent="0.25">
      <c r="A17" s="553"/>
      <c r="B17" s="498"/>
      <c r="C17" s="504" t="s">
        <v>24</v>
      </c>
      <c r="D17" s="498" t="s">
        <v>23</v>
      </c>
      <c r="E17" s="498" t="s">
        <v>556</v>
      </c>
      <c r="F17" s="498" t="s">
        <v>507</v>
      </c>
      <c r="G17" s="498" t="s">
        <v>513</v>
      </c>
      <c r="H17" s="539">
        <v>25</v>
      </c>
      <c r="I17" s="539">
        <v>104</v>
      </c>
      <c r="J17" s="648">
        <v>1</v>
      </c>
    </row>
    <row r="18" spans="1:10" ht="11.25" customHeight="1" x14ac:dyDescent="0.25">
      <c r="A18" s="553"/>
      <c r="B18" s="498"/>
      <c r="C18" s="498" t="s">
        <v>26</v>
      </c>
      <c r="D18" s="498" t="s">
        <v>25</v>
      </c>
      <c r="E18" s="498" t="s">
        <v>556</v>
      </c>
      <c r="F18" s="498" t="s">
        <v>507</v>
      </c>
      <c r="G18" s="498" t="s">
        <v>513</v>
      </c>
      <c r="H18" s="539">
        <v>15</v>
      </c>
      <c r="I18" s="539">
        <v>64</v>
      </c>
      <c r="J18" s="648">
        <v>1</v>
      </c>
    </row>
    <row r="19" spans="1:10" ht="11.25" customHeight="1" x14ac:dyDescent="0.25">
      <c r="A19" s="553"/>
      <c r="B19" s="498" t="s">
        <v>1179</v>
      </c>
      <c r="C19" s="498"/>
      <c r="D19" s="498"/>
      <c r="E19" s="498"/>
      <c r="F19" s="498"/>
      <c r="G19" s="498"/>
      <c r="H19" s="539">
        <v>1578</v>
      </c>
      <c r="I19" s="539">
        <v>8185</v>
      </c>
      <c r="J19" s="648">
        <v>11</v>
      </c>
    </row>
    <row r="20" spans="1:10" ht="11.25" customHeight="1" x14ac:dyDescent="0.25">
      <c r="A20" s="553"/>
      <c r="B20" s="498" t="s">
        <v>27</v>
      </c>
      <c r="C20" s="498" t="s">
        <v>28</v>
      </c>
      <c r="D20" s="498" t="s">
        <v>30</v>
      </c>
      <c r="E20" s="498" t="s">
        <v>556</v>
      </c>
      <c r="F20" s="498" t="s">
        <v>507</v>
      </c>
      <c r="G20" s="498" t="s">
        <v>513</v>
      </c>
      <c r="H20" s="539">
        <v>118</v>
      </c>
      <c r="I20" s="539">
        <v>518</v>
      </c>
      <c r="J20" s="648">
        <v>1</v>
      </c>
    </row>
    <row r="21" spans="1:10" ht="11.25" customHeight="1" x14ac:dyDescent="0.25">
      <c r="A21" s="553"/>
      <c r="B21" s="498"/>
      <c r="C21" s="498" t="s">
        <v>364</v>
      </c>
      <c r="D21" s="498" t="s">
        <v>29</v>
      </c>
      <c r="E21" s="498" t="s">
        <v>556</v>
      </c>
      <c r="F21" s="498" t="s">
        <v>462</v>
      </c>
      <c r="G21" s="498" t="s">
        <v>515</v>
      </c>
      <c r="H21" s="539">
        <v>154</v>
      </c>
      <c r="I21" s="539">
        <v>920</v>
      </c>
      <c r="J21" s="648">
        <v>1</v>
      </c>
    </row>
    <row r="22" spans="1:10" ht="11.25" customHeight="1" x14ac:dyDescent="0.25">
      <c r="A22" s="553"/>
      <c r="B22" s="498"/>
      <c r="C22" s="498" t="s">
        <v>34</v>
      </c>
      <c r="D22" s="498" t="s">
        <v>33</v>
      </c>
      <c r="E22" s="498" t="s">
        <v>12</v>
      </c>
      <c r="F22" s="498" t="s">
        <v>603</v>
      </c>
      <c r="G22" s="498" t="s">
        <v>513</v>
      </c>
      <c r="H22" s="539"/>
      <c r="I22" s="539"/>
      <c r="J22" s="648">
        <v>1</v>
      </c>
    </row>
    <row r="23" spans="1:10" ht="11.25" customHeight="1" x14ac:dyDescent="0.25">
      <c r="A23" s="553"/>
      <c r="B23" s="498"/>
      <c r="C23" s="498" t="s">
        <v>365</v>
      </c>
      <c r="D23" s="498" t="s">
        <v>378</v>
      </c>
      <c r="E23" s="498" t="s">
        <v>556</v>
      </c>
      <c r="F23" s="498" t="s">
        <v>507</v>
      </c>
      <c r="G23" s="498" t="s">
        <v>513</v>
      </c>
      <c r="H23" s="539">
        <v>144</v>
      </c>
      <c r="I23" s="539">
        <v>645</v>
      </c>
      <c r="J23" s="648">
        <v>1</v>
      </c>
    </row>
    <row r="24" spans="1:10" ht="11.25" customHeight="1" x14ac:dyDescent="0.25">
      <c r="A24" s="553"/>
      <c r="B24" s="498"/>
      <c r="C24" s="498" t="s">
        <v>870</v>
      </c>
      <c r="D24" s="498" t="s">
        <v>869</v>
      </c>
      <c r="E24" s="498" t="s">
        <v>556</v>
      </c>
      <c r="F24" s="498" t="s">
        <v>1097</v>
      </c>
      <c r="G24" s="498" t="s">
        <v>513</v>
      </c>
      <c r="H24" s="539">
        <v>65</v>
      </c>
      <c r="I24" s="539">
        <v>306</v>
      </c>
      <c r="J24" s="648">
        <v>1</v>
      </c>
    </row>
    <row r="25" spans="1:10" ht="11.25" customHeight="1" x14ac:dyDescent="0.25">
      <c r="A25" s="553"/>
      <c r="B25" s="498"/>
      <c r="C25" s="498" t="s">
        <v>1026</v>
      </c>
      <c r="D25" s="498" t="s">
        <v>1027</v>
      </c>
      <c r="E25" s="498" t="s">
        <v>556</v>
      </c>
      <c r="F25" s="498" t="s">
        <v>1097</v>
      </c>
      <c r="G25" s="498" t="s">
        <v>513</v>
      </c>
      <c r="H25" s="539">
        <v>30</v>
      </c>
      <c r="I25" s="539">
        <v>181</v>
      </c>
      <c r="J25" s="648">
        <v>1</v>
      </c>
    </row>
    <row r="26" spans="1:10" ht="11.25" customHeight="1" x14ac:dyDescent="0.25">
      <c r="A26" s="553"/>
      <c r="B26" s="498" t="s">
        <v>1126</v>
      </c>
      <c r="C26" s="498"/>
      <c r="D26" s="498"/>
      <c r="E26" s="498"/>
      <c r="F26" s="498"/>
      <c r="G26" s="498"/>
      <c r="H26" s="539">
        <v>511</v>
      </c>
      <c r="I26" s="539">
        <v>2570</v>
      </c>
      <c r="J26" s="648">
        <v>6</v>
      </c>
    </row>
    <row r="27" spans="1:10" ht="11.25" customHeight="1" x14ac:dyDescent="0.25">
      <c r="A27" s="553"/>
      <c r="B27" s="498" t="s">
        <v>529</v>
      </c>
      <c r="C27" s="498" t="s">
        <v>62</v>
      </c>
      <c r="D27" s="498" t="s">
        <v>61</v>
      </c>
      <c r="E27" s="498" t="s">
        <v>556</v>
      </c>
      <c r="F27" s="498" t="s">
        <v>462</v>
      </c>
      <c r="G27" s="498" t="s">
        <v>513</v>
      </c>
      <c r="H27" s="539">
        <v>76</v>
      </c>
      <c r="I27" s="539">
        <v>344</v>
      </c>
      <c r="J27" s="648">
        <v>1</v>
      </c>
    </row>
    <row r="28" spans="1:10" ht="11.25" customHeight="1" x14ac:dyDescent="0.25">
      <c r="A28" s="553"/>
      <c r="B28" s="498"/>
      <c r="C28" s="498" t="s">
        <v>120</v>
      </c>
      <c r="D28" s="498" t="s">
        <v>119</v>
      </c>
      <c r="E28" s="498" t="s">
        <v>556</v>
      </c>
      <c r="F28" s="498" t="s">
        <v>1097</v>
      </c>
      <c r="G28" s="498" t="s">
        <v>513</v>
      </c>
      <c r="H28" s="539">
        <v>75</v>
      </c>
      <c r="I28" s="539">
        <v>404</v>
      </c>
      <c r="J28" s="648">
        <v>1</v>
      </c>
    </row>
    <row r="29" spans="1:10" ht="11.25" customHeight="1" x14ac:dyDescent="0.25">
      <c r="A29" s="553"/>
      <c r="B29" s="498"/>
      <c r="C29" s="498" t="s">
        <v>41</v>
      </c>
      <c r="D29" s="498" t="s">
        <v>40</v>
      </c>
      <c r="E29" s="498" t="s">
        <v>556</v>
      </c>
      <c r="F29" s="498" t="s">
        <v>507</v>
      </c>
      <c r="G29" s="498" t="s">
        <v>513</v>
      </c>
      <c r="H29" s="539">
        <v>67</v>
      </c>
      <c r="I29" s="539">
        <v>350</v>
      </c>
      <c r="J29" s="648">
        <v>1</v>
      </c>
    </row>
    <row r="30" spans="1:10" ht="11.25" customHeight="1" x14ac:dyDescent="0.25">
      <c r="A30" s="553"/>
      <c r="B30" s="498"/>
      <c r="C30" s="498" t="s">
        <v>43</v>
      </c>
      <c r="D30" s="498" t="s">
        <v>42</v>
      </c>
      <c r="E30" s="498" t="s">
        <v>556</v>
      </c>
      <c r="F30" s="498" t="s">
        <v>507</v>
      </c>
      <c r="G30" s="498" t="s">
        <v>513</v>
      </c>
      <c r="H30" s="539">
        <v>14</v>
      </c>
      <c r="I30" s="539">
        <v>83</v>
      </c>
      <c r="J30" s="648">
        <v>1</v>
      </c>
    </row>
    <row r="31" spans="1:10" ht="11.25" customHeight="1" x14ac:dyDescent="0.25">
      <c r="A31" s="553"/>
      <c r="B31" s="498"/>
      <c r="C31" s="498" t="s">
        <v>52</v>
      </c>
      <c r="D31" s="498" t="s">
        <v>51</v>
      </c>
      <c r="E31" s="498" t="s">
        <v>556</v>
      </c>
      <c r="F31" s="498" t="s">
        <v>462</v>
      </c>
      <c r="G31" s="498" t="s">
        <v>513</v>
      </c>
      <c r="H31" s="539">
        <v>35</v>
      </c>
      <c r="I31" s="539">
        <v>214</v>
      </c>
      <c r="J31" s="648">
        <v>1</v>
      </c>
    </row>
    <row r="32" spans="1:10" ht="11.25" customHeight="1" x14ac:dyDescent="0.25">
      <c r="A32" s="553"/>
      <c r="B32" s="498"/>
      <c r="C32" s="498" t="s">
        <v>72</v>
      </c>
      <c r="D32" s="498" t="s">
        <v>71</v>
      </c>
      <c r="E32" s="498" t="s">
        <v>556</v>
      </c>
      <c r="F32" s="498" t="s">
        <v>507</v>
      </c>
      <c r="G32" s="498" t="s">
        <v>513</v>
      </c>
      <c r="H32" s="539">
        <v>6</v>
      </c>
      <c r="I32" s="539">
        <v>30</v>
      </c>
      <c r="J32" s="648">
        <v>1</v>
      </c>
    </row>
    <row r="33" spans="1:10" ht="11.25" customHeight="1" x14ac:dyDescent="0.25">
      <c r="A33" s="553"/>
      <c r="B33" s="498"/>
      <c r="C33" s="498" t="s">
        <v>76</v>
      </c>
      <c r="D33" s="498" t="s">
        <v>75</v>
      </c>
      <c r="E33" s="498" t="s">
        <v>556</v>
      </c>
      <c r="F33" s="498" t="s">
        <v>507</v>
      </c>
      <c r="G33" s="498" t="s">
        <v>513</v>
      </c>
      <c r="H33" s="539">
        <v>65</v>
      </c>
      <c r="I33" s="539">
        <v>347</v>
      </c>
      <c r="J33" s="648">
        <v>1</v>
      </c>
    </row>
    <row r="34" spans="1:10" ht="11.25" customHeight="1" x14ac:dyDescent="0.25">
      <c r="A34" s="553"/>
      <c r="B34" s="498"/>
      <c r="C34" s="498" t="s">
        <v>88</v>
      </c>
      <c r="D34" s="498" t="s">
        <v>87</v>
      </c>
      <c r="E34" s="498" t="s">
        <v>556</v>
      </c>
      <c r="F34" s="498" t="s">
        <v>462</v>
      </c>
      <c r="G34" s="498" t="s">
        <v>513</v>
      </c>
      <c r="H34" s="539">
        <v>12</v>
      </c>
      <c r="I34" s="539">
        <v>52</v>
      </c>
      <c r="J34" s="648">
        <v>1</v>
      </c>
    </row>
    <row r="35" spans="1:10" ht="11.25" customHeight="1" x14ac:dyDescent="0.25">
      <c r="A35" s="553"/>
      <c r="B35" s="498"/>
      <c r="C35" s="498" t="s">
        <v>44</v>
      </c>
      <c r="D35" s="498" t="s">
        <v>45</v>
      </c>
      <c r="E35" s="498" t="s">
        <v>556</v>
      </c>
      <c r="F35" s="498" t="s">
        <v>507</v>
      </c>
      <c r="G35" s="498" t="s">
        <v>513</v>
      </c>
      <c r="H35" s="539">
        <v>13</v>
      </c>
      <c r="I35" s="539">
        <v>75</v>
      </c>
      <c r="J35" s="648">
        <v>1</v>
      </c>
    </row>
    <row r="36" spans="1:10" ht="11.25" customHeight="1" x14ac:dyDescent="0.25">
      <c r="A36" s="553"/>
      <c r="B36" s="498"/>
      <c r="C36" s="498" t="s">
        <v>90</v>
      </c>
      <c r="D36" s="498" t="s">
        <v>89</v>
      </c>
      <c r="E36" s="498" t="s">
        <v>556</v>
      </c>
      <c r="F36" s="498" t="s">
        <v>507</v>
      </c>
      <c r="G36" s="498" t="s">
        <v>513</v>
      </c>
      <c r="H36" s="539">
        <v>25</v>
      </c>
      <c r="I36" s="539">
        <v>133</v>
      </c>
      <c r="J36" s="648">
        <v>1</v>
      </c>
    </row>
    <row r="37" spans="1:10" ht="11.25" customHeight="1" x14ac:dyDescent="0.25">
      <c r="A37" s="553"/>
      <c r="B37" s="498"/>
      <c r="C37" s="498" t="s">
        <v>92</v>
      </c>
      <c r="D37" s="498" t="s">
        <v>91</v>
      </c>
      <c r="E37" s="498" t="s">
        <v>556</v>
      </c>
      <c r="F37" s="498" t="s">
        <v>507</v>
      </c>
      <c r="G37" s="498" t="s">
        <v>513</v>
      </c>
      <c r="H37" s="539">
        <v>15</v>
      </c>
      <c r="I37" s="539">
        <v>74</v>
      </c>
      <c r="J37" s="648">
        <v>1</v>
      </c>
    </row>
    <row r="38" spans="1:10" ht="11.25" customHeight="1" x14ac:dyDescent="0.25">
      <c r="A38" s="553"/>
      <c r="B38" s="498"/>
      <c r="C38" s="498" t="s">
        <v>100</v>
      </c>
      <c r="D38" s="498" t="s">
        <v>99</v>
      </c>
      <c r="E38" s="498" t="s">
        <v>556</v>
      </c>
      <c r="F38" s="498" t="s">
        <v>507</v>
      </c>
      <c r="G38" s="498" t="s">
        <v>513</v>
      </c>
      <c r="H38" s="539">
        <v>5</v>
      </c>
      <c r="I38" s="539">
        <v>26</v>
      </c>
      <c r="J38" s="648">
        <v>1</v>
      </c>
    </row>
    <row r="39" spans="1:10" ht="11.25" customHeight="1" x14ac:dyDescent="0.25">
      <c r="A39" s="553"/>
      <c r="B39" s="498"/>
      <c r="C39" s="498" t="s">
        <v>613</v>
      </c>
      <c r="D39" s="498" t="s">
        <v>46</v>
      </c>
      <c r="E39" s="498" t="s">
        <v>556</v>
      </c>
      <c r="F39" s="498" t="s">
        <v>507</v>
      </c>
      <c r="G39" s="498" t="s">
        <v>513</v>
      </c>
      <c r="H39" s="539">
        <v>17</v>
      </c>
      <c r="I39" s="539">
        <v>64</v>
      </c>
      <c r="J39" s="648">
        <v>1</v>
      </c>
    </row>
    <row r="40" spans="1:10" ht="11.25" customHeight="1" x14ac:dyDescent="0.25">
      <c r="A40" s="553"/>
      <c r="B40" s="498"/>
      <c r="C40" s="498" t="s">
        <v>108</v>
      </c>
      <c r="D40" s="498" t="s">
        <v>107</v>
      </c>
      <c r="E40" s="498" t="s">
        <v>556</v>
      </c>
      <c r="F40" s="498" t="s">
        <v>1097</v>
      </c>
      <c r="G40" s="498" t="s">
        <v>513</v>
      </c>
      <c r="H40" s="539">
        <v>54</v>
      </c>
      <c r="I40" s="539">
        <v>262</v>
      </c>
      <c r="J40" s="648">
        <v>1</v>
      </c>
    </row>
    <row r="41" spans="1:10" ht="11.25" customHeight="1" x14ac:dyDescent="0.25">
      <c r="A41" s="553"/>
      <c r="B41" s="498"/>
      <c r="C41" s="498" t="s">
        <v>118</v>
      </c>
      <c r="D41" s="498" t="s">
        <v>117</v>
      </c>
      <c r="E41" s="498" t="s">
        <v>556</v>
      </c>
      <c r="F41" s="498" t="s">
        <v>507</v>
      </c>
      <c r="G41" s="498" t="s">
        <v>513</v>
      </c>
      <c r="H41" s="539">
        <v>10</v>
      </c>
      <c r="I41" s="539">
        <v>39</v>
      </c>
      <c r="J41" s="648">
        <v>1</v>
      </c>
    </row>
    <row r="42" spans="1:10" ht="11.25" customHeight="1" x14ac:dyDescent="0.25">
      <c r="A42" s="553"/>
      <c r="B42" s="498"/>
      <c r="C42" s="498" t="s">
        <v>124</v>
      </c>
      <c r="D42" s="498" t="s">
        <v>123</v>
      </c>
      <c r="E42" s="498" t="s">
        <v>556</v>
      </c>
      <c r="F42" s="498" t="s">
        <v>462</v>
      </c>
      <c r="G42" s="498" t="s">
        <v>513</v>
      </c>
      <c r="H42" s="539">
        <v>8</v>
      </c>
      <c r="I42" s="539">
        <v>40</v>
      </c>
      <c r="J42" s="648">
        <v>1</v>
      </c>
    </row>
    <row r="43" spans="1:10" ht="11.25" customHeight="1" x14ac:dyDescent="0.25">
      <c r="A43" s="553"/>
      <c r="B43" s="498"/>
      <c r="C43" s="498" t="s">
        <v>126</v>
      </c>
      <c r="D43" s="498" t="s">
        <v>125</v>
      </c>
      <c r="E43" s="498" t="s">
        <v>556</v>
      </c>
      <c r="F43" s="498" t="s">
        <v>462</v>
      </c>
      <c r="G43" s="498" t="s">
        <v>513</v>
      </c>
      <c r="H43" s="539">
        <v>41</v>
      </c>
      <c r="I43" s="539">
        <v>201</v>
      </c>
      <c r="J43" s="648">
        <v>1</v>
      </c>
    </row>
    <row r="44" spans="1:10" ht="11.25" customHeight="1" x14ac:dyDescent="0.25">
      <c r="A44" s="553"/>
      <c r="B44" s="498"/>
      <c r="C44" s="498" t="s">
        <v>140</v>
      </c>
      <c r="D44" s="498" t="s">
        <v>139</v>
      </c>
      <c r="E44" s="498" t="s">
        <v>556</v>
      </c>
      <c r="F44" s="498" t="s">
        <v>462</v>
      </c>
      <c r="G44" s="498" t="s">
        <v>513</v>
      </c>
      <c r="H44" s="539">
        <v>20</v>
      </c>
      <c r="I44" s="539">
        <v>80</v>
      </c>
      <c r="J44" s="648">
        <v>1</v>
      </c>
    </row>
    <row r="45" spans="1:10" ht="11.25" customHeight="1" x14ac:dyDescent="0.25">
      <c r="A45" s="553"/>
      <c r="B45" s="498"/>
      <c r="C45" s="498" t="s">
        <v>1072</v>
      </c>
      <c r="D45" s="498" t="s">
        <v>1073</v>
      </c>
      <c r="E45" s="498" t="s">
        <v>556</v>
      </c>
      <c r="F45" s="498" t="s">
        <v>462</v>
      </c>
      <c r="G45" s="498" t="s">
        <v>513</v>
      </c>
      <c r="H45" s="539">
        <v>116</v>
      </c>
      <c r="I45" s="539">
        <v>530</v>
      </c>
      <c r="J45" s="648">
        <v>1</v>
      </c>
    </row>
    <row r="46" spans="1:10" ht="11.25" customHeight="1" x14ac:dyDescent="0.25">
      <c r="A46" s="553"/>
      <c r="B46" s="498"/>
      <c r="C46" s="498" t="s">
        <v>1129</v>
      </c>
      <c r="D46" s="498" t="s">
        <v>1130</v>
      </c>
      <c r="E46" s="498" t="s">
        <v>556</v>
      </c>
      <c r="F46" s="498" t="s">
        <v>462</v>
      </c>
      <c r="G46" s="498" t="s">
        <v>513</v>
      </c>
      <c r="H46" s="539">
        <v>50</v>
      </c>
      <c r="I46" s="539">
        <v>226</v>
      </c>
      <c r="J46" s="648">
        <v>1</v>
      </c>
    </row>
    <row r="47" spans="1:10" ht="11.25" customHeight="1" x14ac:dyDescent="0.25">
      <c r="A47" s="553"/>
      <c r="B47" s="498" t="s">
        <v>1180</v>
      </c>
      <c r="C47" s="498"/>
      <c r="D47" s="498"/>
      <c r="E47" s="498"/>
      <c r="F47" s="498"/>
      <c r="G47" s="498"/>
      <c r="H47" s="539">
        <v>724</v>
      </c>
      <c r="I47" s="539">
        <v>3574</v>
      </c>
      <c r="J47" s="648">
        <v>20</v>
      </c>
    </row>
    <row r="48" spans="1:10" ht="11.25" customHeight="1" x14ac:dyDescent="0.25">
      <c r="A48" s="553"/>
      <c r="B48" s="498" t="s">
        <v>144</v>
      </c>
      <c r="C48" s="498" t="s">
        <v>145</v>
      </c>
      <c r="D48" s="498" t="s">
        <v>143</v>
      </c>
      <c r="E48" s="498" t="s">
        <v>556</v>
      </c>
      <c r="F48" s="498" t="s">
        <v>603</v>
      </c>
      <c r="G48" s="498" t="s">
        <v>513</v>
      </c>
      <c r="H48" s="539">
        <v>11</v>
      </c>
      <c r="I48" s="539">
        <v>17</v>
      </c>
      <c r="J48" s="648">
        <v>1</v>
      </c>
    </row>
    <row r="49" spans="1:10" ht="11.25" customHeight="1" x14ac:dyDescent="0.25">
      <c r="A49" s="553"/>
      <c r="B49" s="498" t="s">
        <v>1181</v>
      </c>
      <c r="C49" s="498"/>
      <c r="D49" s="498"/>
      <c r="E49" s="498"/>
      <c r="F49" s="498"/>
      <c r="G49" s="498"/>
      <c r="H49" s="539">
        <v>11</v>
      </c>
      <c r="I49" s="539">
        <v>17</v>
      </c>
      <c r="J49" s="648">
        <v>1</v>
      </c>
    </row>
    <row r="50" spans="1:10" ht="11.25" customHeight="1" x14ac:dyDescent="0.25">
      <c r="A50" s="553"/>
      <c r="B50" s="498" t="s">
        <v>151</v>
      </c>
      <c r="C50" s="498" t="s">
        <v>188</v>
      </c>
      <c r="D50" s="498" t="s">
        <v>187</v>
      </c>
      <c r="E50" s="498" t="s">
        <v>556</v>
      </c>
      <c r="F50" s="498" t="s">
        <v>1096</v>
      </c>
      <c r="G50" s="498" t="s">
        <v>515</v>
      </c>
      <c r="H50" s="539">
        <v>174</v>
      </c>
      <c r="I50" s="539">
        <v>1185</v>
      </c>
      <c r="J50" s="648">
        <v>1</v>
      </c>
    </row>
    <row r="51" spans="1:10" ht="11.25" customHeight="1" x14ac:dyDescent="0.25">
      <c r="A51" s="553"/>
      <c r="B51" s="498"/>
      <c r="C51" s="498" t="s">
        <v>12</v>
      </c>
      <c r="D51" s="498" t="s">
        <v>391</v>
      </c>
      <c r="E51" s="498" t="s">
        <v>12</v>
      </c>
      <c r="F51" s="498" t="s">
        <v>603</v>
      </c>
      <c r="G51" s="498" t="s">
        <v>513</v>
      </c>
      <c r="H51" s="539">
        <v>76</v>
      </c>
      <c r="I51" s="539">
        <v>256</v>
      </c>
      <c r="J51" s="648">
        <v>1</v>
      </c>
    </row>
    <row r="52" spans="1:10" ht="11.25" customHeight="1" x14ac:dyDescent="0.25">
      <c r="A52" s="553"/>
      <c r="B52" s="498"/>
      <c r="C52" s="498" t="s">
        <v>198</v>
      </c>
      <c r="D52" s="498" t="s">
        <v>197</v>
      </c>
      <c r="E52" s="498" t="s">
        <v>556</v>
      </c>
      <c r="F52" s="498" t="s">
        <v>1096</v>
      </c>
      <c r="G52" s="498" t="s">
        <v>515</v>
      </c>
      <c r="H52" s="539">
        <v>541</v>
      </c>
      <c r="I52" s="539">
        <v>2607</v>
      </c>
      <c r="J52" s="648">
        <v>1</v>
      </c>
    </row>
    <row r="53" spans="1:10" ht="11.25" customHeight="1" x14ac:dyDescent="0.25">
      <c r="A53" s="553"/>
      <c r="B53" s="498"/>
      <c r="C53" s="498" t="s">
        <v>891</v>
      </c>
      <c r="D53" s="498" t="s">
        <v>892</v>
      </c>
      <c r="E53" s="498" t="s">
        <v>556</v>
      </c>
      <c r="F53" s="498" t="s">
        <v>462</v>
      </c>
      <c r="G53" s="498" t="s">
        <v>513</v>
      </c>
      <c r="H53" s="539">
        <v>372</v>
      </c>
      <c r="I53" s="539">
        <v>1141</v>
      </c>
      <c r="J53" s="648">
        <v>1</v>
      </c>
    </row>
    <row r="54" spans="1:10" ht="11.25" customHeight="1" x14ac:dyDescent="0.25">
      <c r="A54" s="553"/>
      <c r="B54" s="498"/>
      <c r="C54" s="498" t="s">
        <v>160</v>
      </c>
      <c r="D54" s="498" t="s">
        <v>159</v>
      </c>
      <c r="E54" s="498" t="s">
        <v>556</v>
      </c>
      <c r="F54" s="498" t="s">
        <v>462</v>
      </c>
      <c r="G54" s="498" t="s">
        <v>513</v>
      </c>
      <c r="H54" s="539">
        <v>114</v>
      </c>
      <c r="I54" s="539">
        <v>524</v>
      </c>
      <c r="J54" s="648">
        <v>1</v>
      </c>
    </row>
    <row r="55" spans="1:10" ht="11.25" customHeight="1" x14ac:dyDescent="0.25">
      <c r="A55" s="553"/>
      <c r="B55" s="498"/>
      <c r="C55" s="498" t="s">
        <v>154</v>
      </c>
      <c r="D55" s="498" t="s">
        <v>153</v>
      </c>
      <c r="E55" s="498" t="s">
        <v>556</v>
      </c>
      <c r="F55" s="498" t="s">
        <v>1096</v>
      </c>
      <c r="G55" s="498" t="s">
        <v>513</v>
      </c>
      <c r="H55" s="539">
        <v>486</v>
      </c>
      <c r="I55" s="539">
        <v>2371</v>
      </c>
      <c r="J55" s="648">
        <v>1</v>
      </c>
    </row>
    <row r="56" spans="1:10" ht="11.25" customHeight="1" x14ac:dyDescent="0.25">
      <c r="A56" s="553"/>
      <c r="B56" s="498"/>
      <c r="C56" s="498" t="s">
        <v>156</v>
      </c>
      <c r="D56" s="498" t="s">
        <v>155</v>
      </c>
      <c r="E56" s="498" t="s">
        <v>12</v>
      </c>
      <c r="F56" s="498" t="s">
        <v>603</v>
      </c>
      <c r="G56" s="498" t="s">
        <v>513</v>
      </c>
      <c r="H56" s="539">
        <v>205</v>
      </c>
      <c r="I56" s="539">
        <v>1043</v>
      </c>
      <c r="J56" s="648">
        <v>1</v>
      </c>
    </row>
    <row r="57" spans="1:10" ht="11.25" customHeight="1" x14ac:dyDescent="0.25">
      <c r="A57" s="553"/>
      <c r="B57" s="498"/>
      <c r="C57" s="498" t="s">
        <v>152</v>
      </c>
      <c r="D57" s="498" t="s">
        <v>150</v>
      </c>
      <c r="E57" s="498" t="s">
        <v>556</v>
      </c>
      <c r="F57" s="498" t="s">
        <v>462</v>
      </c>
      <c r="G57" s="498" t="s">
        <v>513</v>
      </c>
      <c r="H57" s="539">
        <v>221</v>
      </c>
      <c r="I57" s="539">
        <v>1003</v>
      </c>
      <c r="J57" s="648">
        <v>1</v>
      </c>
    </row>
    <row r="58" spans="1:10" ht="11.25" customHeight="1" x14ac:dyDescent="0.25">
      <c r="A58" s="553"/>
      <c r="B58" s="498"/>
      <c r="C58" s="498" t="s">
        <v>949</v>
      </c>
      <c r="D58" s="498" t="s">
        <v>948</v>
      </c>
      <c r="E58" s="498" t="s">
        <v>556</v>
      </c>
      <c r="F58" s="498" t="s">
        <v>1096</v>
      </c>
      <c r="G58" s="498" t="s">
        <v>513</v>
      </c>
      <c r="H58" s="539">
        <v>121</v>
      </c>
      <c r="I58" s="539">
        <v>596</v>
      </c>
      <c r="J58" s="648">
        <v>1</v>
      </c>
    </row>
    <row r="59" spans="1:10" ht="11.25" customHeight="1" x14ac:dyDescent="0.25">
      <c r="A59" s="553"/>
      <c r="B59" s="498"/>
      <c r="C59" s="498" t="s">
        <v>1041</v>
      </c>
      <c r="D59" s="498" t="s">
        <v>1042</v>
      </c>
      <c r="E59" s="498" t="s">
        <v>556</v>
      </c>
      <c r="F59" s="498" t="s">
        <v>1096</v>
      </c>
      <c r="G59" s="498" t="s">
        <v>515</v>
      </c>
      <c r="H59" s="539">
        <v>219</v>
      </c>
      <c r="I59" s="539">
        <v>891</v>
      </c>
      <c r="J59" s="648">
        <v>1</v>
      </c>
    </row>
    <row r="60" spans="1:10" ht="11.25" customHeight="1" x14ac:dyDescent="0.25">
      <c r="A60" s="553"/>
      <c r="B60" s="498"/>
      <c r="C60" s="498" t="s">
        <v>1068</v>
      </c>
      <c r="D60" s="498" t="s">
        <v>1069</v>
      </c>
      <c r="E60" s="498" t="s">
        <v>556</v>
      </c>
      <c r="F60" s="498" t="s">
        <v>1096</v>
      </c>
      <c r="G60" s="498" t="s">
        <v>513</v>
      </c>
      <c r="H60" s="539">
        <v>115</v>
      </c>
      <c r="I60" s="539">
        <v>502</v>
      </c>
      <c r="J60" s="648">
        <v>1</v>
      </c>
    </row>
    <row r="61" spans="1:10" ht="11.25" customHeight="1" x14ac:dyDescent="0.25">
      <c r="A61" s="553"/>
      <c r="B61" s="498"/>
      <c r="C61" s="498" t="s">
        <v>1102</v>
      </c>
      <c r="D61" s="498" t="s">
        <v>1103</v>
      </c>
      <c r="E61" s="498" t="s">
        <v>556</v>
      </c>
      <c r="F61" s="498" t="s">
        <v>462</v>
      </c>
      <c r="G61" s="498" t="s">
        <v>513</v>
      </c>
      <c r="H61" s="539">
        <v>114</v>
      </c>
      <c r="I61" s="539">
        <v>524</v>
      </c>
      <c r="J61" s="648">
        <v>1</v>
      </c>
    </row>
    <row r="62" spans="1:10" ht="11.25" customHeight="1" x14ac:dyDescent="0.25">
      <c r="A62" s="553"/>
      <c r="B62" s="498" t="s">
        <v>1182</v>
      </c>
      <c r="C62" s="498"/>
      <c r="D62" s="498"/>
      <c r="E62" s="498"/>
      <c r="F62" s="498"/>
      <c r="G62" s="498"/>
      <c r="H62" s="539">
        <v>2758</v>
      </c>
      <c r="I62" s="539">
        <v>12643</v>
      </c>
      <c r="J62" s="648">
        <v>12</v>
      </c>
    </row>
    <row r="63" spans="1:10" ht="11.25" customHeight="1" x14ac:dyDescent="0.25">
      <c r="A63" s="553"/>
      <c r="B63" s="498" t="s">
        <v>173</v>
      </c>
      <c r="C63" s="498" t="s">
        <v>174</v>
      </c>
      <c r="D63" s="498" t="s">
        <v>172</v>
      </c>
      <c r="E63" s="498" t="s">
        <v>556</v>
      </c>
      <c r="F63" s="498" t="s">
        <v>462</v>
      </c>
      <c r="G63" s="498" t="s">
        <v>513</v>
      </c>
      <c r="H63" s="539">
        <v>16</v>
      </c>
      <c r="I63" s="539">
        <v>69</v>
      </c>
      <c r="J63" s="648">
        <v>1</v>
      </c>
    </row>
    <row r="64" spans="1:10" ht="11.25" customHeight="1" x14ac:dyDescent="0.25">
      <c r="A64" s="553"/>
      <c r="B64" s="498"/>
      <c r="C64" s="498" t="s">
        <v>176</v>
      </c>
      <c r="D64" s="498" t="s">
        <v>175</v>
      </c>
      <c r="E64" s="498" t="s">
        <v>556</v>
      </c>
      <c r="F64" s="498" t="s">
        <v>462</v>
      </c>
      <c r="G64" s="498" t="s">
        <v>513</v>
      </c>
      <c r="H64" s="539">
        <v>18</v>
      </c>
      <c r="I64" s="539">
        <v>79</v>
      </c>
      <c r="J64" s="648">
        <v>1</v>
      </c>
    </row>
    <row r="65" spans="1:10" ht="11.25" customHeight="1" x14ac:dyDescent="0.25">
      <c r="A65" s="553"/>
      <c r="B65" s="498"/>
      <c r="C65" s="498" t="s">
        <v>178</v>
      </c>
      <c r="D65" s="498" t="s">
        <v>177</v>
      </c>
      <c r="E65" s="498" t="s">
        <v>556</v>
      </c>
      <c r="F65" s="498" t="s">
        <v>462</v>
      </c>
      <c r="G65" s="498" t="s">
        <v>513</v>
      </c>
      <c r="H65" s="539">
        <v>14</v>
      </c>
      <c r="I65" s="539">
        <v>44</v>
      </c>
      <c r="J65" s="648">
        <v>1</v>
      </c>
    </row>
    <row r="66" spans="1:10" ht="11.25" customHeight="1" x14ac:dyDescent="0.25">
      <c r="A66" s="553"/>
      <c r="B66" s="498"/>
      <c r="C66" s="498" t="s">
        <v>1312</v>
      </c>
      <c r="D66" s="498" t="s">
        <v>1303</v>
      </c>
      <c r="E66" s="498" t="s">
        <v>12</v>
      </c>
      <c r="F66" s="498" t="s">
        <v>603</v>
      </c>
      <c r="G66" s="498" t="s">
        <v>513</v>
      </c>
      <c r="H66" s="539">
        <v>24</v>
      </c>
      <c r="I66" s="539">
        <v>83</v>
      </c>
      <c r="J66" s="648">
        <v>1</v>
      </c>
    </row>
    <row r="67" spans="1:10" ht="11.25" customHeight="1" x14ac:dyDescent="0.25">
      <c r="A67" s="553"/>
      <c r="B67" s="498"/>
      <c r="C67" s="498" t="s">
        <v>1311</v>
      </c>
      <c r="D67" s="498" t="s">
        <v>1304</v>
      </c>
      <c r="E67" s="498" t="s">
        <v>12</v>
      </c>
      <c r="F67" s="498" t="s">
        <v>603</v>
      </c>
      <c r="G67" s="498" t="s">
        <v>513</v>
      </c>
      <c r="H67" s="539">
        <v>40</v>
      </c>
      <c r="I67" s="539">
        <v>158</v>
      </c>
      <c r="J67" s="648">
        <v>1</v>
      </c>
    </row>
    <row r="68" spans="1:10" ht="11.25" customHeight="1" x14ac:dyDescent="0.25">
      <c r="A68" s="553"/>
      <c r="B68" s="498"/>
      <c r="C68" s="498" t="s">
        <v>1302</v>
      </c>
      <c r="D68" s="498" t="s">
        <v>1305</v>
      </c>
      <c r="E68" s="498" t="s">
        <v>556</v>
      </c>
      <c r="F68" s="498" t="s">
        <v>1097</v>
      </c>
      <c r="G68" s="498" t="s">
        <v>513</v>
      </c>
      <c r="H68" s="539">
        <v>9</v>
      </c>
      <c r="I68" s="539">
        <v>39</v>
      </c>
      <c r="J68" s="648">
        <v>1</v>
      </c>
    </row>
    <row r="69" spans="1:10" ht="11.25" customHeight="1" x14ac:dyDescent="0.25">
      <c r="A69" s="553"/>
      <c r="B69" s="498" t="s">
        <v>1183</v>
      </c>
      <c r="C69" s="498"/>
      <c r="D69" s="498"/>
      <c r="E69" s="498"/>
      <c r="F69" s="498"/>
      <c r="G69" s="498"/>
      <c r="H69" s="539">
        <v>121</v>
      </c>
      <c r="I69" s="539">
        <v>472</v>
      </c>
      <c r="J69" s="648">
        <v>6</v>
      </c>
    </row>
    <row r="70" spans="1:10" ht="11.25" customHeight="1" x14ac:dyDescent="0.25">
      <c r="A70" s="553"/>
      <c r="B70" s="498" t="s">
        <v>180</v>
      </c>
      <c r="C70" s="498" t="s">
        <v>287</v>
      </c>
      <c r="D70" s="498" t="s">
        <v>286</v>
      </c>
      <c r="E70" s="498" t="s">
        <v>556</v>
      </c>
      <c r="F70" s="498" t="s">
        <v>462</v>
      </c>
      <c r="G70" s="498" t="s">
        <v>513</v>
      </c>
      <c r="H70" s="539">
        <v>18</v>
      </c>
      <c r="I70" s="539">
        <v>141</v>
      </c>
      <c r="J70" s="648">
        <v>1</v>
      </c>
    </row>
    <row r="71" spans="1:10" ht="11.25" customHeight="1" x14ac:dyDescent="0.25">
      <c r="A71" s="553"/>
      <c r="B71" s="498"/>
      <c r="C71" s="498" t="s">
        <v>181</v>
      </c>
      <c r="D71" s="498" t="s">
        <v>179</v>
      </c>
      <c r="E71" s="498" t="s">
        <v>556</v>
      </c>
      <c r="F71" s="498" t="s">
        <v>1097</v>
      </c>
      <c r="G71" s="498" t="s">
        <v>513</v>
      </c>
      <c r="H71" s="539">
        <v>12</v>
      </c>
      <c r="I71" s="539">
        <v>52</v>
      </c>
      <c r="J71" s="648">
        <v>1</v>
      </c>
    </row>
    <row r="72" spans="1:10" ht="11.25" customHeight="1" x14ac:dyDescent="0.25">
      <c r="A72" s="553"/>
      <c r="B72" s="498"/>
      <c r="C72" s="498" t="s">
        <v>1172</v>
      </c>
      <c r="D72" s="498" t="s">
        <v>1174</v>
      </c>
      <c r="E72" s="498" t="s">
        <v>12</v>
      </c>
      <c r="F72" s="498" t="s">
        <v>603</v>
      </c>
      <c r="G72" s="498" t="s">
        <v>513</v>
      </c>
      <c r="H72" s="539">
        <v>36</v>
      </c>
      <c r="I72" s="539">
        <v>153</v>
      </c>
      <c r="J72" s="648">
        <v>1</v>
      </c>
    </row>
    <row r="73" spans="1:10" ht="11.25" customHeight="1" x14ac:dyDescent="0.25">
      <c r="A73" s="553"/>
      <c r="B73" s="498"/>
      <c r="C73" s="498" t="s">
        <v>1173</v>
      </c>
      <c r="D73" s="498" t="s">
        <v>1175</v>
      </c>
      <c r="E73" s="498" t="s">
        <v>12</v>
      </c>
      <c r="F73" s="498" t="s">
        <v>603</v>
      </c>
      <c r="G73" s="498" t="s">
        <v>513</v>
      </c>
      <c r="H73" s="539">
        <v>18</v>
      </c>
      <c r="I73" s="539">
        <v>74</v>
      </c>
      <c r="J73" s="648">
        <v>1</v>
      </c>
    </row>
    <row r="74" spans="1:10" ht="11.25" customHeight="1" x14ac:dyDescent="0.25">
      <c r="A74" s="553"/>
      <c r="B74" s="498" t="s">
        <v>1184</v>
      </c>
      <c r="C74" s="498"/>
      <c r="D74" s="498"/>
      <c r="E74" s="498"/>
      <c r="F74" s="498"/>
      <c r="G74" s="498"/>
      <c r="H74" s="539">
        <v>84</v>
      </c>
      <c r="I74" s="539">
        <v>420</v>
      </c>
      <c r="J74" s="648">
        <v>4</v>
      </c>
    </row>
    <row r="75" spans="1:10" ht="11.25" customHeight="1" x14ac:dyDescent="0.25">
      <c r="A75" s="553"/>
      <c r="B75" s="498" t="s">
        <v>185</v>
      </c>
      <c r="C75" s="498" t="s">
        <v>192</v>
      </c>
      <c r="D75" s="498" t="s">
        <v>191</v>
      </c>
      <c r="E75" s="498" t="s">
        <v>556</v>
      </c>
      <c r="F75" s="498" t="s">
        <v>1097</v>
      </c>
      <c r="G75" s="498" t="s">
        <v>515</v>
      </c>
      <c r="H75" s="539">
        <v>115</v>
      </c>
      <c r="I75" s="539">
        <v>596</v>
      </c>
      <c r="J75" s="648">
        <v>1</v>
      </c>
    </row>
    <row r="76" spans="1:10" ht="11.25" customHeight="1" x14ac:dyDescent="0.25">
      <c r="A76" s="553"/>
      <c r="B76" s="498"/>
      <c r="C76" s="498" t="s">
        <v>12</v>
      </c>
      <c r="D76" s="498" t="s">
        <v>392</v>
      </c>
      <c r="E76" s="498" t="s">
        <v>12</v>
      </c>
      <c r="F76" s="498" t="s">
        <v>603</v>
      </c>
      <c r="G76" s="498" t="s">
        <v>513</v>
      </c>
      <c r="H76" s="539">
        <v>320</v>
      </c>
      <c r="I76" s="539">
        <v>1125</v>
      </c>
      <c r="J76" s="648">
        <v>1</v>
      </c>
    </row>
    <row r="77" spans="1:10" ht="11.25" customHeight="1" x14ac:dyDescent="0.25">
      <c r="A77" s="553"/>
      <c r="B77" s="498"/>
      <c r="C77" s="498" t="s">
        <v>194</v>
      </c>
      <c r="D77" s="498" t="s">
        <v>193</v>
      </c>
      <c r="E77" s="498" t="s">
        <v>556</v>
      </c>
      <c r="F77" s="498" t="s">
        <v>1097</v>
      </c>
      <c r="G77" s="498" t="s">
        <v>515</v>
      </c>
      <c r="H77" s="539">
        <v>613</v>
      </c>
      <c r="I77" s="539">
        <v>2969</v>
      </c>
      <c r="J77" s="648">
        <v>1</v>
      </c>
    </row>
    <row r="78" spans="1:10" ht="11.25" customHeight="1" x14ac:dyDescent="0.25">
      <c r="A78" s="553"/>
      <c r="B78" s="498"/>
      <c r="C78" s="498" t="s">
        <v>196</v>
      </c>
      <c r="D78" s="498" t="s">
        <v>195</v>
      </c>
      <c r="E78" s="498" t="s">
        <v>556</v>
      </c>
      <c r="F78" s="498" t="s">
        <v>1097</v>
      </c>
      <c r="G78" s="498" t="s">
        <v>515</v>
      </c>
      <c r="H78" s="539">
        <v>1692</v>
      </c>
      <c r="I78" s="539">
        <v>8818</v>
      </c>
      <c r="J78" s="648">
        <v>1</v>
      </c>
    </row>
    <row r="79" spans="1:10" ht="11.25" customHeight="1" x14ac:dyDescent="0.25">
      <c r="A79" s="553"/>
      <c r="B79" s="498"/>
      <c r="C79" s="498" t="s">
        <v>523</v>
      </c>
      <c r="D79" s="498" t="s">
        <v>524</v>
      </c>
      <c r="E79" s="498" t="s">
        <v>12</v>
      </c>
      <c r="F79" s="498" t="s">
        <v>603</v>
      </c>
      <c r="G79" s="498" t="s">
        <v>513</v>
      </c>
      <c r="H79" s="539">
        <v>4</v>
      </c>
      <c r="I79" s="539">
        <v>26</v>
      </c>
      <c r="J79" s="648">
        <v>1</v>
      </c>
    </row>
    <row r="80" spans="1:10" ht="11.25" customHeight="1" x14ac:dyDescent="0.25">
      <c r="A80" s="553"/>
      <c r="B80" s="498"/>
      <c r="C80" s="498" t="s">
        <v>186</v>
      </c>
      <c r="D80" s="498" t="s">
        <v>184</v>
      </c>
      <c r="E80" s="498" t="s">
        <v>556</v>
      </c>
      <c r="F80" s="498" t="s">
        <v>462</v>
      </c>
      <c r="G80" s="498" t="s">
        <v>513</v>
      </c>
      <c r="H80" s="539">
        <v>29</v>
      </c>
      <c r="I80" s="539">
        <v>182</v>
      </c>
      <c r="J80" s="648">
        <v>1</v>
      </c>
    </row>
    <row r="81" spans="1:10" ht="11.25" customHeight="1" x14ac:dyDescent="0.25">
      <c r="A81" s="553"/>
      <c r="B81" s="498"/>
      <c r="C81" s="498" t="s">
        <v>223</v>
      </c>
      <c r="D81" s="498" t="s">
        <v>222</v>
      </c>
      <c r="E81" s="498" t="s">
        <v>556</v>
      </c>
      <c r="F81" s="498" t="s">
        <v>1096</v>
      </c>
      <c r="G81" s="498" t="s">
        <v>513</v>
      </c>
      <c r="H81" s="539">
        <v>70</v>
      </c>
      <c r="I81" s="539">
        <v>609</v>
      </c>
      <c r="J81" s="648">
        <v>1</v>
      </c>
    </row>
    <row r="82" spans="1:10" ht="11.25" customHeight="1" x14ac:dyDescent="0.25">
      <c r="A82" s="553"/>
      <c r="B82" s="498"/>
      <c r="C82" s="498" t="s">
        <v>190</v>
      </c>
      <c r="D82" s="498" t="s">
        <v>189</v>
      </c>
      <c r="E82" s="498" t="s">
        <v>556</v>
      </c>
      <c r="F82" s="498" t="s">
        <v>462</v>
      </c>
      <c r="G82" s="498" t="s">
        <v>513</v>
      </c>
      <c r="H82" s="539">
        <v>188</v>
      </c>
      <c r="I82" s="539">
        <v>993</v>
      </c>
      <c r="J82" s="648">
        <v>1</v>
      </c>
    </row>
    <row r="83" spans="1:10" ht="11.25" customHeight="1" x14ac:dyDescent="0.25">
      <c r="A83" s="553"/>
      <c r="B83" s="498"/>
      <c r="C83" s="498" t="s">
        <v>200</v>
      </c>
      <c r="D83" s="498" t="s">
        <v>199</v>
      </c>
      <c r="E83" s="498" t="s">
        <v>12</v>
      </c>
      <c r="F83" s="498" t="s">
        <v>603</v>
      </c>
      <c r="G83" s="498" t="s">
        <v>513</v>
      </c>
      <c r="H83" s="539">
        <v>2</v>
      </c>
      <c r="I83" s="539">
        <v>9</v>
      </c>
      <c r="J83" s="648">
        <v>1</v>
      </c>
    </row>
    <row r="84" spans="1:10" ht="11.25" customHeight="1" x14ac:dyDescent="0.25">
      <c r="A84" s="553"/>
      <c r="B84" s="498"/>
      <c r="C84" s="498" t="s">
        <v>202</v>
      </c>
      <c r="D84" s="498" t="s">
        <v>201</v>
      </c>
      <c r="E84" s="498" t="s">
        <v>556</v>
      </c>
      <c r="F84" s="498" t="s">
        <v>1096</v>
      </c>
      <c r="G84" s="498" t="s">
        <v>513</v>
      </c>
      <c r="H84" s="539">
        <v>265</v>
      </c>
      <c r="I84" s="539">
        <v>1084</v>
      </c>
      <c r="J84" s="648">
        <v>1</v>
      </c>
    </row>
    <row r="85" spans="1:10" ht="11.25" customHeight="1" x14ac:dyDescent="0.25">
      <c r="A85" s="553"/>
      <c r="B85" s="498"/>
      <c r="C85" s="498" t="s">
        <v>204</v>
      </c>
      <c r="D85" s="498" t="s">
        <v>203</v>
      </c>
      <c r="E85" s="498" t="s">
        <v>12</v>
      </c>
      <c r="F85" s="498" t="s">
        <v>603</v>
      </c>
      <c r="G85" s="498" t="s">
        <v>513</v>
      </c>
      <c r="H85" s="539">
        <v>28</v>
      </c>
      <c r="I85" s="539">
        <v>136</v>
      </c>
      <c r="J85" s="648">
        <v>1</v>
      </c>
    </row>
    <row r="86" spans="1:10" ht="11.25" customHeight="1" x14ac:dyDescent="0.25">
      <c r="A86" s="553"/>
      <c r="B86" s="498"/>
      <c r="C86" s="498" t="s">
        <v>205</v>
      </c>
      <c r="D86" s="498" t="s">
        <v>393</v>
      </c>
      <c r="E86" s="498" t="s">
        <v>12</v>
      </c>
      <c r="F86" s="498" t="s">
        <v>603</v>
      </c>
      <c r="G86" s="498" t="s">
        <v>513</v>
      </c>
      <c r="H86" s="539"/>
      <c r="I86" s="539"/>
      <c r="J86" s="648">
        <v>1</v>
      </c>
    </row>
    <row r="87" spans="1:10" ht="11.25" customHeight="1" x14ac:dyDescent="0.25">
      <c r="A87" s="553"/>
      <c r="B87" s="498"/>
      <c r="C87" s="498" t="s">
        <v>209</v>
      </c>
      <c r="D87" s="498" t="s">
        <v>208</v>
      </c>
      <c r="E87" s="498" t="s">
        <v>556</v>
      </c>
      <c r="F87" s="498" t="s">
        <v>462</v>
      </c>
      <c r="G87" s="498" t="s">
        <v>513</v>
      </c>
      <c r="H87" s="539">
        <v>207</v>
      </c>
      <c r="I87" s="539">
        <v>1863</v>
      </c>
      <c r="J87" s="648">
        <v>1</v>
      </c>
    </row>
    <row r="88" spans="1:10" ht="11.25" customHeight="1" x14ac:dyDescent="0.25">
      <c r="A88" s="553"/>
      <c r="B88" s="498"/>
      <c r="C88" s="498" t="s">
        <v>213</v>
      </c>
      <c r="D88" s="498" t="s">
        <v>212</v>
      </c>
      <c r="E88" s="498" t="s">
        <v>12</v>
      </c>
      <c r="F88" s="498" t="s">
        <v>603</v>
      </c>
      <c r="G88" s="498" t="s">
        <v>513</v>
      </c>
      <c r="H88" s="539">
        <v>13</v>
      </c>
      <c r="I88" s="539">
        <v>53</v>
      </c>
      <c r="J88" s="648">
        <v>1</v>
      </c>
    </row>
    <row r="89" spans="1:10" ht="11.25" customHeight="1" x14ac:dyDescent="0.25">
      <c r="A89" s="553"/>
      <c r="B89" s="498"/>
      <c r="C89" s="498" t="s">
        <v>215</v>
      </c>
      <c r="D89" s="498" t="s">
        <v>214</v>
      </c>
      <c r="E89" s="498" t="s">
        <v>556</v>
      </c>
      <c r="F89" s="498" t="s">
        <v>1096</v>
      </c>
      <c r="G89" s="498" t="s">
        <v>515</v>
      </c>
      <c r="H89" s="539">
        <v>412</v>
      </c>
      <c r="I89" s="539">
        <v>1700</v>
      </c>
      <c r="J89" s="648">
        <v>1</v>
      </c>
    </row>
    <row r="90" spans="1:10" ht="11.25" customHeight="1" x14ac:dyDescent="0.25">
      <c r="A90" s="553"/>
      <c r="B90" s="498"/>
      <c r="C90" s="498" t="s">
        <v>217</v>
      </c>
      <c r="D90" s="498" t="s">
        <v>216</v>
      </c>
      <c r="E90" s="498" t="s">
        <v>556</v>
      </c>
      <c r="F90" s="498" t="s">
        <v>507</v>
      </c>
      <c r="G90" s="498" t="s">
        <v>513</v>
      </c>
      <c r="H90" s="539">
        <v>24</v>
      </c>
      <c r="I90" s="539">
        <v>89</v>
      </c>
      <c r="J90" s="648">
        <v>1</v>
      </c>
    </row>
    <row r="91" spans="1:10" ht="11.25" customHeight="1" x14ac:dyDescent="0.25">
      <c r="A91" s="553"/>
      <c r="B91" s="498"/>
      <c r="C91" s="498" t="s">
        <v>229</v>
      </c>
      <c r="D91" s="498" t="s">
        <v>228</v>
      </c>
      <c r="E91" s="498" t="s">
        <v>556</v>
      </c>
      <c r="F91" s="498" t="s">
        <v>462</v>
      </c>
      <c r="G91" s="498" t="s">
        <v>513</v>
      </c>
      <c r="H91" s="539">
        <v>50</v>
      </c>
      <c r="I91" s="539">
        <v>293</v>
      </c>
      <c r="J91" s="648">
        <v>1</v>
      </c>
    </row>
    <row r="92" spans="1:10" ht="11.25" customHeight="1" x14ac:dyDescent="0.25">
      <c r="A92" s="553"/>
      <c r="B92" s="498"/>
      <c r="C92" s="498" t="s">
        <v>219</v>
      </c>
      <c r="D92" s="498" t="s">
        <v>218</v>
      </c>
      <c r="E92" s="498" t="s">
        <v>556</v>
      </c>
      <c r="F92" s="498" t="s">
        <v>1096</v>
      </c>
      <c r="G92" s="498" t="s">
        <v>515</v>
      </c>
      <c r="H92" s="539">
        <v>840</v>
      </c>
      <c r="I92" s="539">
        <v>3249</v>
      </c>
      <c r="J92" s="648">
        <v>1</v>
      </c>
    </row>
    <row r="93" spans="1:10" ht="11.25" customHeight="1" x14ac:dyDescent="0.25">
      <c r="A93" s="553"/>
      <c r="B93" s="498"/>
      <c r="C93" s="498" t="s">
        <v>221</v>
      </c>
      <c r="D93" s="498" t="s">
        <v>220</v>
      </c>
      <c r="E93" s="498" t="s">
        <v>12</v>
      </c>
      <c r="F93" s="498" t="s">
        <v>603</v>
      </c>
      <c r="G93" s="498" t="s">
        <v>513</v>
      </c>
      <c r="H93" s="539">
        <v>39</v>
      </c>
      <c r="I93" s="539">
        <v>176</v>
      </c>
      <c r="J93" s="648">
        <v>1</v>
      </c>
    </row>
    <row r="94" spans="1:10" ht="11.25" customHeight="1" x14ac:dyDescent="0.25">
      <c r="A94" s="553"/>
      <c r="B94" s="498"/>
      <c r="C94" s="498" t="s">
        <v>225</v>
      </c>
      <c r="D94" s="498" t="s">
        <v>224</v>
      </c>
      <c r="E94" s="498" t="s">
        <v>556</v>
      </c>
      <c r="F94" s="498" t="s">
        <v>462</v>
      </c>
      <c r="G94" s="498" t="s">
        <v>513</v>
      </c>
      <c r="H94" s="539">
        <v>45</v>
      </c>
      <c r="I94" s="539">
        <v>269</v>
      </c>
      <c r="J94" s="648">
        <v>1</v>
      </c>
    </row>
    <row r="95" spans="1:10" ht="11.25" customHeight="1" x14ac:dyDescent="0.25">
      <c r="A95" s="553"/>
      <c r="B95" s="498"/>
      <c r="C95" s="498" t="s">
        <v>227</v>
      </c>
      <c r="D95" s="498" t="s">
        <v>226</v>
      </c>
      <c r="E95" s="498" t="s">
        <v>12</v>
      </c>
      <c r="F95" s="498" t="s">
        <v>603</v>
      </c>
      <c r="G95" s="498" t="s">
        <v>513</v>
      </c>
      <c r="H95" s="539">
        <v>10</v>
      </c>
      <c r="I95" s="539">
        <v>38</v>
      </c>
      <c r="J95" s="648">
        <v>1</v>
      </c>
    </row>
    <row r="96" spans="1:10" ht="11.25" customHeight="1" x14ac:dyDescent="0.25">
      <c r="A96" s="553"/>
      <c r="B96" s="498"/>
      <c r="C96" s="498" t="s">
        <v>1405</v>
      </c>
      <c r="D96" s="498" t="s">
        <v>1406</v>
      </c>
      <c r="E96" s="498" t="s">
        <v>993</v>
      </c>
      <c r="F96" s="498" t="s">
        <v>603</v>
      </c>
      <c r="G96" s="498" t="s">
        <v>513</v>
      </c>
      <c r="H96" s="539"/>
      <c r="I96" s="539">
        <v>49</v>
      </c>
      <c r="J96" s="648">
        <v>1</v>
      </c>
    </row>
    <row r="97" spans="1:10" ht="11.25" customHeight="1" x14ac:dyDescent="0.25">
      <c r="A97" s="553"/>
      <c r="B97" s="498" t="s">
        <v>1185</v>
      </c>
      <c r="C97" s="498"/>
      <c r="D97" s="498"/>
      <c r="E97" s="498"/>
      <c r="F97" s="498"/>
      <c r="G97" s="498"/>
      <c r="H97" s="539">
        <v>4966</v>
      </c>
      <c r="I97" s="539">
        <v>24326</v>
      </c>
      <c r="J97" s="648">
        <v>22</v>
      </c>
    </row>
    <row r="98" spans="1:10" ht="11.25" customHeight="1" x14ac:dyDescent="0.25">
      <c r="A98" s="553"/>
      <c r="B98" s="498" t="s">
        <v>237</v>
      </c>
      <c r="C98" s="498" t="s">
        <v>243</v>
      </c>
      <c r="D98" s="498" t="s">
        <v>242</v>
      </c>
      <c r="E98" s="498" t="s">
        <v>556</v>
      </c>
      <c r="F98" s="498" t="s">
        <v>462</v>
      </c>
      <c r="G98" s="498" t="s">
        <v>513</v>
      </c>
      <c r="H98" s="539">
        <v>6</v>
      </c>
      <c r="I98" s="539">
        <v>28</v>
      </c>
      <c r="J98" s="648">
        <v>1</v>
      </c>
    </row>
    <row r="99" spans="1:10" ht="11.25" customHeight="1" x14ac:dyDescent="0.25">
      <c r="A99" s="553"/>
      <c r="B99" s="498"/>
      <c r="C99" s="504" t="s">
        <v>245</v>
      </c>
      <c r="D99" s="498" t="s">
        <v>244</v>
      </c>
      <c r="E99" s="498" t="s">
        <v>556</v>
      </c>
      <c r="F99" s="498" t="s">
        <v>462</v>
      </c>
      <c r="G99" s="498" t="s">
        <v>513</v>
      </c>
      <c r="H99" s="539">
        <v>6</v>
      </c>
      <c r="I99" s="539">
        <v>39</v>
      </c>
      <c r="J99" s="648">
        <v>1</v>
      </c>
    </row>
    <row r="100" spans="1:10" ht="11.25" customHeight="1" x14ac:dyDescent="0.25">
      <c r="A100" s="553"/>
      <c r="B100" s="498"/>
      <c r="C100" s="504" t="s">
        <v>247</v>
      </c>
      <c r="D100" s="498" t="s">
        <v>246</v>
      </c>
      <c r="E100" s="498" t="s">
        <v>556</v>
      </c>
      <c r="F100" s="498" t="s">
        <v>462</v>
      </c>
      <c r="G100" s="498" t="s">
        <v>513</v>
      </c>
      <c r="H100" s="539">
        <v>50</v>
      </c>
      <c r="I100" s="539">
        <v>236</v>
      </c>
      <c r="J100" s="648">
        <v>1</v>
      </c>
    </row>
    <row r="101" spans="1:10" ht="11.25" customHeight="1" x14ac:dyDescent="0.25">
      <c r="A101" s="553"/>
      <c r="B101" s="498"/>
      <c r="C101" s="504" t="s">
        <v>253</v>
      </c>
      <c r="D101" s="498" t="s">
        <v>252</v>
      </c>
      <c r="E101" s="498" t="s">
        <v>556</v>
      </c>
      <c r="F101" s="498" t="s">
        <v>462</v>
      </c>
      <c r="G101" s="498" t="s">
        <v>513</v>
      </c>
      <c r="H101" s="539">
        <v>203</v>
      </c>
      <c r="I101" s="539">
        <v>1072</v>
      </c>
      <c r="J101" s="648">
        <v>1</v>
      </c>
    </row>
    <row r="102" spans="1:10" ht="11.25" customHeight="1" x14ac:dyDescent="0.25">
      <c r="A102" s="553"/>
      <c r="B102" s="498"/>
      <c r="C102" s="504" t="s">
        <v>255</v>
      </c>
      <c r="D102" s="498" t="s">
        <v>254</v>
      </c>
      <c r="E102" s="498" t="s">
        <v>556</v>
      </c>
      <c r="F102" s="498" t="s">
        <v>1097</v>
      </c>
      <c r="G102" s="498" t="s">
        <v>513</v>
      </c>
      <c r="H102" s="539">
        <v>109</v>
      </c>
      <c r="I102" s="539">
        <v>493</v>
      </c>
      <c r="J102" s="648">
        <v>1</v>
      </c>
    </row>
    <row r="103" spans="1:10" ht="11.25" customHeight="1" x14ac:dyDescent="0.25">
      <c r="A103" s="553"/>
      <c r="B103" s="498"/>
      <c r="C103" s="504" t="s">
        <v>257</v>
      </c>
      <c r="D103" s="498" t="s">
        <v>256</v>
      </c>
      <c r="E103" s="498" t="s">
        <v>556</v>
      </c>
      <c r="F103" s="498" t="s">
        <v>462</v>
      </c>
      <c r="G103" s="498" t="s">
        <v>513</v>
      </c>
      <c r="H103" s="539">
        <v>45</v>
      </c>
      <c r="I103" s="539">
        <v>194</v>
      </c>
      <c r="J103" s="648">
        <v>1</v>
      </c>
    </row>
    <row r="104" spans="1:10" ht="11.25" customHeight="1" x14ac:dyDescent="0.25">
      <c r="A104" s="553"/>
      <c r="B104" s="498"/>
      <c r="C104" s="504" t="s">
        <v>240</v>
      </c>
      <c r="D104" s="498" t="s">
        <v>239</v>
      </c>
      <c r="E104" s="498" t="s">
        <v>556</v>
      </c>
      <c r="F104" s="498" t="s">
        <v>462</v>
      </c>
      <c r="G104" s="498" t="s">
        <v>513</v>
      </c>
      <c r="H104" s="539">
        <v>108</v>
      </c>
      <c r="I104" s="539">
        <v>605</v>
      </c>
      <c r="J104" s="648">
        <v>1</v>
      </c>
    </row>
    <row r="105" spans="1:10" ht="11.25" customHeight="1" x14ac:dyDescent="0.25">
      <c r="A105" s="553"/>
      <c r="B105" s="498"/>
      <c r="C105" s="504" t="s">
        <v>285</v>
      </c>
      <c r="D105" s="498" t="s">
        <v>284</v>
      </c>
      <c r="E105" s="498" t="s">
        <v>556</v>
      </c>
      <c r="F105" s="498" t="s">
        <v>462</v>
      </c>
      <c r="G105" s="498" t="s">
        <v>513</v>
      </c>
      <c r="H105" s="539">
        <v>163</v>
      </c>
      <c r="I105" s="539">
        <v>712</v>
      </c>
      <c r="J105" s="648">
        <v>1</v>
      </c>
    </row>
    <row r="106" spans="1:10" ht="11.25" customHeight="1" x14ac:dyDescent="0.25">
      <c r="A106" s="553"/>
      <c r="B106" s="498"/>
      <c r="C106" s="498" t="s">
        <v>259</v>
      </c>
      <c r="D106" s="498" t="s">
        <v>258</v>
      </c>
      <c r="E106" s="498" t="s">
        <v>556</v>
      </c>
      <c r="F106" s="498" t="s">
        <v>462</v>
      </c>
      <c r="G106" s="498" t="s">
        <v>513</v>
      </c>
      <c r="H106" s="539">
        <v>72</v>
      </c>
      <c r="I106" s="539">
        <v>375</v>
      </c>
      <c r="J106" s="648">
        <v>1</v>
      </c>
    </row>
    <row r="107" spans="1:10" ht="11.25" customHeight="1" x14ac:dyDescent="0.25">
      <c r="A107" s="553"/>
      <c r="B107" s="498"/>
      <c r="C107" s="498" t="s">
        <v>261</v>
      </c>
      <c r="D107" s="498" t="s">
        <v>260</v>
      </c>
      <c r="E107" s="498" t="s">
        <v>556</v>
      </c>
      <c r="F107" s="498" t="s">
        <v>462</v>
      </c>
      <c r="G107" s="498" t="s">
        <v>513</v>
      </c>
      <c r="H107" s="539">
        <v>96</v>
      </c>
      <c r="I107" s="539">
        <v>505</v>
      </c>
      <c r="J107" s="648">
        <v>1</v>
      </c>
    </row>
    <row r="108" spans="1:10" ht="11.25" customHeight="1" x14ac:dyDescent="0.25">
      <c r="A108" s="553"/>
      <c r="B108" s="498"/>
      <c r="C108" s="498" t="s">
        <v>263</v>
      </c>
      <c r="D108" s="498" t="s">
        <v>262</v>
      </c>
      <c r="E108" s="498" t="s">
        <v>556</v>
      </c>
      <c r="F108" s="498" t="s">
        <v>507</v>
      </c>
      <c r="G108" s="498" t="s">
        <v>513</v>
      </c>
      <c r="H108" s="539">
        <v>22</v>
      </c>
      <c r="I108" s="539">
        <v>103</v>
      </c>
      <c r="J108" s="648">
        <v>1</v>
      </c>
    </row>
    <row r="109" spans="1:10" ht="11.25" customHeight="1" x14ac:dyDescent="0.25">
      <c r="A109" s="553"/>
      <c r="B109" s="498"/>
      <c r="C109" s="498" t="s">
        <v>265</v>
      </c>
      <c r="D109" s="498" t="s">
        <v>264</v>
      </c>
      <c r="E109" s="498" t="s">
        <v>556</v>
      </c>
      <c r="F109" s="498" t="s">
        <v>507</v>
      </c>
      <c r="G109" s="498" t="s">
        <v>513</v>
      </c>
      <c r="H109" s="539">
        <v>14</v>
      </c>
      <c r="I109" s="539">
        <v>73</v>
      </c>
      <c r="J109" s="648">
        <v>1</v>
      </c>
    </row>
    <row r="110" spans="1:10" ht="11.25" customHeight="1" x14ac:dyDescent="0.25">
      <c r="A110" s="553"/>
      <c r="B110" s="498"/>
      <c r="C110" s="498" t="s">
        <v>271</v>
      </c>
      <c r="D110" s="498" t="s">
        <v>270</v>
      </c>
      <c r="E110" s="498" t="s">
        <v>556</v>
      </c>
      <c r="F110" s="498" t="s">
        <v>1097</v>
      </c>
      <c r="G110" s="498" t="s">
        <v>513</v>
      </c>
      <c r="H110" s="539">
        <v>70</v>
      </c>
      <c r="I110" s="539">
        <v>326</v>
      </c>
      <c r="J110" s="648">
        <v>1</v>
      </c>
    </row>
    <row r="111" spans="1:10" ht="11.25" customHeight="1" x14ac:dyDescent="0.25">
      <c r="A111" s="553"/>
      <c r="B111" s="498"/>
      <c r="C111" s="498" t="s">
        <v>269</v>
      </c>
      <c r="D111" s="498" t="s">
        <v>268</v>
      </c>
      <c r="E111" s="498" t="s">
        <v>556</v>
      </c>
      <c r="F111" s="498" t="s">
        <v>462</v>
      </c>
      <c r="G111" s="498" t="s">
        <v>513</v>
      </c>
      <c r="H111" s="539">
        <v>57</v>
      </c>
      <c r="I111" s="539">
        <v>233</v>
      </c>
      <c r="J111" s="648">
        <v>1</v>
      </c>
    </row>
    <row r="112" spans="1:10" ht="11.25" customHeight="1" x14ac:dyDescent="0.25">
      <c r="A112" s="553"/>
      <c r="B112" s="498"/>
      <c r="C112" s="498" t="s">
        <v>273</v>
      </c>
      <c r="D112" s="498" t="s">
        <v>272</v>
      </c>
      <c r="E112" s="498" t="s">
        <v>556</v>
      </c>
      <c r="F112" s="498" t="s">
        <v>1097</v>
      </c>
      <c r="G112" s="498" t="s">
        <v>513</v>
      </c>
      <c r="H112" s="539">
        <v>57</v>
      </c>
      <c r="I112" s="539">
        <v>292</v>
      </c>
      <c r="J112" s="648">
        <v>1</v>
      </c>
    </row>
    <row r="113" spans="1:10" ht="11.25" customHeight="1" x14ac:dyDescent="0.25">
      <c r="A113" s="553"/>
      <c r="B113" s="498"/>
      <c r="C113" s="498" t="s">
        <v>277</v>
      </c>
      <c r="D113" s="498" t="s">
        <v>276</v>
      </c>
      <c r="E113" s="498" t="s">
        <v>556</v>
      </c>
      <c r="F113" s="498" t="s">
        <v>462</v>
      </c>
      <c r="G113" s="498" t="s">
        <v>513</v>
      </c>
      <c r="H113" s="539">
        <v>95</v>
      </c>
      <c r="I113" s="539">
        <v>385</v>
      </c>
      <c r="J113" s="648">
        <v>1</v>
      </c>
    </row>
    <row r="114" spans="1:10" ht="11.25" customHeight="1" x14ac:dyDescent="0.25">
      <c r="A114" s="553"/>
      <c r="B114" s="498"/>
      <c r="C114" s="498" t="s">
        <v>279</v>
      </c>
      <c r="D114" s="498" t="s">
        <v>278</v>
      </c>
      <c r="E114" s="498" t="s">
        <v>556</v>
      </c>
      <c r="F114" s="498" t="s">
        <v>507</v>
      </c>
      <c r="G114" s="498" t="s">
        <v>513</v>
      </c>
      <c r="H114" s="539">
        <v>28</v>
      </c>
      <c r="I114" s="539">
        <v>130</v>
      </c>
      <c r="J114" s="648">
        <v>1</v>
      </c>
    </row>
    <row r="115" spans="1:10" ht="11.25" customHeight="1" x14ac:dyDescent="0.25">
      <c r="A115" s="553"/>
      <c r="B115" s="498"/>
      <c r="C115" s="498" t="s">
        <v>281</v>
      </c>
      <c r="D115" s="498" t="s">
        <v>280</v>
      </c>
      <c r="E115" s="498" t="s">
        <v>556</v>
      </c>
      <c r="F115" s="498" t="s">
        <v>462</v>
      </c>
      <c r="G115" s="498" t="s">
        <v>513</v>
      </c>
      <c r="H115" s="539">
        <v>90</v>
      </c>
      <c r="I115" s="539">
        <v>487</v>
      </c>
      <c r="J115" s="648">
        <v>1</v>
      </c>
    </row>
    <row r="116" spans="1:10" ht="11.25" customHeight="1" x14ac:dyDescent="0.25">
      <c r="A116" s="553"/>
      <c r="B116" s="498"/>
      <c r="C116" s="498" t="s">
        <v>238</v>
      </c>
      <c r="D116" s="498" t="s">
        <v>236</v>
      </c>
      <c r="E116" s="498" t="s">
        <v>556</v>
      </c>
      <c r="F116" s="498" t="s">
        <v>462</v>
      </c>
      <c r="G116" s="498" t="s">
        <v>513</v>
      </c>
      <c r="H116" s="539">
        <v>70</v>
      </c>
      <c r="I116" s="539">
        <v>369</v>
      </c>
      <c r="J116" s="648">
        <v>1</v>
      </c>
    </row>
    <row r="117" spans="1:10" ht="11.25" customHeight="1" x14ac:dyDescent="0.25">
      <c r="A117" s="553"/>
      <c r="B117" s="498"/>
      <c r="C117" s="498" t="s">
        <v>249</v>
      </c>
      <c r="D117" s="498" t="s">
        <v>248</v>
      </c>
      <c r="E117" s="498" t="s">
        <v>556</v>
      </c>
      <c r="F117" s="498" t="s">
        <v>507</v>
      </c>
      <c r="G117" s="498" t="s">
        <v>513</v>
      </c>
      <c r="H117" s="539">
        <v>12</v>
      </c>
      <c r="I117" s="539">
        <v>55</v>
      </c>
      <c r="J117" s="648">
        <v>1</v>
      </c>
    </row>
    <row r="118" spans="1:10" ht="11.25" customHeight="1" x14ac:dyDescent="0.25">
      <c r="A118" s="553"/>
      <c r="B118" s="498"/>
      <c r="C118" s="498" t="s">
        <v>251</v>
      </c>
      <c r="D118" s="498" t="s">
        <v>250</v>
      </c>
      <c r="E118" s="498" t="s">
        <v>556</v>
      </c>
      <c r="F118" s="498" t="s">
        <v>462</v>
      </c>
      <c r="G118" s="498" t="s">
        <v>513</v>
      </c>
      <c r="H118" s="539">
        <v>32</v>
      </c>
      <c r="I118" s="539">
        <v>146</v>
      </c>
      <c r="J118" s="648">
        <v>1</v>
      </c>
    </row>
    <row r="119" spans="1:10" ht="11.25" customHeight="1" x14ac:dyDescent="0.25">
      <c r="A119" s="553"/>
      <c r="B119" s="498"/>
      <c r="C119" s="498" t="s">
        <v>275</v>
      </c>
      <c r="D119" s="498" t="s">
        <v>274</v>
      </c>
      <c r="E119" s="498" t="s">
        <v>556</v>
      </c>
      <c r="F119" s="498" t="s">
        <v>462</v>
      </c>
      <c r="G119" s="498" t="s">
        <v>513</v>
      </c>
      <c r="H119" s="539">
        <v>44</v>
      </c>
      <c r="I119" s="539">
        <v>212</v>
      </c>
      <c r="J119" s="648">
        <v>1</v>
      </c>
    </row>
    <row r="120" spans="1:10" ht="11.25" customHeight="1" x14ac:dyDescent="0.25">
      <c r="A120" s="553"/>
      <c r="B120" s="498"/>
      <c r="C120" s="498" t="s">
        <v>283</v>
      </c>
      <c r="D120" s="498" t="s">
        <v>282</v>
      </c>
      <c r="E120" s="498" t="s">
        <v>556</v>
      </c>
      <c r="F120" s="498" t="s">
        <v>507</v>
      </c>
      <c r="G120" s="498" t="s">
        <v>513</v>
      </c>
      <c r="H120" s="539">
        <v>7</v>
      </c>
      <c r="I120" s="539">
        <v>37</v>
      </c>
      <c r="J120" s="648">
        <v>1</v>
      </c>
    </row>
    <row r="121" spans="1:10" ht="11.25" customHeight="1" x14ac:dyDescent="0.25">
      <c r="A121" s="553"/>
      <c r="B121" s="498"/>
      <c r="C121" s="498" t="s">
        <v>1267</v>
      </c>
      <c r="D121" s="498" t="s">
        <v>241</v>
      </c>
      <c r="E121" s="498" t="s">
        <v>556</v>
      </c>
      <c r="F121" s="498" t="s">
        <v>507</v>
      </c>
      <c r="G121" s="498" t="s">
        <v>513</v>
      </c>
      <c r="H121" s="539">
        <v>68</v>
      </c>
      <c r="I121" s="539">
        <v>339</v>
      </c>
      <c r="J121" s="648">
        <v>1</v>
      </c>
    </row>
    <row r="122" spans="1:10" ht="11.25" customHeight="1" x14ac:dyDescent="0.25">
      <c r="A122" s="553"/>
      <c r="B122" s="498" t="s">
        <v>1186</v>
      </c>
      <c r="C122" s="498"/>
      <c r="D122" s="498"/>
      <c r="E122" s="498"/>
      <c r="F122" s="498"/>
      <c r="G122" s="498"/>
      <c r="H122" s="539">
        <v>1524</v>
      </c>
      <c r="I122" s="539">
        <v>7446</v>
      </c>
      <c r="J122" s="648">
        <v>24</v>
      </c>
    </row>
    <row r="123" spans="1:10" ht="11.25" customHeight="1" x14ac:dyDescent="0.25">
      <c r="A123" s="553"/>
      <c r="B123" s="498" t="s">
        <v>300</v>
      </c>
      <c r="C123" s="498" t="s">
        <v>301</v>
      </c>
      <c r="D123" s="498" t="s">
        <v>299</v>
      </c>
      <c r="E123" s="498" t="s">
        <v>12</v>
      </c>
      <c r="F123" s="498" t="s">
        <v>603</v>
      </c>
      <c r="G123" s="498" t="s">
        <v>513</v>
      </c>
      <c r="H123" s="539">
        <v>14</v>
      </c>
      <c r="I123" s="539">
        <v>64</v>
      </c>
      <c r="J123" s="648">
        <v>1</v>
      </c>
    </row>
    <row r="124" spans="1:10" ht="11.25" customHeight="1" x14ac:dyDescent="0.25">
      <c r="A124" s="553"/>
      <c r="B124" s="498"/>
      <c r="C124" s="498" t="s">
        <v>1048</v>
      </c>
      <c r="D124" s="498" t="s">
        <v>1050</v>
      </c>
      <c r="E124" s="498" t="s">
        <v>12</v>
      </c>
      <c r="F124" s="498" t="s">
        <v>603</v>
      </c>
      <c r="G124" s="498" t="s">
        <v>513</v>
      </c>
      <c r="H124" s="539">
        <v>10</v>
      </c>
      <c r="I124" s="539">
        <v>56</v>
      </c>
      <c r="J124" s="648">
        <v>1</v>
      </c>
    </row>
    <row r="125" spans="1:10" ht="11.25" customHeight="1" x14ac:dyDescent="0.25">
      <c r="A125" s="553"/>
      <c r="B125" s="498"/>
      <c r="C125" s="498" t="s">
        <v>1292</v>
      </c>
      <c r="D125" s="498" t="s">
        <v>1291</v>
      </c>
      <c r="E125" s="498" t="s">
        <v>556</v>
      </c>
      <c r="F125" s="498" t="s">
        <v>462</v>
      </c>
      <c r="G125" s="498" t="s">
        <v>513</v>
      </c>
      <c r="H125" s="539">
        <v>59</v>
      </c>
      <c r="I125" s="539">
        <v>274</v>
      </c>
      <c r="J125" s="648">
        <v>1</v>
      </c>
    </row>
    <row r="126" spans="1:10" ht="11.25" customHeight="1" x14ac:dyDescent="0.25">
      <c r="A126" s="553"/>
      <c r="B126" s="498" t="s">
        <v>1187</v>
      </c>
      <c r="C126" s="498"/>
      <c r="D126" s="498"/>
      <c r="E126" s="498"/>
      <c r="F126" s="498"/>
      <c r="G126" s="498"/>
      <c r="H126" s="539">
        <v>83</v>
      </c>
      <c r="I126" s="539">
        <v>394</v>
      </c>
      <c r="J126" s="648">
        <v>3</v>
      </c>
    </row>
    <row r="127" spans="1:10" ht="11.25" customHeight="1" x14ac:dyDescent="0.25">
      <c r="A127" s="553"/>
      <c r="B127" s="498" t="s">
        <v>302</v>
      </c>
      <c r="C127" s="498" t="s">
        <v>12</v>
      </c>
      <c r="D127" s="498" t="s">
        <v>394</v>
      </c>
      <c r="E127" s="498" t="s">
        <v>12</v>
      </c>
      <c r="F127" s="498" t="s">
        <v>603</v>
      </c>
      <c r="G127" s="498" t="s">
        <v>513</v>
      </c>
      <c r="H127" s="539">
        <v>9</v>
      </c>
      <c r="I127" s="539">
        <v>30</v>
      </c>
      <c r="J127" s="648">
        <v>1</v>
      </c>
    </row>
    <row r="128" spans="1:10" ht="11.25" customHeight="1" x14ac:dyDescent="0.25">
      <c r="A128" s="553"/>
      <c r="B128" s="498"/>
      <c r="C128" s="498" t="s">
        <v>304</v>
      </c>
      <c r="D128" s="498" t="s">
        <v>303</v>
      </c>
      <c r="E128" s="498" t="s">
        <v>12</v>
      </c>
      <c r="F128" s="498" t="s">
        <v>603</v>
      </c>
      <c r="G128" s="498" t="s">
        <v>515</v>
      </c>
      <c r="H128" s="539">
        <v>375</v>
      </c>
      <c r="I128" s="539">
        <v>1691</v>
      </c>
      <c r="J128" s="648">
        <v>1</v>
      </c>
    </row>
    <row r="129" spans="1:10" ht="11.25" customHeight="1" x14ac:dyDescent="0.25">
      <c r="A129" s="553"/>
      <c r="B129" s="498"/>
      <c r="C129" s="498" t="s">
        <v>306</v>
      </c>
      <c r="D129" s="498" t="s">
        <v>305</v>
      </c>
      <c r="E129" s="498" t="s">
        <v>556</v>
      </c>
      <c r="F129" s="498" t="s">
        <v>462</v>
      </c>
      <c r="G129" s="498" t="s">
        <v>513</v>
      </c>
      <c r="H129" s="539">
        <v>83</v>
      </c>
      <c r="I129" s="539">
        <v>293</v>
      </c>
      <c r="J129" s="648">
        <v>1</v>
      </c>
    </row>
    <row r="130" spans="1:10" ht="11.25" customHeight="1" x14ac:dyDescent="0.25">
      <c r="A130" s="553"/>
      <c r="B130" s="498"/>
      <c r="C130" s="498" t="s">
        <v>308</v>
      </c>
      <c r="D130" s="498" t="s">
        <v>307</v>
      </c>
      <c r="E130" s="498" t="s">
        <v>556</v>
      </c>
      <c r="F130" s="498" t="s">
        <v>1096</v>
      </c>
      <c r="G130" s="498" t="s">
        <v>513</v>
      </c>
      <c r="H130" s="539">
        <v>40</v>
      </c>
      <c r="I130" s="539">
        <v>208</v>
      </c>
      <c r="J130" s="648">
        <v>1</v>
      </c>
    </row>
    <row r="131" spans="1:10" ht="11.25" customHeight="1" x14ac:dyDescent="0.25">
      <c r="A131" s="553"/>
      <c r="B131" s="498" t="s">
        <v>1188</v>
      </c>
      <c r="C131" s="498"/>
      <c r="D131" s="498"/>
      <c r="E131" s="498"/>
      <c r="F131" s="498"/>
      <c r="G131" s="498"/>
      <c r="H131" s="539">
        <v>507</v>
      </c>
      <c r="I131" s="539">
        <v>2222</v>
      </c>
      <c r="J131" s="648">
        <v>4</v>
      </c>
    </row>
    <row r="132" spans="1:10" ht="11.25" customHeight="1" x14ac:dyDescent="0.25">
      <c r="A132" s="553"/>
      <c r="B132" s="498" t="s">
        <v>813</v>
      </c>
      <c r="C132" s="498" t="s">
        <v>813</v>
      </c>
      <c r="D132" s="498" t="s">
        <v>817</v>
      </c>
      <c r="E132" s="498" t="s">
        <v>556</v>
      </c>
      <c r="F132" s="498" t="s">
        <v>603</v>
      </c>
      <c r="G132" s="498" t="s">
        <v>513</v>
      </c>
      <c r="H132" s="539">
        <v>5</v>
      </c>
      <c r="I132" s="539">
        <v>32</v>
      </c>
      <c r="J132" s="648">
        <v>1</v>
      </c>
    </row>
    <row r="133" spans="1:10" ht="11.25" customHeight="1" x14ac:dyDescent="0.25">
      <c r="A133" s="553"/>
      <c r="B133" s="498"/>
      <c r="C133" s="498" t="s">
        <v>1361</v>
      </c>
      <c r="D133" s="498" t="s">
        <v>1362</v>
      </c>
      <c r="E133" s="498" t="s">
        <v>556</v>
      </c>
      <c r="F133" s="498" t="s">
        <v>603</v>
      </c>
      <c r="G133" s="498" t="s">
        <v>513</v>
      </c>
      <c r="H133" s="539">
        <v>161</v>
      </c>
      <c r="I133" s="539">
        <v>711</v>
      </c>
      <c r="J133" s="648">
        <v>1</v>
      </c>
    </row>
    <row r="134" spans="1:10" ht="11.25" customHeight="1" x14ac:dyDescent="0.25">
      <c r="A134" s="553"/>
      <c r="B134" s="498"/>
      <c r="C134" s="498" t="s">
        <v>1364</v>
      </c>
      <c r="D134" s="498" t="s">
        <v>1365</v>
      </c>
      <c r="E134" s="498" t="s">
        <v>556</v>
      </c>
      <c r="F134" s="498" t="s">
        <v>603</v>
      </c>
      <c r="G134" s="498" t="s">
        <v>513</v>
      </c>
      <c r="H134" s="539"/>
      <c r="I134" s="539">
        <v>489</v>
      </c>
      <c r="J134" s="648">
        <v>1</v>
      </c>
    </row>
    <row r="135" spans="1:10" ht="11.25" customHeight="1" x14ac:dyDescent="0.25">
      <c r="A135" s="553"/>
      <c r="B135" s="498" t="s">
        <v>1189</v>
      </c>
      <c r="C135" s="498"/>
      <c r="D135" s="498"/>
      <c r="E135" s="498"/>
      <c r="F135" s="498"/>
      <c r="G135" s="498"/>
      <c r="H135" s="539">
        <v>166</v>
      </c>
      <c r="I135" s="539">
        <v>1232</v>
      </c>
      <c r="J135" s="648">
        <v>3</v>
      </c>
    </row>
    <row r="136" spans="1:10" ht="11.25" customHeight="1" x14ac:dyDescent="0.25">
      <c r="A136" s="553"/>
      <c r="B136" s="498" t="s">
        <v>310</v>
      </c>
      <c r="C136" s="498" t="s">
        <v>334</v>
      </c>
      <c r="D136" s="498" t="s">
        <v>333</v>
      </c>
      <c r="E136" s="498" t="s">
        <v>556</v>
      </c>
      <c r="F136" s="498" t="s">
        <v>1097</v>
      </c>
      <c r="G136" s="498" t="s">
        <v>515</v>
      </c>
      <c r="H136" s="539">
        <v>155</v>
      </c>
      <c r="I136" s="539">
        <v>630</v>
      </c>
      <c r="J136" s="648">
        <v>1</v>
      </c>
    </row>
    <row r="137" spans="1:10" ht="11.25" customHeight="1" x14ac:dyDescent="0.25">
      <c r="A137" s="553"/>
      <c r="B137" s="498"/>
      <c r="C137" s="498" t="s">
        <v>313</v>
      </c>
      <c r="D137" s="498" t="s">
        <v>312</v>
      </c>
      <c r="E137" s="498" t="s">
        <v>556</v>
      </c>
      <c r="F137" s="498" t="s">
        <v>507</v>
      </c>
      <c r="G137" s="498" t="s">
        <v>513</v>
      </c>
      <c r="H137" s="539">
        <v>110</v>
      </c>
      <c r="I137" s="539">
        <v>508</v>
      </c>
      <c r="J137" s="648">
        <v>1</v>
      </c>
    </row>
    <row r="138" spans="1:10" ht="11.25" customHeight="1" x14ac:dyDescent="0.25">
      <c r="A138" s="553"/>
      <c r="B138" s="498"/>
      <c r="C138" s="498" t="s">
        <v>336</v>
      </c>
      <c r="D138" s="498" t="s">
        <v>335</v>
      </c>
      <c r="E138" s="498" t="s">
        <v>556</v>
      </c>
      <c r="F138" s="498" t="s">
        <v>462</v>
      </c>
      <c r="G138" s="498" t="s">
        <v>515</v>
      </c>
      <c r="H138" s="539">
        <v>136</v>
      </c>
      <c r="I138" s="539">
        <v>1116</v>
      </c>
      <c r="J138" s="648">
        <v>1</v>
      </c>
    </row>
    <row r="139" spans="1:10" ht="11.25" customHeight="1" x14ac:dyDescent="0.25">
      <c r="A139" s="553"/>
      <c r="B139" s="498"/>
      <c r="C139" s="498" t="s">
        <v>818</v>
      </c>
      <c r="D139" s="498" t="s">
        <v>819</v>
      </c>
      <c r="E139" s="498" t="s">
        <v>993</v>
      </c>
      <c r="F139" s="498" t="s">
        <v>603</v>
      </c>
      <c r="G139" s="498" t="s">
        <v>515</v>
      </c>
      <c r="H139" s="539"/>
      <c r="I139" s="539">
        <v>1047</v>
      </c>
      <c r="J139" s="648">
        <v>1</v>
      </c>
    </row>
    <row r="140" spans="1:10" ht="11.25" customHeight="1" x14ac:dyDescent="0.25">
      <c r="A140" s="553"/>
      <c r="B140" s="498"/>
      <c r="C140" s="504" t="s">
        <v>320</v>
      </c>
      <c r="D140" s="498" t="s">
        <v>319</v>
      </c>
      <c r="E140" s="498" t="s">
        <v>556</v>
      </c>
      <c r="F140" s="498" t="s">
        <v>462</v>
      </c>
      <c r="G140" s="498" t="s">
        <v>513</v>
      </c>
      <c r="H140" s="539">
        <v>25</v>
      </c>
      <c r="I140" s="539">
        <v>138</v>
      </c>
      <c r="J140" s="648">
        <v>1</v>
      </c>
    </row>
    <row r="141" spans="1:10" ht="11.25" customHeight="1" x14ac:dyDescent="0.25">
      <c r="A141" s="553"/>
      <c r="B141" s="498"/>
      <c r="C141" s="504" t="s">
        <v>322</v>
      </c>
      <c r="D141" s="498" t="s">
        <v>321</v>
      </c>
      <c r="E141" s="498" t="s">
        <v>556</v>
      </c>
      <c r="F141" s="498" t="s">
        <v>1097</v>
      </c>
      <c r="G141" s="498" t="s">
        <v>515</v>
      </c>
      <c r="H141" s="539">
        <v>609</v>
      </c>
      <c r="I141" s="539">
        <v>2627</v>
      </c>
      <c r="J141" s="648">
        <v>1</v>
      </c>
    </row>
    <row r="142" spans="1:10" ht="11.25" customHeight="1" x14ac:dyDescent="0.25">
      <c r="A142" s="553"/>
      <c r="B142" s="498"/>
      <c r="C142" s="504" t="s">
        <v>328</v>
      </c>
      <c r="D142" s="498" t="s">
        <v>327</v>
      </c>
      <c r="E142" s="498" t="s">
        <v>556</v>
      </c>
      <c r="F142" s="498" t="s">
        <v>507</v>
      </c>
      <c r="G142" s="498" t="s">
        <v>513</v>
      </c>
      <c r="H142" s="539">
        <v>135</v>
      </c>
      <c r="I142" s="539">
        <v>738</v>
      </c>
      <c r="J142" s="648">
        <v>1</v>
      </c>
    </row>
    <row r="143" spans="1:10" ht="11.25" customHeight="1" x14ac:dyDescent="0.25">
      <c r="A143" s="553"/>
      <c r="B143" s="498"/>
      <c r="C143" s="504" t="s">
        <v>330</v>
      </c>
      <c r="D143" s="498" t="s">
        <v>329</v>
      </c>
      <c r="E143" s="498" t="s">
        <v>556</v>
      </c>
      <c r="F143" s="498" t="s">
        <v>1097</v>
      </c>
      <c r="G143" s="498" t="s">
        <v>513</v>
      </c>
      <c r="H143" s="539">
        <v>227</v>
      </c>
      <c r="I143" s="539">
        <v>1218</v>
      </c>
      <c r="J143" s="648">
        <v>1</v>
      </c>
    </row>
    <row r="144" spans="1:10" ht="11.25" customHeight="1" x14ac:dyDescent="0.25">
      <c r="A144" s="553"/>
      <c r="B144" s="498"/>
      <c r="C144" s="504" t="s">
        <v>324</v>
      </c>
      <c r="D144" s="498" t="s">
        <v>323</v>
      </c>
      <c r="E144" s="498" t="s">
        <v>556</v>
      </c>
      <c r="F144" s="498" t="s">
        <v>462</v>
      </c>
      <c r="G144" s="498" t="s">
        <v>513</v>
      </c>
      <c r="H144" s="539">
        <v>428</v>
      </c>
      <c r="I144" s="539">
        <v>2219</v>
      </c>
      <c r="J144" s="648">
        <v>1</v>
      </c>
    </row>
    <row r="145" spans="1:10" ht="11.25" customHeight="1" x14ac:dyDescent="0.25">
      <c r="A145" s="553"/>
      <c r="B145" s="498"/>
      <c r="C145" s="504" t="s">
        <v>326</v>
      </c>
      <c r="D145" s="498" t="s">
        <v>325</v>
      </c>
      <c r="E145" s="498" t="s">
        <v>556</v>
      </c>
      <c r="F145" s="498" t="s">
        <v>462</v>
      </c>
      <c r="G145" s="498" t="s">
        <v>513</v>
      </c>
      <c r="H145" s="539">
        <v>48</v>
      </c>
      <c r="I145" s="539">
        <v>199</v>
      </c>
      <c r="J145" s="648">
        <v>1</v>
      </c>
    </row>
    <row r="146" spans="1:10" ht="11.25" customHeight="1" x14ac:dyDescent="0.25">
      <c r="A146" s="553"/>
      <c r="B146" s="498"/>
      <c r="C146" s="504" t="s">
        <v>344</v>
      </c>
      <c r="D146" s="498" t="s">
        <v>343</v>
      </c>
      <c r="E146" s="498" t="s">
        <v>556</v>
      </c>
      <c r="F146" s="498" t="s">
        <v>507</v>
      </c>
      <c r="G146" s="498" t="s">
        <v>513</v>
      </c>
      <c r="H146" s="539">
        <v>18</v>
      </c>
      <c r="I146" s="539">
        <v>82</v>
      </c>
      <c r="J146" s="648">
        <v>1</v>
      </c>
    </row>
    <row r="147" spans="1:10" ht="11.25" customHeight="1" x14ac:dyDescent="0.25">
      <c r="A147" s="553"/>
      <c r="B147" s="498"/>
      <c r="C147" s="504" t="s">
        <v>355</v>
      </c>
      <c r="D147" s="498" t="s">
        <v>354</v>
      </c>
      <c r="E147" s="498" t="s">
        <v>556</v>
      </c>
      <c r="F147" s="498" t="s">
        <v>1097</v>
      </c>
      <c r="G147" s="498" t="s">
        <v>515</v>
      </c>
      <c r="H147" s="539">
        <v>108</v>
      </c>
      <c r="I147" s="539">
        <v>647</v>
      </c>
      <c r="J147" s="648">
        <v>1</v>
      </c>
    </row>
    <row r="148" spans="1:10" ht="11.25" customHeight="1" x14ac:dyDescent="0.25">
      <c r="A148" s="553"/>
      <c r="B148" s="498"/>
      <c r="C148" s="504" t="s">
        <v>318</v>
      </c>
      <c r="D148" s="498" t="s">
        <v>317</v>
      </c>
      <c r="E148" s="498" t="s">
        <v>556</v>
      </c>
      <c r="F148" s="498" t="s">
        <v>507</v>
      </c>
      <c r="G148" s="498" t="s">
        <v>513</v>
      </c>
      <c r="H148" s="539">
        <v>94</v>
      </c>
      <c r="I148" s="539">
        <v>341</v>
      </c>
      <c r="J148" s="648">
        <v>1</v>
      </c>
    </row>
    <row r="149" spans="1:10" ht="11.25" customHeight="1" x14ac:dyDescent="0.25">
      <c r="A149" s="553"/>
      <c r="B149" s="498"/>
      <c r="C149" s="504" t="s">
        <v>342</v>
      </c>
      <c r="D149" s="498" t="s">
        <v>341</v>
      </c>
      <c r="E149" s="498" t="s">
        <v>556</v>
      </c>
      <c r="F149" s="498" t="s">
        <v>462</v>
      </c>
      <c r="G149" s="498" t="s">
        <v>513</v>
      </c>
      <c r="H149" s="539">
        <v>65</v>
      </c>
      <c r="I149" s="539">
        <v>322</v>
      </c>
      <c r="J149" s="648">
        <v>1</v>
      </c>
    </row>
    <row r="150" spans="1:10" ht="11.25" customHeight="1" x14ac:dyDescent="0.25">
      <c r="A150" s="553"/>
      <c r="B150" s="498"/>
      <c r="C150" s="504" t="s">
        <v>338</v>
      </c>
      <c r="D150" s="498" t="s">
        <v>337</v>
      </c>
      <c r="E150" s="498" t="s">
        <v>556</v>
      </c>
      <c r="F150" s="498" t="s">
        <v>507</v>
      </c>
      <c r="G150" s="498" t="s">
        <v>513</v>
      </c>
      <c r="H150" s="539">
        <v>31</v>
      </c>
      <c r="I150" s="539">
        <v>170</v>
      </c>
      <c r="J150" s="648">
        <v>1</v>
      </c>
    </row>
    <row r="151" spans="1:10" ht="11.25" customHeight="1" x14ac:dyDescent="0.25">
      <c r="A151" s="553"/>
      <c r="B151" s="498"/>
      <c r="C151" s="504" t="s">
        <v>351</v>
      </c>
      <c r="D151" s="498" t="s">
        <v>350</v>
      </c>
      <c r="E151" s="498" t="s">
        <v>556</v>
      </c>
      <c r="F151" s="498" t="s">
        <v>507</v>
      </c>
      <c r="G151" s="498" t="s">
        <v>513</v>
      </c>
      <c r="H151" s="539">
        <v>91</v>
      </c>
      <c r="I151" s="539">
        <v>472</v>
      </c>
      <c r="J151" s="648">
        <v>1</v>
      </c>
    </row>
    <row r="152" spans="1:10" ht="11.25" customHeight="1" x14ac:dyDescent="0.25">
      <c r="A152" s="553"/>
      <c r="B152" s="498"/>
      <c r="C152" s="504" t="s">
        <v>347</v>
      </c>
      <c r="D152" s="498" t="s">
        <v>346</v>
      </c>
      <c r="E152" s="498" t="s">
        <v>556</v>
      </c>
      <c r="F152" s="498" t="s">
        <v>462</v>
      </c>
      <c r="G152" s="498" t="s">
        <v>513</v>
      </c>
      <c r="H152" s="539">
        <v>172</v>
      </c>
      <c r="I152" s="539">
        <v>838</v>
      </c>
      <c r="J152" s="648">
        <v>1</v>
      </c>
    </row>
    <row r="153" spans="1:10" ht="11.25" customHeight="1" x14ac:dyDescent="0.25">
      <c r="A153" s="553"/>
      <c r="B153" s="498"/>
      <c r="C153" s="504" t="s">
        <v>349</v>
      </c>
      <c r="D153" s="498" t="s">
        <v>348</v>
      </c>
      <c r="E153" s="498" t="s">
        <v>556</v>
      </c>
      <c r="F153" s="498" t="s">
        <v>507</v>
      </c>
      <c r="G153" s="498" t="s">
        <v>513</v>
      </c>
      <c r="H153" s="539">
        <v>42</v>
      </c>
      <c r="I153" s="539">
        <v>180</v>
      </c>
      <c r="J153" s="648">
        <v>1</v>
      </c>
    </row>
    <row r="154" spans="1:10" ht="11.25" customHeight="1" x14ac:dyDescent="0.25">
      <c r="A154" s="553"/>
      <c r="B154" s="498"/>
      <c r="C154" s="504" t="s">
        <v>316</v>
      </c>
      <c r="D154" s="498" t="s">
        <v>315</v>
      </c>
      <c r="E154" s="498" t="s">
        <v>556</v>
      </c>
      <c r="F154" s="498" t="s">
        <v>507</v>
      </c>
      <c r="G154" s="498" t="s">
        <v>513</v>
      </c>
      <c r="H154" s="539">
        <v>91</v>
      </c>
      <c r="I154" s="539">
        <v>368</v>
      </c>
      <c r="J154" s="648">
        <v>1</v>
      </c>
    </row>
    <row r="155" spans="1:10" ht="11.25" customHeight="1" x14ac:dyDescent="0.25">
      <c r="A155" s="553"/>
      <c r="B155" s="498"/>
      <c r="C155" s="498" t="s">
        <v>311</v>
      </c>
      <c r="D155" s="498" t="s">
        <v>309</v>
      </c>
      <c r="E155" s="498" t="s">
        <v>993</v>
      </c>
      <c r="F155" s="498" t="s">
        <v>462</v>
      </c>
      <c r="G155" s="498" t="s">
        <v>513</v>
      </c>
      <c r="H155" s="539">
        <v>0</v>
      </c>
      <c r="I155" s="539">
        <v>90</v>
      </c>
      <c r="J155" s="648">
        <v>1</v>
      </c>
    </row>
    <row r="156" spans="1:10" ht="11.25" customHeight="1" x14ac:dyDescent="0.25">
      <c r="A156" s="553"/>
      <c r="B156" s="498"/>
      <c r="C156" s="498" t="s">
        <v>353</v>
      </c>
      <c r="D156" s="498" t="s">
        <v>352</v>
      </c>
      <c r="E156" s="498" t="s">
        <v>556</v>
      </c>
      <c r="F156" s="498" t="s">
        <v>1097</v>
      </c>
      <c r="G156" s="498" t="s">
        <v>515</v>
      </c>
      <c r="H156" s="539">
        <v>1345</v>
      </c>
      <c r="I156" s="539">
        <v>6811</v>
      </c>
      <c r="J156" s="648">
        <v>1</v>
      </c>
    </row>
    <row r="157" spans="1:10" ht="11.25" customHeight="1" x14ac:dyDescent="0.25">
      <c r="A157" s="553"/>
      <c r="B157" s="498"/>
      <c r="C157" s="498" t="s">
        <v>1266</v>
      </c>
      <c r="D157" s="498" t="s">
        <v>345</v>
      </c>
      <c r="E157" s="498" t="s">
        <v>556</v>
      </c>
      <c r="F157" s="498" t="s">
        <v>462</v>
      </c>
      <c r="G157" s="498" t="s">
        <v>515</v>
      </c>
      <c r="H157" s="539">
        <v>191</v>
      </c>
      <c r="I157" s="539">
        <v>768</v>
      </c>
      <c r="J157" s="648">
        <v>1</v>
      </c>
    </row>
    <row r="158" spans="1:10" ht="11.25" customHeight="1" x14ac:dyDescent="0.25">
      <c r="A158" s="553"/>
      <c r="B158" s="498"/>
      <c r="C158" s="498" t="s">
        <v>1268</v>
      </c>
      <c r="D158" s="498" t="s">
        <v>356</v>
      </c>
      <c r="E158" s="498" t="s">
        <v>556</v>
      </c>
      <c r="F158" s="498" t="s">
        <v>462</v>
      </c>
      <c r="G158" s="498" t="s">
        <v>515</v>
      </c>
      <c r="H158" s="539">
        <v>680</v>
      </c>
      <c r="I158" s="539">
        <v>2913</v>
      </c>
      <c r="J158" s="648">
        <v>1</v>
      </c>
    </row>
    <row r="159" spans="1:10" ht="11.25" customHeight="1" x14ac:dyDescent="0.25">
      <c r="A159" s="553"/>
      <c r="B159" s="498" t="s">
        <v>1127</v>
      </c>
      <c r="C159" s="498"/>
      <c r="D159" s="498"/>
      <c r="E159" s="498"/>
      <c r="F159" s="498"/>
      <c r="G159" s="498"/>
      <c r="H159" s="539">
        <v>4801</v>
      </c>
      <c r="I159" s="539">
        <v>24442</v>
      </c>
      <c r="J159" s="648">
        <v>23</v>
      </c>
    </row>
    <row r="160" spans="1:10" ht="11.25" customHeight="1" x14ac:dyDescent="0.25">
      <c r="A160" s="553" t="s">
        <v>857</v>
      </c>
      <c r="B160" s="498"/>
      <c r="C160" s="498"/>
      <c r="D160" s="498"/>
      <c r="E160" s="498"/>
      <c r="F160" s="498"/>
      <c r="G160" s="498"/>
      <c r="H160" s="539">
        <v>17834</v>
      </c>
      <c r="I160" s="539">
        <v>87943</v>
      </c>
      <c r="J160" s="648">
        <v>139</v>
      </c>
    </row>
    <row r="161" spans="1:10" ht="11.25" customHeight="1" x14ac:dyDescent="0.25">
      <c r="A161" s="553" t="s">
        <v>555</v>
      </c>
      <c r="B161" s="498" t="s">
        <v>784</v>
      </c>
      <c r="C161" s="498" t="s">
        <v>596</v>
      </c>
      <c r="D161" s="498" t="s">
        <v>844</v>
      </c>
      <c r="E161" s="498" t="s">
        <v>12</v>
      </c>
      <c r="F161" s="498" t="s">
        <v>603</v>
      </c>
      <c r="G161" s="498" t="s">
        <v>515</v>
      </c>
      <c r="H161" s="539">
        <v>67</v>
      </c>
      <c r="I161" s="539">
        <v>392</v>
      </c>
      <c r="J161" s="648">
        <v>1</v>
      </c>
    </row>
    <row r="162" spans="1:10" ht="11.25" customHeight="1" x14ac:dyDescent="0.25">
      <c r="A162" s="553"/>
      <c r="B162" s="498"/>
      <c r="C162" s="498" t="s">
        <v>1309</v>
      </c>
      <c r="D162" s="498" t="s">
        <v>1290</v>
      </c>
      <c r="E162" s="498" t="s">
        <v>556</v>
      </c>
      <c r="F162" s="498" t="s">
        <v>462</v>
      </c>
      <c r="G162" s="498" t="s">
        <v>513</v>
      </c>
      <c r="H162" s="539">
        <v>44</v>
      </c>
      <c r="I162" s="539">
        <v>273</v>
      </c>
      <c r="J162" s="648">
        <v>1</v>
      </c>
    </row>
    <row r="163" spans="1:10" ht="11.25" customHeight="1" x14ac:dyDescent="0.25">
      <c r="A163" s="553"/>
      <c r="B163" s="498" t="s">
        <v>1190</v>
      </c>
      <c r="C163" s="498"/>
      <c r="D163" s="498"/>
      <c r="E163" s="498"/>
      <c r="F163" s="498"/>
      <c r="G163" s="498"/>
      <c r="H163" s="539">
        <v>111</v>
      </c>
      <c r="I163" s="539">
        <v>665</v>
      </c>
      <c r="J163" s="648">
        <v>2</v>
      </c>
    </row>
    <row r="164" spans="1:10" ht="11.25" customHeight="1" x14ac:dyDescent="0.25">
      <c r="A164" s="553"/>
      <c r="B164" s="498" t="s">
        <v>146</v>
      </c>
      <c r="C164" s="498" t="s">
        <v>372</v>
      </c>
      <c r="D164" s="498" t="s">
        <v>382</v>
      </c>
      <c r="E164" s="498" t="s">
        <v>556</v>
      </c>
      <c r="F164" s="498" t="s">
        <v>462</v>
      </c>
      <c r="G164" s="498" t="s">
        <v>513</v>
      </c>
      <c r="H164" s="539">
        <v>87</v>
      </c>
      <c r="I164" s="539">
        <v>488</v>
      </c>
      <c r="J164" s="648">
        <v>1</v>
      </c>
    </row>
    <row r="165" spans="1:10" ht="11.25" customHeight="1" x14ac:dyDescent="0.25">
      <c r="A165" s="553"/>
      <c r="B165" s="498"/>
      <c r="C165" s="498" t="s">
        <v>369</v>
      </c>
      <c r="D165" s="498" t="s">
        <v>383</v>
      </c>
      <c r="E165" s="498" t="s">
        <v>556</v>
      </c>
      <c r="F165" s="498" t="s">
        <v>462</v>
      </c>
      <c r="G165" s="498" t="s">
        <v>513</v>
      </c>
      <c r="H165" s="539">
        <v>64</v>
      </c>
      <c r="I165" s="539">
        <v>305</v>
      </c>
      <c r="J165" s="648">
        <v>1</v>
      </c>
    </row>
    <row r="166" spans="1:10" ht="11.25" customHeight="1" x14ac:dyDescent="0.25">
      <c r="A166" s="553"/>
      <c r="B166" s="498"/>
      <c r="C166" s="498" t="s">
        <v>370</v>
      </c>
      <c r="D166" s="498" t="s">
        <v>384</v>
      </c>
      <c r="E166" s="498" t="s">
        <v>556</v>
      </c>
      <c r="F166" s="498" t="s">
        <v>1296</v>
      </c>
      <c r="G166" s="498" t="s">
        <v>513</v>
      </c>
      <c r="H166" s="539">
        <v>30</v>
      </c>
      <c r="I166" s="539">
        <v>139</v>
      </c>
      <c r="J166" s="648">
        <v>1</v>
      </c>
    </row>
    <row r="167" spans="1:10" ht="11.25" customHeight="1" x14ac:dyDescent="0.25">
      <c r="A167" s="553"/>
      <c r="B167" s="498"/>
      <c r="C167" s="498" t="s">
        <v>368</v>
      </c>
      <c r="D167" s="498" t="s">
        <v>385</v>
      </c>
      <c r="E167" s="498" t="s">
        <v>556</v>
      </c>
      <c r="F167" s="498" t="s">
        <v>462</v>
      </c>
      <c r="G167" s="498" t="s">
        <v>513</v>
      </c>
      <c r="H167" s="539">
        <v>79</v>
      </c>
      <c r="I167" s="539">
        <v>318</v>
      </c>
      <c r="J167" s="648">
        <v>1</v>
      </c>
    </row>
    <row r="168" spans="1:10" ht="11.25" customHeight="1" x14ac:dyDescent="0.25">
      <c r="A168" s="553"/>
      <c r="B168" s="498"/>
      <c r="C168" s="498" t="s">
        <v>371</v>
      </c>
      <c r="D168" s="498" t="s">
        <v>147</v>
      </c>
      <c r="E168" s="498" t="s">
        <v>556</v>
      </c>
      <c r="F168" s="498" t="s">
        <v>462</v>
      </c>
      <c r="G168" s="498" t="s">
        <v>513</v>
      </c>
      <c r="H168" s="539">
        <v>51</v>
      </c>
      <c r="I168" s="539">
        <v>261</v>
      </c>
      <c r="J168" s="648">
        <v>1</v>
      </c>
    </row>
    <row r="169" spans="1:10" ht="11.25" customHeight="1" x14ac:dyDescent="0.25">
      <c r="A169" s="553"/>
      <c r="B169" s="498"/>
      <c r="C169" s="498" t="s">
        <v>149</v>
      </c>
      <c r="D169" s="498" t="s">
        <v>148</v>
      </c>
      <c r="E169" s="498" t="s">
        <v>556</v>
      </c>
      <c r="F169" s="498" t="s">
        <v>462</v>
      </c>
      <c r="G169" s="498" t="s">
        <v>513</v>
      </c>
      <c r="H169" s="539">
        <v>71</v>
      </c>
      <c r="I169" s="539">
        <v>278</v>
      </c>
      <c r="J169" s="648">
        <v>1</v>
      </c>
    </row>
    <row r="170" spans="1:10" ht="11.25" customHeight="1" x14ac:dyDescent="0.25">
      <c r="A170" s="553"/>
      <c r="B170" s="498"/>
      <c r="C170" s="498" t="s">
        <v>373</v>
      </c>
      <c r="D170" s="498" t="s">
        <v>387</v>
      </c>
      <c r="E170" s="498" t="s">
        <v>556</v>
      </c>
      <c r="F170" s="498" t="s">
        <v>462</v>
      </c>
      <c r="G170" s="498" t="s">
        <v>513</v>
      </c>
      <c r="H170" s="539">
        <v>178</v>
      </c>
      <c r="I170" s="539">
        <v>827</v>
      </c>
      <c r="J170" s="648">
        <v>1</v>
      </c>
    </row>
    <row r="171" spans="1:10" ht="11.25" customHeight="1" x14ac:dyDescent="0.25">
      <c r="A171" s="553"/>
      <c r="B171" s="498"/>
      <c r="C171" s="498" t="s">
        <v>1111</v>
      </c>
      <c r="D171" s="498" t="s">
        <v>1110</v>
      </c>
      <c r="E171" s="498" t="s">
        <v>556</v>
      </c>
      <c r="F171" s="498" t="s">
        <v>1296</v>
      </c>
      <c r="G171" s="498" t="s">
        <v>513</v>
      </c>
      <c r="H171" s="539">
        <v>21</v>
      </c>
      <c r="I171" s="539">
        <v>107</v>
      </c>
      <c r="J171" s="648">
        <v>1</v>
      </c>
    </row>
    <row r="172" spans="1:10" ht="11.25" customHeight="1" x14ac:dyDescent="0.25">
      <c r="A172" s="553"/>
      <c r="B172" s="498"/>
      <c r="C172" s="498" t="s">
        <v>1408</v>
      </c>
      <c r="D172" s="498" t="s">
        <v>1409</v>
      </c>
      <c r="E172" s="498" t="s">
        <v>556</v>
      </c>
      <c r="F172" s="498" t="s">
        <v>603</v>
      </c>
      <c r="G172" s="498" t="s">
        <v>513</v>
      </c>
      <c r="H172" s="539">
        <v>105</v>
      </c>
      <c r="I172" s="539">
        <v>568</v>
      </c>
      <c r="J172" s="648">
        <v>1</v>
      </c>
    </row>
    <row r="173" spans="1:10" ht="11.25" customHeight="1" x14ac:dyDescent="0.25">
      <c r="A173" s="553"/>
      <c r="B173" s="498" t="s">
        <v>1191</v>
      </c>
      <c r="C173" s="498"/>
      <c r="D173" s="498"/>
      <c r="E173" s="498"/>
      <c r="F173" s="498"/>
      <c r="G173" s="498"/>
      <c r="H173" s="539">
        <v>686</v>
      </c>
      <c r="I173" s="539">
        <v>3291</v>
      </c>
      <c r="J173" s="648">
        <v>9</v>
      </c>
    </row>
    <row r="174" spans="1:10" ht="11.25" customHeight="1" x14ac:dyDescent="0.25">
      <c r="A174" s="553"/>
      <c r="B174" s="498" t="s">
        <v>166</v>
      </c>
      <c r="C174" s="498" t="s">
        <v>167</v>
      </c>
      <c r="D174" s="498" t="s">
        <v>165</v>
      </c>
      <c r="E174" s="498" t="s">
        <v>556</v>
      </c>
      <c r="F174" s="498" t="s">
        <v>462</v>
      </c>
      <c r="G174" s="498" t="s">
        <v>513</v>
      </c>
      <c r="H174" s="539">
        <v>38</v>
      </c>
      <c r="I174" s="539">
        <v>164</v>
      </c>
      <c r="J174" s="648">
        <v>1</v>
      </c>
    </row>
    <row r="175" spans="1:10" ht="11.25" customHeight="1" x14ac:dyDescent="0.25">
      <c r="A175" s="553"/>
      <c r="B175" s="498"/>
      <c r="C175" s="498" t="s">
        <v>828</v>
      </c>
      <c r="D175" s="498" t="s">
        <v>829</v>
      </c>
      <c r="E175" s="498" t="s">
        <v>556</v>
      </c>
      <c r="F175" s="498" t="s">
        <v>1296</v>
      </c>
      <c r="G175" s="498" t="s">
        <v>513</v>
      </c>
      <c r="H175" s="539">
        <v>31</v>
      </c>
      <c r="I175" s="539">
        <v>191</v>
      </c>
      <c r="J175" s="648">
        <v>1</v>
      </c>
    </row>
    <row r="176" spans="1:10" ht="11.25" customHeight="1" x14ac:dyDescent="0.25">
      <c r="A176" s="553"/>
      <c r="B176" s="498" t="s">
        <v>1192</v>
      </c>
      <c r="C176" s="498"/>
      <c r="D176" s="498"/>
      <c r="E176" s="498"/>
      <c r="F176" s="498"/>
      <c r="G176" s="498"/>
      <c r="H176" s="539">
        <v>69</v>
      </c>
      <c r="I176" s="539">
        <v>355</v>
      </c>
      <c r="J176" s="648">
        <v>2</v>
      </c>
    </row>
    <row r="177" spans="1:10" ht="11.25" customHeight="1" x14ac:dyDescent="0.25">
      <c r="A177" s="553"/>
      <c r="B177" s="498" t="s">
        <v>230</v>
      </c>
      <c r="C177" s="498" t="s">
        <v>169</v>
      </c>
      <c r="D177" s="498" t="s">
        <v>168</v>
      </c>
      <c r="E177" s="498" t="s">
        <v>12</v>
      </c>
      <c r="F177" s="498" t="s">
        <v>603</v>
      </c>
      <c r="G177" s="498" t="s">
        <v>513</v>
      </c>
      <c r="H177" s="539">
        <v>32</v>
      </c>
      <c r="I177" s="539"/>
      <c r="J177" s="648">
        <v>1</v>
      </c>
    </row>
    <row r="178" spans="1:10" ht="11.25" customHeight="1" x14ac:dyDescent="0.25">
      <c r="A178" s="553"/>
      <c r="B178" s="498"/>
      <c r="C178" s="498" t="s">
        <v>231</v>
      </c>
      <c r="D178" s="498" t="s">
        <v>388</v>
      </c>
      <c r="E178" s="498" t="s">
        <v>12</v>
      </c>
      <c r="F178" s="498" t="s">
        <v>603</v>
      </c>
      <c r="G178" s="498" t="s">
        <v>515</v>
      </c>
      <c r="H178" s="539">
        <v>32</v>
      </c>
      <c r="I178" s="539">
        <v>187</v>
      </c>
      <c r="J178" s="648">
        <v>1</v>
      </c>
    </row>
    <row r="179" spans="1:10" ht="11.25" customHeight="1" x14ac:dyDescent="0.25">
      <c r="A179" s="553"/>
      <c r="B179" s="498"/>
      <c r="C179" s="498" t="s">
        <v>233</v>
      </c>
      <c r="D179" s="498" t="s">
        <v>232</v>
      </c>
      <c r="E179" s="498" t="s">
        <v>556</v>
      </c>
      <c r="F179" s="498" t="s">
        <v>462</v>
      </c>
      <c r="G179" s="498" t="s">
        <v>515</v>
      </c>
      <c r="H179" s="539">
        <v>9</v>
      </c>
      <c r="I179" s="539">
        <v>52</v>
      </c>
      <c r="J179" s="648">
        <v>1</v>
      </c>
    </row>
    <row r="180" spans="1:10" ht="11.25" customHeight="1" x14ac:dyDescent="0.25">
      <c r="A180" s="553"/>
      <c r="B180" s="498"/>
      <c r="C180" s="498" t="s">
        <v>235</v>
      </c>
      <c r="D180" s="498" t="s">
        <v>234</v>
      </c>
      <c r="E180" s="498" t="s">
        <v>12</v>
      </c>
      <c r="F180" s="498" t="s">
        <v>603</v>
      </c>
      <c r="G180" s="498" t="s">
        <v>515</v>
      </c>
      <c r="H180" s="539">
        <v>123</v>
      </c>
      <c r="I180" s="539">
        <v>503</v>
      </c>
      <c r="J180" s="648">
        <v>1</v>
      </c>
    </row>
    <row r="181" spans="1:10" ht="11.25" customHeight="1" x14ac:dyDescent="0.25">
      <c r="A181" s="553"/>
      <c r="B181" s="498"/>
      <c r="C181" s="498" t="s">
        <v>361</v>
      </c>
      <c r="D181" s="498" t="s">
        <v>843</v>
      </c>
      <c r="E181" s="498" t="s">
        <v>556</v>
      </c>
      <c r="F181" s="498" t="s">
        <v>462</v>
      </c>
      <c r="G181" s="498" t="s">
        <v>515</v>
      </c>
      <c r="H181" s="539">
        <v>9</v>
      </c>
      <c r="I181" s="539">
        <v>44</v>
      </c>
      <c r="J181" s="648">
        <v>1</v>
      </c>
    </row>
    <row r="182" spans="1:10" ht="11.25" customHeight="1" x14ac:dyDescent="0.25">
      <c r="A182" s="553"/>
      <c r="B182" s="498"/>
      <c r="C182" s="498" t="s">
        <v>171</v>
      </c>
      <c r="D182" s="498" t="s">
        <v>170</v>
      </c>
      <c r="E182" s="498" t="s">
        <v>12</v>
      </c>
      <c r="F182" s="498" t="s">
        <v>603</v>
      </c>
      <c r="G182" s="498" t="s">
        <v>513</v>
      </c>
      <c r="H182" s="539">
        <v>6</v>
      </c>
      <c r="I182" s="539"/>
      <c r="J182" s="648">
        <v>1</v>
      </c>
    </row>
    <row r="183" spans="1:10" ht="11.25" customHeight="1" x14ac:dyDescent="0.25">
      <c r="A183" s="553"/>
      <c r="B183" s="498"/>
      <c r="C183" s="498" t="s">
        <v>1060</v>
      </c>
      <c r="D183" s="498" t="s">
        <v>1061</v>
      </c>
      <c r="E183" s="498" t="s">
        <v>556</v>
      </c>
      <c r="F183" s="498" t="s">
        <v>462</v>
      </c>
      <c r="G183" s="498" t="s">
        <v>513</v>
      </c>
      <c r="H183" s="539">
        <v>55</v>
      </c>
      <c r="I183" s="539">
        <v>237</v>
      </c>
      <c r="J183" s="648">
        <v>1</v>
      </c>
    </row>
    <row r="184" spans="1:10" ht="11.25" customHeight="1" x14ac:dyDescent="0.25">
      <c r="A184" s="553"/>
      <c r="B184" s="498"/>
      <c r="C184" s="498" t="s">
        <v>1070</v>
      </c>
      <c r="D184" s="498" t="s">
        <v>1071</v>
      </c>
      <c r="E184" s="498" t="s">
        <v>556</v>
      </c>
      <c r="F184" s="498" t="s">
        <v>1296</v>
      </c>
      <c r="G184" s="498" t="s">
        <v>513</v>
      </c>
      <c r="H184" s="539">
        <v>30</v>
      </c>
      <c r="I184" s="539">
        <v>188</v>
      </c>
      <c r="J184" s="648">
        <v>1</v>
      </c>
    </row>
    <row r="185" spans="1:10" ht="11.25" customHeight="1" x14ac:dyDescent="0.25">
      <c r="A185" s="553"/>
      <c r="B185" s="498" t="s">
        <v>1193</v>
      </c>
      <c r="C185" s="498"/>
      <c r="D185" s="498"/>
      <c r="E185" s="498"/>
      <c r="F185" s="498"/>
      <c r="G185" s="498"/>
      <c r="H185" s="539">
        <v>296</v>
      </c>
      <c r="I185" s="539">
        <v>1211</v>
      </c>
      <c r="J185" s="648">
        <v>8</v>
      </c>
    </row>
    <row r="186" spans="1:10" ht="11.25" customHeight="1" x14ac:dyDescent="0.25">
      <c r="A186" s="553"/>
      <c r="B186" s="498" t="s">
        <v>289</v>
      </c>
      <c r="C186" s="498" t="s">
        <v>292</v>
      </c>
      <c r="D186" s="498" t="s">
        <v>291</v>
      </c>
      <c r="E186" s="498" t="s">
        <v>556</v>
      </c>
      <c r="F186" s="498" t="s">
        <v>462</v>
      </c>
      <c r="G186" s="498" t="s">
        <v>513</v>
      </c>
      <c r="H186" s="539">
        <v>82</v>
      </c>
      <c r="I186" s="539">
        <v>408</v>
      </c>
      <c r="J186" s="648">
        <v>1</v>
      </c>
    </row>
    <row r="187" spans="1:10" ht="11.25" customHeight="1" x14ac:dyDescent="0.25">
      <c r="A187" s="553"/>
      <c r="B187" s="498"/>
      <c r="C187" s="498" t="s">
        <v>290</v>
      </c>
      <c r="D187" s="498" t="s">
        <v>288</v>
      </c>
      <c r="E187" s="498" t="s">
        <v>556</v>
      </c>
      <c r="F187" s="498" t="s">
        <v>462</v>
      </c>
      <c r="G187" s="498" t="s">
        <v>513</v>
      </c>
      <c r="H187" s="539">
        <v>68</v>
      </c>
      <c r="I187" s="539">
        <v>376</v>
      </c>
      <c r="J187" s="648">
        <v>1</v>
      </c>
    </row>
    <row r="188" spans="1:10" ht="11.25" customHeight="1" x14ac:dyDescent="0.25">
      <c r="A188" s="553"/>
      <c r="B188" s="498"/>
      <c r="C188" s="498" t="s">
        <v>374</v>
      </c>
      <c r="D188" s="498" t="s">
        <v>295</v>
      </c>
      <c r="E188" s="498" t="s">
        <v>556</v>
      </c>
      <c r="F188" s="498" t="s">
        <v>1296</v>
      </c>
      <c r="G188" s="498" t="s">
        <v>513</v>
      </c>
      <c r="H188" s="539">
        <v>50</v>
      </c>
      <c r="I188" s="539">
        <v>218</v>
      </c>
      <c r="J188" s="648">
        <v>1</v>
      </c>
    </row>
    <row r="189" spans="1:10" ht="11.25" customHeight="1" x14ac:dyDescent="0.25">
      <c r="A189" s="553"/>
      <c r="B189" s="498"/>
      <c r="C189" s="498" t="s">
        <v>1062</v>
      </c>
      <c r="D189" s="498" t="s">
        <v>1063</v>
      </c>
      <c r="E189" s="498" t="s">
        <v>556</v>
      </c>
      <c r="F189" s="498" t="s">
        <v>462</v>
      </c>
      <c r="G189" s="498" t="s">
        <v>513</v>
      </c>
      <c r="H189" s="539">
        <v>41</v>
      </c>
      <c r="I189" s="539">
        <v>225</v>
      </c>
      <c r="J189" s="648">
        <v>1</v>
      </c>
    </row>
    <row r="190" spans="1:10" ht="11.25" customHeight="1" x14ac:dyDescent="0.25">
      <c r="A190" s="553"/>
      <c r="B190" s="498"/>
      <c r="C190" s="498" t="s">
        <v>1074</v>
      </c>
      <c r="D190" s="498" t="s">
        <v>1067</v>
      </c>
      <c r="E190" s="498" t="s">
        <v>556</v>
      </c>
      <c r="F190" s="498" t="s">
        <v>462</v>
      </c>
      <c r="G190" s="498" t="s">
        <v>513</v>
      </c>
      <c r="H190" s="539">
        <v>141</v>
      </c>
      <c r="I190" s="539">
        <v>669</v>
      </c>
      <c r="J190" s="648">
        <v>1</v>
      </c>
    </row>
    <row r="191" spans="1:10" ht="11.25" customHeight="1" x14ac:dyDescent="0.25">
      <c r="A191" s="553"/>
      <c r="B191" s="498" t="s">
        <v>1194</v>
      </c>
      <c r="C191" s="498"/>
      <c r="D191" s="498"/>
      <c r="E191" s="498"/>
      <c r="F191" s="498"/>
      <c r="G191" s="498"/>
      <c r="H191" s="539">
        <v>382</v>
      </c>
      <c r="I191" s="539">
        <v>1896</v>
      </c>
      <c r="J191" s="648">
        <v>5</v>
      </c>
    </row>
    <row r="192" spans="1:10" ht="11.25" customHeight="1" x14ac:dyDescent="0.25">
      <c r="A192" s="553"/>
      <c r="B192" s="498" t="s">
        <v>298</v>
      </c>
      <c r="C192" s="498" t="s">
        <v>827</v>
      </c>
      <c r="D192" s="498" t="s">
        <v>297</v>
      </c>
      <c r="E192" s="498" t="s">
        <v>556</v>
      </c>
      <c r="F192" s="498" t="s">
        <v>462</v>
      </c>
      <c r="G192" s="498" t="s">
        <v>513</v>
      </c>
      <c r="H192" s="539">
        <v>10</v>
      </c>
      <c r="I192" s="539">
        <v>41</v>
      </c>
      <c r="J192" s="648">
        <v>1</v>
      </c>
    </row>
    <row r="193" spans="1:10" x14ac:dyDescent="0.25">
      <c r="A193" s="553"/>
      <c r="B193" s="498"/>
      <c r="C193" s="498" t="s">
        <v>595</v>
      </c>
      <c r="D193" s="498" t="s">
        <v>830</v>
      </c>
      <c r="E193" s="498" t="s">
        <v>12</v>
      </c>
      <c r="F193" s="498" t="s">
        <v>603</v>
      </c>
      <c r="G193" s="498" t="s">
        <v>513</v>
      </c>
      <c r="H193" s="539">
        <v>118</v>
      </c>
      <c r="I193" s="539">
        <v>520</v>
      </c>
      <c r="J193" s="648">
        <v>1</v>
      </c>
    </row>
    <row r="194" spans="1:10" x14ac:dyDescent="0.25">
      <c r="A194" s="553"/>
      <c r="B194" s="498" t="s">
        <v>1195</v>
      </c>
      <c r="C194" s="498"/>
      <c r="D194" s="498"/>
      <c r="E194" s="498"/>
      <c r="F194" s="498"/>
      <c r="G194" s="498"/>
      <c r="H194" s="539">
        <v>128</v>
      </c>
      <c r="I194" s="539">
        <v>561</v>
      </c>
      <c r="J194" s="648">
        <v>2</v>
      </c>
    </row>
    <row r="195" spans="1:10" x14ac:dyDescent="0.25">
      <c r="A195" s="553" t="s">
        <v>1196</v>
      </c>
      <c r="B195" s="498"/>
      <c r="C195" s="498"/>
      <c r="D195" s="498"/>
      <c r="E195" s="498"/>
      <c r="F195" s="498"/>
      <c r="G195" s="498"/>
      <c r="H195" s="539">
        <v>1672</v>
      </c>
      <c r="I195" s="539">
        <v>7979</v>
      </c>
      <c r="J195" s="648">
        <v>28</v>
      </c>
    </row>
    <row r="196" spans="1:10" x14ac:dyDescent="0.25">
      <c r="A196" s="656" t="s">
        <v>416</v>
      </c>
      <c r="B196" s="657"/>
      <c r="C196" s="657"/>
      <c r="D196" s="657"/>
      <c r="E196" s="657"/>
      <c r="F196" s="657"/>
      <c r="G196" s="657"/>
      <c r="H196" s="658">
        <v>19506</v>
      </c>
      <c r="I196" s="658">
        <v>95922</v>
      </c>
      <c r="J196" s="659">
        <v>167</v>
      </c>
    </row>
    <row r="197" spans="1:10" x14ac:dyDescent="0.25">
      <c r="A197"/>
      <c r="B197"/>
      <c r="C197"/>
      <c r="D197"/>
      <c r="E197"/>
      <c r="F197"/>
      <c r="G197"/>
      <c r="H197"/>
      <c r="I197"/>
      <c r="J197"/>
    </row>
    <row r="198" spans="1:10" x14ac:dyDescent="0.25">
      <c r="A198"/>
      <c r="B198"/>
      <c r="C198"/>
      <c r="D198"/>
      <c r="E198"/>
      <c r="F198"/>
      <c r="G198"/>
      <c r="H198"/>
      <c r="I198"/>
      <c r="J198"/>
    </row>
    <row r="199" spans="1:10" x14ac:dyDescent="0.25">
      <c r="A199"/>
      <c r="B199"/>
      <c r="C199"/>
      <c r="D199"/>
      <c r="E199"/>
      <c r="F199"/>
      <c r="G199"/>
      <c r="H199"/>
      <c r="I199"/>
      <c r="J199"/>
    </row>
    <row r="200" spans="1:10" x14ac:dyDescent="0.25">
      <c r="A200"/>
      <c r="B200"/>
      <c r="C200"/>
      <c r="D200"/>
      <c r="E200"/>
      <c r="F200"/>
      <c r="G200"/>
      <c r="H200"/>
      <c r="I200"/>
      <c r="J200"/>
    </row>
    <row r="201" spans="1:10" x14ac:dyDescent="0.25">
      <c r="A201"/>
      <c r="B201"/>
      <c r="C201"/>
      <c r="D201"/>
      <c r="E201"/>
      <c r="F201"/>
      <c r="G201"/>
      <c r="H201"/>
      <c r="I201"/>
      <c r="J201"/>
    </row>
    <row r="202" spans="1:10" x14ac:dyDescent="0.25">
      <c r="A202"/>
      <c r="B202"/>
      <c r="C202"/>
      <c r="D202"/>
      <c r="E202"/>
      <c r="F202"/>
      <c r="G202"/>
      <c r="H202"/>
      <c r="I202"/>
      <c r="J202"/>
    </row>
    <row r="203" spans="1:10" x14ac:dyDescent="0.25">
      <c r="A203"/>
      <c r="B203"/>
      <c r="C203"/>
      <c r="D203"/>
      <c r="E203"/>
      <c r="F203"/>
      <c r="G203"/>
      <c r="H203"/>
      <c r="I203"/>
      <c r="J203"/>
    </row>
    <row r="204" spans="1:10" x14ac:dyDescent="0.25">
      <c r="A204"/>
      <c r="B204"/>
      <c r="C204"/>
      <c r="D204"/>
      <c r="E204"/>
      <c r="F204"/>
      <c r="G204"/>
      <c r="H204"/>
      <c r="I204"/>
      <c r="J204"/>
    </row>
    <row r="205" spans="1:10" x14ac:dyDescent="0.25">
      <c r="A205"/>
      <c r="B205"/>
      <c r="C205"/>
      <c r="D205"/>
      <c r="E205"/>
      <c r="F205"/>
      <c r="G205"/>
      <c r="H205"/>
      <c r="I205"/>
      <c r="J205"/>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G271" s="129"/>
      <c r="H271" s="129"/>
    </row>
    <row r="272" spans="1:10" x14ac:dyDescent="0.25">
      <c r="G272" s="129"/>
      <c r="H272" s="129"/>
    </row>
    <row r="273" spans="7:8" x14ac:dyDescent="0.25">
      <c r="G273" s="129"/>
      <c r="H273" s="129"/>
    </row>
    <row r="274" spans="7:8" x14ac:dyDescent="0.25">
      <c r="G274" s="129"/>
      <c r="H274" s="129"/>
    </row>
    <row r="275" spans="7:8" x14ac:dyDescent="0.25">
      <c r="G275" s="129"/>
      <c r="H275" s="129"/>
    </row>
    <row r="276" spans="7:8" x14ac:dyDescent="0.25">
      <c r="G276" s="129"/>
      <c r="H276" s="129"/>
    </row>
    <row r="277" spans="7:8" x14ac:dyDescent="0.25">
      <c r="G277" s="129"/>
      <c r="H277" s="129"/>
    </row>
    <row r="278" spans="7:8" x14ac:dyDescent="0.25">
      <c r="G278" s="129"/>
      <c r="H278" s="129"/>
    </row>
    <row r="279" spans="7:8" x14ac:dyDescent="0.25">
      <c r="G279" s="129"/>
      <c r="H279" s="129"/>
    </row>
    <row r="280" spans="7:8" x14ac:dyDescent="0.25">
      <c r="G280" s="129"/>
      <c r="H280" s="129"/>
    </row>
    <row r="281" spans="7:8" x14ac:dyDescent="0.25">
      <c r="G281" s="129"/>
      <c r="H281" s="129"/>
    </row>
    <row r="282" spans="7:8" x14ac:dyDescent="0.25">
      <c r="G282" s="129"/>
      <c r="H282" s="129"/>
    </row>
    <row r="283" spans="7:8" x14ac:dyDescent="0.25">
      <c r="G283" s="129"/>
      <c r="H283" s="129"/>
    </row>
    <row r="284" spans="7:8" x14ac:dyDescent="0.25">
      <c r="G284" s="129"/>
      <c r="H284" s="129"/>
    </row>
    <row r="285" spans="7:8" x14ac:dyDescent="0.25">
      <c r="G285" s="129"/>
      <c r="H285" s="129"/>
    </row>
    <row r="286" spans="7:8" x14ac:dyDescent="0.25">
      <c r="G286" s="129"/>
      <c r="H286" s="129"/>
    </row>
    <row r="287" spans="7:8" x14ac:dyDescent="0.25">
      <c r="G287" s="129"/>
      <c r="H287" s="129"/>
    </row>
    <row r="288" spans="7:8" x14ac:dyDescent="0.25">
      <c r="G288" s="129"/>
      <c r="H288" s="129"/>
    </row>
    <row r="289" spans="7:8" x14ac:dyDescent="0.25">
      <c r="G289" s="129"/>
      <c r="H289" s="129"/>
    </row>
    <row r="290" spans="7:8" x14ac:dyDescent="0.25">
      <c r="G290" s="129"/>
      <c r="H290" s="129"/>
    </row>
    <row r="291" spans="7:8" x14ac:dyDescent="0.25">
      <c r="G291" s="129"/>
      <c r="H291" s="129"/>
    </row>
    <row r="292" spans="7:8" x14ac:dyDescent="0.25">
      <c r="G292" s="129"/>
      <c r="H292" s="129"/>
    </row>
    <row r="293" spans="7:8" x14ac:dyDescent="0.25">
      <c r="G293" s="129"/>
      <c r="H293" s="129"/>
    </row>
    <row r="294" spans="7:8" x14ac:dyDescent="0.25">
      <c r="G294" s="129"/>
      <c r="H294" s="129"/>
    </row>
    <row r="295" spans="7:8" x14ac:dyDescent="0.25">
      <c r="G295" s="129"/>
      <c r="H295" s="129"/>
    </row>
    <row r="296" spans="7:8" x14ac:dyDescent="0.25">
      <c r="G296" s="129"/>
      <c r="H296" s="129"/>
    </row>
    <row r="297" spans="7:8" x14ac:dyDescent="0.25">
      <c r="G297" s="129"/>
      <c r="H297" s="129"/>
    </row>
    <row r="298" spans="7:8" x14ac:dyDescent="0.25">
      <c r="G298" s="129"/>
      <c r="H298" s="129"/>
    </row>
    <row r="299" spans="7:8" x14ac:dyDescent="0.25">
      <c r="G299" s="129"/>
      <c r="H299" s="129"/>
    </row>
    <row r="300" spans="7:8" x14ac:dyDescent="0.25">
      <c r="G300" s="129"/>
      <c r="H300" s="129"/>
    </row>
    <row r="301" spans="7:8" x14ac:dyDescent="0.25">
      <c r="G301" s="129"/>
      <c r="H301" s="129"/>
    </row>
    <row r="302" spans="7:8" x14ac:dyDescent="0.25">
      <c r="G302" s="129"/>
      <c r="H302" s="129"/>
    </row>
    <row r="303" spans="7:8" x14ac:dyDescent="0.25">
      <c r="G303" s="129"/>
      <c r="H303" s="129"/>
    </row>
    <row r="304" spans="7:8" x14ac:dyDescent="0.25">
      <c r="G304" s="129"/>
      <c r="H304" s="129"/>
    </row>
    <row r="305" spans="7:8" x14ac:dyDescent="0.25">
      <c r="G305" s="129"/>
      <c r="H305" s="129"/>
    </row>
    <row r="306" spans="7:8" x14ac:dyDescent="0.25">
      <c r="G306" s="129"/>
      <c r="H306" s="129"/>
    </row>
    <row r="307" spans="7:8" x14ac:dyDescent="0.25">
      <c r="G307" s="129"/>
      <c r="H307" s="129"/>
    </row>
    <row r="308" spans="7:8" x14ac:dyDescent="0.25">
      <c r="G308" s="129"/>
      <c r="H308" s="129"/>
    </row>
    <row r="309" spans="7:8" x14ac:dyDescent="0.25">
      <c r="G309" s="129"/>
      <c r="H309" s="129"/>
    </row>
    <row r="310" spans="7:8" x14ac:dyDescent="0.25">
      <c r="G310" s="129"/>
      <c r="H310" s="129"/>
    </row>
    <row r="311" spans="7:8" x14ac:dyDescent="0.25">
      <c r="G311" s="129"/>
      <c r="H311" s="129"/>
    </row>
    <row r="312" spans="7:8" x14ac:dyDescent="0.25">
      <c r="G312" s="129"/>
      <c r="H312" s="129"/>
    </row>
    <row r="313" spans="7:8" x14ac:dyDescent="0.25">
      <c r="G313" s="129"/>
      <c r="H313" s="129"/>
    </row>
    <row r="314" spans="7:8" x14ac:dyDescent="0.25">
      <c r="G314" s="129"/>
      <c r="H314" s="129"/>
    </row>
    <row r="315" spans="7:8" x14ac:dyDescent="0.25">
      <c r="G315" s="129"/>
      <c r="H315" s="129"/>
    </row>
    <row r="316" spans="7:8" x14ac:dyDescent="0.25">
      <c r="G316" s="129"/>
      <c r="H316" s="129"/>
    </row>
    <row r="317" spans="7:8" x14ac:dyDescent="0.25">
      <c r="G317" s="129"/>
      <c r="H317" s="129"/>
    </row>
    <row r="318" spans="7:8" x14ac:dyDescent="0.25">
      <c r="G318" s="129"/>
      <c r="H318" s="129"/>
    </row>
    <row r="319" spans="7:8" x14ac:dyDescent="0.25">
      <c r="G319" s="129"/>
      <c r="H319" s="129"/>
    </row>
    <row r="320" spans="7:8" x14ac:dyDescent="0.25">
      <c r="G320" s="129"/>
      <c r="H320" s="129"/>
    </row>
    <row r="321" spans="7:8" x14ac:dyDescent="0.25">
      <c r="G321" s="129"/>
      <c r="H321" s="129"/>
    </row>
    <row r="322" spans="7:8" x14ac:dyDescent="0.25">
      <c r="G322" s="129"/>
      <c r="H322" s="129"/>
    </row>
    <row r="323" spans="7:8" x14ac:dyDescent="0.25">
      <c r="G323" s="129"/>
      <c r="H323" s="129"/>
    </row>
    <row r="324" spans="7:8" x14ac:dyDescent="0.25">
      <c r="G324" s="129"/>
      <c r="H324" s="129"/>
    </row>
    <row r="325" spans="7:8" x14ac:dyDescent="0.25">
      <c r="G325" s="129"/>
      <c r="H325" s="129"/>
    </row>
    <row r="326" spans="7:8" x14ac:dyDescent="0.25">
      <c r="G326" s="129"/>
      <c r="H326" s="129"/>
    </row>
    <row r="327" spans="7:8" x14ac:dyDescent="0.25">
      <c r="G327" s="129"/>
      <c r="H327" s="129"/>
    </row>
    <row r="328" spans="7:8" x14ac:dyDescent="0.25">
      <c r="G328" s="129"/>
      <c r="H328" s="129"/>
    </row>
    <row r="329" spans="7:8" x14ac:dyDescent="0.25">
      <c r="G329" s="129"/>
      <c r="H329" s="129"/>
    </row>
    <row r="330" spans="7:8" x14ac:dyDescent="0.25">
      <c r="G330" s="129"/>
      <c r="H330" s="129"/>
    </row>
    <row r="331" spans="7:8" x14ac:dyDescent="0.25">
      <c r="G331" s="129"/>
      <c r="H331" s="129"/>
    </row>
    <row r="332" spans="7:8" x14ac:dyDescent="0.25">
      <c r="G332" s="129"/>
      <c r="H332" s="129"/>
    </row>
    <row r="333" spans="7:8" x14ac:dyDescent="0.25">
      <c r="G333" s="129"/>
      <c r="H333" s="129"/>
    </row>
    <row r="334" spans="7:8" x14ac:dyDescent="0.25">
      <c r="G334" s="129"/>
      <c r="H334" s="129"/>
    </row>
    <row r="335" spans="7:8" x14ac:dyDescent="0.25">
      <c r="G335" s="129"/>
      <c r="H335" s="129"/>
    </row>
    <row r="336" spans="7:8" x14ac:dyDescent="0.25">
      <c r="G336" s="129"/>
      <c r="H336" s="129"/>
    </row>
    <row r="337" spans="7:8" x14ac:dyDescent="0.25">
      <c r="G337" s="129"/>
      <c r="H337" s="129"/>
    </row>
    <row r="338" spans="7:8" x14ac:dyDescent="0.25">
      <c r="G338" s="129"/>
      <c r="H338" s="129"/>
    </row>
    <row r="339" spans="7:8" x14ac:dyDescent="0.25">
      <c r="G339" s="129"/>
      <c r="H339" s="129"/>
    </row>
    <row r="340" spans="7:8" x14ac:dyDescent="0.25">
      <c r="G340" s="129"/>
      <c r="H340" s="129"/>
    </row>
    <row r="341" spans="7:8" x14ac:dyDescent="0.25">
      <c r="G341" s="129"/>
      <c r="H341" s="129"/>
    </row>
    <row r="342" spans="7:8" x14ac:dyDescent="0.25">
      <c r="G342" s="129"/>
      <c r="H342" s="129"/>
    </row>
    <row r="343" spans="7:8" x14ac:dyDescent="0.25">
      <c r="G343" s="129"/>
      <c r="H343" s="129"/>
    </row>
    <row r="344" spans="7:8" x14ac:dyDescent="0.25">
      <c r="G344" s="129"/>
      <c r="H344" s="129"/>
    </row>
    <row r="345" spans="7:8" x14ac:dyDescent="0.25">
      <c r="G345" s="129"/>
      <c r="H345" s="129"/>
    </row>
    <row r="346" spans="7:8" x14ac:dyDescent="0.25">
      <c r="G346" s="129"/>
      <c r="H346" s="129"/>
    </row>
    <row r="347" spans="7:8" x14ac:dyDescent="0.25">
      <c r="G347" s="129"/>
      <c r="H347" s="129"/>
    </row>
    <row r="348" spans="7:8" x14ac:dyDescent="0.25">
      <c r="G348" s="129"/>
      <c r="H348" s="129"/>
    </row>
    <row r="349" spans="7:8" x14ac:dyDescent="0.25">
      <c r="G349" s="129"/>
      <c r="H349" s="129"/>
    </row>
    <row r="350" spans="7:8" x14ac:dyDescent="0.25">
      <c r="G350" s="129"/>
      <c r="H350" s="129"/>
    </row>
    <row r="351" spans="7:8" x14ac:dyDescent="0.25">
      <c r="G351" s="129"/>
      <c r="H351" s="129"/>
    </row>
    <row r="352" spans="7:8" x14ac:dyDescent="0.25">
      <c r="G352" s="129"/>
      <c r="H352" s="129"/>
    </row>
    <row r="353" spans="7:8" x14ac:dyDescent="0.25">
      <c r="G353" s="129"/>
      <c r="H353" s="129"/>
    </row>
    <row r="354" spans="7:8" x14ac:dyDescent="0.25">
      <c r="G354" s="129"/>
      <c r="H354" s="129"/>
    </row>
    <row r="355" spans="7:8" x14ac:dyDescent="0.25">
      <c r="G355" s="129"/>
      <c r="H355" s="129"/>
    </row>
    <row r="356" spans="7:8" x14ac:dyDescent="0.25">
      <c r="G356" s="129"/>
      <c r="H356" s="129"/>
    </row>
    <row r="357" spans="7:8" x14ac:dyDescent="0.25">
      <c r="G357" s="129"/>
      <c r="H357" s="129"/>
    </row>
    <row r="358" spans="7:8" x14ac:dyDescent="0.25">
      <c r="G358" s="129"/>
      <c r="H358" s="129"/>
    </row>
  </sheetData>
  <mergeCells count="1">
    <mergeCell ref="A3:B3"/>
  </mergeCells>
  <printOptions horizontalCentered="1"/>
  <pageMargins left="0.25" right="0.25" top="0.25" bottom="0.25" header="0.3" footer="0.3"/>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C330"/>
  <sheetViews>
    <sheetView showZeros="0" tabSelected="1" zoomScale="90" zoomScaleNormal="90" zoomScaleSheetLayoutView="100" workbookViewId="0">
      <selection activeCell="AA6" sqref="AA6"/>
    </sheetView>
  </sheetViews>
  <sheetFormatPr defaultColWidth="9.140625" defaultRowHeight="15" x14ac:dyDescent="0.25"/>
  <cols>
    <col min="1" max="1" width="1.85546875" style="129" customWidth="1"/>
    <col min="2" max="2" width="1.7109375" style="129" customWidth="1"/>
    <col min="3" max="3" width="31.7109375" style="33" customWidth="1"/>
    <col min="4" max="6" width="9.7109375" style="33" customWidth="1"/>
    <col min="7" max="7" width="0.85546875" style="112" customWidth="1"/>
    <col min="8" max="8" width="7.28515625" style="33" customWidth="1"/>
    <col min="9" max="9" width="7.7109375" style="33" customWidth="1"/>
    <col min="10" max="10" width="7.85546875" style="33" customWidth="1"/>
    <col min="11" max="13" width="7.7109375" style="33" customWidth="1"/>
    <col min="14" max="17" width="9.7109375" style="33" customWidth="1"/>
    <col min="18" max="18" width="9" style="33" customWidth="1"/>
    <col min="19" max="19" width="0.7109375" style="33" customWidth="1"/>
    <col min="20" max="21" width="7.140625" style="33" customWidth="1"/>
    <col min="22" max="22" width="2.85546875" style="33" customWidth="1"/>
    <col min="23" max="23" width="7.140625" style="33" customWidth="1"/>
    <col min="24" max="24" width="16.7109375" style="70" customWidth="1"/>
    <col min="25" max="27" width="7.140625" style="70" customWidth="1"/>
    <col min="28" max="28" width="13" style="70" customWidth="1"/>
    <col min="29" max="29" width="12" style="70" customWidth="1"/>
    <col min="30" max="30" width="14.140625" style="70" customWidth="1"/>
    <col min="31" max="35" width="7.140625" style="70" customWidth="1"/>
    <col min="36" max="36" width="0.7109375" style="70" customWidth="1"/>
    <col min="37" max="37" width="21.5703125" style="70" customWidth="1"/>
    <col min="38" max="47" width="9.140625" style="70"/>
    <col min="48" max="16384" width="9.140625" style="33"/>
  </cols>
  <sheetData>
    <row r="1" spans="2:55" s="129" customFormat="1" ht="15.75" thickBot="1" x14ac:dyDescent="0.3"/>
    <row r="2" spans="2:55" s="129" customFormat="1" ht="6" customHeight="1" x14ac:dyDescent="0.25">
      <c r="B2" s="259"/>
      <c r="C2" s="260"/>
      <c r="D2" s="260"/>
      <c r="E2" s="260"/>
      <c r="F2" s="260"/>
      <c r="G2" s="260"/>
      <c r="H2" s="260"/>
      <c r="I2" s="260"/>
      <c r="J2" s="260"/>
      <c r="K2" s="260"/>
      <c r="L2" s="260"/>
      <c r="M2" s="260"/>
      <c r="N2" s="260"/>
      <c r="O2" s="260"/>
      <c r="P2" s="260"/>
      <c r="Q2" s="260"/>
      <c r="R2" s="260"/>
      <c r="S2" s="260"/>
      <c r="T2" s="260"/>
      <c r="U2" s="261"/>
    </row>
    <row r="3" spans="2:55" s="1" customFormat="1" ht="36" x14ac:dyDescent="0.25">
      <c r="B3" s="262"/>
      <c r="C3" s="837"/>
      <c r="D3" s="837"/>
      <c r="E3" s="837"/>
      <c r="F3" s="837"/>
      <c r="G3" s="837"/>
      <c r="H3" s="837"/>
      <c r="I3" s="837"/>
      <c r="J3" s="837"/>
      <c r="K3" s="837"/>
      <c r="L3" s="837"/>
      <c r="M3" s="837"/>
      <c r="N3" s="837"/>
      <c r="O3" s="837"/>
      <c r="P3" s="837"/>
      <c r="Q3" s="837"/>
      <c r="R3" s="837"/>
      <c r="S3" s="216"/>
      <c r="T3" s="216"/>
      <c r="U3" s="263"/>
      <c r="BB3" s="59"/>
      <c r="BC3" s="59"/>
    </row>
    <row r="4" spans="2:55" s="1" customFormat="1" ht="33" customHeight="1" x14ac:dyDescent="0.25">
      <c r="B4" s="262"/>
      <c r="C4" s="836" t="s">
        <v>588</v>
      </c>
      <c r="D4" s="836"/>
      <c r="E4" s="836"/>
      <c r="F4" s="836"/>
      <c r="G4" s="836"/>
      <c r="H4" s="836"/>
      <c r="I4" s="836"/>
      <c r="J4" s="836"/>
      <c r="K4" s="836"/>
      <c r="L4" s="252"/>
      <c r="M4" s="252"/>
      <c r="N4" s="252"/>
      <c r="O4" s="252"/>
      <c r="P4" s="252"/>
      <c r="Q4" s="252"/>
      <c r="R4" s="252"/>
      <c r="S4" s="216"/>
      <c r="T4" s="216"/>
      <c r="U4" s="263"/>
      <c r="X4" s="70"/>
      <c r="Y4" s="70"/>
      <c r="Z4" s="70"/>
      <c r="AA4" s="70"/>
      <c r="AB4" s="70"/>
      <c r="AC4" s="70"/>
      <c r="AD4" s="70"/>
      <c r="AE4" s="70"/>
      <c r="AF4" s="70"/>
      <c r="AG4" s="70"/>
      <c r="AH4" s="70"/>
      <c r="AI4" s="70"/>
      <c r="AJ4" s="70"/>
      <c r="AK4" s="70"/>
      <c r="AL4" s="70"/>
      <c r="AM4" s="70"/>
      <c r="AN4" s="70"/>
      <c r="AO4" s="70"/>
      <c r="AP4" s="70"/>
      <c r="AQ4" s="70"/>
      <c r="AR4" s="70"/>
      <c r="BB4" s="59"/>
      <c r="BC4" s="59"/>
    </row>
    <row r="5" spans="2:55" s="18" customFormat="1" ht="18" customHeight="1" x14ac:dyDescent="0.25">
      <c r="B5" s="264"/>
      <c r="C5" s="833">
        <f>Report_Date</f>
        <v>42309</v>
      </c>
      <c r="D5" s="833"/>
      <c r="E5" s="833"/>
      <c r="F5" s="833"/>
      <c r="G5" s="833"/>
      <c r="H5" s="833"/>
      <c r="I5" s="833"/>
      <c r="J5" s="833"/>
      <c r="K5" s="833"/>
      <c r="L5" s="256"/>
      <c r="M5" s="256"/>
      <c r="N5" s="256"/>
      <c r="O5" s="256"/>
      <c r="P5" s="256"/>
      <c r="Q5" s="256"/>
      <c r="R5" s="256"/>
      <c r="S5" s="257"/>
      <c r="T5" s="257"/>
      <c r="U5" s="265"/>
      <c r="Y5" s="70"/>
      <c r="Z5" s="70"/>
      <c r="AA5" s="70"/>
      <c r="AB5" s="70"/>
      <c r="AC5" s="70"/>
      <c r="AD5" s="70"/>
      <c r="AE5" s="70"/>
      <c r="AF5" s="70"/>
      <c r="AG5" s="70"/>
      <c r="AH5" s="70"/>
      <c r="AI5" s="70"/>
      <c r="AJ5" s="70"/>
      <c r="AK5" s="70"/>
      <c r="AL5" s="70"/>
      <c r="AM5" s="70"/>
      <c r="AN5" s="70"/>
      <c r="AO5" s="70"/>
      <c r="AP5" s="70"/>
      <c r="AQ5" s="70"/>
      <c r="AR5" s="70"/>
      <c r="BB5" s="60"/>
      <c r="BC5" s="60"/>
    </row>
    <row r="6" spans="2:55" ht="36" x14ac:dyDescent="0.25">
      <c r="B6" s="273"/>
      <c r="C6" s="251"/>
      <c r="D6" s="251"/>
      <c r="E6" s="251"/>
      <c r="F6" s="251"/>
      <c r="G6" s="251"/>
      <c r="H6" s="251"/>
      <c r="I6" s="251"/>
      <c r="J6" s="251"/>
      <c r="K6" s="251"/>
      <c r="L6" s="251"/>
      <c r="M6" s="251"/>
      <c r="N6" s="251"/>
      <c r="O6" s="39"/>
      <c r="P6" s="39"/>
      <c r="Q6" s="39"/>
      <c r="R6" s="39"/>
      <c r="S6" s="39"/>
      <c r="T6" s="39"/>
      <c r="U6" s="270"/>
      <c r="V6" s="86"/>
      <c r="W6" s="86"/>
      <c r="X6" s="86"/>
      <c r="Y6" s="86"/>
      <c r="Z6" s="86"/>
      <c r="AA6" s="86"/>
      <c r="AB6" s="86"/>
      <c r="AC6" s="86"/>
      <c r="AD6" s="86"/>
      <c r="AE6" s="86"/>
      <c r="AF6" s="86"/>
      <c r="AG6" s="86"/>
      <c r="AH6" s="86"/>
      <c r="AK6" s="20" t="s">
        <v>0</v>
      </c>
      <c r="AL6" s="26" t="s">
        <v>1015</v>
      </c>
      <c r="AM6" s="26" t="s">
        <v>1016</v>
      </c>
      <c r="AN6" s="26" t="s">
        <v>591</v>
      </c>
      <c r="AO6" s="26" t="s">
        <v>590</v>
      </c>
      <c r="AU6" s="33"/>
    </row>
    <row r="7" spans="2:55" x14ac:dyDescent="0.25">
      <c r="B7" s="273"/>
      <c r="C7" s="251"/>
      <c r="D7" s="251"/>
      <c r="E7" s="251"/>
      <c r="F7" s="251"/>
      <c r="G7" s="251"/>
      <c r="H7" s="251"/>
      <c r="I7" s="251"/>
      <c r="J7" s="251"/>
      <c r="K7" s="251"/>
      <c r="L7" s="251"/>
      <c r="M7" s="251"/>
      <c r="N7" s="251"/>
      <c r="O7" s="39"/>
      <c r="P7" s="39"/>
      <c r="Q7" s="39"/>
      <c r="R7" s="39"/>
      <c r="S7" s="39"/>
      <c r="T7" s="39"/>
      <c r="U7" s="271"/>
      <c r="AK7" s="20" t="s">
        <v>5</v>
      </c>
      <c r="AL7" s="34">
        <f>SUMIFS(CampList[Total],CampList[Township],$AK7,CampList[Status],"open",CampList[Total],"&lt;=100",CampList[Affected Population],"IDP")</f>
        <v>201</v>
      </c>
      <c r="AM7" s="34">
        <f>SUMIFS(CampList[Total],CampList[Township],$AK7,CampList[Status],"open",CampList[Total],"&gt;100",CampList[Total],"&lt;=1000",CampList[Affected Population],"IDP")</f>
        <v>2874</v>
      </c>
      <c r="AN7" s="34">
        <f>SUMIFS(CampList[Total],CampList[Township],$AK7,CampList[Status],"open",CampList[Total],"&gt;1000",CampList[Total],"&lt;=5000",CampList[Affected Population],"IDP")</f>
        <v>5110</v>
      </c>
      <c r="AO7" s="34">
        <f>SUMIFS(CampList[Total],CampList[Township],$AK7,CampList[Status],"open",CampList[Total],"&gt;5000",CampList[Total],"&lt;=100000",CampList[Affected Population],"IDP")</f>
        <v>0</v>
      </c>
      <c r="AU7" s="33"/>
    </row>
    <row r="8" spans="2:55" ht="9.75" customHeight="1" x14ac:dyDescent="0.25">
      <c r="B8" s="273"/>
      <c r="C8" s="251"/>
      <c r="D8" s="251"/>
      <c r="E8" s="251"/>
      <c r="F8" s="251"/>
      <c r="G8" s="251"/>
      <c r="H8" s="251"/>
      <c r="I8" s="251"/>
      <c r="J8" s="251"/>
      <c r="K8" s="251"/>
      <c r="L8" s="251"/>
      <c r="M8" s="251"/>
      <c r="N8" s="251"/>
      <c r="O8" s="39"/>
      <c r="P8" s="39"/>
      <c r="Q8" s="39"/>
      <c r="R8" s="39"/>
      <c r="S8" s="39"/>
      <c r="T8" s="39"/>
      <c r="U8" s="271"/>
      <c r="AK8" s="20" t="s">
        <v>27</v>
      </c>
      <c r="AL8" s="34">
        <f>SUMIFS(CampList[Total],CampList[Township],$AK8,CampList[Status],"open",CampList[Total],"&lt;=100",CampList[Affected Population],"IDP")</f>
        <v>0</v>
      </c>
      <c r="AM8" s="34">
        <f>SUMIFS(CampList[Total],CampList[Township],$AK8,CampList[Status],"open",CampList[Total],"&gt;100",CampList[Total],"&lt;=1000",CampList[Affected Population],"IDP")</f>
        <v>2570</v>
      </c>
      <c r="AN8" s="34">
        <f>SUMIFS(CampList[Total],CampList[Township],$AK8,CampList[Status],"open",CampList[Total],"&gt;1000",CampList[Total],"&lt;=5000",CampList[Affected Population],"IDP")</f>
        <v>0</v>
      </c>
      <c r="AO8" s="34">
        <f>SUMIFS(CampList[Total],CampList[Township],$AK8,CampList[Status],"open",CampList[Total],"&gt;5000",CampList[Total],"&lt;=100000",CampList[Affected Population],"IDP")</f>
        <v>0</v>
      </c>
      <c r="AP8" s="18"/>
      <c r="AU8" s="33"/>
    </row>
    <row r="9" spans="2:55" ht="12.75" customHeight="1" x14ac:dyDescent="0.25">
      <c r="B9" s="273"/>
      <c r="C9" s="251"/>
      <c r="D9" s="251"/>
      <c r="E9" s="251"/>
      <c r="F9" s="251"/>
      <c r="G9" s="251"/>
      <c r="H9" s="251"/>
      <c r="I9" s="251"/>
      <c r="J9" s="251"/>
      <c r="K9" s="251"/>
      <c r="L9" s="251"/>
      <c r="M9" s="251"/>
      <c r="N9" s="251"/>
      <c r="O9" s="39"/>
      <c r="P9" s="39"/>
      <c r="Q9" s="39"/>
      <c r="R9" s="39"/>
      <c r="S9" s="39"/>
      <c r="T9" s="39"/>
      <c r="U9" s="271"/>
      <c r="AK9" s="20" t="s">
        <v>529</v>
      </c>
      <c r="AL9" s="34">
        <f>SUMIFS(CampList[Total],CampList[Township],$AK9,CampList[Status],"open",CampList[Total],"&lt;=100",CampList[Affected Population],"IDP")</f>
        <v>563</v>
      </c>
      <c r="AM9" s="34">
        <f>SUMIFS(CampList[Total],CampList[Township],$AK9,CampList[Status],"open",CampList[Total],"&gt;100",CampList[Total],"&lt;=1000",CampList[Affected Population],"IDP")</f>
        <v>3011</v>
      </c>
      <c r="AN9" s="34">
        <f>SUMIFS(CampList[Total],CampList[Township],$AK9,CampList[Status],"open",CampList[Total],"&gt;1000",CampList[Total],"&lt;=5000",CampList[Affected Population],"IDP")</f>
        <v>0</v>
      </c>
      <c r="AO9" s="34">
        <f>SUMIFS(CampList[Total],CampList[Township],$AK9,CampList[Status],"open",CampList[Total],"&gt;5000",CampList[Total],"&lt;=100000",CampList[Affected Population],"IDP")</f>
        <v>0</v>
      </c>
      <c r="AP9" s="18"/>
      <c r="AU9" s="33"/>
    </row>
    <row r="10" spans="2:55" x14ac:dyDescent="0.25">
      <c r="B10" s="273"/>
      <c r="C10" s="251"/>
      <c r="D10" s="251"/>
      <c r="E10" s="251"/>
      <c r="F10" s="251"/>
      <c r="G10" s="251"/>
      <c r="H10" s="251"/>
      <c r="I10" s="251"/>
      <c r="J10" s="251"/>
      <c r="K10" s="251"/>
      <c r="L10" s="251"/>
      <c r="M10" s="251"/>
      <c r="N10" s="251"/>
      <c r="O10" s="39"/>
      <c r="P10" s="39"/>
      <c r="Q10" s="39"/>
      <c r="R10" s="39"/>
      <c r="S10" s="39"/>
      <c r="T10" s="39"/>
      <c r="U10" s="271"/>
      <c r="AK10" s="20" t="s">
        <v>784</v>
      </c>
      <c r="AL10" s="34">
        <f>SUMIFS(CampList[Total],CampList[Township],$AK10,CampList[Status],"open",CampList[Total],"&lt;=100",CampList[Affected Population],"IDP")</f>
        <v>0</v>
      </c>
      <c r="AM10" s="34">
        <f>SUMIFS(CampList[Total],CampList[Township],$AK10,CampList[Status],"open",CampList[Total],"&gt;100",CampList[Total],"&lt;=1000",CampList[Affected Population],"IDP")</f>
        <v>665</v>
      </c>
      <c r="AN10" s="34">
        <f>SUMIFS(CampList[Total],CampList[Township],$AK10,CampList[Status],"open",CampList[Total],"&gt;1000",CampList[Total],"&lt;=5000",CampList[Affected Population],"IDP")</f>
        <v>0</v>
      </c>
      <c r="AO10" s="34">
        <f>SUMIFS(CampList[Total],CampList[Township],$AK10,CampList[Status],"open",CampList[Total],"&gt;5000",CampList[Total],"&lt;=100000",CampList[Affected Population],"IDP")</f>
        <v>0</v>
      </c>
      <c r="AP10" s="18"/>
      <c r="AU10" s="33"/>
    </row>
    <row r="11" spans="2:55" x14ac:dyDescent="0.25">
      <c r="B11" s="273"/>
      <c r="C11" s="121" t="s">
        <v>0</v>
      </c>
      <c r="D11" s="121" t="s">
        <v>573</v>
      </c>
      <c r="E11" s="121" t="s">
        <v>578</v>
      </c>
      <c r="F11" s="122" t="s">
        <v>1264</v>
      </c>
      <c r="G11" s="119"/>
      <c r="H11" s="39"/>
      <c r="I11" s="39"/>
      <c r="J11" s="39"/>
      <c r="K11" s="39"/>
      <c r="L11" s="39"/>
      <c r="M11" s="39"/>
      <c r="N11" s="39"/>
      <c r="O11" s="39"/>
      <c r="P11" s="39"/>
      <c r="Q11" s="39"/>
      <c r="R11" s="39"/>
      <c r="S11" s="248"/>
      <c r="T11" s="39"/>
      <c r="U11" s="271"/>
      <c r="AK11" s="123" t="s">
        <v>363</v>
      </c>
      <c r="AL11" s="34">
        <f>SUMIFS(CampList[Total],CampList[Township],$AK11,CampList[Status],"open",CampList[Total],"&lt;=100",CampList[Affected Population],"IDP")</f>
        <v>0</v>
      </c>
      <c r="AM11" s="34">
        <f>SUMIFS(CampList[Total],CampList[Township],$AK11,CampList[Status],"open",CampList[Total],"&gt;100",CampList[Total],"&lt;=1000",CampList[Affected Population],"IDP")</f>
        <v>0</v>
      </c>
      <c r="AN11" s="34">
        <f>SUMIFS(CampList[Total],CampList[Township],$AK11,CampList[Status],"open",CampList[Total],"&gt;1000",CampList[Total],"&lt;=5000",CampList[Affected Population],"IDP")</f>
        <v>0</v>
      </c>
      <c r="AO11" s="34">
        <f>SUMIFS(CampList[Total],CampList[Township],$AK11,CampList[Status],"open",CampList[Total],"&gt;5000",CampList[Total],"&lt;=100000",CampList[Affected Population],"IDP")</f>
        <v>0</v>
      </c>
      <c r="AP11" s="18"/>
      <c r="AU11" s="33"/>
    </row>
    <row r="12" spans="2:55" ht="15.75" customHeight="1" x14ac:dyDescent="0.25">
      <c r="B12" s="273"/>
      <c r="C12" s="123" t="s">
        <v>5</v>
      </c>
      <c r="D12" s="124">
        <f>SUMIFS(CampList[HH],CampList[Township],$C12,CampList[Status],"open",CampList[Affected Population],"IDP")</f>
        <v>1578</v>
      </c>
      <c r="E12" s="124">
        <f>SUMIFS(CampList[Total],CampList[Township],$C12,CampList[Status],"open",CampList[Affected Population],"IDP")</f>
        <v>8185</v>
      </c>
      <c r="F12" s="120">
        <f>COUNTIFS(CampList[Township],$C12,CampList[Status],"open",CampList[Affected Population],"IDP")</f>
        <v>11</v>
      </c>
      <c r="G12" s="114"/>
      <c r="H12" s="39"/>
      <c r="I12" s="249"/>
      <c r="J12" s="39"/>
      <c r="K12" s="39"/>
      <c r="L12" s="39"/>
      <c r="M12" s="39"/>
      <c r="N12" s="39"/>
      <c r="O12" s="39"/>
      <c r="P12" s="39"/>
      <c r="Q12" s="39"/>
      <c r="R12" s="39"/>
      <c r="S12" s="248"/>
      <c r="T12" s="39"/>
      <c r="U12" s="271"/>
      <c r="X12" s="82"/>
      <c r="AK12" s="20" t="s">
        <v>144</v>
      </c>
      <c r="AL12" s="34">
        <f>SUMIFS(CampList[Total],CampList[Township],$AK12,CampList[Status],"open",CampList[Total],"&lt;=100",CampList[Affected Population],"IDP")</f>
        <v>17</v>
      </c>
      <c r="AM12" s="34">
        <f>SUMIFS(CampList[Total],CampList[Township],$AK12,CampList[Status],"open",CampList[Total],"&gt;100",CampList[Total],"&lt;=1000",CampList[Affected Population],"IDP")</f>
        <v>0</v>
      </c>
      <c r="AN12" s="34">
        <f>SUMIFS(CampList[Total],CampList[Township],$AK12,CampList[Status],"open",CampList[Total],"&gt;1000",CampList[Total],"&lt;=5000",CampList[Affected Population],"IDP")</f>
        <v>0</v>
      </c>
      <c r="AO12" s="34">
        <f>SUMIFS(CampList[Total],CampList[Township],$AK12,CampList[Status],"open",CampList[Total],"&gt;5000",CampList[Total],"&lt;=100000",CampList[Affected Population],"IDP")</f>
        <v>0</v>
      </c>
      <c r="AP12" s="18"/>
      <c r="AU12" s="33"/>
    </row>
    <row r="13" spans="2:55" x14ac:dyDescent="0.25">
      <c r="B13" s="273"/>
      <c r="C13" s="123" t="s">
        <v>27</v>
      </c>
      <c r="D13" s="124">
        <f>SUMIFS(CampList[HH],CampList[Township],$C13,CampList[Status],"open",CampList[Affected Population],"IDP")</f>
        <v>511</v>
      </c>
      <c r="E13" s="124">
        <f>SUMIFS(CampList[Total],CampList[Township],$C13,CampList[Status],"open",CampList[Affected Population],"IDP")</f>
        <v>2570</v>
      </c>
      <c r="F13" s="120">
        <f>COUNTIFS(CampList[Township],$C13,CampList[Status],"open",CampList[Affected Population],"IDP")</f>
        <v>6</v>
      </c>
      <c r="G13" s="114"/>
      <c r="H13" s="250"/>
      <c r="I13" s="249"/>
      <c r="J13" s="39"/>
      <c r="K13" s="39"/>
      <c r="L13" s="39"/>
      <c r="M13" s="39"/>
      <c r="N13" s="39"/>
      <c r="O13" s="39"/>
      <c r="P13" s="39"/>
      <c r="Q13" s="39"/>
      <c r="R13" s="39"/>
      <c r="S13" s="39"/>
      <c r="T13" s="39"/>
      <c r="U13" s="271"/>
      <c r="X13" s="82"/>
      <c r="AK13" s="20" t="s">
        <v>146</v>
      </c>
      <c r="AL13" s="34">
        <f>SUMIFS(CampList[Total],CampList[Township],$AK13,CampList[Status],"open",CampList[Total],"&lt;=100",CampList[Affected Population],"IDP")</f>
        <v>0</v>
      </c>
      <c r="AM13" s="34">
        <f>SUMIFS(CampList[Total],CampList[Township],$AK13,CampList[Status],"open",CampList[Total],"&gt;100",CampList[Total],"&lt;=1000",CampList[Affected Population],"IDP")</f>
        <v>3291</v>
      </c>
      <c r="AN13" s="34">
        <f>SUMIFS(CampList[Total],CampList[Township],$AK13,CampList[Status],"open",CampList[Total],"&gt;1000",CampList[Total],"&lt;=5000",CampList[Affected Population],"IDP")</f>
        <v>0</v>
      </c>
      <c r="AO13" s="34">
        <f>SUMIFS(CampList[Total],CampList[Township],$AK13,CampList[Status],"open",CampList[Total],"&gt;5000",CampList[Total],"&lt;=100000",CampList[Affected Population],"IDP")</f>
        <v>0</v>
      </c>
      <c r="AP13" s="18"/>
      <c r="AU13" s="33"/>
    </row>
    <row r="14" spans="2:55" x14ac:dyDescent="0.25">
      <c r="B14" s="273"/>
      <c r="C14" s="123" t="s">
        <v>529</v>
      </c>
      <c r="D14" s="124">
        <f>SUMIFS(CampList[HH],CampList[Township],$C14,CampList[Status],"open",CampList[Affected Population],"IDP")</f>
        <v>724</v>
      </c>
      <c r="E14" s="124">
        <f>SUMIFS(CampList[Total],CampList[Township],$C14,CampList[Status],"open",CampList[Affected Population],"IDP")</f>
        <v>3574</v>
      </c>
      <c r="F14" s="120">
        <f>COUNTIFS(CampList[Township],$C14,CampList[Status],"open",CampList[Affected Population],"IDP")</f>
        <v>20</v>
      </c>
      <c r="G14" s="114"/>
      <c r="H14" s="250"/>
      <c r="I14" s="249"/>
      <c r="J14" s="39"/>
      <c r="K14" s="39"/>
      <c r="L14" s="39"/>
      <c r="M14" s="39"/>
      <c r="N14" s="39"/>
      <c r="O14" s="39"/>
      <c r="P14" s="39"/>
      <c r="Q14" s="39"/>
      <c r="R14" s="39"/>
      <c r="S14" s="39"/>
      <c r="T14" s="39"/>
      <c r="U14" s="271"/>
      <c r="X14" s="82"/>
      <c r="AK14" s="20" t="s">
        <v>899</v>
      </c>
      <c r="AL14" s="34">
        <f>SUMIFS(CampList[Total],CampList[Township],$AK14,CampList[Status],"open",CampList[Total],"&lt;=100",CampList[Affected Population],"IDP")</f>
        <v>0</v>
      </c>
      <c r="AM14" s="34">
        <f>SUMIFS(CampList[Total],CampList[Township],$AK14,CampList[Status],"open",CampList[Total],"&gt;100",CampList[Total],"&lt;=1000",CampList[Affected Population],"IDP")</f>
        <v>0</v>
      </c>
      <c r="AN14" s="34">
        <f>SUMIFS(CampList[Total],CampList[Township],$AK14,CampList[Status],"open",CampList[Total],"&gt;1000",CampList[Total],"&lt;=5000",CampList[Affected Population],"IDP")</f>
        <v>0</v>
      </c>
      <c r="AO14" s="34">
        <f>SUMIFS(CampList[Total],CampList[Township],$AK14,CampList[Status],"open",CampList[Total],"&gt;5000",CampList[Total],"&lt;=100000",CampList[Affected Population],"IDP")</f>
        <v>0</v>
      </c>
      <c r="AP14" s="18"/>
      <c r="AU14" s="33"/>
    </row>
    <row r="15" spans="2:55" x14ac:dyDescent="0.25">
      <c r="B15" s="273"/>
      <c r="C15" s="123" t="s">
        <v>784</v>
      </c>
      <c r="D15" s="124">
        <f>SUMIFS(CampList[HH],CampList[Township],$C15,CampList[Status],"open",CampList[Affected Population],"IDP")</f>
        <v>111</v>
      </c>
      <c r="E15" s="124">
        <f>SUMIFS(CampList[Total],CampList[Township],$C15,CampList[Status],"open",CampList[Affected Population],"IDP")</f>
        <v>665</v>
      </c>
      <c r="F15" s="120">
        <f>COUNTIFS(CampList[Township],$C15,CampList[Status],"open",CampList[Affected Population],"IDP")</f>
        <v>2</v>
      </c>
      <c r="G15" s="114"/>
      <c r="H15" s="250"/>
      <c r="I15" s="39"/>
      <c r="J15" s="39"/>
      <c r="K15" s="39"/>
      <c r="L15" s="39"/>
      <c r="M15" s="39"/>
      <c r="N15" s="39"/>
      <c r="O15" s="39"/>
      <c r="P15" s="39"/>
      <c r="Q15" s="39"/>
      <c r="R15" s="39"/>
      <c r="S15" s="39"/>
      <c r="T15" s="39"/>
      <c r="U15" s="271"/>
      <c r="X15" s="82"/>
      <c r="AK15" s="20" t="s">
        <v>151</v>
      </c>
      <c r="AL15" s="34">
        <f>SUMIFS(CampList[Total],CampList[Township],$AK15,CampList[Status],"open",CampList[Total],"&lt;=100",CampList[Affected Population],"IDP")</f>
        <v>0</v>
      </c>
      <c r="AM15" s="34">
        <f>SUMIFS(CampList[Total],CampList[Township],$AK15,CampList[Status],"open",CampList[Total],"&gt;100",CampList[Total],"&lt;=1000",CampList[Affected Population],"IDP")</f>
        <v>3293</v>
      </c>
      <c r="AN15" s="34">
        <f>SUMIFS(CampList[Total],CampList[Township],$AK15,CampList[Status],"open",CampList[Total],"&gt;1000",CampList[Total],"&lt;=5000",CampList[Affected Population],"IDP")</f>
        <v>9350</v>
      </c>
      <c r="AO15" s="34">
        <f>SUMIFS(CampList[Total],CampList[Township],$AK15,CampList[Status],"open",CampList[Total],"&gt;5000",CampList[Total],"&lt;=100000",CampList[Affected Population],"IDP")</f>
        <v>0</v>
      </c>
      <c r="AP15" s="18"/>
      <c r="AU15" s="33"/>
    </row>
    <row r="16" spans="2:55" x14ac:dyDescent="0.25">
      <c r="B16" s="273"/>
      <c r="C16" s="123" t="s">
        <v>363</v>
      </c>
      <c r="D16" s="124">
        <f>SUMIFS(CampList[HH],CampList[Township],$C16,CampList[Status],"open",CampList[Affected Population],"IDP")</f>
        <v>0</v>
      </c>
      <c r="E16" s="124">
        <f>SUMIFS(CampList[Total],CampList[Township],$C16,CampList[Status],"open",CampList[Affected Population],"IDP")</f>
        <v>0</v>
      </c>
      <c r="F16" s="120">
        <f>COUNTIFS(CampList[Township],$C16,CampList[Status],"open",CampList[Affected Population],"IDP")</f>
        <v>0</v>
      </c>
      <c r="G16" s="114"/>
      <c r="H16" s="250"/>
      <c r="I16" s="39"/>
      <c r="J16" s="39"/>
      <c r="K16" s="39"/>
      <c r="L16" s="39"/>
      <c r="M16" s="39"/>
      <c r="N16" s="39"/>
      <c r="O16" s="39"/>
      <c r="P16" s="39"/>
      <c r="Q16" s="39"/>
      <c r="R16" s="39"/>
      <c r="S16" s="39"/>
      <c r="T16" s="39"/>
      <c r="U16" s="271"/>
      <c r="V16" s="33">
        <f>X22</f>
        <v>0</v>
      </c>
      <c r="AK16" s="20" t="s">
        <v>166</v>
      </c>
      <c r="AL16" s="34">
        <f>SUMIFS(CampList[Total],CampList[Township],$AK16,CampList[Status],"open",CampList[Total],"&lt;=100",CampList[Affected Population],"IDP")</f>
        <v>0</v>
      </c>
      <c r="AM16" s="34">
        <f>SUMIFS(CampList[Total],CampList[Township],$AK16,CampList[Status],"open",CampList[Total],"&gt;100",CampList[Total],"&lt;=1000",CampList[Affected Population],"IDP")</f>
        <v>355</v>
      </c>
      <c r="AN16" s="34">
        <f>SUMIFS(CampList[Total],CampList[Township],$AK16,CampList[Status],"open",CampList[Total],"&gt;1000",CampList[Total],"&lt;=5000",CampList[Affected Population],"IDP")</f>
        <v>0</v>
      </c>
      <c r="AO16" s="34">
        <f>SUMIFS(CampList[Total],CampList[Township],$AK16,CampList[Status],"open",CampList[Total],"&gt;5000",CampList[Total],"&lt;=100000",CampList[Affected Population],"IDP")</f>
        <v>0</v>
      </c>
      <c r="AP16" s="18"/>
      <c r="AU16" s="33"/>
    </row>
    <row r="17" spans="1:47" x14ac:dyDescent="0.25">
      <c r="B17" s="273"/>
      <c r="C17" s="123" t="s">
        <v>144</v>
      </c>
      <c r="D17" s="124">
        <f>SUMIFS(CampList[HH],CampList[Township],$C17,CampList[Status],"open",CampList[Affected Population],"IDP")</f>
        <v>11</v>
      </c>
      <c r="E17" s="124">
        <f>SUMIFS(CampList[Total],CampList[Township],$C17,CampList[Status],"open",CampList[Affected Population],"IDP")</f>
        <v>17</v>
      </c>
      <c r="F17" s="120">
        <f>COUNTIFS(CampList[Township],$C17,CampList[Status],"open",CampList[Affected Population],"IDP")</f>
        <v>1</v>
      </c>
      <c r="G17" s="114"/>
      <c r="H17" s="250"/>
      <c r="I17" s="39"/>
      <c r="J17" s="39"/>
      <c r="K17" s="39"/>
      <c r="L17" s="39"/>
      <c r="M17" s="39"/>
      <c r="N17" s="39"/>
      <c r="O17" s="39"/>
      <c r="P17" s="39"/>
      <c r="Q17" s="39"/>
      <c r="R17" s="39"/>
      <c r="S17" s="39"/>
      <c r="T17" s="39"/>
      <c r="U17" s="271"/>
      <c r="W17" s="213"/>
      <c r="AB17"/>
      <c r="AK17" s="20" t="s">
        <v>173</v>
      </c>
      <c r="AL17" s="34">
        <f>SUMIFS(CampList[Total],CampList[Township],$AK17,CampList[Status],"open",CampList[Total],"&lt;=100",CampList[Affected Population],"IDP")</f>
        <v>314</v>
      </c>
      <c r="AM17" s="34">
        <f>SUMIFS(CampList[Total],CampList[Township],$AK17,CampList[Status],"open",CampList[Total],"&gt;100",CampList[Total],"&lt;=1000",CampList[Affected Population],"IDP")</f>
        <v>158</v>
      </c>
      <c r="AN17" s="34">
        <f>SUMIFS(CampList[Total],CampList[Township],$AK17,CampList[Status],"open",CampList[Total],"&gt;1000",CampList[Total],"&lt;=5000",CampList[Affected Population],"IDP")</f>
        <v>0</v>
      </c>
      <c r="AO17" s="34">
        <f>SUMIFS(CampList[Total],CampList[Township],$AK17,CampList[Status],"open",CampList[Total],"&gt;5000",CampList[Total],"&lt;=100000",CampList[Affected Population],"IDP")</f>
        <v>0</v>
      </c>
      <c r="AP17" s="18"/>
      <c r="AU17" s="33"/>
    </row>
    <row r="18" spans="1:47" x14ac:dyDescent="0.25">
      <c r="B18" s="273"/>
      <c r="C18" s="123" t="s">
        <v>146</v>
      </c>
      <c r="D18" s="124">
        <f>SUMIFS(CampList[HH],CampList[Township],$C18,CampList[Status],"open",CampList[Affected Population],"IDP")</f>
        <v>686</v>
      </c>
      <c r="E18" s="124">
        <f>SUMIFS(CampList[Total],CampList[Township],$C18,CampList[Status],"open",CampList[Affected Population],"IDP")</f>
        <v>3291</v>
      </c>
      <c r="F18" s="120">
        <f>COUNTIFS(CampList[Township],$C18,CampList[Status],"open",CampList[Affected Population],"IDP")</f>
        <v>9</v>
      </c>
      <c r="G18" s="114"/>
      <c r="H18" s="250"/>
      <c r="I18" s="39"/>
      <c r="J18" s="39"/>
      <c r="K18" s="39"/>
      <c r="L18" s="39"/>
      <c r="M18" s="39"/>
      <c r="N18" s="39"/>
      <c r="O18" s="39"/>
      <c r="P18" s="39"/>
      <c r="Q18" s="39"/>
      <c r="R18" s="39"/>
      <c r="S18" s="39"/>
      <c r="T18" s="39"/>
      <c r="U18" s="271"/>
      <c r="AB18"/>
      <c r="AK18" s="20" t="s">
        <v>180</v>
      </c>
      <c r="AL18" s="34">
        <f>SUMIFS(CampList[Total],CampList[Township],$AK18,CampList[Status],"open",CampList[Total],"&lt;=100",CampList[Affected Population],"IDP")</f>
        <v>126</v>
      </c>
      <c r="AM18" s="34">
        <f>SUMIFS(CampList[Total],CampList[Township],$AK18,CampList[Status],"open",CampList[Total],"&gt;100",CampList[Total],"&lt;=1000",CampList[Affected Population],"IDP")</f>
        <v>294</v>
      </c>
      <c r="AN18" s="34">
        <f>SUMIFS(CampList[Total],CampList[Township],$AK18,CampList[Status],"open",CampList[Total],"&gt;1000",CampList[Total],"&lt;=5000",CampList[Affected Population],"IDP")</f>
        <v>0</v>
      </c>
      <c r="AO18" s="34">
        <f>SUMIFS(CampList[Total],CampList[Township],$AK18,CampList[Status],"open",CampList[Total],"&gt;5000",CampList[Total],"&lt;=100000",CampList[Affected Population],"IDP")</f>
        <v>0</v>
      </c>
      <c r="AP18" s="18"/>
      <c r="AU18" s="33"/>
    </row>
    <row r="19" spans="1:47" x14ac:dyDescent="0.25">
      <c r="B19" s="273"/>
      <c r="C19" s="123" t="s">
        <v>899</v>
      </c>
      <c r="D19" s="124">
        <f>SUMIFS(CampList[HH],CampList[Township],$C19,CampList[Status],"open",CampList[Affected Population],"IDP")</f>
        <v>0</v>
      </c>
      <c r="E19" s="124">
        <f>SUMIFS(CampList[Total],CampList[Township],$C19,CampList[Status],"open",CampList[Affected Population],"IDP")</f>
        <v>0</v>
      </c>
      <c r="F19" s="120">
        <f>COUNTIFS(CampList[Township],$C19,CampList[Status],"open",CampList[Affected Population],"IDP")</f>
        <v>0</v>
      </c>
      <c r="G19" s="114"/>
      <c r="H19" s="250"/>
      <c r="I19" s="39"/>
      <c r="J19" s="39"/>
      <c r="K19" s="39"/>
      <c r="L19" s="39"/>
      <c r="M19" s="39"/>
      <c r="N19" s="39"/>
      <c r="O19" s="39"/>
      <c r="P19" s="39"/>
      <c r="Q19" s="39"/>
      <c r="R19" s="39"/>
      <c r="S19" s="39"/>
      <c r="T19" s="39"/>
      <c r="U19" s="271"/>
      <c r="AB19"/>
      <c r="AK19" s="20" t="s">
        <v>185</v>
      </c>
      <c r="AL19" s="34">
        <f>SUMIFS(CampList[Total],CampList[Township],$AK19,CampList[Status],"open",CampList[Total],"&lt;=100",CampList[Affected Population],"IDP")</f>
        <v>264</v>
      </c>
      <c r="AM19" s="34">
        <f>SUMIFS(CampList[Total],CampList[Township],$AK19,CampList[Status],"open",CampList[Total],"&gt;100",CampList[Total],"&lt;=1000",CampList[Affected Population],"IDP")</f>
        <v>3254</v>
      </c>
      <c r="AN19" s="34">
        <f>SUMIFS(CampList[Total],CampList[Township],$AK19,CampList[Status],"open",CampList[Total],"&gt;1000",CampList[Total],"&lt;=5000",CampList[Affected Population],"IDP")</f>
        <v>11990</v>
      </c>
      <c r="AO19" s="34">
        <f>SUMIFS(CampList[Total],CampList[Township],$AK19,CampList[Status],"open",CampList[Total],"&gt;5000",CampList[Total],"&lt;=100000",CampList[Affected Population],"IDP")</f>
        <v>8818</v>
      </c>
      <c r="AP19" s="18"/>
      <c r="AU19" s="33"/>
    </row>
    <row r="20" spans="1:47" x14ac:dyDescent="0.25">
      <c r="B20" s="273"/>
      <c r="C20" s="123" t="s">
        <v>151</v>
      </c>
      <c r="D20" s="124">
        <f>SUMIFS(CampList[HH],CampList[Township],$C20,CampList[Status],"open",CampList[Affected Population],"IDP")</f>
        <v>2758</v>
      </c>
      <c r="E20" s="124">
        <f>SUMIFS(CampList[Total],CampList[Township],$C20,CampList[Status],"open",CampList[Affected Population],"IDP")</f>
        <v>12643</v>
      </c>
      <c r="F20" s="120">
        <f>COUNTIFS(CampList[Township],$C20,CampList[Status],"open",CampList[Affected Population],"IDP")</f>
        <v>12</v>
      </c>
      <c r="G20" s="114"/>
      <c r="H20" s="250"/>
      <c r="I20" s="39"/>
      <c r="J20" s="39"/>
      <c r="K20" s="39"/>
      <c r="L20" s="39"/>
      <c r="M20" s="39"/>
      <c r="N20" s="39"/>
      <c r="O20" s="39"/>
      <c r="P20" s="39"/>
      <c r="Q20" s="39"/>
      <c r="R20" s="39"/>
      <c r="S20" s="39"/>
      <c r="T20" s="39"/>
      <c r="U20" s="271"/>
      <c r="AB20"/>
      <c r="AK20" s="20" t="s">
        <v>230</v>
      </c>
      <c r="AL20" s="34">
        <f>SUMIFS(CampList[Total],CampList[Township],$AK20,CampList[Status],"open",CampList[Total],"&lt;=100",CampList[Affected Population],"IDP")</f>
        <v>96</v>
      </c>
      <c r="AM20" s="34">
        <f>SUMIFS(CampList[Total],CampList[Township],$AK20,CampList[Status],"open",CampList[Total],"&gt;100",CampList[Total],"&lt;=1000",CampList[Affected Population],"IDP")</f>
        <v>1115</v>
      </c>
      <c r="AN20" s="34">
        <f>SUMIFS(CampList[Total],CampList[Township],$AK20,CampList[Status],"open",CampList[Total],"&gt;1000",CampList[Total],"&lt;=5000",CampList[Affected Population],"IDP")</f>
        <v>0</v>
      </c>
      <c r="AO20" s="34">
        <f>SUMIFS(CampList[Total],CampList[Township],$AK20,CampList[Status],"open",CampList[Total],"&gt;5000",CampList[Total],"&lt;=100000",CampList[Affected Population],"IDP")</f>
        <v>0</v>
      </c>
      <c r="AP20" s="18"/>
      <c r="AU20" s="33"/>
    </row>
    <row r="21" spans="1:47" x14ac:dyDescent="0.25">
      <c r="B21" s="273"/>
      <c r="C21" s="123" t="s">
        <v>166</v>
      </c>
      <c r="D21" s="124">
        <f>SUMIFS(CampList[HH],CampList[Township],$C21,CampList[Status],"open",CampList[Affected Population],"IDP")</f>
        <v>69</v>
      </c>
      <c r="E21" s="124">
        <f>SUMIFS(CampList[Total],CampList[Township],$C21,CampList[Status],"open",CampList[Affected Population],"IDP")</f>
        <v>355</v>
      </c>
      <c r="F21" s="120">
        <f>COUNTIFS(CampList[Township],$C21,CampList[Status],"open",CampList[Affected Population],"IDP")</f>
        <v>2</v>
      </c>
      <c r="G21" s="114"/>
      <c r="H21" s="39"/>
      <c r="I21" s="39"/>
      <c r="J21" s="39"/>
      <c r="K21" s="39"/>
      <c r="L21" s="39"/>
      <c r="M21" s="39"/>
      <c r="N21" s="39"/>
      <c r="O21" s="39"/>
      <c r="P21" s="39"/>
      <c r="Q21" s="39"/>
      <c r="R21" s="39"/>
      <c r="S21" s="39"/>
      <c r="T21" s="39"/>
      <c r="U21" s="271"/>
      <c r="AB21"/>
      <c r="AK21" s="20" t="s">
        <v>237</v>
      </c>
      <c r="AL21" s="34">
        <f>SUMIFS(CampList[Total],CampList[Township],$AK21,CampList[Status],"open",CampList[Total],"&lt;=100",CampList[Affected Population],"IDP")</f>
        <v>232</v>
      </c>
      <c r="AM21" s="34">
        <f>SUMIFS(CampList[Total],CampList[Township],$AK21,CampList[Status],"open",CampList[Total],"&gt;100",CampList[Total],"&lt;=1000",CampList[Affected Population],"IDP")</f>
        <v>6142</v>
      </c>
      <c r="AN21" s="34">
        <f>SUMIFS(CampList[Total],CampList[Township],$AK21,CampList[Status],"open",CampList[Total],"&gt;1000",CampList[Total],"&lt;=5000",CampList[Affected Population],"IDP")</f>
        <v>1072</v>
      </c>
      <c r="AO21" s="34">
        <f>SUMIFS(CampList[Total],CampList[Township],$AK21,CampList[Status],"open",CampList[Total],"&gt;5000",CampList[Total],"&lt;=100000",CampList[Affected Population],"IDP")</f>
        <v>0</v>
      </c>
      <c r="AP21" s="18"/>
      <c r="AU21" s="33"/>
    </row>
    <row r="22" spans="1:47" x14ac:dyDescent="0.25">
      <c r="B22" s="273"/>
      <c r="C22" s="123" t="s">
        <v>173</v>
      </c>
      <c r="D22" s="124">
        <f>SUMIFS(CampList[HH],CampList[Township],$C22,CampList[Status],"open",CampList[Affected Population],"IDP")</f>
        <v>121</v>
      </c>
      <c r="E22" s="124">
        <f>SUMIFS(CampList[Total],CampList[Township],$C22,CampList[Status],"open",CampList[Affected Population],"IDP")</f>
        <v>472</v>
      </c>
      <c r="F22" s="120">
        <f>COUNTIFS(CampList[Township],$C22,CampList[Status],"open",CampList[Affected Population],"IDP")</f>
        <v>6</v>
      </c>
      <c r="G22" s="114"/>
      <c r="H22" s="39"/>
      <c r="I22" s="39"/>
      <c r="J22" s="39"/>
      <c r="K22" s="39"/>
      <c r="L22" s="39"/>
      <c r="M22" s="39"/>
      <c r="N22" s="39"/>
      <c r="O22" s="39"/>
      <c r="P22" s="39"/>
      <c r="Q22" s="39"/>
      <c r="R22" s="39"/>
      <c r="S22" s="39"/>
      <c r="T22" s="39"/>
      <c r="U22" s="271"/>
      <c r="AB22"/>
      <c r="AK22" s="20" t="s">
        <v>289</v>
      </c>
      <c r="AL22" s="34">
        <f>SUMIFS(CampList[Total],CampList[Township],$AK22,CampList[Status],"open",CampList[Total],"&lt;=100",CampList[Affected Population],"IDP")</f>
        <v>0</v>
      </c>
      <c r="AM22" s="34">
        <f>SUMIFS(CampList[Total],CampList[Township],$AK22,CampList[Status],"open",CampList[Total],"&gt;100",CampList[Total],"&lt;=1000",CampList[Affected Population],"IDP")</f>
        <v>1896</v>
      </c>
      <c r="AN22" s="34">
        <f>SUMIFS(CampList[Total],CampList[Township],$AK22,CampList[Status],"open",CampList[Total],"&gt;1000",CampList[Total],"&lt;=5000",CampList[Affected Population],"IDP")</f>
        <v>0</v>
      </c>
      <c r="AO22" s="34">
        <f>SUMIFS(CampList[Total],CampList[Township],$AK22,CampList[Status],"open",CampList[Total],"&gt;5000",CampList[Total],"&lt;=100000",CampList[Affected Population],"IDP")</f>
        <v>0</v>
      </c>
      <c r="AP22" s="18"/>
      <c r="AU22" s="33"/>
    </row>
    <row r="23" spans="1:47" x14ac:dyDescent="0.25">
      <c r="B23" s="273"/>
      <c r="C23" s="123" t="s">
        <v>180</v>
      </c>
      <c r="D23" s="124">
        <f>SUMIFS(CampList[HH],CampList[Township],$C23,CampList[Status],"open",CampList[Affected Population],"IDP")</f>
        <v>84</v>
      </c>
      <c r="E23" s="124">
        <f>SUMIFS(CampList[Total],CampList[Township],$C23,CampList[Status],"open",CampList[Affected Population],"IDP")</f>
        <v>420</v>
      </c>
      <c r="F23" s="120">
        <f>COUNTIFS(CampList[Township],$C23,CampList[Status],"open",CampList[Affected Population],"IDP")</f>
        <v>4</v>
      </c>
      <c r="G23" s="114"/>
      <c r="H23" s="39"/>
      <c r="I23" s="39"/>
      <c r="J23" s="39"/>
      <c r="K23" s="39"/>
      <c r="L23" s="39"/>
      <c r="M23" s="39"/>
      <c r="N23" s="39"/>
      <c r="O23" s="39"/>
      <c r="P23" s="39"/>
      <c r="Q23" s="39"/>
      <c r="R23" s="39"/>
      <c r="S23" s="39"/>
      <c r="T23" s="39"/>
      <c r="U23" s="271"/>
      <c r="AB23"/>
      <c r="AK23" s="20" t="s">
        <v>298</v>
      </c>
      <c r="AL23" s="34">
        <f>SUMIFS(CampList[Total],CampList[Township],$AK23,CampList[Status],"open",CampList[Total],"&lt;=100",CampList[Affected Population],"IDP")</f>
        <v>41</v>
      </c>
      <c r="AM23" s="34">
        <f>SUMIFS(CampList[Total],CampList[Township],$AK23,CampList[Status],"open",CampList[Total],"&gt;100",CampList[Total],"&lt;=1000",CampList[Affected Population],"IDP")</f>
        <v>520</v>
      </c>
      <c r="AN23" s="34">
        <f>SUMIFS(CampList[Total],CampList[Township],$AK23,CampList[Status],"open",CampList[Total],"&gt;1000",CampList[Total],"&lt;=5000",CampList[Affected Population],"IDP")</f>
        <v>0</v>
      </c>
      <c r="AO23" s="34">
        <f>SUMIFS(CampList[Total],CampList[Township],$AK23,CampList[Status],"open",CampList[Total],"&gt;5000",CampList[Total],"&lt;=100000",CampList[Affected Population],"IDP")</f>
        <v>0</v>
      </c>
      <c r="AP23" s="18"/>
      <c r="AU23" s="33"/>
    </row>
    <row r="24" spans="1:47" x14ac:dyDescent="0.25">
      <c r="B24" s="273"/>
      <c r="C24" s="123" t="s">
        <v>185</v>
      </c>
      <c r="D24" s="124">
        <f>SUMIFS(CampList[HH],CampList[Township],$C24,CampList[Status],"open",CampList[Affected Population],"IDP")</f>
        <v>4966</v>
      </c>
      <c r="E24" s="124">
        <f>SUMIFS(CampList[Total],CampList[Township],$C24,CampList[Status],"open",CampList[Affected Population],"IDP")</f>
        <v>24326</v>
      </c>
      <c r="F24" s="120">
        <f>COUNTIFS(CampList[Township],$C24,CampList[Status],"open",CampList[Affected Population],"IDP")</f>
        <v>22</v>
      </c>
      <c r="G24" s="114"/>
      <c r="H24" s="39"/>
      <c r="I24" s="39"/>
      <c r="J24" s="39"/>
      <c r="K24" s="39"/>
      <c r="L24" s="39"/>
      <c r="M24" s="39"/>
      <c r="N24" s="39"/>
      <c r="O24" s="39"/>
      <c r="P24" s="39"/>
      <c r="Q24" s="39"/>
      <c r="R24" s="39"/>
      <c r="S24" s="39"/>
      <c r="T24" s="39"/>
      <c r="U24" s="271"/>
      <c r="AB24"/>
      <c r="AK24" s="20" t="s">
        <v>300</v>
      </c>
      <c r="AL24" s="34">
        <f>SUMIFS(CampList[Total],CampList[Township],$AK24,CampList[Status],"open",CampList[Total],"&lt;=100",CampList[Affected Population],"IDP")</f>
        <v>120</v>
      </c>
      <c r="AM24" s="34">
        <f>SUMIFS(CampList[Total],CampList[Township],$AK24,CampList[Status],"open",CampList[Total],"&gt;100",CampList[Total],"&lt;=1000",CampList[Affected Population],"IDP")</f>
        <v>274</v>
      </c>
      <c r="AN24" s="34">
        <f>SUMIFS(CampList[Total],CampList[Township],$AK24,CampList[Status],"open",CampList[Total],"&gt;1000",CampList[Total],"&lt;=5000",CampList[Affected Population],"IDP")</f>
        <v>0</v>
      </c>
      <c r="AO24" s="34">
        <f>SUMIFS(CampList[Total],CampList[Township],$AK24,CampList[Status],"open",CampList[Total],"&gt;5000",CampList[Total],"&lt;=100000",CampList[Affected Population],"IDP")</f>
        <v>0</v>
      </c>
      <c r="AP24" s="18"/>
      <c r="AQ24" s="82"/>
      <c r="AR24" s="82"/>
      <c r="AU24" s="33"/>
    </row>
    <row r="25" spans="1:47" x14ac:dyDescent="0.25">
      <c r="B25" s="273"/>
      <c r="C25" s="123" t="s">
        <v>230</v>
      </c>
      <c r="D25" s="124">
        <f>SUMIFS(CampList[HH],CampList[Township],$C25,CampList[Status],"open",CampList[Affected Population],"IDP")</f>
        <v>296</v>
      </c>
      <c r="E25" s="124">
        <f>SUMIFS(CampList[Total],CampList[Township],$C25,CampList[Status],"open",CampList[Affected Population],"IDP")</f>
        <v>1211</v>
      </c>
      <c r="F25" s="120">
        <f>COUNTIFS(CampList[Township],$C25,CampList[Status],"open",CampList[Affected Population],"IDP")</f>
        <v>8</v>
      </c>
      <c r="G25" s="114"/>
      <c r="H25" s="39"/>
      <c r="I25" s="39"/>
      <c r="J25" s="39"/>
      <c r="K25" s="39"/>
      <c r="L25" s="39"/>
      <c r="M25" s="39"/>
      <c r="N25" s="39"/>
      <c r="O25" s="39"/>
      <c r="P25" s="39"/>
      <c r="Q25" s="39"/>
      <c r="R25" s="39"/>
      <c r="S25" s="39"/>
      <c r="T25" s="39"/>
      <c r="U25" s="271"/>
      <c r="AB25"/>
      <c r="AK25" s="20" t="s">
        <v>302</v>
      </c>
      <c r="AL25" s="34">
        <f>SUMIFS(CampList[Total],CampList[Township],$AK25,CampList[Status],"open",CampList[Total],"&lt;=100",CampList[Affected Population],"IDP")</f>
        <v>30</v>
      </c>
      <c r="AM25" s="34">
        <f>SUMIFS(CampList[Total],CampList[Township],$AK25,CampList[Status],"open",CampList[Total],"&gt;100",CampList[Total],"&lt;=1000",CampList[Affected Population],"IDP")</f>
        <v>501</v>
      </c>
      <c r="AN25" s="34">
        <f>SUMIFS(CampList[Total],CampList[Township],$AK25,CampList[Status],"open",CampList[Total],"&gt;1000",CampList[Total],"&lt;=5000",CampList[Affected Population],"IDP")</f>
        <v>1691</v>
      </c>
      <c r="AO25" s="34">
        <f>SUMIFS(CampList[Total],CampList[Township],$AK25,CampList[Status],"open",CampList[Total],"&gt;5000",CampList[Total],"&lt;=100000",CampList[Affected Population],"IDP")</f>
        <v>0</v>
      </c>
      <c r="AP25" s="18"/>
      <c r="AQ25" s="82"/>
      <c r="AR25" s="82"/>
      <c r="AU25" s="33"/>
    </row>
    <row r="26" spans="1:47" x14ac:dyDescent="0.25">
      <c r="B26" s="273"/>
      <c r="C26" s="123" t="s">
        <v>237</v>
      </c>
      <c r="D26" s="124">
        <f>SUMIFS(CampList[HH],CampList[Township],$C26,CampList[Status],"open",CampList[Affected Population],"IDP")</f>
        <v>1524</v>
      </c>
      <c r="E26" s="124">
        <f>SUMIFS(CampList[Total],CampList[Township],$C26,CampList[Status],"open",CampList[Affected Population],"IDP")</f>
        <v>7446</v>
      </c>
      <c r="F26" s="120">
        <f>COUNTIFS(CampList[Township],$C26,CampList[Status],"open",CampList[Affected Population],"IDP")</f>
        <v>24</v>
      </c>
      <c r="G26" s="114"/>
      <c r="H26" s="838"/>
      <c r="I26" s="839"/>
      <c r="J26" s="839"/>
      <c r="K26" s="839"/>
      <c r="L26" s="839"/>
      <c r="M26" s="840"/>
      <c r="N26" s="39"/>
      <c r="O26" s="39"/>
      <c r="P26" s="39"/>
      <c r="Q26" s="39"/>
      <c r="R26" s="39"/>
      <c r="S26" s="39"/>
      <c r="T26" s="39"/>
      <c r="U26" s="271"/>
      <c r="Y26"/>
      <c r="Z26"/>
      <c r="AB26"/>
      <c r="AK26" s="20" t="s">
        <v>813</v>
      </c>
      <c r="AL26" s="34">
        <f>SUMIFS(CampList[Total],CampList[Township],$AK26,CampList[Status],"open",CampList[Total],"&lt;=100",CampList[Affected Population],"IDP")</f>
        <v>32</v>
      </c>
      <c r="AM26" s="34">
        <f>SUMIFS(CampList[Total],CampList[Township],$AK26,CampList[Status],"open",CampList[Total],"&gt;100",CampList[Total],"&lt;=1000",CampList[Affected Population],"IDP")</f>
        <v>1200</v>
      </c>
      <c r="AN26" s="34">
        <f>SUMIFS(CampList[Total],CampList[Township],$AK26,CampList[Status],"open",CampList[Total],"&gt;1000",CampList[Total],"&lt;=5000",CampList[Affected Population],"IDP")</f>
        <v>0</v>
      </c>
      <c r="AO26" s="34">
        <f>SUMIFS(CampList[Total],CampList[Township],$AK26,CampList[Status],"open",CampList[Total],"&gt;5000",CampList[Total],"&lt;=100000",CampList[Affected Population],"IDP")</f>
        <v>0</v>
      </c>
      <c r="AP26" s="21">
        <f>AO28+AL28+AM28+AN28</f>
        <v>95922</v>
      </c>
    </row>
    <row r="27" spans="1:47" x14ac:dyDescent="0.25">
      <c r="B27" s="273"/>
      <c r="C27" s="123" t="s">
        <v>289</v>
      </c>
      <c r="D27" s="124">
        <f>SUMIFS(CampList[HH],CampList[Township],$C27,CampList[Status],"open",CampList[Affected Population],"IDP")</f>
        <v>382</v>
      </c>
      <c r="E27" s="124">
        <f>SUMIFS(CampList[Total],CampList[Township],$C27,CampList[Status],"open",CampList[Affected Population],"IDP")</f>
        <v>1896</v>
      </c>
      <c r="F27" s="120">
        <f>COUNTIFS(CampList[Township],$C27,CampList[Status],"open",CampList[Affected Population],"IDP")</f>
        <v>5</v>
      </c>
      <c r="G27" s="114"/>
      <c r="H27" s="83"/>
      <c r="I27" s="115" t="s">
        <v>1015</v>
      </c>
      <c r="J27" s="116" t="s">
        <v>1016</v>
      </c>
      <c r="K27" s="117" t="s">
        <v>591</v>
      </c>
      <c r="L27" s="118" t="s">
        <v>590</v>
      </c>
      <c r="M27" s="127" t="s">
        <v>599</v>
      </c>
      <c r="N27" s="251"/>
      <c r="O27" s="1"/>
      <c r="P27" s="1"/>
      <c r="Q27" s="1"/>
      <c r="R27" s="1"/>
      <c r="S27" s="1"/>
      <c r="T27" s="1"/>
      <c r="U27" s="271"/>
      <c r="Y27"/>
      <c r="Z27"/>
      <c r="AB27"/>
      <c r="AK27" s="20" t="s">
        <v>310</v>
      </c>
      <c r="AL27" s="34">
        <f>SUMIFS(CampList[Total],CampList[Township],$AK27,CampList[Status],"open",CampList[Total],"&lt;=100",CampList[Affected Population],"IDP")</f>
        <v>172</v>
      </c>
      <c r="AM27" s="34">
        <f>SUMIFS(CampList[Total],CampList[Township],$AK27,CampList[Status],"open",CampList[Total],"&gt;100",CampList[Total],"&lt;=1000",CampList[Affected Population],"IDP")</f>
        <v>6319</v>
      </c>
      <c r="AN27" s="34">
        <f>SUMIFS(CampList[Total],CampList[Township],$AK27,CampList[Status],"open",CampList[Total],"&gt;1000",CampList[Total],"&lt;=5000",CampList[Affected Population],"IDP")</f>
        <v>11140</v>
      </c>
      <c r="AO27" s="34">
        <f>SUMIFS(CampList[Total],CampList[Township],$AK27,CampList[Status],"open",CampList[Total],"&gt;5000",CampList[Total],"&lt;=100000",CampList[Affected Population],"IDP")</f>
        <v>6811</v>
      </c>
      <c r="AP27" s="24"/>
    </row>
    <row r="28" spans="1:47" x14ac:dyDescent="0.25">
      <c r="B28" s="273"/>
      <c r="C28" s="123" t="s">
        <v>298</v>
      </c>
      <c r="D28" s="124">
        <f>SUMIFS(CampList[HH],CampList[Township],$C28,CampList[Status],"open",CampList[Affected Population],"IDP")</f>
        <v>128</v>
      </c>
      <c r="E28" s="124">
        <f>SUMIFS(CampList[Total],CampList[Township],$C28,CampList[Status],"open",CampList[Affected Population],"IDP")</f>
        <v>561</v>
      </c>
      <c r="F28" s="120">
        <f>COUNTIFS(CampList[Township],$C28,CampList[Status],"open",CampList[Affected Population],"IDP")</f>
        <v>2</v>
      </c>
      <c r="G28" s="114"/>
      <c r="H28" s="83" t="s">
        <v>1010</v>
      </c>
      <c r="I28" s="84">
        <f>AL57</f>
        <v>41</v>
      </c>
      <c r="J28" s="84">
        <f t="shared" ref="J28:M28" si="0">AM57</f>
        <v>98</v>
      </c>
      <c r="K28" s="84">
        <f t="shared" si="0"/>
        <v>22</v>
      </c>
      <c r="L28" s="84">
        <f t="shared" si="0"/>
        <v>2</v>
      </c>
      <c r="M28" s="84">
        <f t="shared" si="0"/>
        <v>4</v>
      </c>
      <c r="N28" s="251"/>
      <c r="O28" s="1"/>
      <c r="P28" s="1"/>
      <c r="Q28" s="1"/>
      <c r="R28" s="1"/>
      <c r="S28" s="1"/>
      <c r="T28" s="1"/>
      <c r="U28" s="271"/>
      <c r="X28"/>
      <c r="Y28"/>
      <c r="Z28"/>
      <c r="AB28"/>
      <c r="AK28" s="26" t="s">
        <v>3</v>
      </c>
      <c r="AL28" s="53">
        <f>SUM(AL7:AL27)</f>
        <v>2208</v>
      </c>
      <c r="AM28" s="53">
        <f>SUM(AM7:AM27)</f>
        <v>37732</v>
      </c>
      <c r="AN28" s="53">
        <f>SUM(AN7:AN27)</f>
        <v>40353</v>
      </c>
      <c r="AO28" s="53">
        <f>SUM(AO7:AO27)</f>
        <v>15629</v>
      </c>
      <c r="AP28" s="19"/>
      <c r="AQ28" s="24"/>
    </row>
    <row r="29" spans="1:47" x14ac:dyDescent="0.25">
      <c r="B29" s="273"/>
      <c r="C29" s="123" t="s">
        <v>300</v>
      </c>
      <c r="D29" s="124">
        <f>SUMIFS(CampList[HH],CampList[Township],$C29,CampList[Status],"open",CampList[Affected Population],"IDP")</f>
        <v>83</v>
      </c>
      <c r="E29" s="124">
        <f>SUMIFS(CampList[Total],CampList[Township],$C29,CampList[Status],"open",CampList[Affected Population],"IDP")</f>
        <v>394</v>
      </c>
      <c r="F29" s="120">
        <f>COUNTIFS(CampList[Township],$C29,CampList[Status],"open",CampList[Affected Population],"IDP")</f>
        <v>3</v>
      </c>
      <c r="G29" s="114"/>
      <c r="H29" s="83" t="s">
        <v>443</v>
      </c>
      <c r="I29" s="84">
        <f>AL28</f>
        <v>2208</v>
      </c>
      <c r="J29" s="84">
        <f>AM28</f>
        <v>37732</v>
      </c>
      <c r="K29" s="84">
        <f>AN28</f>
        <v>40353</v>
      </c>
      <c r="L29" s="84">
        <f>AO28</f>
        <v>15629</v>
      </c>
      <c r="M29" s="84">
        <f>AP28</f>
        <v>0</v>
      </c>
      <c r="N29" s="251"/>
      <c r="O29" s="1"/>
      <c r="P29" s="1"/>
      <c r="Q29" s="1"/>
      <c r="R29" s="1"/>
      <c r="S29" s="1"/>
      <c r="T29" s="1"/>
      <c r="U29" s="271"/>
      <c r="X29"/>
      <c r="Y29"/>
      <c r="Z29"/>
      <c r="AB29"/>
      <c r="AK29" s="20" t="s">
        <v>445</v>
      </c>
      <c r="AL29" s="27">
        <f>AL28/$AP$26</f>
        <v>2.3018702695940453E-2</v>
      </c>
      <c r="AM29" s="27">
        <f>AM28/$AP$26</f>
        <v>0.39336127270073601</v>
      </c>
      <c r="AN29" s="27">
        <f>AN28/$AP$26</f>
        <v>0.42068555701507476</v>
      </c>
      <c r="AO29" s="27">
        <f>AO28/$AP$26</f>
        <v>0.16293446758824878</v>
      </c>
      <c r="AP29" s="23"/>
      <c r="AQ29" s="24"/>
    </row>
    <row r="30" spans="1:47" x14ac:dyDescent="0.25">
      <c r="B30" s="273"/>
      <c r="C30" s="123" t="s">
        <v>302</v>
      </c>
      <c r="D30" s="124">
        <f>SUMIFS(CampList[HH],CampList[Township],$C30,CampList[Status],"open",CampList[Affected Population],"IDP")</f>
        <v>507</v>
      </c>
      <c r="E30" s="124">
        <f>SUMIFS(CampList[Total],CampList[Township],$C30,CampList[Status],"open",CampList[Affected Population],"IDP")</f>
        <v>2222</v>
      </c>
      <c r="F30" s="120">
        <f>COUNTIFS(CampList[Township],$C30,CampList[Status],"open",CampList[Affected Population],"IDP")</f>
        <v>4</v>
      </c>
      <c r="G30" s="114"/>
      <c r="H30" s="238"/>
      <c r="I30" s="39"/>
      <c r="J30" s="39"/>
      <c r="K30" s="39"/>
      <c r="L30" s="39"/>
      <c r="M30" s="39"/>
      <c r="N30" s="251"/>
      <c r="O30" s="39"/>
      <c r="P30" s="39"/>
      <c r="Q30" s="39"/>
      <c r="R30" s="39"/>
      <c r="S30" s="39"/>
      <c r="T30" s="39"/>
      <c r="U30" s="271"/>
      <c r="X30"/>
      <c r="Y30"/>
      <c r="Z30"/>
      <c r="AB30"/>
      <c r="AO30" s="33"/>
      <c r="AP30" s="23"/>
      <c r="AQ30" s="24"/>
    </row>
    <row r="31" spans="1:47" ht="15" customHeight="1" thickBot="1" x14ac:dyDescent="0.3">
      <c r="B31" s="273"/>
      <c r="C31" s="123" t="s">
        <v>813</v>
      </c>
      <c r="D31" s="124">
        <f>SUMIFS(CampList[HH],CampList[Township],$C31,CampList[Status],"open",CampList[Affected Population],"IDP")</f>
        <v>166</v>
      </c>
      <c r="E31" s="124">
        <f>SUMIFS(CampList[Total],CampList[Township],$C31,CampList[Status],"open",CampList[Affected Population],"IDP")</f>
        <v>1232</v>
      </c>
      <c r="F31" s="120">
        <f>COUNTIFS(CampList[Township],$C31,CampList[Status],"open",CampList[Affected Population],"IDP")</f>
        <v>3</v>
      </c>
      <c r="G31" s="114"/>
      <c r="H31" s="266"/>
      <c r="I31" s="266"/>
      <c r="J31" s="266"/>
      <c r="K31" s="39"/>
      <c r="L31" s="39"/>
      <c r="M31" s="39"/>
      <c r="N31" s="39"/>
      <c r="O31" s="39"/>
      <c r="P31" s="39"/>
      <c r="Q31" s="39"/>
      <c r="R31" s="39"/>
      <c r="S31" s="39"/>
      <c r="T31" s="39"/>
      <c r="U31" s="271"/>
      <c r="X31"/>
      <c r="Y31"/>
      <c r="Z31"/>
      <c r="AB31"/>
      <c r="AK31" s="33"/>
      <c r="AL31" s="33"/>
      <c r="AM31" s="33"/>
      <c r="AN31" s="33"/>
      <c r="AO31" s="33"/>
      <c r="AP31" s="23"/>
      <c r="AQ31" s="24"/>
    </row>
    <row r="32" spans="1:47" s="82" customFormat="1" x14ac:dyDescent="0.25">
      <c r="A32" s="129"/>
      <c r="B32" s="273"/>
      <c r="C32" s="123" t="s">
        <v>310</v>
      </c>
      <c r="D32" s="124">
        <f>SUMIFS(CampList[HH],CampList[Township],$C32,CampList[Status],"open",CampList[Affected Population],"IDP")</f>
        <v>4801</v>
      </c>
      <c r="E32" s="124">
        <f>SUMIFS(CampList[Total],CampList[Township],$C32,CampList[Status],"open",CampList[Affected Population],"IDP")</f>
        <v>24442</v>
      </c>
      <c r="F32" s="120">
        <f>COUNTIFS(CampList[Township],$C32,CampList[Status],"open",CampList[Affected Population],"IDP")</f>
        <v>23</v>
      </c>
      <c r="G32" s="114"/>
      <c r="H32" s="239"/>
      <c r="I32" s="240" t="s">
        <v>1200</v>
      </c>
      <c r="J32" s="241" t="s">
        <v>1240</v>
      </c>
      <c r="K32" s="39"/>
      <c r="L32" s="39"/>
      <c r="M32" s="39"/>
      <c r="N32" s="39"/>
      <c r="O32" s="39"/>
      <c r="P32" s="39"/>
      <c r="Q32" s="39"/>
      <c r="R32" s="39"/>
      <c r="S32" s="39"/>
      <c r="T32" s="39"/>
      <c r="U32" s="271"/>
      <c r="X32"/>
      <c r="Y32"/>
      <c r="Z32"/>
      <c r="AB32"/>
      <c r="AK32" s="33"/>
      <c r="AL32" s="33"/>
      <c r="AM32" s="33"/>
      <c r="AN32" s="33"/>
      <c r="AO32" s="33"/>
      <c r="AP32" s="23"/>
      <c r="AQ32" s="24"/>
      <c r="AR32" s="129"/>
      <c r="AS32" s="129"/>
      <c r="AT32" s="129"/>
      <c r="AU32" s="129"/>
    </row>
    <row r="33" spans="1:47" x14ac:dyDescent="0.25">
      <c r="B33" s="273"/>
      <c r="C33" s="125" t="s">
        <v>3</v>
      </c>
      <c r="D33" s="126">
        <f>SUM(D11:D32)</f>
        <v>19506</v>
      </c>
      <c r="E33" s="126">
        <f>SUM(E11:E32)</f>
        <v>95922</v>
      </c>
      <c r="F33" s="81">
        <f>SUM(F11:F32)</f>
        <v>167</v>
      </c>
      <c r="G33" s="114"/>
      <c r="H33" s="242" t="s">
        <v>1234</v>
      </c>
      <c r="I33" s="243">
        <f ca="1">SUMIFS(CampList[Total],CampList[Status],"open",CampList[Affected Population],"IDP",CampList[Distance_Cat],1)</f>
        <v>39966</v>
      </c>
      <c r="J33" s="244">
        <f ca="1">COUNTIFS(CampList[Status],"open",CampList[Affected Population],"IDP",CampList[Distance_Cat],1)</f>
        <v>92</v>
      </c>
      <c r="K33" s="39"/>
      <c r="L33" s="39"/>
      <c r="M33" s="39"/>
      <c r="N33" s="39"/>
      <c r="O33" s="39"/>
      <c r="P33" s="39"/>
      <c r="Q33" s="39"/>
      <c r="R33" s="39"/>
      <c r="S33" s="39"/>
      <c r="T33" s="39"/>
      <c r="U33" s="271"/>
      <c r="Z33"/>
      <c r="AB33"/>
      <c r="AK33" s="33"/>
      <c r="AL33" s="33"/>
      <c r="AM33" s="33"/>
      <c r="AN33" s="33"/>
      <c r="AO33" s="33"/>
      <c r="AP33" s="26"/>
      <c r="AQ33" s="24"/>
      <c r="AR33" s="129"/>
      <c r="AS33" s="129"/>
      <c r="AT33" s="129"/>
      <c r="AU33" s="129"/>
    </row>
    <row r="34" spans="1:47" x14ac:dyDescent="0.25">
      <c r="B34" s="273"/>
      <c r="C34" s="251"/>
      <c r="D34" s="251"/>
      <c r="E34" s="251"/>
      <c r="F34" s="251"/>
      <c r="G34" s="1"/>
      <c r="H34" s="242" t="s">
        <v>1235</v>
      </c>
      <c r="I34" s="243">
        <f ca="1">SUMIFS(CampList[Total],CampList[Status],"open",CampList[Affected Population],"IDP",CampList[Distance_Cat],2)</f>
        <v>22741</v>
      </c>
      <c r="J34" s="244">
        <f ca="1">COUNTIFS(CampList[Status],"open",CampList[Affected Population],"IDP",CampList[Distance_Cat],2)</f>
        <v>22</v>
      </c>
      <c r="K34" s="39"/>
      <c r="L34" s="39"/>
      <c r="M34" s="39"/>
      <c r="N34" s="39"/>
      <c r="O34" s="39"/>
      <c r="P34" s="39"/>
      <c r="Q34" s="39"/>
      <c r="R34" s="39"/>
      <c r="S34" s="39"/>
      <c r="T34" s="39"/>
      <c r="U34" s="271"/>
      <c r="Z34"/>
      <c r="AB34"/>
      <c r="AJ34" s="33"/>
      <c r="AK34" s="33"/>
      <c r="AL34" s="12" t="s">
        <v>444</v>
      </c>
      <c r="AM34" s="12"/>
      <c r="AN34" s="12"/>
      <c r="AO34" s="33"/>
      <c r="AP34" s="26" t="s">
        <v>599</v>
      </c>
      <c r="AQ34" s="24">
        <f>SUM(AM34:AP34)</f>
        <v>0</v>
      </c>
      <c r="AR34" s="129"/>
      <c r="AS34" s="129"/>
      <c r="AT34" s="129"/>
      <c r="AU34" s="129"/>
    </row>
    <row r="35" spans="1:47" x14ac:dyDescent="0.25">
      <c r="B35" s="273"/>
      <c r="C35" s="251"/>
      <c r="D35" s="251"/>
      <c r="E35" s="251"/>
      <c r="F35" s="251"/>
      <c r="G35" s="1"/>
      <c r="H35" s="242" t="s">
        <v>1236</v>
      </c>
      <c r="I35" s="243">
        <f ca="1">SUMIFS(CampList[Total],CampList[Status],"open",CampList[Affected Population],"IDP",CampList[Distance_Cat],3)</f>
        <v>8285</v>
      </c>
      <c r="J35" s="244">
        <f ca="1">COUNTIFS(CampList[Status],"open",CampList[Affected Population],"IDP",CampList[Distance_Cat],3)</f>
        <v>13</v>
      </c>
      <c r="K35" s="39"/>
      <c r="L35" s="39"/>
      <c r="M35" s="39"/>
      <c r="N35" s="39"/>
      <c r="O35" s="39"/>
      <c r="P35" s="39"/>
      <c r="Q35" s="39"/>
      <c r="R35" s="39"/>
      <c r="S35" s="39"/>
      <c r="T35" s="39"/>
      <c r="U35" s="271"/>
      <c r="Z35"/>
      <c r="AB35"/>
      <c r="AJ35" s="33"/>
      <c r="AK35" s="20" t="s">
        <v>0</v>
      </c>
      <c r="AL35" s="70" t="s">
        <v>1015</v>
      </c>
      <c r="AM35" s="26" t="s">
        <v>1016</v>
      </c>
      <c r="AN35" s="26" t="s">
        <v>589</v>
      </c>
      <c r="AO35" s="26" t="s">
        <v>590</v>
      </c>
      <c r="AP35" s="26" t="s">
        <v>599</v>
      </c>
      <c r="AQ35" s="24">
        <f>SUM(AL35:AP35)</f>
        <v>0</v>
      </c>
      <c r="AR35" s="129"/>
      <c r="AS35" s="129"/>
      <c r="AT35" s="129"/>
      <c r="AU35" s="129"/>
    </row>
    <row r="36" spans="1:47" s="82" customFormat="1" x14ac:dyDescent="0.25">
      <c r="A36" s="129"/>
      <c r="B36" s="273"/>
      <c r="C36" s="83"/>
      <c r="D36" s="83" t="s">
        <v>513</v>
      </c>
      <c r="E36" s="83" t="s">
        <v>515</v>
      </c>
      <c r="F36" s="83" t="s">
        <v>3</v>
      </c>
      <c r="G36" s="1"/>
      <c r="H36" s="242" t="s">
        <v>1237</v>
      </c>
      <c r="I36" s="243">
        <f ca="1">SUMIFS(CampList[Total],CampList[Status],"open",CampList[Affected Population],"IDP",CampList[Distance_Cat],4)</f>
        <v>8956</v>
      </c>
      <c r="J36" s="244">
        <f ca="1">COUNTIFS(CampList[Status],"open",CampList[Affected Population],"IDP",CampList[Distance_Cat],4)</f>
        <v>13</v>
      </c>
      <c r="K36" s="39"/>
      <c r="L36" s="39"/>
      <c r="M36" s="39"/>
      <c r="N36" s="39"/>
      <c r="O36" s="39"/>
      <c r="P36" s="39"/>
      <c r="Q36" s="39"/>
      <c r="R36" s="39"/>
      <c r="S36" s="39"/>
      <c r="T36" s="39"/>
      <c r="U36" s="271"/>
      <c r="Z36"/>
      <c r="AB36"/>
      <c r="AK36" s="20" t="s">
        <v>5</v>
      </c>
      <c r="AL36" s="34">
        <f>COUNTIFS(CampList[Township],$AK36,CampList[Status],"open",CampList[Total],"&lt;=100",CampList[Affected Population],"IDP")</f>
        <v>3</v>
      </c>
      <c r="AM36" s="34">
        <f>COUNTIFS(CampList[Township],$AK36,CampList[Status],"open",CampList[Total],"&gt;100",CampList[Total],"&lt;=1000",CampList[Affected Population],"IDP")</f>
        <v>6</v>
      </c>
      <c r="AN36" s="34">
        <f>COUNTIFS(CampList[Township],$AK36,CampList[Status],"open",CampList[Total],"&gt;1000",CampList[Total],"&lt;=5000",CampList[Affected Population],"IDP")</f>
        <v>2</v>
      </c>
      <c r="AO36" s="34">
        <f>COUNTIFS(CampList[Township],$AK36,CampList[Status],"open",CampList[Total],"&gt;5000",CampList[Total],"&lt;=100000",CampList[Affected Population],"IDP")</f>
        <v>0</v>
      </c>
      <c r="AP36" s="26">
        <f>COUNTIFS(CampList[Township],$AK37,CampList[Status],"open",CampList[Total],"",CampList[Affected Population],"IDP")</f>
        <v>1</v>
      </c>
      <c r="AQ36" s="215">
        <f>SUM(AL36:AP36)</f>
        <v>12</v>
      </c>
      <c r="AR36" s="129"/>
      <c r="AS36" s="129"/>
      <c r="AT36" s="129"/>
      <c r="AU36" s="129"/>
    </row>
    <row r="37" spans="1:47" x14ac:dyDescent="0.25">
      <c r="B37" s="273"/>
      <c r="C37" s="83" t="s">
        <v>556</v>
      </c>
      <c r="D37" s="113">
        <f t="shared" ref="D37:E39" si="1">GETPIVOTDATA("Total",Stat01,"Accessibility",D$36,"Type of Accomodation",$C37)</f>
        <v>48431</v>
      </c>
      <c r="E37" s="113">
        <f t="shared" si="1"/>
        <v>38543</v>
      </c>
      <c r="F37" s="113">
        <f>SUM(D37:E37)</f>
        <v>86974</v>
      </c>
      <c r="G37" s="1"/>
      <c r="H37" s="242" t="s">
        <v>1238</v>
      </c>
      <c r="I37" s="243">
        <f ca="1">SUMIFS(CampList[Total],CampList[Status],"open",CampList[Affected Population],"IDP",CampList[Distance_Cat],5)</f>
        <v>4441</v>
      </c>
      <c r="J37" s="244">
        <f ca="1">COUNTIFS(CampList[Status],"open",CampList[Affected Population],"IDP",CampList[Distance_Cat],5)</f>
        <v>7</v>
      </c>
      <c r="K37" s="39"/>
      <c r="L37" s="39"/>
      <c r="M37" s="39"/>
      <c r="N37" s="39"/>
      <c r="O37" s="39"/>
      <c r="P37" s="39"/>
      <c r="Q37" s="39"/>
      <c r="R37" s="39"/>
      <c r="S37" s="39"/>
      <c r="T37" s="39"/>
      <c r="U37" s="271"/>
      <c r="Z37"/>
      <c r="AB37"/>
      <c r="AJ37" s="33"/>
      <c r="AK37" s="20" t="s">
        <v>27</v>
      </c>
      <c r="AL37" s="34">
        <f>COUNTIFS(CampList[Township],$AK37,CampList[Status],"open",CampList[Total],"&lt;=100",CampList[Affected Population],"IDP")</f>
        <v>0</v>
      </c>
      <c r="AM37" s="34">
        <f>COUNTIFS(CampList[Township],$AK37,CampList[Status],"open",CampList[Total],"&gt;100",CampList[Total],"&lt;=1000",CampList[Affected Population],"IDP")</f>
        <v>5</v>
      </c>
      <c r="AN37" s="34">
        <f>COUNTIFS(CampList[Township],$AK37,CampList[Status],"open",CampList[Total],"&gt;1000",CampList[Total],"&lt;=5000",CampList[Affected Population],"IDP")</f>
        <v>0</v>
      </c>
      <c r="AO37" s="34">
        <f>COUNTIFS(CampList[Township],$AK37,CampList[Status],"open",CampList[Total],"&gt;5000",CampList[Total],"&lt;=100000",CampList[Affected Population],"IDP")</f>
        <v>0</v>
      </c>
      <c r="AP37" s="26">
        <f>COUNTIFS(CampList[Township],$AK38,CampList[Status],"open",CampList[Total],"",CampList[Affected Population],"IDP")</f>
        <v>0</v>
      </c>
      <c r="AQ37" s="215">
        <f t="shared" ref="AQ37:AQ56" si="2">SUM(AL37:AP37)</f>
        <v>5</v>
      </c>
      <c r="AR37" s="129"/>
      <c r="AS37" s="129"/>
      <c r="AT37" s="129"/>
      <c r="AU37" s="129"/>
    </row>
    <row r="38" spans="1:47" s="129" customFormat="1" x14ac:dyDescent="0.25">
      <c r="B38" s="273"/>
      <c r="C38" s="83" t="s">
        <v>12</v>
      </c>
      <c r="D38" s="113">
        <f t="shared" si="1"/>
        <v>4989</v>
      </c>
      <c r="E38" s="113">
        <f t="shared" si="1"/>
        <v>2773</v>
      </c>
      <c r="F38" s="113">
        <f>SUM(D38:E38)</f>
        <v>7762</v>
      </c>
      <c r="G38" s="1"/>
      <c r="H38" s="242" t="s">
        <v>1239</v>
      </c>
      <c r="I38" s="243">
        <f ca="1">SUMIFS(CampList[Total],CampList[Status],"open",CampList[Affected Population],"IDP",CampList[Distance_Cat],6)</f>
        <v>2644</v>
      </c>
      <c r="J38" s="244">
        <f ca="1">COUNTIFS(CampList[Status],"open",CampList[Affected Population],"IDP",CampList[Distance_Cat],6)</f>
        <v>2</v>
      </c>
      <c r="K38" s="39"/>
      <c r="L38" s="39"/>
      <c r="M38" s="39"/>
      <c r="N38" s="39"/>
      <c r="O38" s="39"/>
      <c r="P38" s="39"/>
      <c r="Q38" s="39"/>
      <c r="R38" s="39"/>
      <c r="S38" s="39"/>
      <c r="T38" s="39"/>
      <c r="U38" s="271"/>
      <c r="Z38"/>
      <c r="AB38"/>
      <c r="AK38" s="20" t="s">
        <v>529</v>
      </c>
      <c r="AL38" s="34">
        <f>COUNTIFS(CampList[Township],$AK38,CampList[Status],"open",CampList[Total],"&lt;=100",CampList[Affected Population],"IDP")</f>
        <v>10</v>
      </c>
      <c r="AM38" s="34">
        <f>COUNTIFS(CampList[Township],$AK38,CampList[Status],"open",CampList[Total],"&gt;100",CampList[Total],"&lt;=1000",CampList[Affected Population],"IDP")</f>
        <v>10</v>
      </c>
      <c r="AN38" s="34">
        <f>COUNTIFS(CampList[Township],$AK38,CampList[Status],"open",CampList[Total],"&gt;1000",CampList[Total],"&lt;=5000",CampList[Affected Population],"IDP")</f>
        <v>0</v>
      </c>
      <c r="AO38" s="34">
        <f>COUNTIFS(CampList[Township],$AK38,CampList[Status],"open",CampList[Total],"&gt;5000",CampList[Total],"&lt;=100000",CampList[Affected Population],"IDP")</f>
        <v>0</v>
      </c>
      <c r="AP38" s="26">
        <f>COUNTIFS(CampList[Township],$AK39,CampList[Status],"open",CampList[Total],"",CampList[Affected Population],"IDP")</f>
        <v>0</v>
      </c>
      <c r="AQ38" s="215">
        <f t="shared" si="2"/>
        <v>20</v>
      </c>
    </row>
    <row r="39" spans="1:47" s="82" customFormat="1" x14ac:dyDescent="0.25">
      <c r="A39" s="129"/>
      <c r="B39" s="273"/>
      <c r="C39" s="83" t="s">
        <v>993</v>
      </c>
      <c r="D39" s="113">
        <f t="shared" si="1"/>
        <v>139</v>
      </c>
      <c r="E39" s="113">
        <f t="shared" si="1"/>
        <v>1047</v>
      </c>
      <c r="F39" s="113">
        <f>SUM(D39:E39)</f>
        <v>1186</v>
      </c>
      <c r="G39" s="1"/>
      <c r="H39" s="242" t="s">
        <v>1263</v>
      </c>
      <c r="I39" s="243">
        <f ca="1">SUMIFS(CampList[Total],CampList[Status],"open",CampList[Affected Population],"IDP",CampList[Distance_Cat],"&gt;6")</f>
        <v>3305</v>
      </c>
      <c r="J39" s="244">
        <f ca="1">COUNTIFS(CampList[Status],"open",CampList[Affected Population],"IDP",CampList[Distance_Cat],"&gt;6")</f>
        <v>2</v>
      </c>
      <c r="K39" s="39"/>
      <c r="L39" s="39"/>
      <c r="M39" s="39"/>
      <c r="N39" s="39"/>
      <c r="O39" s="39"/>
      <c r="P39" s="39"/>
      <c r="Q39" s="39"/>
      <c r="R39" s="39"/>
      <c r="S39" s="39"/>
      <c r="T39" s="39"/>
      <c r="U39" s="271"/>
      <c r="Z39"/>
      <c r="AB39"/>
      <c r="AK39" s="20" t="s">
        <v>784</v>
      </c>
      <c r="AL39" s="34">
        <f>COUNTIFS(CampList[Township],$AK39,CampList[Status],"open",CampList[Total],"&lt;=100",CampList[Affected Population],"IDP")</f>
        <v>0</v>
      </c>
      <c r="AM39" s="34">
        <f>COUNTIFS(CampList[Township],$AK39,CampList[Status],"open",CampList[Total],"&gt;100",CampList[Total],"&lt;=1000",CampList[Affected Population],"IDP")</f>
        <v>2</v>
      </c>
      <c r="AN39" s="34">
        <f>COUNTIFS(CampList[Township],$AK39,CampList[Status],"open",CampList[Total],"&gt;1000",CampList[Total],"&lt;=5000",CampList[Affected Population],"IDP")</f>
        <v>0</v>
      </c>
      <c r="AO39" s="34">
        <f>COUNTIFS(CampList[Township],$AK39,CampList[Status],"open",CampList[Total],"&gt;5000",CampList[Total],"&lt;=100000",CampList[Affected Population],"IDP")</f>
        <v>0</v>
      </c>
      <c r="AP39" s="26">
        <f>COUNTIFS(CampList[Township],$AK40,CampList[Status],"open",CampList[Total],"",CampList[Affected Population],"IDP")</f>
        <v>0</v>
      </c>
      <c r="AQ39" s="215">
        <f t="shared" si="2"/>
        <v>2</v>
      </c>
      <c r="AR39" s="129"/>
      <c r="AS39" s="129"/>
      <c r="AT39" s="129"/>
      <c r="AU39" s="129"/>
    </row>
    <row r="40" spans="1:47" s="129" customFormat="1" ht="15.75" customHeight="1" thickBot="1" x14ac:dyDescent="0.3">
      <c r="B40" s="273"/>
      <c r="C40" s="83" t="s">
        <v>3</v>
      </c>
      <c r="D40" s="113">
        <f t="shared" ref="D40:E40" si="3">SUM(D37:D39)</f>
        <v>53559</v>
      </c>
      <c r="E40" s="113">
        <f t="shared" si="3"/>
        <v>42363</v>
      </c>
      <c r="F40" s="113">
        <f>SUM(F37:F39)</f>
        <v>95922</v>
      </c>
      <c r="G40" s="1"/>
      <c r="H40" s="245" t="s">
        <v>3</v>
      </c>
      <c r="I40" s="246">
        <f ca="1">SUM(I33:I39)</f>
        <v>90338</v>
      </c>
      <c r="J40" s="247">
        <f ca="1">SUM(J33:J39)</f>
        <v>151</v>
      </c>
      <c r="K40" s="39"/>
      <c r="L40" s="39"/>
      <c r="M40" s="39"/>
      <c r="N40" s="39"/>
      <c r="O40" s="39"/>
      <c r="P40" s="39"/>
      <c r="Q40" s="39"/>
      <c r="R40" s="39"/>
      <c r="S40" s="39"/>
      <c r="T40" s="39"/>
      <c r="U40" s="271"/>
      <c r="AK40" s="20" t="s">
        <v>363</v>
      </c>
      <c r="AL40" s="34">
        <f>COUNTIFS(CampList[Township],$AK40,CampList[Status],"open",CampList[Total],"&lt;=100",CampList[Affected Population],"IDP")</f>
        <v>0</v>
      </c>
      <c r="AM40" s="34">
        <f>COUNTIFS(CampList[Township],$AK40,CampList[Status],"open",CampList[Total],"&gt;100",CampList[Total],"&lt;=1000",CampList[Affected Population],"IDP")</f>
        <v>0</v>
      </c>
      <c r="AN40" s="34">
        <f>COUNTIFS(CampList[Township],$AK40,CampList[Status],"open",CampList[Total],"&gt;1000",CampList[Total],"&lt;=5000",CampList[Affected Population],"IDP")</f>
        <v>0</v>
      </c>
      <c r="AO40" s="34">
        <f>COUNTIFS(CampList[Township],$AK40,CampList[Status],"open",CampList[Total],"&gt;5000",CampList[Total],"&lt;=100000",CampList[Affected Population],"IDP")</f>
        <v>0</v>
      </c>
      <c r="AP40" s="26">
        <f>COUNTIFS(CampList[Township],$AK41,CampList[Status],"open",CampList[Total],"",CampList[Affected Population],"IDP")</f>
        <v>0</v>
      </c>
      <c r="AQ40" s="215">
        <f t="shared" si="2"/>
        <v>0</v>
      </c>
    </row>
    <row r="41" spans="1:47" x14ac:dyDescent="0.25">
      <c r="B41" s="273"/>
      <c r="C41" s="1"/>
      <c r="D41" s="1"/>
      <c r="E41" s="1"/>
      <c r="F41" s="1"/>
      <c r="G41" s="1"/>
      <c r="H41" s="39"/>
      <c r="I41" s="39"/>
      <c r="J41" s="39"/>
      <c r="K41" s="39"/>
      <c r="L41" s="39"/>
      <c r="M41" s="39"/>
      <c r="N41" s="39"/>
      <c r="O41" s="39"/>
      <c r="P41" s="39"/>
      <c r="Q41" s="39"/>
      <c r="R41" s="39"/>
      <c r="S41" s="39"/>
      <c r="T41" s="39"/>
      <c r="U41" s="271"/>
      <c r="Z41"/>
      <c r="AB41"/>
      <c r="AK41" s="20" t="s">
        <v>144</v>
      </c>
      <c r="AL41" s="34">
        <f>COUNTIFS(CampList[Township],$AK41,CampList[Status],"open",CampList[Total],"&lt;=100",CampList[Affected Population],"IDP")</f>
        <v>1</v>
      </c>
      <c r="AM41" s="34">
        <f>COUNTIFS(CampList[Township],$AK41,CampList[Status],"open",CampList[Total],"&gt;100",CampList[Total],"&lt;=1000",CampList[Affected Population],"IDP")</f>
        <v>0</v>
      </c>
      <c r="AN41" s="34">
        <f>COUNTIFS(CampList[Township],$AK41,CampList[Status],"open",CampList[Total],"&gt;1000",CampList[Total],"&lt;=5000",CampList[Affected Population],"IDP")</f>
        <v>0</v>
      </c>
      <c r="AO41" s="34">
        <f>COUNTIFS(CampList[Township],$AK41,CampList[Status],"open",CampList[Total],"&gt;5000",CampList[Total],"&lt;=100000",CampList[Affected Population],"IDP")</f>
        <v>0</v>
      </c>
      <c r="AP41" s="26">
        <f>COUNTIFS(CampList[Township],$AK42,CampList[Status],"open",CampList[Total],"",CampList[Affected Population],"IDP")</f>
        <v>0</v>
      </c>
      <c r="AQ41" s="215">
        <f t="shared" si="2"/>
        <v>1</v>
      </c>
      <c r="AR41" s="129"/>
      <c r="AS41" s="129"/>
      <c r="AT41" s="129"/>
      <c r="AU41" s="129"/>
    </row>
    <row r="42" spans="1:47" x14ac:dyDescent="0.25">
      <c r="B42" s="273"/>
      <c r="C42" s="1"/>
      <c r="D42" s="1"/>
      <c r="E42" s="1"/>
      <c r="F42" s="1"/>
      <c r="G42" s="1"/>
      <c r="H42" s="39"/>
      <c r="I42" s="39"/>
      <c r="J42" s="39"/>
      <c r="K42" s="39"/>
      <c r="L42" s="39"/>
      <c r="M42" s="39"/>
      <c r="N42" s="39"/>
      <c r="O42" s="39"/>
      <c r="P42" s="39"/>
      <c r="Q42" s="39"/>
      <c r="R42" s="39"/>
      <c r="S42" s="39"/>
      <c r="T42" s="39"/>
      <c r="U42" s="271"/>
      <c r="X42"/>
      <c r="Y42"/>
      <c r="Z42"/>
      <c r="AB42"/>
      <c r="AK42" s="20" t="s">
        <v>146</v>
      </c>
      <c r="AL42" s="34">
        <f>COUNTIFS(CampList[Township],$AK42,CampList[Status],"open",CampList[Total],"&lt;=100",CampList[Affected Population],"IDP")</f>
        <v>0</v>
      </c>
      <c r="AM42" s="34">
        <f>COUNTIFS(CampList[Township],$AK42,CampList[Status],"open",CampList[Total],"&gt;100",CampList[Total],"&lt;=1000",CampList[Affected Population],"IDP")</f>
        <v>9</v>
      </c>
      <c r="AN42" s="34">
        <f>COUNTIFS(CampList[Township],$AK42,CampList[Status],"open",CampList[Total],"&gt;1000",CampList[Total],"&lt;=5000",CampList[Affected Population],"IDP")</f>
        <v>0</v>
      </c>
      <c r="AO42" s="34">
        <f>COUNTIFS(CampList[Township],$AK42,CampList[Status],"open",CampList[Total],"&gt;5000",CampList[Total],"&lt;=100000",CampList[Affected Population],"IDP")</f>
        <v>0</v>
      </c>
      <c r="AP42" s="26">
        <f>COUNTIFS(CampList[Township],$AK43,CampList[Status],"open",CampList[Total],"",CampList[Affected Population],"IDP")</f>
        <v>0</v>
      </c>
      <c r="AQ42" s="215">
        <f t="shared" si="2"/>
        <v>9</v>
      </c>
      <c r="AR42" s="129"/>
      <c r="AS42" s="129"/>
      <c r="AT42" s="129"/>
      <c r="AU42" s="129"/>
    </row>
    <row r="43" spans="1:47" ht="19.5" customHeight="1" thickBot="1" x14ac:dyDescent="0.3">
      <c r="B43" s="274"/>
      <c r="C43" s="275"/>
      <c r="D43" s="275"/>
      <c r="E43" s="275"/>
      <c r="F43" s="275"/>
      <c r="G43" s="275"/>
      <c r="H43" s="275"/>
      <c r="I43" s="275"/>
      <c r="J43" s="275"/>
      <c r="K43" s="275"/>
      <c r="L43" s="275"/>
      <c r="M43" s="275"/>
      <c r="N43" s="275"/>
      <c r="O43" s="275"/>
      <c r="P43" s="275"/>
      <c r="Q43" s="275"/>
      <c r="R43" s="275"/>
      <c r="S43" s="269"/>
      <c r="T43" s="269"/>
      <c r="U43" s="272"/>
      <c r="X43"/>
      <c r="Y43"/>
      <c r="Z43"/>
      <c r="AB43"/>
      <c r="AK43" s="20" t="s">
        <v>899</v>
      </c>
      <c r="AL43" s="34">
        <f>COUNTIFS(CampList[Township],$AK43,CampList[Status],"open",CampList[Total],"&lt;=100",CampList[Affected Population],"IDP")</f>
        <v>0</v>
      </c>
      <c r="AM43" s="34">
        <f>COUNTIFS(CampList[Township],$AK43,CampList[Status],"open",CampList[Total],"&gt;100",CampList[Total],"&lt;=1000",CampList[Affected Population],"IDP")</f>
        <v>0</v>
      </c>
      <c r="AN43" s="34">
        <f>COUNTIFS(CampList[Township],$AK43,CampList[Status],"open",CampList[Total],"&gt;1000",CampList[Total],"&lt;=5000",CampList[Affected Population],"IDP")</f>
        <v>0</v>
      </c>
      <c r="AO43" s="34">
        <f>COUNTIFS(CampList[Township],$AK43,CampList[Status],"open",CampList[Total],"&gt;5000",CampList[Total],"&lt;=100000",CampList[Affected Population],"IDP")</f>
        <v>0</v>
      </c>
      <c r="AP43" s="26">
        <f>COUNTIFS(CampList[Township],$AK44,CampList[Status],"open",CampList[Total],"",CampList[Affected Population],"IDP")</f>
        <v>0</v>
      </c>
      <c r="AQ43" s="215">
        <f t="shared" si="2"/>
        <v>0</v>
      </c>
      <c r="AR43" s="129"/>
      <c r="AS43" s="129"/>
      <c r="AT43" s="129"/>
      <c r="AU43" s="129"/>
    </row>
    <row r="44" spans="1:47" x14ac:dyDescent="0.25">
      <c r="X44"/>
      <c r="Y44"/>
      <c r="Z44"/>
      <c r="AB44"/>
      <c r="AK44" s="20" t="s">
        <v>151</v>
      </c>
      <c r="AL44" s="34">
        <f>COUNTIFS(CampList[Township],$AK44,CampList[Status],"open",CampList[Total],"&lt;=100",CampList[Affected Population],"IDP")</f>
        <v>0</v>
      </c>
      <c r="AM44" s="34">
        <f>COUNTIFS(CampList[Township],$AK44,CampList[Status],"open",CampList[Total],"&gt;100",CampList[Total],"&lt;=1000",CampList[Affected Population],"IDP")</f>
        <v>6</v>
      </c>
      <c r="AN44" s="34">
        <f>COUNTIFS(CampList[Township],$AK44,CampList[Status],"open",CampList[Total],"&gt;1000",CampList[Total],"&lt;=5000",CampList[Affected Population],"IDP")</f>
        <v>6</v>
      </c>
      <c r="AO44" s="34">
        <f>COUNTIFS(CampList[Township],$AK44,CampList[Status],"open",CampList[Total],"&gt;5000",CampList[Total],"&lt;=100000",CampList[Affected Population],"IDP")</f>
        <v>0</v>
      </c>
      <c r="AP44" s="26">
        <f>COUNTIFS(CampList[Township],$AK45,CampList[Status],"open",CampList[Total],"",CampList[Affected Population],"IDP")</f>
        <v>0</v>
      </c>
      <c r="AQ44" s="215">
        <f t="shared" si="2"/>
        <v>12</v>
      </c>
      <c r="AR44" s="129"/>
      <c r="AS44" s="129"/>
      <c r="AT44" s="129"/>
      <c r="AU44" s="129"/>
    </row>
    <row r="45" spans="1:47" x14ac:dyDescent="0.25">
      <c r="AB45"/>
      <c r="AK45" s="20" t="s">
        <v>166</v>
      </c>
      <c r="AL45" s="34">
        <f>COUNTIFS(CampList[Township],$AK45,CampList[Status],"open",CampList[Total],"&lt;=100",CampList[Affected Population],"IDP")</f>
        <v>0</v>
      </c>
      <c r="AM45" s="34">
        <f>COUNTIFS(CampList[Township],$AK45,CampList[Status],"open",CampList[Total],"&gt;100",CampList[Total],"&lt;=1000",CampList[Affected Population],"IDP")</f>
        <v>2</v>
      </c>
      <c r="AN45" s="34">
        <f>COUNTIFS(CampList[Township],$AK45,CampList[Status],"open",CampList[Total],"&gt;1000",CampList[Total],"&lt;=5000",CampList[Affected Population],"IDP")</f>
        <v>0</v>
      </c>
      <c r="AO45" s="34">
        <f>COUNTIFS(CampList[Township],$AK45,CampList[Status],"open",CampList[Total],"&gt;5000",CampList[Total],"&lt;=100000",CampList[Affected Population],"IDP")</f>
        <v>0</v>
      </c>
      <c r="AP45" s="26">
        <f>COUNTIFS(CampList[Township],$AK46,CampList[Status],"open",CampList[Total],"",CampList[Affected Population],"IDP")</f>
        <v>0</v>
      </c>
      <c r="AQ45" s="215">
        <f t="shared" si="2"/>
        <v>2</v>
      </c>
      <c r="AR45" s="129"/>
      <c r="AS45" s="129"/>
      <c r="AT45" s="129"/>
      <c r="AU45" s="129"/>
    </row>
    <row r="46" spans="1:47" x14ac:dyDescent="0.25">
      <c r="AB46"/>
      <c r="AK46" s="20" t="s">
        <v>173</v>
      </c>
      <c r="AL46" s="34">
        <f>COUNTIFS(CampList[Township],$AK46,CampList[Status],"open",CampList[Total],"&lt;=100",CampList[Affected Population],"IDP")</f>
        <v>5</v>
      </c>
      <c r="AM46" s="34">
        <f>COUNTIFS(CampList[Township],$AK46,CampList[Status],"open",CampList[Total],"&gt;100",CampList[Total],"&lt;=1000",CampList[Affected Population],"IDP")</f>
        <v>1</v>
      </c>
      <c r="AN46" s="34">
        <f>COUNTIFS(CampList[Township],$AK46,CampList[Status],"open",CampList[Total],"&gt;1000",CampList[Total],"&lt;=5000",CampList[Affected Population],"IDP")</f>
        <v>0</v>
      </c>
      <c r="AO46" s="34">
        <f>COUNTIFS(CampList[Township],$AK46,CampList[Status],"open",CampList[Total],"&gt;5000",CampList[Total],"&lt;=100000",CampList[Affected Population],"IDP")</f>
        <v>0</v>
      </c>
      <c r="AP46" s="26">
        <f>COUNTIFS(CampList[Township],$AK47,CampList[Status],"open",CampList[Total],"",CampList[Affected Population],"IDP")</f>
        <v>0</v>
      </c>
      <c r="AQ46" s="215">
        <f t="shared" si="2"/>
        <v>6</v>
      </c>
      <c r="AR46" s="129"/>
      <c r="AS46" s="129"/>
      <c r="AT46" s="129"/>
      <c r="AU46" s="129"/>
    </row>
    <row r="47" spans="1:47" x14ac:dyDescent="0.25">
      <c r="AB47"/>
      <c r="AK47" s="20" t="s">
        <v>180</v>
      </c>
      <c r="AL47" s="34">
        <f>COUNTIFS(CampList[Township],$AK47,CampList[Status],"open",CampList[Total],"&lt;=100",CampList[Affected Population],"IDP")</f>
        <v>2</v>
      </c>
      <c r="AM47" s="34">
        <f>COUNTIFS(CampList[Township],$AK47,CampList[Status],"open",CampList[Total],"&gt;100",CampList[Total],"&lt;=1000",CampList[Affected Population],"IDP")</f>
        <v>2</v>
      </c>
      <c r="AN47" s="34">
        <f>COUNTIFS(CampList[Township],$AK47,CampList[Status],"open",CampList[Total],"&gt;1000",CampList[Total],"&lt;=5000",CampList[Affected Population],"IDP")</f>
        <v>0</v>
      </c>
      <c r="AO47" s="34">
        <f>COUNTIFS(CampList[Township],$AK47,CampList[Status],"open",CampList[Total],"&gt;5000",CampList[Total],"&lt;=100000",CampList[Affected Population],"IDP")</f>
        <v>0</v>
      </c>
      <c r="AP47" s="26">
        <f>COUNTIFS(CampList[Township],$AK48,CampList[Status],"open",CampList[Total],"",CampList[Affected Population],"IDP")</f>
        <v>1</v>
      </c>
      <c r="AQ47" s="215">
        <f t="shared" si="2"/>
        <v>5</v>
      </c>
      <c r="AR47" s="129"/>
      <c r="AS47" s="129"/>
      <c r="AT47" s="129"/>
      <c r="AU47" s="129"/>
    </row>
    <row r="48" spans="1:47" x14ac:dyDescent="0.25">
      <c r="AB48"/>
      <c r="AK48" s="20" t="s">
        <v>185</v>
      </c>
      <c r="AL48" s="34">
        <f>COUNTIFS(CampList[Township],$AK48,CampList[Status],"open",CampList[Total],"&lt;=100",CampList[Affected Population],"IDP")</f>
        <v>6</v>
      </c>
      <c r="AM48" s="34">
        <f>COUNTIFS(CampList[Township],$AK48,CampList[Status],"open",CampList[Total],"&gt;100",CampList[Total],"&lt;=1000",CampList[Affected Population],"IDP")</f>
        <v>8</v>
      </c>
      <c r="AN48" s="34">
        <f>COUNTIFS(CampList[Township],$AK48,CampList[Status],"open",CampList[Total],"&gt;1000",CampList[Total],"&lt;=5000",CampList[Affected Population],"IDP")</f>
        <v>6</v>
      </c>
      <c r="AO48" s="34">
        <f>COUNTIFS(CampList[Township],$AK48,CampList[Status],"open",CampList[Total],"&gt;5000",CampList[Total],"&lt;=100000",CampList[Affected Population],"IDP")</f>
        <v>1</v>
      </c>
      <c r="AP48" s="26">
        <f>COUNTIFS(CampList[Township],$AK49,CampList[Status],"open",CampList[Total],"",CampList[Affected Population],"IDP")</f>
        <v>2</v>
      </c>
      <c r="AQ48" s="215">
        <f t="shared" si="2"/>
        <v>23</v>
      </c>
      <c r="AR48" s="129"/>
      <c r="AS48" s="129"/>
      <c r="AT48" s="129"/>
      <c r="AU48" s="129"/>
    </row>
    <row r="49" spans="9:47" x14ac:dyDescent="0.25">
      <c r="AB49"/>
      <c r="AK49" s="20" t="s">
        <v>230</v>
      </c>
      <c r="AL49" s="34">
        <f>COUNTIFS(CampList[Township],$AK49,CampList[Status],"open",CampList[Total],"&lt;=100",CampList[Affected Population],"IDP")</f>
        <v>2</v>
      </c>
      <c r="AM49" s="34">
        <f>COUNTIFS(CampList[Township],$AK49,CampList[Status],"open",CampList[Total],"&gt;100",CampList[Total],"&lt;=1000",CampList[Affected Population],"IDP")</f>
        <v>4</v>
      </c>
      <c r="AN49" s="34">
        <f>COUNTIFS(CampList[Township],$AK49,CampList[Status],"open",CampList[Total],"&gt;1000",CampList[Total],"&lt;=5000",CampList[Affected Population],"IDP")</f>
        <v>0</v>
      </c>
      <c r="AO49" s="34">
        <f>COUNTIFS(CampList[Township],$AK49,CampList[Status],"open",CampList[Total],"&gt;5000",CampList[Total],"&lt;=100000",CampList[Affected Population],"IDP")</f>
        <v>0</v>
      </c>
      <c r="AP49" s="26">
        <f>COUNTIFS(CampList[Township],$AK50,CampList[Status],"open",CampList[Total],"",CampList[Affected Population],"IDP")</f>
        <v>0</v>
      </c>
      <c r="AQ49" s="215">
        <f t="shared" si="2"/>
        <v>6</v>
      </c>
      <c r="AR49" s="129"/>
      <c r="AS49" s="129"/>
      <c r="AT49" s="129"/>
      <c r="AU49" s="129"/>
    </row>
    <row r="50" spans="9:47" x14ac:dyDescent="0.25">
      <c r="AB50"/>
      <c r="AK50" s="20" t="s">
        <v>237</v>
      </c>
      <c r="AL50" s="34">
        <f>COUNTIFS(CampList[Township],$AK50,CampList[Status],"open",CampList[Total],"&lt;=100",CampList[Affected Population],"IDP")</f>
        <v>5</v>
      </c>
      <c r="AM50" s="34">
        <f>COUNTIFS(CampList[Township],$AK50,CampList[Status],"open",CampList[Total],"&gt;100",CampList[Total],"&lt;=1000",CampList[Affected Population],"IDP")</f>
        <v>18</v>
      </c>
      <c r="AN50" s="34">
        <f>COUNTIFS(CampList[Township],$AK50,CampList[Status],"open",CampList[Total],"&gt;1000",CampList[Total],"&lt;=5000",CampList[Affected Population],"IDP")</f>
        <v>1</v>
      </c>
      <c r="AO50" s="34">
        <f>COUNTIFS(CampList[Township],$AK50,CampList[Status],"open",CampList[Total],"&gt;5000",CampList[Total],"&lt;=100000",CampList[Affected Population],"IDP")</f>
        <v>0</v>
      </c>
      <c r="AP50" s="26">
        <f>COUNTIFS(CampList[Township],$AK51,CampList[Status],"open",CampList[Total],"",CampList[Affected Population],"IDP")</f>
        <v>0</v>
      </c>
      <c r="AQ50" s="215">
        <f t="shared" si="2"/>
        <v>24</v>
      </c>
      <c r="AR50" s="129"/>
      <c r="AS50" s="129"/>
      <c r="AT50" s="129"/>
      <c r="AU50" s="129"/>
    </row>
    <row r="51" spans="9:47" x14ac:dyDescent="0.25">
      <c r="AB51"/>
      <c r="AK51" s="20" t="s">
        <v>289</v>
      </c>
      <c r="AL51" s="34">
        <f>COUNTIFS(CampList[Township],$AK51,CampList[Status],"open",CampList[Total],"&lt;=100",CampList[Affected Population],"IDP")</f>
        <v>0</v>
      </c>
      <c r="AM51" s="34">
        <f>COUNTIFS(CampList[Township],$AK51,CampList[Status],"open",CampList[Total],"&gt;100",CampList[Total],"&lt;=1000",CampList[Affected Population],"IDP")</f>
        <v>5</v>
      </c>
      <c r="AN51" s="34">
        <f>COUNTIFS(CampList[Township],$AK51,CampList[Status],"open",CampList[Total],"&gt;1000",CampList[Total],"&lt;=5000",CampList[Affected Population],"IDP")</f>
        <v>0</v>
      </c>
      <c r="AO51" s="34">
        <f>COUNTIFS(CampList[Township],$AK51,CampList[Status],"open",CampList[Total],"&gt;5000",CampList[Total],"&lt;=100000",CampList[Affected Population],"IDP")</f>
        <v>0</v>
      </c>
      <c r="AP51" s="26">
        <f>COUNTIFS(CampList[Township],$AK52,CampList[Status],"open",CampList[Total],"",CampList[Affected Population],"IDP")</f>
        <v>0</v>
      </c>
      <c r="AQ51" s="215">
        <f t="shared" si="2"/>
        <v>5</v>
      </c>
      <c r="AR51" s="129"/>
      <c r="AS51" s="129"/>
      <c r="AT51" s="129"/>
      <c r="AU51" s="129"/>
    </row>
    <row r="52" spans="9:47" x14ac:dyDescent="0.25">
      <c r="AB52"/>
      <c r="AK52" s="20" t="s">
        <v>298</v>
      </c>
      <c r="AL52" s="34">
        <f>COUNTIFS(CampList[Township],$AK52,CampList[Status],"open",CampList[Total],"&lt;=100",CampList[Affected Population],"IDP")</f>
        <v>1</v>
      </c>
      <c r="AM52" s="34">
        <f>COUNTIFS(CampList[Township],$AK52,CampList[Status],"open",CampList[Total],"&gt;100",CampList[Total],"&lt;=1000",CampList[Affected Population],"IDP")</f>
        <v>1</v>
      </c>
      <c r="AN52" s="34">
        <f>COUNTIFS(CampList[Township],$AK52,CampList[Status],"open",CampList[Total],"&gt;1000",CampList[Total],"&lt;=5000",CampList[Affected Population],"IDP")</f>
        <v>0</v>
      </c>
      <c r="AO52" s="34">
        <f>COUNTIFS(CampList[Township],$AK52,CampList[Status],"open",CampList[Total],"&gt;5000",CampList[Total],"&lt;=100000",CampList[Affected Population],"IDP")</f>
        <v>0</v>
      </c>
      <c r="AP52" s="26">
        <f>COUNTIFS(CampList[Township],$AK53,CampList[Status],"open",CampList[Total],"",CampList[Affected Population],"IDP")</f>
        <v>0</v>
      </c>
      <c r="AQ52" s="215">
        <f t="shared" si="2"/>
        <v>2</v>
      </c>
      <c r="AR52" s="129"/>
      <c r="AS52" s="129"/>
      <c r="AT52" s="129"/>
      <c r="AU52" s="129"/>
    </row>
    <row r="53" spans="9:47" x14ac:dyDescent="0.25">
      <c r="I53" s="129"/>
      <c r="J53" s="129"/>
      <c r="K53" s="129"/>
      <c r="AB53"/>
      <c r="AK53" s="20" t="s">
        <v>300</v>
      </c>
      <c r="AL53" s="34">
        <f>COUNTIFS(CampList[Township],$AK53,CampList[Status],"open",CampList[Total],"&lt;=100",CampList[Affected Population],"IDP")</f>
        <v>2</v>
      </c>
      <c r="AM53" s="34">
        <f>COUNTIFS(CampList[Township],$AK53,CampList[Status],"open",CampList[Total],"&gt;100",CampList[Total],"&lt;=1000",CampList[Affected Population],"IDP")</f>
        <v>1</v>
      </c>
      <c r="AN53" s="34">
        <f>COUNTIFS(CampList[Township],$AK53,CampList[Status],"open",CampList[Total],"&gt;1000",CampList[Total],"&lt;=5000",CampList[Affected Population],"IDP")</f>
        <v>0</v>
      </c>
      <c r="AO53" s="34">
        <f>COUNTIFS(CampList[Township],$AK53,CampList[Status],"open",CampList[Total],"&gt;5000",CampList[Total],"&lt;=100000",CampList[Affected Population],"IDP")</f>
        <v>0</v>
      </c>
      <c r="AP53" s="26">
        <f>COUNTIFS(CampList[Township],$AK54,CampList[Status],"open",CampList[Total],"",CampList[Affected Population],"IDP")</f>
        <v>0</v>
      </c>
      <c r="AQ53" s="215">
        <f t="shared" si="2"/>
        <v>3</v>
      </c>
      <c r="AR53" s="129"/>
      <c r="AS53" s="129"/>
      <c r="AT53" s="129"/>
      <c r="AU53" s="129"/>
    </row>
    <row r="54" spans="9:47" x14ac:dyDescent="0.25">
      <c r="I54" s="129"/>
      <c r="J54" s="129"/>
      <c r="K54" s="129"/>
      <c r="AB54"/>
      <c r="AK54" s="20" t="s">
        <v>302</v>
      </c>
      <c r="AL54" s="34">
        <f>COUNTIFS(CampList[Township],$AK54,CampList[Status],"open",CampList[Total],"&lt;=100",CampList[Affected Population],"IDP")</f>
        <v>1</v>
      </c>
      <c r="AM54" s="34">
        <f>COUNTIFS(CampList[Township],$AK54,CampList[Status],"open",CampList[Total],"&gt;100",CampList[Total],"&lt;=1000",CampList[Affected Population],"IDP")</f>
        <v>2</v>
      </c>
      <c r="AN54" s="34">
        <f>COUNTIFS(CampList[Township],$AK54,CampList[Status],"open",CampList[Total],"&gt;1000",CampList[Total],"&lt;=5000",CampList[Affected Population],"IDP")</f>
        <v>1</v>
      </c>
      <c r="AO54" s="34">
        <f>COUNTIFS(CampList[Township],$AK54,CampList[Status],"open",CampList[Total],"&gt;5000",CampList[Total],"&lt;=100000",CampList[Affected Population],"IDP")</f>
        <v>0</v>
      </c>
      <c r="AP54" s="26">
        <f>COUNTIFS(CampList[Township],$AK55,CampList[Status],"open",CampList[Total],"",CampList[Affected Population],"IDP")</f>
        <v>0</v>
      </c>
      <c r="AQ54" s="215">
        <f t="shared" si="2"/>
        <v>4</v>
      </c>
      <c r="AR54" s="129"/>
      <c r="AS54" s="129"/>
      <c r="AT54" s="129"/>
      <c r="AU54" s="129"/>
    </row>
    <row r="55" spans="9:47" x14ac:dyDescent="0.25">
      <c r="I55" s="129"/>
      <c r="J55" s="129"/>
      <c r="K55" s="129"/>
      <c r="AB55"/>
      <c r="AK55" s="20" t="s">
        <v>813</v>
      </c>
      <c r="AL55" s="34">
        <f>COUNTIFS(CampList[Township],$AK55,CampList[Status],"open",CampList[Total],"&lt;=100",CampList[Affected Population],"IDP")</f>
        <v>1</v>
      </c>
      <c r="AM55" s="34">
        <f>COUNTIFS(CampList[Township],$AK55,CampList[Status],"open",CampList[Total],"&gt;100",CampList[Total],"&lt;=1000",CampList[Affected Population],"IDP")</f>
        <v>2</v>
      </c>
      <c r="AN55" s="34">
        <f>COUNTIFS(CampList[Township],$AK55,CampList[Status],"open",CampList[Total],"&gt;1000",CampList[Total],"&lt;=5000",CampList[Affected Population],"IDP")</f>
        <v>0</v>
      </c>
      <c r="AO55" s="34">
        <f>COUNTIFS(CampList[Township],$AK55,CampList[Status],"open",CampList[Total],"&gt;5000",CampList[Total],"&lt;=100000",CampList[Affected Population],"IDP")</f>
        <v>0</v>
      </c>
      <c r="AP55" s="26">
        <f>COUNTIFS(CampList[Township],$AK56,CampList[Status],"open",CampList[Total],"",CampList[Affected Population],"IDP")</f>
        <v>0</v>
      </c>
      <c r="AQ55" s="215">
        <f t="shared" si="2"/>
        <v>3</v>
      </c>
      <c r="AR55" s="129"/>
      <c r="AS55" s="129"/>
      <c r="AT55" s="129"/>
      <c r="AU55" s="129"/>
    </row>
    <row r="56" spans="9:47" x14ac:dyDescent="0.25">
      <c r="I56" s="129"/>
      <c r="J56" s="129"/>
      <c r="K56" s="129"/>
      <c r="AB56"/>
      <c r="AK56" s="20" t="s">
        <v>310</v>
      </c>
      <c r="AL56" s="34">
        <f>COUNTIFS(CampList[Township],$AK56,CampList[Status],"open",CampList[Total],"&lt;=100",CampList[Affected Population],"IDP")</f>
        <v>2</v>
      </c>
      <c r="AM56" s="34">
        <f>COUNTIFS(CampList[Township],$AK56,CampList[Status],"open",CampList[Total],"&gt;100",CampList[Total],"&lt;=1000",CampList[Affected Population],"IDP")</f>
        <v>14</v>
      </c>
      <c r="AN56" s="34">
        <f>COUNTIFS(CampList[Township],$AK56,CampList[Status],"open",CampList[Total],"&gt;1000",CampList[Total],"&lt;=5000",CampList[Affected Population],"IDP")</f>
        <v>6</v>
      </c>
      <c r="AO56" s="34">
        <f>COUNTIFS(CampList[Township],$AK56,CampList[Status],"open",CampList[Total],"&gt;5000",CampList[Total],"&lt;=100000",CampList[Affected Population],"IDP")</f>
        <v>1</v>
      </c>
      <c r="AP56" s="26">
        <f>COUNTIFS(CampList[Township],$AK57,CampList[Status],"open",CampList[Total],"",CampList[Affected Population],"IDP")</f>
        <v>0</v>
      </c>
      <c r="AQ56" s="215">
        <f t="shared" si="2"/>
        <v>23</v>
      </c>
      <c r="AR56" s="129"/>
      <c r="AS56" s="129"/>
      <c r="AT56" s="129"/>
      <c r="AU56" s="129"/>
    </row>
    <row r="57" spans="9:47" x14ac:dyDescent="0.25">
      <c r="I57" s="129"/>
      <c r="J57" s="129"/>
      <c r="K57" s="129"/>
      <c r="AB57"/>
      <c r="AK57" s="26" t="s">
        <v>3</v>
      </c>
      <c r="AL57" s="53">
        <f>SUM(AL36:AL56)</f>
        <v>41</v>
      </c>
      <c r="AM57" s="53">
        <f t="shared" ref="AM57:AQ57" si="4">SUM(AM36:AM56)</f>
        <v>98</v>
      </c>
      <c r="AN57" s="53">
        <f t="shared" si="4"/>
        <v>22</v>
      </c>
      <c r="AO57" s="53">
        <f t="shared" si="4"/>
        <v>2</v>
      </c>
      <c r="AP57" s="53">
        <f t="shared" si="4"/>
        <v>4</v>
      </c>
      <c r="AQ57" s="53">
        <f t="shared" si="4"/>
        <v>167</v>
      </c>
      <c r="AR57" s="129"/>
      <c r="AS57" s="129"/>
      <c r="AT57" s="129"/>
      <c r="AU57" s="129"/>
    </row>
    <row r="58" spans="9:47" x14ac:dyDescent="0.25">
      <c r="I58" s="129"/>
      <c r="J58" s="129"/>
      <c r="K58" s="129"/>
      <c r="AB58"/>
      <c r="AK58" s="33"/>
      <c r="AL58" s="33"/>
      <c r="AM58" s="33"/>
      <c r="AN58" s="33"/>
      <c r="AO58" s="33"/>
      <c r="AR58" s="129"/>
      <c r="AS58" s="129"/>
      <c r="AT58" s="129"/>
      <c r="AU58" s="129"/>
    </row>
    <row r="59" spans="9:47" x14ac:dyDescent="0.25">
      <c r="I59" s="129"/>
      <c r="J59" s="129"/>
      <c r="K59" s="129"/>
      <c r="AB59"/>
      <c r="AQ59" s="33"/>
      <c r="AR59" s="129"/>
      <c r="AS59" s="129"/>
      <c r="AT59" s="129"/>
      <c r="AU59" s="129"/>
    </row>
    <row r="60" spans="9:47" x14ac:dyDescent="0.25">
      <c r="I60" s="129"/>
      <c r="J60" s="129"/>
      <c r="K60" s="129"/>
      <c r="AB60"/>
      <c r="AQ60" s="33"/>
      <c r="AR60" s="129"/>
      <c r="AS60" s="129"/>
      <c r="AT60" s="129"/>
      <c r="AU60" s="129"/>
    </row>
    <row r="61" spans="9:47" x14ac:dyDescent="0.25">
      <c r="I61" s="129"/>
      <c r="J61" s="129"/>
      <c r="K61" s="129"/>
      <c r="AB61"/>
      <c r="AQ61" s="33"/>
      <c r="AR61" s="129"/>
      <c r="AS61" s="129"/>
      <c r="AT61" s="129"/>
      <c r="AU61" s="129"/>
    </row>
    <row r="62" spans="9:47" x14ac:dyDescent="0.25">
      <c r="I62" s="129"/>
      <c r="J62" s="129"/>
      <c r="K62" s="129"/>
      <c r="AB62"/>
      <c r="AQ62" s="33"/>
      <c r="AR62" s="129"/>
      <c r="AS62" s="129"/>
      <c r="AT62" s="129"/>
      <c r="AU62" s="129"/>
    </row>
    <row r="63" spans="9:47" x14ac:dyDescent="0.25">
      <c r="I63" s="129"/>
      <c r="J63" s="129"/>
      <c r="K63" s="129"/>
      <c r="AB63"/>
      <c r="AQ63" s="33"/>
      <c r="AR63" s="129"/>
      <c r="AS63" s="129"/>
      <c r="AT63" s="129"/>
      <c r="AU63" s="129"/>
    </row>
    <row r="64" spans="9:47" x14ac:dyDescent="0.25">
      <c r="I64" s="129"/>
      <c r="J64" s="129"/>
      <c r="K64" s="129"/>
      <c r="AB64"/>
      <c r="AQ64" s="33"/>
      <c r="AR64" s="129"/>
      <c r="AS64" s="129"/>
      <c r="AT64" s="129"/>
      <c r="AU64" s="129"/>
    </row>
    <row r="65" spans="9:47" x14ac:dyDescent="0.25">
      <c r="I65" s="129"/>
      <c r="J65" s="129"/>
      <c r="K65" s="129"/>
      <c r="AB65"/>
      <c r="AQ65" s="33"/>
      <c r="AR65" s="129"/>
      <c r="AS65" s="129"/>
      <c r="AT65" s="129"/>
      <c r="AU65" s="129"/>
    </row>
    <row r="66" spans="9:47" x14ac:dyDescent="0.25">
      <c r="I66" s="129"/>
      <c r="J66" s="129"/>
      <c r="K66" s="129"/>
      <c r="AB66"/>
      <c r="AQ66" s="33"/>
      <c r="AR66" s="129"/>
      <c r="AS66" s="129"/>
      <c r="AT66" s="129"/>
      <c r="AU66" s="129"/>
    </row>
    <row r="67" spans="9:47" x14ac:dyDescent="0.25">
      <c r="AB67"/>
    </row>
    <row r="68" spans="9:47" x14ac:dyDescent="0.25">
      <c r="AB68"/>
    </row>
    <row r="69" spans="9:47" x14ac:dyDescent="0.25">
      <c r="AB69"/>
    </row>
    <row r="70" spans="9:47" x14ac:dyDescent="0.25">
      <c r="AB70"/>
    </row>
    <row r="71" spans="9:47" x14ac:dyDescent="0.25">
      <c r="AB71"/>
    </row>
    <row r="72" spans="9:47" x14ac:dyDescent="0.25">
      <c r="AB72"/>
    </row>
    <row r="73" spans="9:47" x14ac:dyDescent="0.25">
      <c r="AB73"/>
    </row>
    <row r="74" spans="9:47" x14ac:dyDescent="0.25">
      <c r="AB74"/>
    </row>
    <row r="75" spans="9:47" x14ac:dyDescent="0.25">
      <c r="AB75"/>
    </row>
    <row r="76" spans="9:47" x14ac:dyDescent="0.25">
      <c r="AB76"/>
    </row>
    <row r="77" spans="9:47" x14ac:dyDescent="0.25">
      <c r="AB77"/>
    </row>
    <row r="78" spans="9:47" x14ac:dyDescent="0.25">
      <c r="AB78"/>
    </row>
    <row r="79" spans="9:47" x14ac:dyDescent="0.25">
      <c r="AB79"/>
    </row>
    <row r="80" spans="9:47" x14ac:dyDescent="0.25">
      <c r="AB80"/>
    </row>
    <row r="81" spans="27:29" x14ac:dyDescent="0.25">
      <c r="AB81"/>
    </row>
    <row r="82" spans="27:29" x14ac:dyDescent="0.25">
      <c r="AB82"/>
    </row>
    <row r="83" spans="27:29" x14ac:dyDescent="0.25">
      <c r="AB83"/>
    </row>
    <row r="84" spans="27:29" x14ac:dyDescent="0.25">
      <c r="AB84"/>
    </row>
    <row r="85" spans="27:29" x14ac:dyDescent="0.25">
      <c r="AB85"/>
    </row>
    <row r="86" spans="27:29" x14ac:dyDescent="0.25">
      <c r="AB86"/>
    </row>
    <row r="87" spans="27:29" x14ac:dyDescent="0.25">
      <c r="AA87" s="17"/>
      <c r="AB87"/>
      <c r="AC87" s="17"/>
    </row>
    <row r="88" spans="27:29" x14ac:dyDescent="0.25">
      <c r="AA88" s="17"/>
      <c r="AB88"/>
    </row>
    <row r="89" spans="27:29" x14ac:dyDescent="0.25">
      <c r="AA89" s="17"/>
      <c r="AB89"/>
    </row>
    <row r="90" spans="27:29" x14ac:dyDescent="0.25">
      <c r="AB90"/>
    </row>
    <row r="91" spans="27:29" x14ac:dyDescent="0.25">
      <c r="AB91"/>
    </row>
    <row r="92" spans="27:29" x14ac:dyDescent="0.25">
      <c r="AB92"/>
    </row>
    <row r="93" spans="27:29" x14ac:dyDescent="0.25">
      <c r="AB93"/>
    </row>
    <row r="94" spans="27:29" x14ac:dyDescent="0.25">
      <c r="AB94"/>
    </row>
    <row r="95" spans="27:29" x14ac:dyDescent="0.25">
      <c r="AB95"/>
    </row>
    <row r="96" spans="27:29" x14ac:dyDescent="0.25">
      <c r="AB96"/>
    </row>
    <row r="97" spans="28:28" x14ac:dyDescent="0.25">
      <c r="AB97"/>
    </row>
    <row r="98" spans="28:28" x14ac:dyDescent="0.25">
      <c r="AB98"/>
    </row>
    <row r="99" spans="28:28" x14ac:dyDescent="0.25">
      <c r="AB99"/>
    </row>
    <row r="100" spans="28:28" x14ac:dyDescent="0.25">
      <c r="AB100"/>
    </row>
    <row r="101" spans="28:28" x14ac:dyDescent="0.25">
      <c r="AB101"/>
    </row>
    <row r="102" spans="28:28" x14ac:dyDescent="0.25">
      <c r="AB102"/>
    </row>
    <row r="103" spans="28:28" x14ac:dyDescent="0.25">
      <c r="AB103"/>
    </row>
    <row r="104" spans="28:28" x14ac:dyDescent="0.25">
      <c r="AB104"/>
    </row>
    <row r="105" spans="28:28" x14ac:dyDescent="0.25">
      <c r="AB105"/>
    </row>
    <row r="106" spans="28:28" x14ac:dyDescent="0.25">
      <c r="AB106"/>
    </row>
    <row r="107" spans="28:28" x14ac:dyDescent="0.25">
      <c r="AB107"/>
    </row>
    <row r="108" spans="28:28" x14ac:dyDescent="0.25">
      <c r="AB108"/>
    </row>
    <row r="109" spans="28:28" x14ac:dyDescent="0.25">
      <c r="AB109"/>
    </row>
    <row r="110" spans="28:28" x14ac:dyDescent="0.25">
      <c r="AB110"/>
    </row>
    <row r="111" spans="28:28" x14ac:dyDescent="0.25">
      <c r="AB111"/>
    </row>
    <row r="112" spans="28:28" x14ac:dyDescent="0.25">
      <c r="AB112"/>
    </row>
    <row r="113" spans="28:28" x14ac:dyDescent="0.25">
      <c r="AB113"/>
    </row>
    <row r="114" spans="28:28" x14ac:dyDescent="0.25">
      <c r="AB114"/>
    </row>
    <row r="115" spans="28:28" x14ac:dyDescent="0.25">
      <c r="AB115"/>
    </row>
    <row r="116" spans="28:28" x14ac:dyDescent="0.25">
      <c r="AB116"/>
    </row>
    <row r="117" spans="28:28" x14ac:dyDescent="0.25">
      <c r="AB117"/>
    </row>
    <row r="118" spans="28:28" x14ac:dyDescent="0.25">
      <c r="AB118"/>
    </row>
    <row r="119" spans="28:28" x14ac:dyDescent="0.25">
      <c r="AB119"/>
    </row>
    <row r="120" spans="28:28" x14ac:dyDescent="0.25">
      <c r="AB120"/>
    </row>
    <row r="121" spans="28:28" x14ac:dyDescent="0.25">
      <c r="AB121"/>
    </row>
    <row r="122" spans="28:28" x14ac:dyDescent="0.25">
      <c r="AB122"/>
    </row>
    <row r="123" spans="28:28" x14ac:dyDescent="0.25">
      <c r="AB123"/>
    </row>
    <row r="124" spans="28:28" x14ac:dyDescent="0.25">
      <c r="AB124"/>
    </row>
    <row r="125" spans="28:28" x14ac:dyDescent="0.25">
      <c r="AB125"/>
    </row>
    <row r="126" spans="28:28" x14ac:dyDescent="0.25">
      <c r="AB126"/>
    </row>
    <row r="127" spans="28:28" x14ac:dyDescent="0.25">
      <c r="AB127"/>
    </row>
    <row r="128" spans="28:28" x14ac:dyDescent="0.25">
      <c r="AB128"/>
    </row>
    <row r="129" spans="28:28" x14ac:dyDescent="0.25">
      <c r="AB129"/>
    </row>
    <row r="130" spans="28:28" x14ac:dyDescent="0.25">
      <c r="AB130"/>
    </row>
    <row r="131" spans="28:28" x14ac:dyDescent="0.25">
      <c r="AB131"/>
    </row>
    <row r="132" spans="28:28" x14ac:dyDescent="0.25">
      <c r="AB132"/>
    </row>
    <row r="133" spans="28:28" x14ac:dyDescent="0.25">
      <c r="AB133"/>
    </row>
    <row r="134" spans="28:28" x14ac:dyDescent="0.25">
      <c r="AB134"/>
    </row>
    <row r="135" spans="28:28" x14ac:dyDescent="0.25">
      <c r="AB135"/>
    </row>
    <row r="136" spans="28:28" x14ac:dyDescent="0.25">
      <c r="AB136"/>
    </row>
    <row r="137" spans="28:28" x14ac:dyDescent="0.25">
      <c r="AB137"/>
    </row>
    <row r="138" spans="28:28" x14ac:dyDescent="0.25">
      <c r="AB138"/>
    </row>
    <row r="139" spans="28:28" x14ac:dyDescent="0.25">
      <c r="AB139"/>
    </row>
    <row r="140" spans="28:28" x14ac:dyDescent="0.25">
      <c r="AB140"/>
    </row>
    <row r="141" spans="28:28" x14ac:dyDescent="0.25">
      <c r="AB141"/>
    </row>
    <row r="142" spans="28:28" x14ac:dyDescent="0.25">
      <c r="AB142"/>
    </row>
    <row r="143" spans="28:28" x14ac:dyDescent="0.25">
      <c r="AB143"/>
    </row>
    <row r="144" spans="28:28" x14ac:dyDescent="0.25">
      <c r="AB144"/>
    </row>
    <row r="145" spans="28:28" x14ac:dyDescent="0.25">
      <c r="AB145"/>
    </row>
    <row r="146" spans="28:28" x14ac:dyDescent="0.25">
      <c r="AB146"/>
    </row>
    <row r="147" spans="28:28" x14ac:dyDescent="0.25">
      <c r="AB147"/>
    </row>
    <row r="148" spans="28:28" x14ac:dyDescent="0.25">
      <c r="AB148"/>
    </row>
    <row r="149" spans="28:28" x14ac:dyDescent="0.25">
      <c r="AB149"/>
    </row>
    <row r="150" spans="28:28" x14ac:dyDescent="0.25">
      <c r="AB150"/>
    </row>
    <row r="151" spans="28:28" x14ac:dyDescent="0.25">
      <c r="AB151"/>
    </row>
    <row r="152" spans="28:28" x14ac:dyDescent="0.25">
      <c r="AB152"/>
    </row>
    <row r="153" spans="28:28" x14ac:dyDescent="0.25">
      <c r="AB153"/>
    </row>
    <row r="154" spans="28:28" x14ac:dyDescent="0.25">
      <c r="AB154"/>
    </row>
    <row r="155" spans="28:28" x14ac:dyDescent="0.25">
      <c r="AB155"/>
    </row>
    <row r="156" spans="28:28" x14ac:dyDescent="0.25">
      <c r="AB156"/>
    </row>
    <row r="157" spans="28:28" x14ac:dyDescent="0.25">
      <c r="AB157"/>
    </row>
    <row r="158" spans="28:28" x14ac:dyDescent="0.25">
      <c r="AB158"/>
    </row>
    <row r="159" spans="28:28" x14ac:dyDescent="0.25">
      <c r="AB159"/>
    </row>
    <row r="160" spans="28:28" x14ac:dyDescent="0.25">
      <c r="AB160"/>
    </row>
    <row r="161" spans="28:28" x14ac:dyDescent="0.25">
      <c r="AB161"/>
    </row>
    <row r="162" spans="28:28" x14ac:dyDescent="0.25">
      <c r="AB162"/>
    </row>
    <row r="163" spans="28:28" x14ac:dyDescent="0.25">
      <c r="AB163"/>
    </row>
    <row r="164" spans="28:28" x14ac:dyDescent="0.25">
      <c r="AB164"/>
    </row>
    <row r="165" spans="28:28" x14ac:dyDescent="0.25">
      <c r="AB165"/>
    </row>
    <row r="166" spans="28:28" x14ac:dyDescent="0.25">
      <c r="AB166"/>
    </row>
    <row r="167" spans="28:28" x14ac:dyDescent="0.25">
      <c r="AB167"/>
    </row>
    <row r="168" spans="28:28" x14ac:dyDescent="0.25">
      <c r="AB168"/>
    </row>
    <row r="169" spans="28:28" x14ac:dyDescent="0.25">
      <c r="AB169"/>
    </row>
    <row r="170" spans="28:28" x14ac:dyDescent="0.25">
      <c r="AB170"/>
    </row>
    <row r="171" spans="28:28" x14ac:dyDescent="0.25">
      <c r="AB171"/>
    </row>
    <row r="172" spans="28:28" x14ac:dyDescent="0.25">
      <c r="AB172"/>
    </row>
    <row r="173" spans="28:28" x14ac:dyDescent="0.25">
      <c r="AB173"/>
    </row>
    <row r="174" spans="28:28" x14ac:dyDescent="0.25">
      <c r="AB174"/>
    </row>
    <row r="175" spans="28:28" x14ac:dyDescent="0.25">
      <c r="AB175"/>
    </row>
    <row r="176" spans="28:28" x14ac:dyDescent="0.25">
      <c r="AB176"/>
    </row>
    <row r="177" spans="28:28" x14ac:dyDescent="0.25">
      <c r="AB177"/>
    </row>
    <row r="178" spans="28:28" x14ac:dyDescent="0.25">
      <c r="AB178"/>
    </row>
    <row r="179" spans="28:28" x14ac:dyDescent="0.25">
      <c r="AB179"/>
    </row>
    <row r="180" spans="28:28" x14ac:dyDescent="0.25">
      <c r="AB180"/>
    </row>
    <row r="181" spans="28:28" x14ac:dyDescent="0.25">
      <c r="AB181"/>
    </row>
    <row r="182" spans="28:28" x14ac:dyDescent="0.25">
      <c r="AB182"/>
    </row>
    <row r="183" spans="28:28" x14ac:dyDescent="0.25">
      <c r="AB183"/>
    </row>
    <row r="184" spans="28:28" x14ac:dyDescent="0.25">
      <c r="AB184"/>
    </row>
    <row r="185" spans="28:28" x14ac:dyDescent="0.25">
      <c r="AB185"/>
    </row>
    <row r="186" spans="28:28" x14ac:dyDescent="0.25">
      <c r="AB186"/>
    </row>
    <row r="187" spans="28:28" x14ac:dyDescent="0.25">
      <c r="AB187"/>
    </row>
    <row r="188" spans="28:28" x14ac:dyDescent="0.25">
      <c r="AB188"/>
    </row>
    <row r="189" spans="28:28" x14ac:dyDescent="0.25">
      <c r="AB189"/>
    </row>
    <row r="190" spans="28:28" x14ac:dyDescent="0.25">
      <c r="AB190"/>
    </row>
    <row r="191" spans="28:28" x14ac:dyDescent="0.25">
      <c r="AB191"/>
    </row>
    <row r="192" spans="28:28" x14ac:dyDescent="0.25">
      <c r="AB192"/>
    </row>
    <row r="193" spans="28:28" x14ac:dyDescent="0.25">
      <c r="AB193"/>
    </row>
    <row r="194" spans="28:28" x14ac:dyDescent="0.25">
      <c r="AB194"/>
    </row>
    <row r="195" spans="28:28" x14ac:dyDescent="0.25">
      <c r="AB195"/>
    </row>
    <row r="196" spans="28:28" x14ac:dyDescent="0.25">
      <c r="AB196"/>
    </row>
    <row r="197" spans="28:28" x14ac:dyDescent="0.25">
      <c r="AB197"/>
    </row>
    <row r="198" spans="28:28" x14ac:dyDescent="0.25">
      <c r="AB198"/>
    </row>
    <row r="199" spans="28:28" x14ac:dyDescent="0.25">
      <c r="AB199"/>
    </row>
    <row r="200" spans="28:28" x14ac:dyDescent="0.25">
      <c r="AB200"/>
    </row>
    <row r="201" spans="28:28" x14ac:dyDescent="0.25">
      <c r="AB201"/>
    </row>
    <row r="202" spans="28:28" x14ac:dyDescent="0.25">
      <c r="AB202"/>
    </row>
    <row r="203" spans="28:28" x14ac:dyDescent="0.25">
      <c r="AB203"/>
    </row>
    <row r="204" spans="28:28" x14ac:dyDescent="0.25">
      <c r="AB204"/>
    </row>
    <row r="205" spans="28:28" x14ac:dyDescent="0.25">
      <c r="AB205"/>
    </row>
    <row r="206" spans="28:28" x14ac:dyDescent="0.25">
      <c r="AB206"/>
    </row>
    <row r="207" spans="28:28" x14ac:dyDescent="0.25">
      <c r="AB207"/>
    </row>
    <row r="208" spans="28:28" x14ac:dyDescent="0.25">
      <c r="AB208"/>
    </row>
    <row r="209" spans="28:28" x14ac:dyDescent="0.25">
      <c r="AB209"/>
    </row>
    <row r="210" spans="28:28" x14ac:dyDescent="0.25">
      <c r="AB210"/>
    </row>
    <row r="211" spans="28:28" x14ac:dyDescent="0.25">
      <c r="AB211"/>
    </row>
    <row r="212" spans="28:28" x14ac:dyDescent="0.25">
      <c r="AB212"/>
    </row>
    <row r="213" spans="28:28" x14ac:dyDescent="0.25">
      <c r="AB213"/>
    </row>
    <row r="214" spans="28:28" x14ac:dyDescent="0.25">
      <c r="AB214"/>
    </row>
    <row r="215" spans="28:28" x14ac:dyDescent="0.25">
      <c r="AB215"/>
    </row>
    <row r="216" spans="28:28" x14ac:dyDescent="0.25">
      <c r="AB216"/>
    </row>
    <row r="217" spans="28:28" x14ac:dyDescent="0.25">
      <c r="AB217"/>
    </row>
    <row r="218" spans="28:28" x14ac:dyDescent="0.25">
      <c r="AB218"/>
    </row>
    <row r="219" spans="28:28" x14ac:dyDescent="0.25">
      <c r="AB219"/>
    </row>
    <row r="220" spans="28:28" x14ac:dyDescent="0.25">
      <c r="AB220"/>
    </row>
    <row r="221" spans="28:28" x14ac:dyDescent="0.25">
      <c r="AB221"/>
    </row>
    <row r="222" spans="28:28" x14ac:dyDescent="0.25">
      <c r="AB222"/>
    </row>
    <row r="223" spans="28:28" x14ac:dyDescent="0.25">
      <c r="AB223"/>
    </row>
    <row r="224" spans="28:28" x14ac:dyDescent="0.25">
      <c r="AB224"/>
    </row>
    <row r="225" spans="28:28" x14ac:dyDescent="0.25">
      <c r="AB225"/>
    </row>
    <row r="226" spans="28:28" x14ac:dyDescent="0.25">
      <c r="AB226"/>
    </row>
    <row r="227" spans="28:28" x14ac:dyDescent="0.25">
      <c r="AB227"/>
    </row>
    <row r="228" spans="28:28" x14ac:dyDescent="0.25">
      <c r="AB228"/>
    </row>
    <row r="229" spans="28:28" x14ac:dyDescent="0.25">
      <c r="AB229"/>
    </row>
    <row r="230" spans="28:28" x14ac:dyDescent="0.25">
      <c r="AB230"/>
    </row>
    <row r="231" spans="28:28" x14ac:dyDescent="0.25">
      <c r="AB231"/>
    </row>
    <row r="232" spans="28:28" x14ac:dyDescent="0.25">
      <c r="AB232"/>
    </row>
    <row r="233" spans="28:28" x14ac:dyDescent="0.25">
      <c r="AB233"/>
    </row>
    <row r="234" spans="28:28" x14ac:dyDescent="0.25">
      <c r="AB234"/>
    </row>
    <row r="235" spans="28:28" x14ac:dyDescent="0.25">
      <c r="AB235"/>
    </row>
    <row r="236" spans="28:28" x14ac:dyDescent="0.25">
      <c r="AB236"/>
    </row>
    <row r="237" spans="28:28" x14ac:dyDescent="0.25">
      <c r="AB237"/>
    </row>
    <row r="238" spans="28:28" x14ac:dyDescent="0.25">
      <c r="AB238"/>
    </row>
    <row r="239" spans="28:28" x14ac:dyDescent="0.25">
      <c r="AB239"/>
    </row>
    <row r="240" spans="28:28" x14ac:dyDescent="0.25">
      <c r="AB240"/>
    </row>
    <row r="241" spans="28:28" x14ac:dyDescent="0.25">
      <c r="AB241"/>
    </row>
    <row r="242" spans="28:28" x14ac:dyDescent="0.25">
      <c r="AB242"/>
    </row>
    <row r="243" spans="28:28" x14ac:dyDescent="0.25">
      <c r="AB243"/>
    </row>
    <row r="244" spans="28:28" x14ac:dyDescent="0.25">
      <c r="AB244"/>
    </row>
    <row r="245" spans="28:28" x14ac:dyDescent="0.25">
      <c r="AB245"/>
    </row>
    <row r="246" spans="28:28" x14ac:dyDescent="0.25">
      <c r="AB246"/>
    </row>
    <row r="247" spans="28:28" x14ac:dyDescent="0.25">
      <c r="AB247"/>
    </row>
    <row r="248" spans="28:28" x14ac:dyDescent="0.25">
      <c r="AB248"/>
    </row>
    <row r="249" spans="28:28" x14ac:dyDescent="0.25">
      <c r="AB249"/>
    </row>
    <row r="250" spans="28:28" x14ac:dyDescent="0.25">
      <c r="AB250"/>
    </row>
    <row r="251" spans="28:28" x14ac:dyDescent="0.25">
      <c r="AB251"/>
    </row>
    <row r="252" spans="28:28" x14ac:dyDescent="0.25">
      <c r="AB252"/>
    </row>
    <row r="253" spans="28:28" x14ac:dyDescent="0.25">
      <c r="AB253"/>
    </row>
    <row r="254" spans="28:28" x14ac:dyDescent="0.25">
      <c r="AB254"/>
    </row>
    <row r="255" spans="28:28" x14ac:dyDescent="0.25">
      <c r="AB255"/>
    </row>
    <row r="256" spans="28:28" x14ac:dyDescent="0.25">
      <c r="AB256"/>
    </row>
    <row r="257" spans="28:28" x14ac:dyDescent="0.25">
      <c r="AB257"/>
    </row>
    <row r="258" spans="28:28" x14ac:dyDescent="0.25">
      <c r="AB258"/>
    </row>
    <row r="259" spans="28:28" x14ac:dyDescent="0.25">
      <c r="AB259"/>
    </row>
    <row r="260" spans="28:28" x14ac:dyDescent="0.25">
      <c r="AB260"/>
    </row>
    <row r="261" spans="28:28" x14ac:dyDescent="0.25">
      <c r="AB261"/>
    </row>
    <row r="262" spans="28:28" x14ac:dyDescent="0.25">
      <c r="AB262"/>
    </row>
    <row r="263" spans="28:28" x14ac:dyDescent="0.25">
      <c r="AB263"/>
    </row>
    <row r="264" spans="28:28" x14ac:dyDescent="0.25">
      <c r="AB264"/>
    </row>
    <row r="265" spans="28:28" x14ac:dyDescent="0.25">
      <c r="AB265"/>
    </row>
    <row r="266" spans="28:28" x14ac:dyDescent="0.25">
      <c r="AB266"/>
    </row>
    <row r="267" spans="28:28" x14ac:dyDescent="0.25">
      <c r="AB267"/>
    </row>
    <row r="268" spans="28:28" x14ac:dyDescent="0.25">
      <c r="AB268"/>
    </row>
    <row r="269" spans="28:28" x14ac:dyDescent="0.25">
      <c r="AB269"/>
    </row>
    <row r="270" spans="28:28" x14ac:dyDescent="0.25">
      <c r="AB270"/>
    </row>
    <row r="271" spans="28:28" x14ac:dyDescent="0.25">
      <c r="AB271"/>
    </row>
    <row r="272" spans="28:28" x14ac:dyDescent="0.25">
      <c r="AB272"/>
    </row>
    <row r="273" spans="28:28" x14ac:dyDescent="0.25">
      <c r="AB273"/>
    </row>
    <row r="274" spans="28:28" x14ac:dyDescent="0.25">
      <c r="AB274"/>
    </row>
    <row r="275" spans="28:28" x14ac:dyDescent="0.25">
      <c r="AB275"/>
    </row>
    <row r="276" spans="28:28" x14ac:dyDescent="0.25">
      <c r="AB276"/>
    </row>
    <row r="277" spans="28:28" x14ac:dyDescent="0.25">
      <c r="AB277"/>
    </row>
    <row r="278" spans="28:28" x14ac:dyDescent="0.25">
      <c r="AB278"/>
    </row>
    <row r="279" spans="28:28" x14ac:dyDescent="0.25">
      <c r="AB279"/>
    </row>
    <row r="280" spans="28:28" x14ac:dyDescent="0.25">
      <c r="AB280"/>
    </row>
    <row r="281" spans="28:28" x14ac:dyDescent="0.25">
      <c r="AB281"/>
    </row>
    <row r="282" spans="28:28" x14ac:dyDescent="0.25">
      <c r="AB282"/>
    </row>
    <row r="283" spans="28:28" x14ac:dyDescent="0.25">
      <c r="AB283"/>
    </row>
    <row r="284" spans="28:28" x14ac:dyDescent="0.25">
      <c r="AB284"/>
    </row>
    <row r="285" spans="28:28" x14ac:dyDescent="0.25">
      <c r="AB285"/>
    </row>
    <row r="286" spans="28:28" x14ac:dyDescent="0.25">
      <c r="AB286"/>
    </row>
    <row r="287" spans="28:28" x14ac:dyDescent="0.25">
      <c r="AB287"/>
    </row>
    <row r="288" spans="28:28" x14ac:dyDescent="0.25">
      <c r="AB288"/>
    </row>
    <row r="289" spans="28:28" x14ac:dyDescent="0.25">
      <c r="AB289"/>
    </row>
    <row r="290" spans="28:28" x14ac:dyDescent="0.25">
      <c r="AB290"/>
    </row>
    <row r="291" spans="28:28" x14ac:dyDescent="0.25">
      <c r="AB291"/>
    </row>
    <row r="292" spans="28:28" x14ac:dyDescent="0.25">
      <c r="AB292"/>
    </row>
    <row r="293" spans="28:28" x14ac:dyDescent="0.25">
      <c r="AB293"/>
    </row>
    <row r="294" spans="28:28" x14ac:dyDescent="0.25">
      <c r="AB294"/>
    </row>
    <row r="295" spans="28:28" x14ac:dyDescent="0.25">
      <c r="AB295"/>
    </row>
    <row r="296" spans="28:28" x14ac:dyDescent="0.25">
      <c r="AB296"/>
    </row>
    <row r="297" spans="28:28" x14ac:dyDescent="0.25">
      <c r="AB297"/>
    </row>
    <row r="298" spans="28:28" x14ac:dyDescent="0.25">
      <c r="AB298"/>
    </row>
    <row r="299" spans="28:28" x14ac:dyDescent="0.25">
      <c r="AB299"/>
    </row>
    <row r="300" spans="28:28" x14ac:dyDescent="0.25">
      <c r="AB300"/>
    </row>
    <row r="301" spans="28:28" x14ac:dyDescent="0.25">
      <c r="AB301"/>
    </row>
    <row r="302" spans="28:28" x14ac:dyDescent="0.25">
      <c r="AB302"/>
    </row>
    <row r="303" spans="28:28" x14ac:dyDescent="0.25">
      <c r="AB303"/>
    </row>
    <row r="304" spans="28:28" x14ac:dyDescent="0.25">
      <c r="AB304"/>
    </row>
    <row r="305" spans="28:28" x14ac:dyDescent="0.25">
      <c r="AB305"/>
    </row>
    <row r="306" spans="28:28" x14ac:dyDescent="0.25">
      <c r="AB306"/>
    </row>
    <row r="307" spans="28:28" x14ac:dyDescent="0.25">
      <c r="AB307"/>
    </row>
    <row r="308" spans="28:28" x14ac:dyDescent="0.25">
      <c r="AB308"/>
    </row>
    <row r="309" spans="28:28" x14ac:dyDescent="0.25">
      <c r="AB309"/>
    </row>
    <row r="310" spans="28:28" x14ac:dyDescent="0.25">
      <c r="AB310"/>
    </row>
    <row r="311" spans="28:28" x14ac:dyDescent="0.25">
      <c r="AB311"/>
    </row>
    <row r="312" spans="28:28" x14ac:dyDescent="0.25">
      <c r="AB312"/>
    </row>
    <row r="313" spans="28:28" x14ac:dyDescent="0.25">
      <c r="AB313"/>
    </row>
    <row r="314" spans="28:28" x14ac:dyDescent="0.25">
      <c r="AB314"/>
    </row>
    <row r="315" spans="28:28" x14ac:dyDescent="0.25">
      <c r="AB315"/>
    </row>
    <row r="316" spans="28:28" x14ac:dyDescent="0.25">
      <c r="AB316"/>
    </row>
    <row r="317" spans="28:28" x14ac:dyDescent="0.25">
      <c r="AB317"/>
    </row>
    <row r="318" spans="28:28" x14ac:dyDescent="0.25">
      <c r="AB318"/>
    </row>
    <row r="319" spans="28:28" x14ac:dyDescent="0.25">
      <c r="AB319"/>
    </row>
    <row r="320" spans="28:28" x14ac:dyDescent="0.25">
      <c r="AB320"/>
    </row>
    <row r="321" spans="28:28" x14ac:dyDescent="0.25">
      <c r="AB321"/>
    </row>
    <row r="322" spans="28:28" x14ac:dyDescent="0.25">
      <c r="AB322"/>
    </row>
    <row r="323" spans="28:28" x14ac:dyDescent="0.25">
      <c r="AB323"/>
    </row>
    <row r="324" spans="28:28" x14ac:dyDescent="0.25">
      <c r="AB324"/>
    </row>
    <row r="325" spans="28:28" x14ac:dyDescent="0.25">
      <c r="AB325"/>
    </row>
    <row r="326" spans="28:28" x14ac:dyDescent="0.25">
      <c r="AB326"/>
    </row>
    <row r="327" spans="28:28" x14ac:dyDescent="0.25">
      <c r="AB327"/>
    </row>
    <row r="328" spans="28:28" x14ac:dyDescent="0.25">
      <c r="AB328"/>
    </row>
    <row r="329" spans="28:28" x14ac:dyDescent="0.25">
      <c r="AB329"/>
    </row>
    <row r="330" spans="28:28" x14ac:dyDescent="0.25">
      <c r="AB330"/>
    </row>
  </sheetData>
  <sortState ref="AK34:AQ54">
    <sortCondition ref="AK34"/>
  </sortState>
  <mergeCells count="4">
    <mergeCell ref="C4:K4"/>
    <mergeCell ref="C5:K5"/>
    <mergeCell ref="C3:R3"/>
    <mergeCell ref="H26:M26"/>
  </mergeCells>
  <conditionalFormatting sqref="I29:M29">
    <cfRule type="dataBar" priority="9">
      <dataBar>
        <cfvo type="num" val="0"/>
        <cfvo type="num" val="$AP$26"/>
        <color rgb="FF638EC6"/>
      </dataBar>
      <extLst>
        <ext xmlns:x14="http://schemas.microsoft.com/office/spreadsheetml/2009/9/main" uri="{B025F937-C7B1-47D3-B67F-A62EFF666E3E}">
          <x14:id>{4729CA1C-9856-465B-A252-5D74BE4F6C00}</x14:id>
        </ext>
      </extLst>
    </cfRule>
    <cfRule type="dataBar" priority="10">
      <dataBar>
        <cfvo type="num" val="0"/>
        <cfvo type="num" val="$AP$26"/>
        <color rgb="FFFF555A"/>
      </dataBar>
      <extLst>
        <ext xmlns:x14="http://schemas.microsoft.com/office/spreadsheetml/2009/9/main" uri="{B025F937-C7B1-47D3-B67F-A62EFF666E3E}">
          <x14:id>{5DCED515-272B-4C05-BE24-8A126174C663}</x14:id>
        </ext>
      </extLst>
    </cfRule>
    <cfRule type="dataBar" priority="24">
      <dataBar>
        <cfvo type="min"/>
        <cfvo type="max"/>
        <color rgb="FFFF555A"/>
      </dataBar>
      <extLst>
        <ext xmlns:x14="http://schemas.microsoft.com/office/spreadsheetml/2009/9/main" uri="{B025F937-C7B1-47D3-B67F-A62EFF666E3E}">
          <x14:id>{83FF87DB-4AF0-4757-A50F-701789E158D8}</x14:id>
        </ext>
      </extLst>
    </cfRule>
  </conditionalFormatting>
  <conditionalFormatting sqref="I28:M28">
    <cfRule type="dataBar" priority="28">
      <dataBar>
        <cfvo type="min"/>
        <cfvo type="max"/>
        <color rgb="FF638EC6"/>
      </dataBar>
      <extLst>
        <ext xmlns:x14="http://schemas.microsoft.com/office/spreadsheetml/2009/9/main" uri="{B025F937-C7B1-47D3-B67F-A62EFF666E3E}">
          <x14:id>{74459D76-3CDD-4603-8F85-808736BAF087}</x14:id>
        </ext>
      </extLst>
    </cfRule>
  </conditionalFormatting>
  <conditionalFormatting sqref="I29:M29">
    <cfRule type="dataBar" priority="30">
      <dataBar>
        <cfvo type="min"/>
        <cfvo type="max"/>
        <color rgb="FF638EC6"/>
      </dataBar>
      <extLst>
        <ext xmlns:x14="http://schemas.microsoft.com/office/spreadsheetml/2009/9/main" uri="{B025F937-C7B1-47D3-B67F-A62EFF666E3E}">
          <x14:id>{077C6988-A8CC-4404-8A74-478FD55721B5}</x14:id>
        </ext>
      </extLst>
    </cfRule>
  </conditionalFormatting>
  <conditionalFormatting sqref="G12:G32">
    <cfRule type="dataBar" priority="36">
      <dataBar>
        <cfvo type="min"/>
        <cfvo type="max"/>
        <color rgb="FFFFB628"/>
      </dataBar>
      <extLst>
        <ext xmlns:x14="http://schemas.microsoft.com/office/spreadsheetml/2009/9/main" uri="{B025F937-C7B1-47D3-B67F-A62EFF666E3E}">
          <x14:id>{8F4E58BC-54BC-42B3-A2EF-4E04EA63C653}</x14:id>
        </ext>
      </extLst>
    </cfRule>
  </conditionalFormatting>
  <conditionalFormatting sqref="D37:F40">
    <cfRule type="dataBar" priority="8">
      <dataBar>
        <cfvo type="min"/>
        <cfvo type="max"/>
        <color rgb="FF63C384"/>
      </dataBar>
      <extLst>
        <ext xmlns:x14="http://schemas.microsoft.com/office/spreadsheetml/2009/9/main" uri="{B025F937-C7B1-47D3-B67F-A62EFF666E3E}">
          <x14:id>{898ED28B-BD84-48E1-B5FF-CD5004CB27E3}</x14:id>
        </ext>
      </extLst>
    </cfRule>
  </conditionalFormatting>
  <conditionalFormatting sqref="D37:F40">
    <cfRule type="dataBar" priority="7">
      <dataBar>
        <cfvo type="min"/>
        <cfvo type="max"/>
        <color rgb="FFD6007B"/>
      </dataBar>
      <extLst>
        <ext xmlns:x14="http://schemas.microsoft.com/office/spreadsheetml/2009/9/main" uri="{B025F937-C7B1-47D3-B67F-A62EFF666E3E}">
          <x14:id>{80C87FD2-BD07-4BB5-9C0D-A1D2BF363644}</x14:id>
        </ext>
      </extLst>
    </cfRule>
  </conditionalFormatting>
  <conditionalFormatting sqref="F12:F33">
    <cfRule type="dataBar" priority="1">
      <dataBar>
        <cfvo type="min"/>
        <cfvo type="max"/>
        <color rgb="FFFFB628"/>
      </dataBar>
      <extLst>
        <ext xmlns:x14="http://schemas.microsoft.com/office/spreadsheetml/2009/9/main" uri="{B025F937-C7B1-47D3-B67F-A62EFF666E3E}">
          <x14:id>{0054ED97-6B39-47EE-970F-3D7220F91D2F}</x14:id>
        </ext>
      </extLst>
    </cfRule>
  </conditionalFormatting>
  <conditionalFormatting sqref="E12:E33">
    <cfRule type="dataBar" priority="2">
      <dataBar>
        <cfvo type="min"/>
        <cfvo type="max"/>
        <color rgb="FF638EC6"/>
      </dataBar>
      <extLst>
        <ext xmlns:x14="http://schemas.microsoft.com/office/spreadsheetml/2009/9/main" uri="{B025F937-C7B1-47D3-B67F-A62EFF666E3E}">
          <x14:id>{3D310D00-BC55-40BE-9DF6-D90CF1C54F11}</x14:id>
        </ext>
      </extLst>
    </cfRule>
  </conditionalFormatting>
  <conditionalFormatting sqref="D12:D33">
    <cfRule type="dataBar" priority="3">
      <dataBar>
        <cfvo type="min"/>
        <cfvo type="max"/>
        <color rgb="FF63C384"/>
      </dataBar>
      <extLst>
        <ext xmlns:x14="http://schemas.microsoft.com/office/spreadsheetml/2009/9/main" uri="{B025F937-C7B1-47D3-B67F-A62EFF666E3E}">
          <x14:id>{3C54CAF3-E8DB-4E86-98B4-12A79F65AD85}</x14:id>
        </ext>
      </extLst>
    </cfRule>
  </conditionalFormatting>
  <conditionalFormatting sqref="I28:M28">
    <cfRule type="dataBar" priority="48">
      <dataBar>
        <cfvo type="num" val="0"/>
        <cfvo type="num" val="#REF!"/>
        <color rgb="FF638EC6"/>
      </dataBar>
      <extLst>
        <ext xmlns:x14="http://schemas.microsoft.com/office/spreadsheetml/2009/9/main" uri="{B025F937-C7B1-47D3-B67F-A62EFF666E3E}">
          <x14:id>{02A8E9F0-FDBA-452A-AB6A-F2E5CA3F88D3}</x14:id>
        </ext>
      </extLst>
    </cfRule>
    <cfRule type="dataBar" priority="49">
      <dataBar>
        <cfvo type="min"/>
        <cfvo type="max"/>
        <color rgb="FF008AEF"/>
      </dataBar>
      <extLst>
        <ext xmlns:x14="http://schemas.microsoft.com/office/spreadsheetml/2009/9/main" uri="{B025F937-C7B1-47D3-B67F-A62EFF666E3E}">
          <x14:id>{48264DF9-DDE3-4B92-9921-17F85D71C4D9}</x14:id>
        </ext>
      </extLst>
    </cfRule>
  </conditionalFormatting>
  <printOptions horizontalCentered="1"/>
  <pageMargins left="0.15" right="0.15" top="0.15" bottom="0.15" header="0.3" footer="0.3"/>
  <pageSetup paperSize="9" scale="79" orientation="landscape" r:id="rId1"/>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$AP$26</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$AP$26</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I29:M29</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I28:M28</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I29:M29</xm:sqref>
        </x14:conditionalFormatting>
        <x14:conditionalFormatting xmlns:xm="http://schemas.microsoft.com/office/excel/2006/main">
          <x14:cfRule type="dataBar" id="{8F4E58BC-54BC-42B3-A2EF-4E04EA63C653}">
            <x14:dataBar minLength="0" maxLength="100" border="1" negativeBarBorderColorSameAsPositive="0">
              <x14:cfvo type="autoMin"/>
              <x14:cfvo type="autoMax"/>
              <x14:borderColor rgb="FFFFB628"/>
              <x14:negativeFillColor rgb="FFFF0000"/>
              <x14:negativeBorderColor rgb="FFFF0000"/>
              <x14:axisColor rgb="FF000000"/>
            </x14:dataBar>
          </x14:cfRule>
          <xm:sqref>G12:G32</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D37:F40</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D37:F40</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F12:F33</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E12:E33</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D12:D33</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I28:M28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44"/>
  <sheetViews>
    <sheetView topLeftCell="A107"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505" t="s">
        <v>500</v>
      </c>
      <c r="B1" s="497" t="s">
        <v>502</v>
      </c>
    </row>
    <row r="3" spans="1:8" x14ac:dyDescent="0.25">
      <c r="A3" s="505" t="s">
        <v>556</v>
      </c>
      <c r="B3" s="505" t="s">
        <v>1114</v>
      </c>
      <c r="C3" s="505" t="s">
        <v>1</v>
      </c>
      <c r="D3" s="505" t="s">
        <v>499</v>
      </c>
      <c r="E3" s="505" t="s">
        <v>1115</v>
      </c>
      <c r="F3" s="505" t="s">
        <v>1116</v>
      </c>
      <c r="G3" s="497" t="s">
        <v>1117</v>
      </c>
      <c r="H3" s="497" t="s">
        <v>867</v>
      </c>
    </row>
    <row r="4" spans="1:8" x14ac:dyDescent="0.25">
      <c r="A4" s="497" t="s">
        <v>62</v>
      </c>
      <c r="B4" s="497" t="s">
        <v>61</v>
      </c>
      <c r="C4" s="497">
        <v>96.355270000000004</v>
      </c>
      <c r="D4" s="497" t="s">
        <v>513</v>
      </c>
      <c r="E4" s="497" t="s">
        <v>556</v>
      </c>
      <c r="F4" s="497" t="s">
        <v>462</v>
      </c>
      <c r="G4" s="499">
        <v>76</v>
      </c>
      <c r="H4" s="499">
        <v>344</v>
      </c>
    </row>
    <row r="5" spans="1:8" x14ac:dyDescent="0.25">
      <c r="A5" s="497" t="s">
        <v>120</v>
      </c>
      <c r="B5" s="497" t="s">
        <v>119</v>
      </c>
      <c r="C5" s="497">
        <v>96.353070000000002</v>
      </c>
      <c r="D5" s="497" t="s">
        <v>513</v>
      </c>
      <c r="E5" s="497" t="s">
        <v>556</v>
      </c>
      <c r="F5" s="497" t="s">
        <v>1097</v>
      </c>
      <c r="G5" s="499">
        <v>75</v>
      </c>
      <c r="H5" s="499">
        <v>404</v>
      </c>
    </row>
    <row r="6" spans="1:8" x14ac:dyDescent="0.25">
      <c r="A6" s="497" t="s">
        <v>6</v>
      </c>
      <c r="B6" s="497" t="s">
        <v>4</v>
      </c>
      <c r="C6" s="497">
        <v>97.238829999999993</v>
      </c>
      <c r="D6" s="497" t="s">
        <v>513</v>
      </c>
      <c r="E6" s="497" t="s">
        <v>556</v>
      </c>
      <c r="F6" s="497" t="s">
        <v>1096</v>
      </c>
      <c r="G6" s="499">
        <v>301</v>
      </c>
      <c r="H6" s="499">
        <v>1404</v>
      </c>
    </row>
    <row r="7" spans="1:8" x14ac:dyDescent="0.25">
      <c r="A7" s="497" t="s">
        <v>41</v>
      </c>
      <c r="B7" s="497" t="s">
        <v>40</v>
      </c>
      <c r="C7" s="497">
        <v>96.345569999999995</v>
      </c>
      <c r="D7" s="497" t="s">
        <v>513</v>
      </c>
      <c r="E7" s="497" t="s">
        <v>556</v>
      </c>
      <c r="F7" s="497" t="s">
        <v>507</v>
      </c>
      <c r="G7" s="499">
        <v>67</v>
      </c>
      <c r="H7" s="499">
        <v>350</v>
      </c>
    </row>
    <row r="8" spans="1:8" x14ac:dyDescent="0.25">
      <c r="A8" s="497" t="s">
        <v>43</v>
      </c>
      <c r="B8" s="497" t="s">
        <v>42</v>
      </c>
      <c r="C8" s="497">
        <v>96.317350000000005</v>
      </c>
      <c r="D8" s="497" t="s">
        <v>513</v>
      </c>
      <c r="E8" s="497" t="s">
        <v>556</v>
      </c>
      <c r="F8" s="497" t="s">
        <v>507</v>
      </c>
      <c r="G8" s="499">
        <v>14</v>
      </c>
      <c r="H8" s="499">
        <v>83</v>
      </c>
    </row>
    <row r="9" spans="1:8" x14ac:dyDescent="0.25">
      <c r="A9" s="497" t="s">
        <v>514</v>
      </c>
      <c r="B9" s="497" t="s">
        <v>377</v>
      </c>
      <c r="C9" s="497">
        <v>97.252650000000003</v>
      </c>
      <c r="D9" s="497" t="s">
        <v>513</v>
      </c>
      <c r="E9" s="497" t="s">
        <v>556</v>
      </c>
      <c r="F9" s="497" t="s">
        <v>462</v>
      </c>
      <c r="G9" s="499">
        <v>12</v>
      </c>
      <c r="H9" s="499">
        <v>51</v>
      </c>
    </row>
    <row r="10" spans="1:8" x14ac:dyDescent="0.25">
      <c r="A10" s="497" t="s">
        <v>52</v>
      </c>
      <c r="B10" s="497" t="s">
        <v>51</v>
      </c>
      <c r="C10" s="497">
        <v>96.346469999999997</v>
      </c>
      <c r="D10" s="497" t="s">
        <v>513</v>
      </c>
      <c r="E10" s="497" t="s">
        <v>556</v>
      </c>
      <c r="F10" s="497" t="s">
        <v>462</v>
      </c>
      <c r="G10" s="499">
        <v>35</v>
      </c>
      <c r="H10" s="499">
        <v>214</v>
      </c>
    </row>
    <row r="11" spans="1:8" x14ac:dyDescent="0.25">
      <c r="A11" s="497" t="s">
        <v>334</v>
      </c>
      <c r="B11" s="497" t="s">
        <v>333</v>
      </c>
      <c r="C11" s="497">
        <v>97.915833000000006</v>
      </c>
      <c r="D11" s="497" t="s">
        <v>515</v>
      </c>
      <c r="E11" s="497" t="s">
        <v>556</v>
      </c>
      <c r="F11" s="497" t="s">
        <v>1097</v>
      </c>
      <c r="G11" s="499">
        <v>155</v>
      </c>
      <c r="H11" s="499">
        <v>630</v>
      </c>
    </row>
    <row r="12" spans="1:8" x14ac:dyDescent="0.25">
      <c r="A12" s="497" t="s">
        <v>188</v>
      </c>
      <c r="B12" s="497" t="s">
        <v>187</v>
      </c>
      <c r="C12" s="497">
        <v>97.609832999999995</v>
      </c>
      <c r="D12" s="497" t="s">
        <v>515</v>
      </c>
      <c r="E12" s="497" t="s">
        <v>556</v>
      </c>
      <c r="F12" s="497" t="s">
        <v>1096</v>
      </c>
      <c r="G12" s="499">
        <v>174</v>
      </c>
      <c r="H12" s="499">
        <v>1185</v>
      </c>
    </row>
    <row r="13" spans="1:8" x14ac:dyDescent="0.25">
      <c r="A13" s="497" t="s">
        <v>1041</v>
      </c>
      <c r="B13" s="497" t="s">
        <v>1042</v>
      </c>
      <c r="C13" s="497">
        <v>97.608249999999998</v>
      </c>
      <c r="D13" s="497" t="s">
        <v>515</v>
      </c>
      <c r="E13" s="497" t="s">
        <v>556</v>
      </c>
      <c r="F13" s="497" t="s">
        <v>1096</v>
      </c>
      <c r="G13" s="499">
        <v>219</v>
      </c>
      <c r="H13" s="499">
        <v>891</v>
      </c>
    </row>
    <row r="14" spans="1:8" x14ac:dyDescent="0.25">
      <c r="A14" s="497" t="s">
        <v>72</v>
      </c>
      <c r="B14" s="497" t="s">
        <v>71</v>
      </c>
      <c r="C14" s="497">
        <v>96.283377000000002</v>
      </c>
      <c r="D14" s="497" t="s">
        <v>513</v>
      </c>
      <c r="E14" s="497" t="s">
        <v>556</v>
      </c>
      <c r="F14" s="497" t="s">
        <v>507</v>
      </c>
      <c r="G14" s="499">
        <v>6</v>
      </c>
      <c r="H14" s="499">
        <v>30</v>
      </c>
    </row>
    <row r="15" spans="1:8" x14ac:dyDescent="0.25">
      <c r="A15" s="497" t="s">
        <v>28</v>
      </c>
      <c r="B15" s="497" t="s">
        <v>30</v>
      </c>
      <c r="C15" s="497">
        <v>98.131550000000004</v>
      </c>
      <c r="D15" s="497" t="s">
        <v>513</v>
      </c>
      <c r="E15" s="497" t="s">
        <v>556</v>
      </c>
      <c r="F15" s="497" t="s">
        <v>507</v>
      </c>
      <c r="G15" s="499">
        <v>118</v>
      </c>
      <c r="H15" s="499">
        <v>518</v>
      </c>
    </row>
    <row r="16" spans="1:8" x14ac:dyDescent="0.25">
      <c r="A16" s="497" t="s">
        <v>76</v>
      </c>
      <c r="B16" s="497" t="s">
        <v>75</v>
      </c>
      <c r="C16" s="497">
        <v>96.35257</v>
      </c>
      <c r="D16" s="497" t="s">
        <v>513</v>
      </c>
      <c r="E16" s="497" t="s">
        <v>556</v>
      </c>
      <c r="F16" s="497" t="s">
        <v>507</v>
      </c>
      <c r="G16" s="499">
        <v>65</v>
      </c>
      <c r="H16" s="499">
        <v>347</v>
      </c>
    </row>
    <row r="17" spans="1:8" x14ac:dyDescent="0.25">
      <c r="A17" s="497" t="s">
        <v>243</v>
      </c>
      <c r="B17" s="497" t="s">
        <v>242</v>
      </c>
      <c r="C17" s="497">
        <v>97.384729629629604</v>
      </c>
      <c r="D17" s="497" t="s">
        <v>513</v>
      </c>
      <c r="E17" s="497" t="s">
        <v>556</v>
      </c>
      <c r="F17" s="497" t="s">
        <v>462</v>
      </c>
      <c r="G17" s="499">
        <v>6</v>
      </c>
      <c r="H17" s="499">
        <v>28</v>
      </c>
    </row>
    <row r="18" spans="1:8" x14ac:dyDescent="0.25">
      <c r="A18" s="497" t="s">
        <v>245</v>
      </c>
      <c r="B18" s="497" t="s">
        <v>244</v>
      </c>
      <c r="C18" s="497">
        <v>97.382997575757599</v>
      </c>
      <c r="D18" s="497" t="s">
        <v>513</v>
      </c>
      <c r="E18" s="497" t="s">
        <v>556</v>
      </c>
      <c r="F18" s="497" t="s">
        <v>462</v>
      </c>
      <c r="G18" s="499">
        <v>6</v>
      </c>
      <c r="H18" s="499">
        <v>39</v>
      </c>
    </row>
    <row r="19" spans="1:8" x14ac:dyDescent="0.25">
      <c r="A19" s="497" t="s">
        <v>247</v>
      </c>
      <c r="B19" s="497" t="s">
        <v>246</v>
      </c>
      <c r="C19" s="497">
        <v>97.381325000000004</v>
      </c>
      <c r="D19" s="497" t="s">
        <v>513</v>
      </c>
      <c r="E19" s="497" t="s">
        <v>556</v>
      </c>
      <c r="F19" s="497" t="s">
        <v>462</v>
      </c>
      <c r="G19" s="499">
        <v>50</v>
      </c>
      <c r="H19" s="499">
        <v>236</v>
      </c>
    </row>
    <row r="20" spans="1:8" x14ac:dyDescent="0.25">
      <c r="A20" s="497" t="s">
        <v>192</v>
      </c>
      <c r="B20" s="497" t="s">
        <v>191</v>
      </c>
      <c r="C20" s="497">
        <v>97.537099999999995</v>
      </c>
      <c r="D20" s="497" t="s">
        <v>515</v>
      </c>
      <c r="E20" s="497" t="s">
        <v>556</v>
      </c>
      <c r="F20" s="497" t="s">
        <v>1097</v>
      </c>
      <c r="G20" s="499">
        <v>115</v>
      </c>
      <c r="H20" s="499">
        <v>596</v>
      </c>
    </row>
    <row r="21" spans="1:8" x14ac:dyDescent="0.25">
      <c r="A21" s="497" t="s">
        <v>313</v>
      </c>
      <c r="B21" s="497" t="s">
        <v>312</v>
      </c>
      <c r="C21" s="497">
        <v>97.404195925926004</v>
      </c>
      <c r="D21" s="497" t="s">
        <v>513</v>
      </c>
      <c r="E21" s="497" t="s">
        <v>556</v>
      </c>
      <c r="F21" s="497" t="s">
        <v>507</v>
      </c>
      <c r="G21" s="499">
        <v>110</v>
      </c>
      <c r="H21" s="499">
        <v>508</v>
      </c>
    </row>
    <row r="22" spans="1:8" x14ac:dyDescent="0.25">
      <c r="A22" s="497" t="s">
        <v>336</v>
      </c>
      <c r="B22" s="497" t="s">
        <v>335</v>
      </c>
      <c r="C22" s="497">
        <v>97.807182999999995</v>
      </c>
      <c r="D22" s="497" t="s">
        <v>515</v>
      </c>
      <c r="E22" s="497" t="s">
        <v>556</v>
      </c>
      <c r="F22" s="497" t="s">
        <v>462</v>
      </c>
      <c r="G22" s="499">
        <v>136</v>
      </c>
      <c r="H22" s="499">
        <v>1116</v>
      </c>
    </row>
    <row r="23" spans="1:8" x14ac:dyDescent="0.25">
      <c r="A23" s="497" t="s">
        <v>88</v>
      </c>
      <c r="B23" s="497" t="s">
        <v>87</v>
      </c>
      <c r="C23" s="497">
        <v>96.705960000000005</v>
      </c>
      <c r="D23" s="497" t="s">
        <v>513</v>
      </c>
      <c r="E23" s="497" t="s">
        <v>556</v>
      </c>
      <c r="F23" s="497" t="s">
        <v>462</v>
      </c>
      <c r="G23" s="499">
        <v>12</v>
      </c>
      <c r="H23" s="499">
        <v>52</v>
      </c>
    </row>
    <row r="24" spans="1:8" x14ac:dyDescent="0.25">
      <c r="A24" s="497" t="s">
        <v>44</v>
      </c>
      <c r="B24" s="497" t="s">
        <v>45</v>
      </c>
      <c r="C24" s="497">
        <v>96.316564</v>
      </c>
      <c r="D24" s="497" t="s">
        <v>513</v>
      </c>
      <c r="E24" s="497" t="s">
        <v>556</v>
      </c>
      <c r="F24" s="497" t="s">
        <v>507</v>
      </c>
      <c r="G24" s="499">
        <v>13</v>
      </c>
      <c r="H24" s="499">
        <v>75</v>
      </c>
    </row>
    <row r="25" spans="1:8" x14ac:dyDescent="0.25">
      <c r="A25" s="497" t="s">
        <v>1072</v>
      </c>
      <c r="B25" s="497" t="s">
        <v>1073</v>
      </c>
      <c r="C25" s="497">
        <v>96.312790000000007</v>
      </c>
      <c r="D25" s="497" t="s">
        <v>513</v>
      </c>
      <c r="E25" s="497" t="s">
        <v>556</v>
      </c>
      <c r="F25" s="497" t="s">
        <v>462</v>
      </c>
      <c r="G25" s="499">
        <v>116</v>
      </c>
      <c r="H25" s="499">
        <v>530</v>
      </c>
    </row>
    <row r="26" spans="1:8" x14ac:dyDescent="0.25">
      <c r="A26" s="497" t="s">
        <v>364</v>
      </c>
      <c r="B26" s="497" t="s">
        <v>29</v>
      </c>
      <c r="C26" s="497">
        <v>98.475719999999995</v>
      </c>
      <c r="D26" s="497" t="s">
        <v>515</v>
      </c>
      <c r="E26" s="497" t="s">
        <v>556</v>
      </c>
      <c r="F26" s="497" t="s">
        <v>462</v>
      </c>
      <c r="G26" s="499">
        <v>154</v>
      </c>
      <c r="H26" s="499">
        <v>920</v>
      </c>
    </row>
    <row r="27" spans="1:8" x14ac:dyDescent="0.25">
      <c r="A27" s="497" t="s">
        <v>194</v>
      </c>
      <c r="B27" s="497" t="s">
        <v>193</v>
      </c>
      <c r="C27" s="497">
        <v>97.573126000000002</v>
      </c>
      <c r="D27" s="497" t="s">
        <v>515</v>
      </c>
      <c r="E27" s="497" t="s">
        <v>556</v>
      </c>
      <c r="F27" s="497" t="s">
        <v>1097</v>
      </c>
      <c r="G27" s="499">
        <v>613</v>
      </c>
      <c r="H27" s="499">
        <v>2969</v>
      </c>
    </row>
    <row r="28" spans="1:8" x14ac:dyDescent="0.25">
      <c r="A28" s="497" t="s">
        <v>14</v>
      </c>
      <c r="B28" s="497" t="s">
        <v>13</v>
      </c>
      <c r="C28" s="497">
        <v>97.236919999999998</v>
      </c>
      <c r="D28" s="497" t="s">
        <v>513</v>
      </c>
      <c r="E28" s="497" t="s">
        <v>556</v>
      </c>
      <c r="F28" s="497" t="s">
        <v>462</v>
      </c>
      <c r="G28" s="499">
        <v>43</v>
      </c>
      <c r="H28" s="499">
        <v>237</v>
      </c>
    </row>
    <row r="29" spans="1:8" x14ac:dyDescent="0.25">
      <c r="A29" s="497" t="s">
        <v>818</v>
      </c>
      <c r="B29" s="497" t="s">
        <v>819</v>
      </c>
      <c r="C29" s="497">
        <v>97.541793999999996</v>
      </c>
      <c r="D29" s="497" t="s">
        <v>515</v>
      </c>
      <c r="E29" s="497" t="s">
        <v>993</v>
      </c>
      <c r="F29" s="497" t="s">
        <v>865</v>
      </c>
      <c r="G29" s="499"/>
      <c r="H29" s="499">
        <v>1047</v>
      </c>
    </row>
    <row r="30" spans="1:8" x14ac:dyDescent="0.25">
      <c r="A30" s="497" t="s">
        <v>253</v>
      </c>
      <c r="B30" s="497" t="s">
        <v>252</v>
      </c>
      <c r="C30" s="497">
        <v>97.373361000000003</v>
      </c>
      <c r="D30" s="497" t="s">
        <v>513</v>
      </c>
      <c r="E30" s="497" t="s">
        <v>556</v>
      </c>
      <c r="F30" s="497" t="s">
        <v>462</v>
      </c>
      <c r="G30" s="499">
        <v>203</v>
      </c>
      <c r="H30" s="499">
        <v>1072</v>
      </c>
    </row>
    <row r="31" spans="1:8" x14ac:dyDescent="0.25">
      <c r="A31" s="497" t="s">
        <v>255</v>
      </c>
      <c r="B31" s="497" t="s">
        <v>254</v>
      </c>
      <c r="C31" s="497">
        <v>97.379594999999995</v>
      </c>
      <c r="D31" s="497" t="s">
        <v>513</v>
      </c>
      <c r="E31" s="497" t="s">
        <v>556</v>
      </c>
      <c r="F31" s="497" t="s">
        <v>1097</v>
      </c>
      <c r="G31" s="499">
        <v>109</v>
      </c>
      <c r="H31" s="499">
        <v>493</v>
      </c>
    </row>
    <row r="32" spans="1:8" x14ac:dyDescent="0.25">
      <c r="A32" s="497" t="s">
        <v>196</v>
      </c>
      <c r="B32" s="497" t="s">
        <v>195</v>
      </c>
      <c r="C32" s="497">
        <v>97.568331999999998</v>
      </c>
      <c r="D32" s="497" t="s">
        <v>515</v>
      </c>
      <c r="E32" s="497" t="s">
        <v>556</v>
      </c>
      <c r="F32" s="497" t="s">
        <v>1097</v>
      </c>
      <c r="G32" s="499">
        <v>1692</v>
      </c>
      <c r="H32" s="499">
        <v>8818</v>
      </c>
    </row>
    <row r="33" spans="1:8" x14ac:dyDescent="0.25">
      <c r="A33" s="497" t="s">
        <v>372</v>
      </c>
      <c r="B33" s="497" t="s">
        <v>382</v>
      </c>
      <c r="C33" s="497">
        <v>97.848529999999997</v>
      </c>
      <c r="D33" s="497" t="s">
        <v>513</v>
      </c>
      <c r="E33" s="497" t="s">
        <v>556</v>
      </c>
      <c r="F33" s="497" t="s">
        <v>462</v>
      </c>
      <c r="G33" s="499">
        <v>87</v>
      </c>
      <c r="H33" s="499">
        <v>488</v>
      </c>
    </row>
    <row r="34" spans="1:8" x14ac:dyDescent="0.25">
      <c r="A34" s="497" t="s">
        <v>369</v>
      </c>
      <c r="B34" s="497" t="s">
        <v>383</v>
      </c>
      <c r="C34" s="497">
        <v>97.926813999999993</v>
      </c>
      <c r="D34" s="497" t="s">
        <v>513</v>
      </c>
      <c r="E34" s="497" t="s">
        <v>556</v>
      </c>
      <c r="F34" s="497" t="s">
        <v>462</v>
      </c>
      <c r="G34" s="499">
        <v>64</v>
      </c>
      <c r="H34" s="499">
        <v>305</v>
      </c>
    </row>
    <row r="35" spans="1:8" x14ac:dyDescent="0.25">
      <c r="A35" s="497" t="s">
        <v>370</v>
      </c>
      <c r="B35" s="497" t="s">
        <v>384</v>
      </c>
      <c r="C35" s="497">
        <v>97.947360000000003</v>
      </c>
      <c r="D35" s="497" t="s">
        <v>513</v>
      </c>
      <c r="E35" s="497" t="s">
        <v>556</v>
      </c>
      <c r="F35" s="497" t="s">
        <v>1296</v>
      </c>
      <c r="G35" s="499">
        <v>30</v>
      </c>
      <c r="H35" s="499">
        <v>139</v>
      </c>
    </row>
    <row r="36" spans="1:8" x14ac:dyDescent="0.25">
      <c r="A36" s="497" t="s">
        <v>257</v>
      </c>
      <c r="B36" s="497" t="s">
        <v>256</v>
      </c>
      <c r="C36" s="497">
        <v>97.405202777777802</v>
      </c>
      <c r="D36" s="497" t="s">
        <v>513</v>
      </c>
      <c r="E36" s="497" t="s">
        <v>556</v>
      </c>
      <c r="F36" s="497" t="s">
        <v>462</v>
      </c>
      <c r="G36" s="499">
        <v>45</v>
      </c>
      <c r="H36" s="499">
        <v>194</v>
      </c>
    </row>
    <row r="37" spans="1:8" x14ac:dyDescent="0.25">
      <c r="A37" s="497" t="s">
        <v>174</v>
      </c>
      <c r="B37" s="497" t="s">
        <v>172</v>
      </c>
      <c r="C37" s="497">
        <v>96.922619999999995</v>
      </c>
      <c r="D37" s="497" t="s">
        <v>513</v>
      </c>
      <c r="E37" s="497" t="s">
        <v>556</v>
      </c>
      <c r="F37" s="497" t="s">
        <v>462</v>
      </c>
      <c r="G37" s="499">
        <v>16</v>
      </c>
      <c r="H37" s="499">
        <v>69</v>
      </c>
    </row>
    <row r="38" spans="1:8" x14ac:dyDescent="0.25">
      <c r="A38" s="497" t="s">
        <v>145</v>
      </c>
      <c r="B38" s="497" t="s">
        <v>143</v>
      </c>
      <c r="C38" s="497">
        <v>98.144502500000002</v>
      </c>
      <c r="D38" s="497" t="s">
        <v>513</v>
      </c>
      <c r="E38" s="497" t="s">
        <v>556</v>
      </c>
      <c r="F38" s="497" t="s">
        <v>865</v>
      </c>
      <c r="G38" s="499">
        <v>11</v>
      </c>
      <c r="H38" s="499">
        <v>17</v>
      </c>
    </row>
    <row r="39" spans="1:8" x14ac:dyDescent="0.25">
      <c r="A39" s="497" t="s">
        <v>198</v>
      </c>
      <c r="B39" s="497" t="s">
        <v>197</v>
      </c>
      <c r="C39" s="497">
        <v>97.625617000000005</v>
      </c>
      <c r="D39" s="497" t="s">
        <v>515</v>
      </c>
      <c r="E39" s="497" t="s">
        <v>556</v>
      </c>
      <c r="F39" s="497" t="s">
        <v>1096</v>
      </c>
      <c r="G39" s="499">
        <v>541</v>
      </c>
      <c r="H39" s="499">
        <v>2607</v>
      </c>
    </row>
    <row r="40" spans="1:8" x14ac:dyDescent="0.25">
      <c r="A40" s="497" t="s">
        <v>240</v>
      </c>
      <c r="B40" s="497" t="s">
        <v>239</v>
      </c>
      <c r="C40" s="497">
        <v>97.409035000000003</v>
      </c>
      <c r="D40" s="497" t="s">
        <v>513</v>
      </c>
      <c r="E40" s="497" t="s">
        <v>556</v>
      </c>
      <c r="F40" s="497" t="s">
        <v>462</v>
      </c>
      <c r="G40" s="499">
        <v>108</v>
      </c>
      <c r="H40" s="499">
        <v>605</v>
      </c>
    </row>
    <row r="41" spans="1:8" x14ac:dyDescent="0.25">
      <c r="A41" s="497" t="s">
        <v>285</v>
      </c>
      <c r="B41" s="497" t="s">
        <v>284</v>
      </c>
      <c r="C41" s="497">
        <v>97.403402307692303</v>
      </c>
      <c r="D41" s="497" t="s">
        <v>513</v>
      </c>
      <c r="E41" s="497" t="s">
        <v>556</v>
      </c>
      <c r="F41" s="497" t="s">
        <v>462</v>
      </c>
      <c r="G41" s="499">
        <v>163</v>
      </c>
      <c r="H41" s="499">
        <v>712</v>
      </c>
    </row>
    <row r="42" spans="1:8" x14ac:dyDescent="0.25">
      <c r="A42" s="497" t="s">
        <v>365</v>
      </c>
      <c r="B42" s="497" t="s">
        <v>378</v>
      </c>
      <c r="C42" s="497">
        <v>98.129990000000006</v>
      </c>
      <c r="D42" s="497" t="s">
        <v>513</v>
      </c>
      <c r="E42" s="497" t="s">
        <v>556</v>
      </c>
      <c r="F42" s="497" t="s">
        <v>507</v>
      </c>
      <c r="G42" s="499">
        <v>144</v>
      </c>
      <c r="H42" s="499">
        <v>645</v>
      </c>
    </row>
    <row r="43" spans="1:8" x14ac:dyDescent="0.25">
      <c r="A43" s="497" t="s">
        <v>90</v>
      </c>
      <c r="B43" s="497" t="s">
        <v>89</v>
      </c>
      <c r="C43" s="497">
        <v>96.269199999999998</v>
      </c>
      <c r="D43" s="497" t="s">
        <v>513</v>
      </c>
      <c r="E43" s="497" t="s">
        <v>556</v>
      </c>
      <c r="F43" s="497" t="s">
        <v>507</v>
      </c>
      <c r="G43" s="499">
        <v>25</v>
      </c>
      <c r="H43" s="499">
        <v>133</v>
      </c>
    </row>
    <row r="44" spans="1:8" x14ac:dyDescent="0.25">
      <c r="A44" s="497" t="s">
        <v>92</v>
      </c>
      <c r="B44" s="497" t="s">
        <v>91</v>
      </c>
      <c r="C44" s="497">
        <v>96.316400000000002</v>
      </c>
      <c r="D44" s="497" t="s">
        <v>513</v>
      </c>
      <c r="E44" s="497" t="s">
        <v>556</v>
      </c>
      <c r="F44" s="497" t="s">
        <v>507</v>
      </c>
      <c r="G44" s="499">
        <v>15</v>
      </c>
      <c r="H44" s="499">
        <v>74</v>
      </c>
    </row>
    <row r="45" spans="1:8" x14ac:dyDescent="0.25">
      <c r="A45" s="497" t="s">
        <v>18</v>
      </c>
      <c r="B45" s="497" t="s">
        <v>17</v>
      </c>
      <c r="C45" s="497">
        <v>97.240183461538507</v>
      </c>
      <c r="D45" s="497" t="s">
        <v>513</v>
      </c>
      <c r="E45" s="497" t="s">
        <v>556</v>
      </c>
      <c r="F45" s="497" t="s">
        <v>507</v>
      </c>
      <c r="G45" s="499">
        <v>116</v>
      </c>
      <c r="H45" s="499">
        <v>659</v>
      </c>
    </row>
    <row r="46" spans="1:8" x14ac:dyDescent="0.25">
      <c r="A46" s="497" t="s">
        <v>186</v>
      </c>
      <c r="B46" s="497" t="s">
        <v>184</v>
      </c>
      <c r="C46" s="497">
        <v>97.718582999999995</v>
      </c>
      <c r="D46" s="497" t="s">
        <v>513</v>
      </c>
      <c r="E46" s="497" t="s">
        <v>556</v>
      </c>
      <c r="F46" s="497" t="s">
        <v>462</v>
      </c>
      <c r="G46" s="499">
        <v>29</v>
      </c>
      <c r="H46" s="499">
        <v>182</v>
      </c>
    </row>
    <row r="47" spans="1:8" x14ac:dyDescent="0.25">
      <c r="A47" s="497" t="s">
        <v>223</v>
      </c>
      <c r="B47" s="497" t="s">
        <v>222</v>
      </c>
      <c r="C47" s="497">
        <v>97.724566999999993</v>
      </c>
      <c r="D47" s="497" t="s">
        <v>513</v>
      </c>
      <c r="E47" s="497" t="s">
        <v>556</v>
      </c>
      <c r="F47" s="497" t="s">
        <v>1096</v>
      </c>
      <c r="G47" s="499">
        <v>70</v>
      </c>
      <c r="H47" s="499">
        <v>609</v>
      </c>
    </row>
    <row r="48" spans="1:8" x14ac:dyDescent="0.25">
      <c r="A48" s="497" t="s">
        <v>190</v>
      </c>
      <c r="B48" s="497" t="s">
        <v>189</v>
      </c>
      <c r="C48" s="497">
        <v>97.717133000000004</v>
      </c>
      <c r="D48" s="497" t="s">
        <v>513</v>
      </c>
      <c r="E48" s="497" t="s">
        <v>556</v>
      </c>
      <c r="F48" s="497" t="s">
        <v>462</v>
      </c>
      <c r="G48" s="499">
        <v>188</v>
      </c>
      <c r="H48" s="499">
        <v>993</v>
      </c>
    </row>
    <row r="49" spans="1:8" x14ac:dyDescent="0.25">
      <c r="A49" s="497" t="s">
        <v>320</v>
      </c>
      <c r="B49" s="497" t="s">
        <v>319</v>
      </c>
      <c r="C49" s="497">
        <v>97.451965000000001</v>
      </c>
      <c r="D49" s="497" t="s">
        <v>513</v>
      </c>
      <c r="E49" s="497" t="s">
        <v>556</v>
      </c>
      <c r="F49" s="497" t="s">
        <v>462</v>
      </c>
      <c r="G49" s="499">
        <v>25</v>
      </c>
      <c r="H49" s="499">
        <v>138</v>
      </c>
    </row>
    <row r="50" spans="1:8" x14ac:dyDescent="0.25">
      <c r="A50" s="497" t="s">
        <v>322</v>
      </c>
      <c r="B50" s="497" t="s">
        <v>321</v>
      </c>
      <c r="C50" s="497">
        <v>97.715230000000005</v>
      </c>
      <c r="D50" s="497" t="s">
        <v>515</v>
      </c>
      <c r="E50" s="497" t="s">
        <v>556</v>
      </c>
      <c r="F50" s="497" t="s">
        <v>1097</v>
      </c>
      <c r="G50" s="499">
        <v>609</v>
      </c>
      <c r="H50" s="499">
        <v>2627</v>
      </c>
    </row>
    <row r="51" spans="1:8" x14ac:dyDescent="0.25">
      <c r="A51" s="497" t="s">
        <v>328</v>
      </c>
      <c r="B51" s="497" t="s">
        <v>327</v>
      </c>
      <c r="C51" s="497">
        <v>97.433419259259296</v>
      </c>
      <c r="D51" s="497" t="s">
        <v>513</v>
      </c>
      <c r="E51" s="497" t="s">
        <v>556</v>
      </c>
      <c r="F51" s="497" t="s">
        <v>507</v>
      </c>
      <c r="G51" s="499">
        <v>135</v>
      </c>
      <c r="H51" s="499">
        <v>738</v>
      </c>
    </row>
    <row r="52" spans="1:8" x14ac:dyDescent="0.25">
      <c r="A52" s="497" t="s">
        <v>330</v>
      </c>
      <c r="B52" s="497" t="s">
        <v>329</v>
      </c>
      <c r="C52" s="497">
        <v>97.437782499999997</v>
      </c>
      <c r="D52" s="497" t="s">
        <v>513</v>
      </c>
      <c r="E52" s="497" t="s">
        <v>556</v>
      </c>
      <c r="F52" s="497" t="s">
        <v>1097</v>
      </c>
      <c r="G52" s="499">
        <v>227</v>
      </c>
      <c r="H52" s="499">
        <v>1218</v>
      </c>
    </row>
    <row r="53" spans="1:8" x14ac:dyDescent="0.25">
      <c r="A53" s="497" t="s">
        <v>324</v>
      </c>
      <c r="B53" s="497" t="s">
        <v>323</v>
      </c>
      <c r="C53" s="497">
        <v>97.434855869565197</v>
      </c>
      <c r="D53" s="497" t="s">
        <v>513</v>
      </c>
      <c r="E53" s="497" t="s">
        <v>556</v>
      </c>
      <c r="F53" s="497" t="s">
        <v>462</v>
      </c>
      <c r="G53" s="499">
        <v>428</v>
      </c>
      <c r="H53" s="499">
        <v>2219</v>
      </c>
    </row>
    <row r="54" spans="1:8" x14ac:dyDescent="0.25">
      <c r="A54" s="497" t="s">
        <v>326</v>
      </c>
      <c r="B54" s="497" t="s">
        <v>325</v>
      </c>
      <c r="C54" s="497">
        <v>97.426536944444507</v>
      </c>
      <c r="D54" s="497" t="s">
        <v>513</v>
      </c>
      <c r="E54" s="497" t="s">
        <v>556</v>
      </c>
      <c r="F54" s="497" t="s">
        <v>462</v>
      </c>
      <c r="G54" s="499">
        <v>48</v>
      </c>
      <c r="H54" s="499">
        <v>199</v>
      </c>
    </row>
    <row r="55" spans="1:8" x14ac:dyDescent="0.25">
      <c r="A55" s="497" t="s">
        <v>891</v>
      </c>
      <c r="B55" s="497" t="s">
        <v>892</v>
      </c>
      <c r="C55" s="497">
        <v>97.225881000000001</v>
      </c>
      <c r="D55" s="497" t="s">
        <v>513</v>
      </c>
      <c r="E55" s="497" t="s">
        <v>556</v>
      </c>
      <c r="F55" s="497" t="s">
        <v>462</v>
      </c>
      <c r="G55" s="499">
        <v>372</v>
      </c>
      <c r="H55" s="499">
        <v>1141</v>
      </c>
    </row>
    <row r="56" spans="1:8" x14ac:dyDescent="0.25">
      <c r="A56" s="497" t="s">
        <v>949</v>
      </c>
      <c r="B56" s="497" t="s">
        <v>948</v>
      </c>
      <c r="C56" s="497">
        <v>97.227057000000002</v>
      </c>
      <c r="D56" s="497" t="s">
        <v>513</v>
      </c>
      <c r="E56" s="497" t="s">
        <v>556</v>
      </c>
      <c r="F56" s="497" t="s">
        <v>1096</v>
      </c>
      <c r="G56" s="499">
        <v>121</v>
      </c>
      <c r="H56" s="499">
        <v>596</v>
      </c>
    </row>
    <row r="57" spans="1:8" x14ac:dyDescent="0.25">
      <c r="A57" s="497" t="s">
        <v>259</v>
      </c>
      <c r="B57" s="497" t="s">
        <v>258</v>
      </c>
      <c r="C57" s="497">
        <v>97.4113064583333</v>
      </c>
      <c r="D57" s="497" t="s">
        <v>513</v>
      </c>
      <c r="E57" s="497" t="s">
        <v>556</v>
      </c>
      <c r="F57" s="497" t="s">
        <v>462</v>
      </c>
      <c r="G57" s="499">
        <v>72</v>
      </c>
      <c r="H57" s="499">
        <v>375</v>
      </c>
    </row>
    <row r="58" spans="1:8" x14ac:dyDescent="0.25">
      <c r="A58" s="497" t="s">
        <v>202</v>
      </c>
      <c r="B58" s="497" t="s">
        <v>201</v>
      </c>
      <c r="C58" s="497">
        <v>97.325019999999995</v>
      </c>
      <c r="D58" s="497" t="s">
        <v>513</v>
      </c>
      <c r="E58" s="497" t="s">
        <v>556</v>
      </c>
      <c r="F58" s="497" t="s">
        <v>1096</v>
      </c>
      <c r="G58" s="499">
        <v>265</v>
      </c>
      <c r="H58" s="499">
        <v>1084</v>
      </c>
    </row>
    <row r="59" spans="1:8" x14ac:dyDescent="0.25">
      <c r="A59" s="497" t="s">
        <v>261</v>
      </c>
      <c r="B59" s="497" t="s">
        <v>260</v>
      </c>
      <c r="C59" s="497">
        <v>97.418694000000002</v>
      </c>
      <c r="D59" s="497" t="s">
        <v>513</v>
      </c>
      <c r="E59" s="497" t="s">
        <v>556</v>
      </c>
      <c r="F59" s="497" t="s">
        <v>462</v>
      </c>
      <c r="G59" s="499">
        <v>96</v>
      </c>
      <c r="H59" s="499">
        <v>505</v>
      </c>
    </row>
    <row r="60" spans="1:8" x14ac:dyDescent="0.25">
      <c r="A60" s="497" t="s">
        <v>160</v>
      </c>
      <c r="B60" s="497" t="s">
        <v>159</v>
      </c>
      <c r="C60" s="497">
        <v>97.589979999999997</v>
      </c>
      <c r="D60" s="497" t="s">
        <v>513</v>
      </c>
      <c r="E60" s="497" t="s">
        <v>556</v>
      </c>
      <c r="F60" s="497" t="s">
        <v>462</v>
      </c>
      <c r="G60" s="499">
        <v>114</v>
      </c>
      <c r="H60" s="499">
        <v>524</v>
      </c>
    </row>
    <row r="61" spans="1:8" x14ac:dyDescent="0.25">
      <c r="A61" s="497" t="s">
        <v>1102</v>
      </c>
      <c r="B61" s="497" t="s">
        <v>1103</v>
      </c>
      <c r="C61" s="497">
        <v>97.590767</v>
      </c>
      <c r="D61" s="497" t="s">
        <v>513</v>
      </c>
      <c r="E61" s="497" t="s">
        <v>556</v>
      </c>
      <c r="F61" s="497" t="s">
        <v>462</v>
      </c>
      <c r="G61" s="499">
        <v>114</v>
      </c>
      <c r="H61" s="499">
        <v>524</v>
      </c>
    </row>
    <row r="62" spans="1:8" x14ac:dyDescent="0.25">
      <c r="A62" s="497" t="s">
        <v>154</v>
      </c>
      <c r="B62" s="497" t="s">
        <v>153</v>
      </c>
      <c r="C62" s="497">
        <v>97.578490000000002</v>
      </c>
      <c r="D62" s="497" t="s">
        <v>513</v>
      </c>
      <c r="E62" s="497" t="s">
        <v>556</v>
      </c>
      <c r="F62" s="497" t="s">
        <v>1096</v>
      </c>
      <c r="G62" s="499">
        <v>486</v>
      </c>
      <c r="H62" s="499">
        <v>2371</v>
      </c>
    </row>
    <row r="63" spans="1:8" x14ac:dyDescent="0.25">
      <c r="A63" s="497" t="s">
        <v>1068</v>
      </c>
      <c r="B63" s="497" t="s">
        <v>1069</v>
      </c>
      <c r="C63" s="497">
        <v>97.578367</v>
      </c>
      <c r="D63" s="497" t="s">
        <v>513</v>
      </c>
      <c r="E63" s="497" t="s">
        <v>556</v>
      </c>
      <c r="F63" s="497" t="s">
        <v>1096</v>
      </c>
      <c r="G63" s="499">
        <v>115</v>
      </c>
      <c r="H63" s="499">
        <v>502</v>
      </c>
    </row>
    <row r="64" spans="1:8" x14ac:dyDescent="0.25">
      <c r="A64" s="497" t="s">
        <v>167</v>
      </c>
      <c r="B64" s="497" t="s">
        <v>165</v>
      </c>
      <c r="C64" s="497">
        <v>97.124403000000001</v>
      </c>
      <c r="D64" s="497" t="s">
        <v>513</v>
      </c>
      <c r="E64" s="497" t="s">
        <v>556</v>
      </c>
      <c r="F64" s="497" t="s">
        <v>462</v>
      </c>
      <c r="G64" s="499">
        <v>38</v>
      </c>
      <c r="H64" s="499">
        <v>164</v>
      </c>
    </row>
    <row r="65" spans="1:8" x14ac:dyDescent="0.25">
      <c r="A65" s="497" t="s">
        <v>828</v>
      </c>
      <c r="B65" s="497" t="s">
        <v>829</v>
      </c>
      <c r="C65" s="497">
        <v>97.116680000000002</v>
      </c>
      <c r="D65" s="497" t="s">
        <v>513</v>
      </c>
      <c r="E65" s="497" t="s">
        <v>556</v>
      </c>
      <c r="F65" s="497" t="s">
        <v>1296</v>
      </c>
      <c r="G65" s="499">
        <v>31</v>
      </c>
      <c r="H65" s="499">
        <v>191</v>
      </c>
    </row>
    <row r="66" spans="1:8" x14ac:dyDescent="0.25">
      <c r="A66" s="497" t="s">
        <v>176</v>
      </c>
      <c r="B66" s="497" t="s">
        <v>175</v>
      </c>
      <c r="C66" s="497">
        <v>96.942279999999997</v>
      </c>
      <c r="D66" s="497" t="s">
        <v>513</v>
      </c>
      <c r="E66" s="497" t="s">
        <v>556</v>
      </c>
      <c r="F66" s="497" t="s">
        <v>462</v>
      </c>
      <c r="G66" s="499">
        <v>18</v>
      </c>
      <c r="H66" s="499">
        <v>79</v>
      </c>
    </row>
    <row r="67" spans="1:8" x14ac:dyDescent="0.25">
      <c r="A67" s="497" t="s">
        <v>152</v>
      </c>
      <c r="B67" s="497" t="s">
        <v>150</v>
      </c>
      <c r="C67" s="497">
        <v>97.291820000000001</v>
      </c>
      <c r="D67" s="497" t="s">
        <v>513</v>
      </c>
      <c r="E67" s="497" t="s">
        <v>556</v>
      </c>
      <c r="F67" s="497" t="s">
        <v>462</v>
      </c>
      <c r="G67" s="499">
        <v>221</v>
      </c>
      <c r="H67" s="499">
        <v>1003</v>
      </c>
    </row>
    <row r="68" spans="1:8" x14ac:dyDescent="0.25">
      <c r="A68" s="497" t="s">
        <v>263</v>
      </c>
      <c r="B68" s="497" t="s">
        <v>262</v>
      </c>
      <c r="C68" s="497">
        <v>97.2843958974359</v>
      </c>
      <c r="D68" s="497" t="s">
        <v>513</v>
      </c>
      <c r="E68" s="497" t="s">
        <v>556</v>
      </c>
      <c r="F68" s="497" t="s">
        <v>507</v>
      </c>
      <c r="G68" s="499">
        <v>22</v>
      </c>
      <c r="H68" s="499">
        <v>103</v>
      </c>
    </row>
    <row r="69" spans="1:8" x14ac:dyDescent="0.25">
      <c r="A69" s="497" t="s">
        <v>265</v>
      </c>
      <c r="B69" s="497" t="s">
        <v>264</v>
      </c>
      <c r="C69" s="497">
        <v>97.290952037037002</v>
      </c>
      <c r="D69" s="497" t="s">
        <v>513</v>
      </c>
      <c r="E69" s="497" t="s">
        <v>556</v>
      </c>
      <c r="F69" s="497" t="s">
        <v>507</v>
      </c>
      <c r="G69" s="499">
        <v>14</v>
      </c>
      <c r="H69" s="499">
        <v>73</v>
      </c>
    </row>
    <row r="70" spans="1:8" x14ac:dyDescent="0.25">
      <c r="A70" s="497" t="s">
        <v>100</v>
      </c>
      <c r="B70" s="497" t="s">
        <v>99</v>
      </c>
      <c r="C70" s="497">
        <v>96.319829999999996</v>
      </c>
      <c r="D70" s="497" t="s">
        <v>513</v>
      </c>
      <c r="E70" s="497" t="s">
        <v>556</v>
      </c>
      <c r="F70" s="497" t="s">
        <v>507</v>
      </c>
      <c r="G70" s="499">
        <v>5</v>
      </c>
      <c r="H70" s="499">
        <v>26</v>
      </c>
    </row>
    <row r="71" spans="1:8" x14ac:dyDescent="0.25">
      <c r="A71" s="497" t="s">
        <v>368</v>
      </c>
      <c r="B71" s="497" t="s">
        <v>385</v>
      </c>
      <c r="C71" s="497">
        <v>97.793019999999999</v>
      </c>
      <c r="D71" s="497" t="s">
        <v>513</v>
      </c>
      <c r="E71" s="497" t="s">
        <v>556</v>
      </c>
      <c r="F71" s="497" t="s">
        <v>462</v>
      </c>
      <c r="G71" s="499">
        <v>79</v>
      </c>
      <c r="H71" s="499">
        <v>318</v>
      </c>
    </row>
    <row r="72" spans="1:8" x14ac:dyDescent="0.25">
      <c r="A72" s="497" t="s">
        <v>209</v>
      </c>
      <c r="B72" s="497" t="s">
        <v>208</v>
      </c>
      <c r="C72" s="497">
        <v>97.344359999999995</v>
      </c>
      <c r="D72" s="497" t="s">
        <v>513</v>
      </c>
      <c r="E72" s="497" t="s">
        <v>556</v>
      </c>
      <c r="F72" s="497" t="s">
        <v>462</v>
      </c>
      <c r="G72" s="499">
        <v>207</v>
      </c>
      <c r="H72" s="499">
        <v>1863</v>
      </c>
    </row>
    <row r="73" spans="1:8" x14ac:dyDescent="0.25">
      <c r="A73" s="497" t="s">
        <v>233</v>
      </c>
      <c r="B73" s="497" t="s">
        <v>232</v>
      </c>
      <c r="C73" s="497">
        <v>98.320651999999995</v>
      </c>
      <c r="D73" s="497" t="s">
        <v>515</v>
      </c>
      <c r="E73" s="497" t="s">
        <v>556</v>
      </c>
      <c r="F73" s="497" t="s">
        <v>462</v>
      </c>
      <c r="G73" s="499">
        <v>9</v>
      </c>
      <c r="H73" s="499">
        <v>52</v>
      </c>
    </row>
    <row r="74" spans="1:8" x14ac:dyDescent="0.25">
      <c r="A74" s="497" t="s">
        <v>371</v>
      </c>
      <c r="B74" s="497" t="s">
        <v>147</v>
      </c>
      <c r="C74" s="497">
        <v>98.220614999999995</v>
      </c>
      <c r="D74" s="497" t="s">
        <v>513</v>
      </c>
      <c r="E74" s="497" t="s">
        <v>556</v>
      </c>
      <c r="F74" s="497" t="s">
        <v>462</v>
      </c>
      <c r="G74" s="499">
        <v>51</v>
      </c>
      <c r="H74" s="499">
        <v>261</v>
      </c>
    </row>
    <row r="75" spans="1:8" x14ac:dyDescent="0.25">
      <c r="A75" s="497" t="s">
        <v>1111</v>
      </c>
      <c r="B75" s="497" t="s">
        <v>1110</v>
      </c>
      <c r="C75" s="497" t="s">
        <v>865</v>
      </c>
      <c r="D75" s="497" t="s">
        <v>513</v>
      </c>
      <c r="E75" s="497" t="s">
        <v>556</v>
      </c>
      <c r="F75" s="497" t="s">
        <v>1296</v>
      </c>
      <c r="G75" s="499">
        <v>21</v>
      </c>
      <c r="H75" s="499">
        <v>107</v>
      </c>
    </row>
    <row r="76" spans="1:8" x14ac:dyDescent="0.25">
      <c r="A76" s="497" t="s">
        <v>1060</v>
      </c>
      <c r="B76" s="497" t="s">
        <v>1061</v>
      </c>
      <c r="C76" s="497">
        <v>97.909400000000005</v>
      </c>
      <c r="D76" s="497" t="s">
        <v>513</v>
      </c>
      <c r="E76" s="497" t="s">
        <v>556</v>
      </c>
      <c r="F76" s="497" t="s">
        <v>462</v>
      </c>
      <c r="G76" s="499">
        <v>55</v>
      </c>
      <c r="H76" s="499">
        <v>237</v>
      </c>
    </row>
    <row r="77" spans="1:8" x14ac:dyDescent="0.25">
      <c r="A77" s="497" t="s">
        <v>1070</v>
      </c>
      <c r="B77" s="497" t="s">
        <v>1071</v>
      </c>
      <c r="C77" s="497">
        <v>97.911647000000002</v>
      </c>
      <c r="D77" s="497" t="s">
        <v>513</v>
      </c>
      <c r="E77" s="497" t="s">
        <v>556</v>
      </c>
      <c r="F77" s="497" t="s">
        <v>1296</v>
      </c>
      <c r="G77" s="499">
        <v>30</v>
      </c>
      <c r="H77" s="499">
        <v>188</v>
      </c>
    </row>
    <row r="78" spans="1:8" x14ac:dyDescent="0.25">
      <c r="A78" s="497" t="s">
        <v>8</v>
      </c>
      <c r="B78" s="497" t="s">
        <v>7</v>
      </c>
      <c r="C78" s="497">
        <v>97.234200000000001</v>
      </c>
      <c r="D78" s="497" t="s">
        <v>513</v>
      </c>
      <c r="E78" s="497" t="s">
        <v>556</v>
      </c>
      <c r="F78" s="497" t="s">
        <v>507</v>
      </c>
      <c r="G78" s="499">
        <v>23</v>
      </c>
      <c r="H78" s="499">
        <v>86</v>
      </c>
    </row>
    <row r="79" spans="1:8" x14ac:dyDescent="0.25">
      <c r="A79" s="497" t="s">
        <v>292</v>
      </c>
      <c r="B79" s="497" t="s">
        <v>291</v>
      </c>
      <c r="C79" s="497">
        <v>97.681970000000007</v>
      </c>
      <c r="D79" s="497" t="s">
        <v>513</v>
      </c>
      <c r="E79" s="497" t="s">
        <v>556</v>
      </c>
      <c r="F79" s="497" t="s">
        <v>462</v>
      </c>
      <c r="G79" s="499">
        <v>82</v>
      </c>
      <c r="H79" s="499">
        <v>408</v>
      </c>
    </row>
    <row r="80" spans="1:8" x14ac:dyDescent="0.25">
      <c r="A80" s="497" t="s">
        <v>290</v>
      </c>
      <c r="B80" s="497" t="s">
        <v>288</v>
      </c>
      <c r="C80" s="497">
        <v>97.669557999999995</v>
      </c>
      <c r="D80" s="497" t="s">
        <v>513</v>
      </c>
      <c r="E80" s="497" t="s">
        <v>556</v>
      </c>
      <c r="F80" s="497" t="s">
        <v>462</v>
      </c>
      <c r="G80" s="499">
        <v>68</v>
      </c>
      <c r="H80" s="499">
        <v>376</v>
      </c>
    </row>
    <row r="81" spans="1:8" x14ac:dyDescent="0.25">
      <c r="A81" s="497" t="s">
        <v>1062</v>
      </c>
      <c r="B81" s="497" t="s">
        <v>1063</v>
      </c>
      <c r="C81" s="497">
        <v>97.700940000000003</v>
      </c>
      <c r="D81" s="497" t="s">
        <v>513</v>
      </c>
      <c r="E81" s="497" t="s">
        <v>556</v>
      </c>
      <c r="F81" s="497" t="s">
        <v>462</v>
      </c>
      <c r="G81" s="499">
        <v>41</v>
      </c>
      <c r="H81" s="499">
        <v>225</v>
      </c>
    </row>
    <row r="82" spans="1:8" x14ac:dyDescent="0.25">
      <c r="A82" s="497" t="s">
        <v>374</v>
      </c>
      <c r="B82" s="497" t="s">
        <v>295</v>
      </c>
      <c r="C82" s="497">
        <v>97.670360000000002</v>
      </c>
      <c r="D82" s="497" t="s">
        <v>513</v>
      </c>
      <c r="E82" s="497" t="s">
        <v>556</v>
      </c>
      <c r="F82" s="497" t="s">
        <v>1296</v>
      </c>
      <c r="G82" s="499">
        <v>50</v>
      </c>
      <c r="H82" s="499">
        <v>218</v>
      </c>
    </row>
    <row r="83" spans="1:8" x14ac:dyDescent="0.25">
      <c r="A83" s="497" t="s">
        <v>361</v>
      </c>
      <c r="B83" s="497" t="s">
        <v>843</v>
      </c>
      <c r="C83" s="497" t="s">
        <v>865</v>
      </c>
      <c r="D83" s="497" t="s">
        <v>515</v>
      </c>
      <c r="E83" s="497" t="s">
        <v>556</v>
      </c>
      <c r="F83" s="497" t="s">
        <v>462</v>
      </c>
      <c r="G83" s="499">
        <v>9</v>
      </c>
      <c r="H83" s="499">
        <v>44</v>
      </c>
    </row>
    <row r="84" spans="1:8" x14ac:dyDescent="0.25">
      <c r="A84" s="497" t="s">
        <v>149</v>
      </c>
      <c r="B84" s="497" t="s">
        <v>148</v>
      </c>
      <c r="C84" s="497">
        <v>97.818979999999996</v>
      </c>
      <c r="D84" s="497" t="s">
        <v>513</v>
      </c>
      <c r="E84" s="497" t="s">
        <v>556</v>
      </c>
      <c r="F84" s="497" t="s">
        <v>462</v>
      </c>
      <c r="G84" s="499">
        <v>71</v>
      </c>
      <c r="H84" s="499">
        <v>278</v>
      </c>
    </row>
    <row r="85" spans="1:8" x14ac:dyDescent="0.25">
      <c r="A85" s="497" t="s">
        <v>613</v>
      </c>
      <c r="B85" s="497" t="s">
        <v>46</v>
      </c>
      <c r="C85" s="497">
        <v>96.339590000000001</v>
      </c>
      <c r="D85" s="497" t="s">
        <v>513</v>
      </c>
      <c r="E85" s="497" t="s">
        <v>556</v>
      </c>
      <c r="F85" s="497" t="s">
        <v>507</v>
      </c>
      <c r="G85" s="499">
        <v>17</v>
      </c>
      <c r="H85" s="499">
        <v>64</v>
      </c>
    </row>
    <row r="86" spans="1:8" x14ac:dyDescent="0.25">
      <c r="A86" s="497" t="s">
        <v>827</v>
      </c>
      <c r="B86" s="497" t="s">
        <v>297</v>
      </c>
      <c r="C86" s="497">
        <v>97.404089999999997</v>
      </c>
      <c r="D86" s="497" t="s">
        <v>513</v>
      </c>
      <c r="E86" s="497" t="s">
        <v>556</v>
      </c>
      <c r="F86" s="497" t="s">
        <v>462</v>
      </c>
      <c r="G86" s="499">
        <v>10</v>
      </c>
      <c r="H86" s="499">
        <v>41</v>
      </c>
    </row>
    <row r="87" spans="1:8" x14ac:dyDescent="0.25">
      <c r="A87" s="497" t="s">
        <v>1074</v>
      </c>
      <c r="B87" s="497" t="s">
        <v>1067</v>
      </c>
      <c r="C87" s="497">
        <v>97.709879999999998</v>
      </c>
      <c r="D87" s="497" t="s">
        <v>513</v>
      </c>
      <c r="E87" s="497" t="s">
        <v>556</v>
      </c>
      <c r="F87" s="497" t="s">
        <v>462</v>
      </c>
      <c r="G87" s="499">
        <v>141</v>
      </c>
      <c r="H87" s="499">
        <v>669</v>
      </c>
    </row>
    <row r="88" spans="1:8" x14ac:dyDescent="0.25">
      <c r="A88" s="497" t="s">
        <v>271</v>
      </c>
      <c r="B88" s="497" t="s">
        <v>270</v>
      </c>
      <c r="C88" s="497">
        <v>97.359320179999997</v>
      </c>
      <c r="D88" s="497" t="s">
        <v>513</v>
      </c>
      <c r="E88" s="497" t="s">
        <v>556</v>
      </c>
      <c r="F88" s="497" t="s">
        <v>1097</v>
      </c>
      <c r="G88" s="499">
        <v>70</v>
      </c>
      <c r="H88" s="499">
        <v>326</v>
      </c>
    </row>
    <row r="89" spans="1:8" x14ac:dyDescent="0.25">
      <c r="A89" s="497" t="s">
        <v>20</v>
      </c>
      <c r="B89" s="497" t="s">
        <v>19</v>
      </c>
      <c r="C89" s="497">
        <v>97.315860000000001</v>
      </c>
      <c r="D89" s="497" t="s">
        <v>513</v>
      </c>
      <c r="E89" s="497" t="s">
        <v>556</v>
      </c>
      <c r="F89" s="497" t="s">
        <v>1096</v>
      </c>
      <c r="G89" s="499">
        <v>23</v>
      </c>
      <c r="H89" s="499">
        <v>124</v>
      </c>
    </row>
    <row r="90" spans="1:8" x14ac:dyDescent="0.25">
      <c r="A90" s="497" t="s">
        <v>108</v>
      </c>
      <c r="B90" s="497" t="s">
        <v>107</v>
      </c>
      <c r="C90" s="497">
        <v>96.341352999999998</v>
      </c>
      <c r="D90" s="497" t="s">
        <v>513</v>
      </c>
      <c r="E90" s="497" t="s">
        <v>556</v>
      </c>
      <c r="F90" s="497" t="s">
        <v>1097</v>
      </c>
      <c r="G90" s="499">
        <v>54</v>
      </c>
      <c r="H90" s="499">
        <v>262</v>
      </c>
    </row>
    <row r="91" spans="1:8" x14ac:dyDescent="0.25">
      <c r="A91" s="497" t="s">
        <v>178</v>
      </c>
      <c r="B91" s="497" t="s">
        <v>177</v>
      </c>
      <c r="C91" s="497">
        <v>96.948740000000001</v>
      </c>
      <c r="D91" s="497" t="s">
        <v>513</v>
      </c>
      <c r="E91" s="497" t="s">
        <v>556</v>
      </c>
      <c r="F91" s="497" t="s">
        <v>462</v>
      </c>
      <c r="G91" s="499">
        <v>14</v>
      </c>
      <c r="H91" s="499">
        <v>44</v>
      </c>
    </row>
    <row r="92" spans="1:8" x14ac:dyDescent="0.25">
      <c r="A92" s="497" t="s">
        <v>344</v>
      </c>
      <c r="B92" s="497" t="s">
        <v>343</v>
      </c>
      <c r="C92" s="497">
        <v>97.345039</v>
      </c>
      <c r="D92" s="497" t="s">
        <v>513</v>
      </c>
      <c r="E92" s="497" t="s">
        <v>556</v>
      </c>
      <c r="F92" s="497" t="s">
        <v>507</v>
      </c>
      <c r="G92" s="499">
        <v>18</v>
      </c>
      <c r="H92" s="499">
        <v>82</v>
      </c>
    </row>
    <row r="93" spans="1:8" x14ac:dyDescent="0.25">
      <c r="A93" s="497" t="s">
        <v>287</v>
      </c>
      <c r="B93" s="497" t="s">
        <v>286</v>
      </c>
      <c r="C93" s="497">
        <v>96.364949999999993</v>
      </c>
      <c r="D93" s="497" t="s">
        <v>513</v>
      </c>
      <c r="E93" s="497" t="s">
        <v>556</v>
      </c>
      <c r="F93" s="497" t="s">
        <v>462</v>
      </c>
      <c r="G93" s="499">
        <v>18</v>
      </c>
      <c r="H93" s="499">
        <v>141</v>
      </c>
    </row>
    <row r="94" spans="1:8" x14ac:dyDescent="0.25">
      <c r="A94" s="497" t="s">
        <v>215</v>
      </c>
      <c r="B94" s="497" t="s">
        <v>214</v>
      </c>
      <c r="C94" s="497">
        <v>97.669366999999994</v>
      </c>
      <c r="D94" s="497" t="s">
        <v>515</v>
      </c>
      <c r="E94" s="497" t="s">
        <v>556</v>
      </c>
      <c r="F94" s="497" t="s">
        <v>1096</v>
      </c>
      <c r="G94" s="499">
        <v>412</v>
      </c>
      <c r="H94" s="499">
        <v>1700</v>
      </c>
    </row>
    <row r="95" spans="1:8" x14ac:dyDescent="0.25">
      <c r="A95" s="497" t="s">
        <v>217</v>
      </c>
      <c r="B95" s="497" t="s">
        <v>216</v>
      </c>
      <c r="C95" s="497">
        <v>97.347740000000002</v>
      </c>
      <c r="D95" s="497" t="s">
        <v>513</v>
      </c>
      <c r="E95" s="497" t="s">
        <v>556</v>
      </c>
      <c r="F95" s="497" t="s">
        <v>507</v>
      </c>
      <c r="G95" s="499">
        <v>24</v>
      </c>
      <c r="H95" s="499">
        <v>89</v>
      </c>
    </row>
    <row r="96" spans="1:8" x14ac:dyDescent="0.25">
      <c r="A96" s="497" t="s">
        <v>269</v>
      </c>
      <c r="B96" s="497" t="s">
        <v>268</v>
      </c>
      <c r="C96" s="497">
        <v>97.394547000000003</v>
      </c>
      <c r="D96" s="497" t="s">
        <v>513</v>
      </c>
      <c r="E96" s="497" t="s">
        <v>556</v>
      </c>
      <c r="F96" s="497" t="s">
        <v>462</v>
      </c>
      <c r="G96" s="499">
        <v>57</v>
      </c>
      <c r="H96" s="499">
        <v>233</v>
      </c>
    </row>
    <row r="97" spans="1:8" x14ac:dyDescent="0.25">
      <c r="A97" s="497" t="s">
        <v>229</v>
      </c>
      <c r="B97" s="497" t="s">
        <v>228</v>
      </c>
      <c r="C97" s="497">
        <v>97.724483000000006</v>
      </c>
      <c r="D97" s="497" t="s">
        <v>513</v>
      </c>
      <c r="E97" s="497" t="s">
        <v>556</v>
      </c>
      <c r="F97" s="497" t="s">
        <v>462</v>
      </c>
      <c r="G97" s="499">
        <v>50</v>
      </c>
      <c r="H97" s="499">
        <v>293</v>
      </c>
    </row>
    <row r="98" spans="1:8" x14ac:dyDescent="0.25">
      <c r="A98" s="497" t="s">
        <v>273</v>
      </c>
      <c r="B98" s="497" t="s">
        <v>272</v>
      </c>
      <c r="C98" s="497">
        <v>97.4345</v>
      </c>
      <c r="D98" s="497" t="s">
        <v>513</v>
      </c>
      <c r="E98" s="497" t="s">
        <v>556</v>
      </c>
      <c r="F98" s="497" t="s">
        <v>1097</v>
      </c>
      <c r="G98" s="499">
        <v>57</v>
      </c>
      <c r="H98" s="499">
        <v>292</v>
      </c>
    </row>
    <row r="99" spans="1:8" x14ac:dyDescent="0.25">
      <c r="A99" s="497" t="s">
        <v>219</v>
      </c>
      <c r="B99" s="497" t="s">
        <v>218</v>
      </c>
      <c r="C99" s="497">
        <v>97.752667000000002</v>
      </c>
      <c r="D99" s="497" t="s">
        <v>515</v>
      </c>
      <c r="E99" s="497" t="s">
        <v>556</v>
      </c>
      <c r="F99" s="497" t="s">
        <v>1096</v>
      </c>
      <c r="G99" s="499">
        <v>840</v>
      </c>
      <c r="H99" s="499">
        <v>3249</v>
      </c>
    </row>
    <row r="100" spans="1:8" x14ac:dyDescent="0.25">
      <c r="A100" s="497" t="s">
        <v>870</v>
      </c>
      <c r="B100" s="497" t="s">
        <v>869</v>
      </c>
      <c r="C100" s="497">
        <v>98.377780000000001</v>
      </c>
      <c r="D100" s="497" t="s">
        <v>513</v>
      </c>
      <c r="E100" s="497" t="s">
        <v>556</v>
      </c>
      <c r="F100" s="497" t="s">
        <v>1097</v>
      </c>
      <c r="G100" s="499">
        <v>65</v>
      </c>
      <c r="H100" s="499">
        <v>306</v>
      </c>
    </row>
    <row r="101" spans="1:8" x14ac:dyDescent="0.25">
      <c r="A101" s="497" t="s">
        <v>366</v>
      </c>
      <c r="B101" s="497" t="s">
        <v>376</v>
      </c>
      <c r="C101" s="497">
        <v>97.252650000000003</v>
      </c>
      <c r="D101" s="497" t="s">
        <v>513</v>
      </c>
      <c r="E101" s="497" t="s">
        <v>556</v>
      </c>
      <c r="F101" s="497" t="s">
        <v>462</v>
      </c>
      <c r="G101" s="499">
        <v>157</v>
      </c>
      <c r="H101" s="499">
        <v>761</v>
      </c>
    </row>
    <row r="102" spans="1:8" x14ac:dyDescent="0.25">
      <c r="A102" s="497" t="s">
        <v>355</v>
      </c>
      <c r="B102" s="497" t="s">
        <v>354</v>
      </c>
      <c r="C102" s="497">
        <v>97.990555999999998</v>
      </c>
      <c r="D102" s="497" t="s">
        <v>515</v>
      </c>
      <c r="E102" s="497" t="s">
        <v>556</v>
      </c>
      <c r="F102" s="497" t="s">
        <v>1097</v>
      </c>
      <c r="G102" s="499">
        <v>108</v>
      </c>
      <c r="H102" s="499">
        <v>647</v>
      </c>
    </row>
    <row r="103" spans="1:8" x14ac:dyDescent="0.25">
      <c r="A103" s="497" t="s">
        <v>318</v>
      </c>
      <c r="B103" s="497" t="s">
        <v>317</v>
      </c>
      <c r="C103" s="497">
        <v>97.441166388888902</v>
      </c>
      <c r="D103" s="497" t="s">
        <v>513</v>
      </c>
      <c r="E103" s="497" t="s">
        <v>556</v>
      </c>
      <c r="F103" s="497" t="s">
        <v>507</v>
      </c>
      <c r="G103" s="499">
        <v>94</v>
      </c>
      <c r="H103" s="499">
        <v>341</v>
      </c>
    </row>
    <row r="104" spans="1:8" x14ac:dyDescent="0.25">
      <c r="A104" s="497" t="s">
        <v>342</v>
      </c>
      <c r="B104" s="497" t="s">
        <v>341</v>
      </c>
      <c r="C104" s="497">
        <v>97.438432380952406</v>
      </c>
      <c r="D104" s="497" t="s">
        <v>513</v>
      </c>
      <c r="E104" s="497" t="s">
        <v>556</v>
      </c>
      <c r="F104" s="497" t="s">
        <v>462</v>
      </c>
      <c r="G104" s="499">
        <v>65</v>
      </c>
      <c r="H104" s="499">
        <v>322</v>
      </c>
    </row>
    <row r="105" spans="1:8" x14ac:dyDescent="0.25">
      <c r="A105" s="497" t="s">
        <v>338</v>
      </c>
      <c r="B105" s="497" t="s">
        <v>337</v>
      </c>
      <c r="C105" s="497">
        <v>97.437472666666693</v>
      </c>
      <c r="D105" s="497" t="s">
        <v>513</v>
      </c>
      <c r="E105" s="497" t="s">
        <v>556</v>
      </c>
      <c r="F105" s="497" t="s">
        <v>507</v>
      </c>
      <c r="G105" s="499">
        <v>31</v>
      </c>
      <c r="H105" s="499">
        <v>170</v>
      </c>
    </row>
    <row r="106" spans="1:8" x14ac:dyDescent="0.25">
      <c r="A106" s="497" t="s">
        <v>351</v>
      </c>
      <c r="B106" s="497" t="s">
        <v>350</v>
      </c>
      <c r="C106" s="497">
        <v>97.432495000000003</v>
      </c>
      <c r="D106" s="497" t="s">
        <v>513</v>
      </c>
      <c r="E106" s="497" t="s">
        <v>556</v>
      </c>
      <c r="F106" s="497" t="s">
        <v>507</v>
      </c>
      <c r="G106" s="499">
        <v>91</v>
      </c>
      <c r="H106" s="499">
        <v>472</v>
      </c>
    </row>
    <row r="107" spans="1:8" x14ac:dyDescent="0.25">
      <c r="A107" s="497" t="s">
        <v>118</v>
      </c>
      <c r="B107" s="497" t="s">
        <v>117</v>
      </c>
      <c r="C107" s="497">
        <v>96.279200000000003</v>
      </c>
      <c r="D107" s="497" t="s">
        <v>513</v>
      </c>
      <c r="E107" s="497" t="s">
        <v>556</v>
      </c>
      <c r="F107" s="497" t="s">
        <v>507</v>
      </c>
      <c r="G107" s="499">
        <v>10</v>
      </c>
      <c r="H107" s="499">
        <v>39</v>
      </c>
    </row>
    <row r="108" spans="1:8" x14ac:dyDescent="0.25">
      <c r="A108" s="497" t="s">
        <v>22</v>
      </c>
      <c r="B108" s="497" t="s">
        <v>21</v>
      </c>
      <c r="C108" s="497">
        <v>97.229116811594196</v>
      </c>
      <c r="D108" s="497" t="s">
        <v>513</v>
      </c>
      <c r="E108" s="497" t="s">
        <v>556</v>
      </c>
      <c r="F108" s="497" t="s">
        <v>462</v>
      </c>
      <c r="G108" s="499">
        <v>652</v>
      </c>
      <c r="H108" s="499">
        <v>3706</v>
      </c>
    </row>
    <row r="109" spans="1:8" x14ac:dyDescent="0.25">
      <c r="A109" s="497" t="s">
        <v>124</v>
      </c>
      <c r="B109" s="497" t="s">
        <v>123</v>
      </c>
      <c r="C109" s="497">
        <v>96.353030000000004</v>
      </c>
      <c r="D109" s="497" t="s">
        <v>513</v>
      </c>
      <c r="E109" s="497" t="s">
        <v>556</v>
      </c>
      <c r="F109" s="497" t="s">
        <v>462</v>
      </c>
      <c r="G109" s="499">
        <v>8</v>
      </c>
      <c r="H109" s="499">
        <v>40</v>
      </c>
    </row>
    <row r="110" spans="1:8" x14ac:dyDescent="0.25">
      <c r="A110" s="497" t="s">
        <v>1026</v>
      </c>
      <c r="B110" s="497" t="s">
        <v>1027</v>
      </c>
      <c r="C110" s="497">
        <v>98.356260000000006</v>
      </c>
      <c r="D110" s="497" t="s">
        <v>513</v>
      </c>
      <c r="E110" s="497" t="s">
        <v>556</v>
      </c>
      <c r="F110" s="497" t="s">
        <v>1097</v>
      </c>
      <c r="G110" s="499">
        <v>30</v>
      </c>
      <c r="H110" s="499">
        <v>181</v>
      </c>
    </row>
    <row r="111" spans="1:8" x14ac:dyDescent="0.25">
      <c r="A111" s="497" t="s">
        <v>225</v>
      </c>
      <c r="B111" s="497" t="s">
        <v>224</v>
      </c>
      <c r="C111" s="497">
        <v>97.710864000000001</v>
      </c>
      <c r="D111" s="497" t="s">
        <v>513</v>
      </c>
      <c r="E111" s="497" t="s">
        <v>556</v>
      </c>
      <c r="F111" s="497" t="s">
        <v>462</v>
      </c>
      <c r="G111" s="499">
        <v>45</v>
      </c>
      <c r="H111" s="499">
        <v>269</v>
      </c>
    </row>
    <row r="112" spans="1:8" x14ac:dyDescent="0.25">
      <c r="A112" s="497" t="s">
        <v>277</v>
      </c>
      <c r="B112" s="497" t="s">
        <v>276</v>
      </c>
      <c r="C112" s="497">
        <v>97.399628000000007</v>
      </c>
      <c r="D112" s="497" t="s">
        <v>513</v>
      </c>
      <c r="E112" s="497" t="s">
        <v>556</v>
      </c>
      <c r="F112" s="497" t="s">
        <v>462</v>
      </c>
      <c r="G112" s="499">
        <v>95</v>
      </c>
      <c r="H112" s="499">
        <v>385</v>
      </c>
    </row>
    <row r="113" spans="1:8" x14ac:dyDescent="0.25">
      <c r="A113" s="497" t="s">
        <v>279</v>
      </c>
      <c r="B113" s="497" t="s">
        <v>278</v>
      </c>
      <c r="C113" s="497">
        <v>97.418004999999994</v>
      </c>
      <c r="D113" s="497" t="s">
        <v>513</v>
      </c>
      <c r="E113" s="497" t="s">
        <v>556</v>
      </c>
      <c r="F113" s="497" t="s">
        <v>507</v>
      </c>
      <c r="G113" s="499">
        <v>28</v>
      </c>
      <c r="H113" s="499">
        <v>130</v>
      </c>
    </row>
    <row r="114" spans="1:8" x14ac:dyDescent="0.25">
      <c r="A114" s="497" t="s">
        <v>347</v>
      </c>
      <c r="B114" s="497" t="s">
        <v>346</v>
      </c>
      <c r="C114" s="497">
        <v>98.025662999999994</v>
      </c>
      <c r="D114" s="497" t="s">
        <v>513</v>
      </c>
      <c r="E114" s="497" t="s">
        <v>556</v>
      </c>
      <c r="F114" s="497" t="s">
        <v>462</v>
      </c>
      <c r="G114" s="499">
        <v>172</v>
      </c>
      <c r="H114" s="499">
        <v>838</v>
      </c>
    </row>
    <row r="115" spans="1:8" x14ac:dyDescent="0.25">
      <c r="A115" s="497" t="s">
        <v>306</v>
      </c>
      <c r="B115" s="497" t="s">
        <v>305</v>
      </c>
      <c r="C115" s="497">
        <v>96.807353000000006</v>
      </c>
      <c r="D115" s="497" t="s">
        <v>513</v>
      </c>
      <c r="E115" s="497" t="s">
        <v>556</v>
      </c>
      <c r="F115" s="497" t="s">
        <v>462</v>
      </c>
      <c r="G115" s="499">
        <v>83</v>
      </c>
      <c r="H115" s="499">
        <v>293</v>
      </c>
    </row>
    <row r="116" spans="1:8" x14ac:dyDescent="0.25">
      <c r="A116" s="497" t="s">
        <v>308</v>
      </c>
      <c r="B116" s="497" t="s">
        <v>307</v>
      </c>
      <c r="C116" s="497">
        <v>96.807353000000006</v>
      </c>
      <c r="D116" s="497" t="s">
        <v>513</v>
      </c>
      <c r="E116" s="497" t="s">
        <v>556</v>
      </c>
      <c r="F116" s="497" t="s">
        <v>1096</v>
      </c>
      <c r="G116" s="499">
        <v>40</v>
      </c>
      <c r="H116" s="499">
        <v>208</v>
      </c>
    </row>
    <row r="117" spans="1:8" x14ac:dyDescent="0.25">
      <c r="A117" s="497" t="s">
        <v>281</v>
      </c>
      <c r="B117" s="497" t="s">
        <v>280</v>
      </c>
      <c r="C117" s="497">
        <v>97.419403000000003</v>
      </c>
      <c r="D117" s="497" t="s">
        <v>513</v>
      </c>
      <c r="E117" s="497" t="s">
        <v>556</v>
      </c>
      <c r="F117" s="497" t="s">
        <v>462</v>
      </c>
      <c r="G117" s="499">
        <v>90</v>
      </c>
      <c r="H117" s="499">
        <v>487</v>
      </c>
    </row>
    <row r="118" spans="1:8" x14ac:dyDescent="0.25">
      <c r="A118" s="497" t="s">
        <v>181</v>
      </c>
      <c r="B118" s="497" t="s">
        <v>179</v>
      </c>
      <c r="C118" s="497">
        <v>96.367059999999995</v>
      </c>
      <c r="D118" s="497" t="s">
        <v>513</v>
      </c>
      <c r="E118" s="497" t="s">
        <v>556</v>
      </c>
      <c r="F118" s="497" t="s">
        <v>1097</v>
      </c>
      <c r="G118" s="499">
        <v>12</v>
      </c>
      <c r="H118" s="499">
        <v>52</v>
      </c>
    </row>
    <row r="119" spans="1:8" x14ac:dyDescent="0.25">
      <c r="A119" s="497" t="s">
        <v>813</v>
      </c>
      <c r="B119" s="497" t="s">
        <v>817</v>
      </c>
      <c r="C119" s="497">
        <v>97.568836000000005</v>
      </c>
      <c r="D119" s="497" t="s">
        <v>513</v>
      </c>
      <c r="E119" s="497" t="s">
        <v>556</v>
      </c>
      <c r="F119" s="497" t="s">
        <v>865</v>
      </c>
      <c r="G119" s="499">
        <v>5</v>
      </c>
      <c r="H119" s="499">
        <v>32</v>
      </c>
    </row>
    <row r="120" spans="1:8" x14ac:dyDescent="0.25">
      <c r="A120" s="497" t="s">
        <v>24</v>
      </c>
      <c r="B120" s="497" t="s">
        <v>23</v>
      </c>
      <c r="C120" s="497">
        <v>97.227789999999999</v>
      </c>
      <c r="D120" s="497" t="s">
        <v>513</v>
      </c>
      <c r="E120" s="497" t="s">
        <v>556</v>
      </c>
      <c r="F120" s="497" t="s">
        <v>507</v>
      </c>
      <c r="G120" s="499">
        <v>25</v>
      </c>
      <c r="H120" s="499">
        <v>104</v>
      </c>
    </row>
    <row r="121" spans="1:8" x14ac:dyDescent="0.25">
      <c r="A121" s="497" t="s">
        <v>238</v>
      </c>
      <c r="B121" s="497" t="s">
        <v>236</v>
      </c>
      <c r="C121" s="497">
        <v>97.386718999999999</v>
      </c>
      <c r="D121" s="497" t="s">
        <v>513</v>
      </c>
      <c r="E121" s="497" t="s">
        <v>556</v>
      </c>
      <c r="F121" s="497" t="s">
        <v>462</v>
      </c>
      <c r="G121" s="499">
        <v>70</v>
      </c>
      <c r="H121" s="499">
        <v>369</v>
      </c>
    </row>
    <row r="122" spans="1:8" x14ac:dyDescent="0.25">
      <c r="A122" s="497" t="s">
        <v>249</v>
      </c>
      <c r="B122" s="497" t="s">
        <v>248</v>
      </c>
      <c r="C122" s="497">
        <v>97.389778000000007</v>
      </c>
      <c r="D122" s="497" t="s">
        <v>513</v>
      </c>
      <c r="E122" s="497" t="s">
        <v>556</v>
      </c>
      <c r="F122" s="497" t="s">
        <v>507</v>
      </c>
      <c r="G122" s="499">
        <v>12</v>
      </c>
      <c r="H122" s="499">
        <v>55</v>
      </c>
    </row>
    <row r="123" spans="1:8" x14ac:dyDescent="0.25">
      <c r="A123" s="497" t="s">
        <v>251</v>
      </c>
      <c r="B123" s="497" t="s">
        <v>250</v>
      </c>
      <c r="C123" s="497">
        <v>97.377662999999998</v>
      </c>
      <c r="D123" s="497" t="s">
        <v>513</v>
      </c>
      <c r="E123" s="497" t="s">
        <v>556</v>
      </c>
      <c r="F123" s="497" t="s">
        <v>462</v>
      </c>
      <c r="G123" s="499">
        <v>32</v>
      </c>
      <c r="H123" s="499">
        <v>146</v>
      </c>
    </row>
    <row r="124" spans="1:8" x14ac:dyDescent="0.25">
      <c r="A124" s="497" t="s">
        <v>275</v>
      </c>
      <c r="B124" s="497" t="s">
        <v>274</v>
      </c>
      <c r="C124" s="497">
        <v>97.382192000000003</v>
      </c>
      <c r="D124" s="497" t="s">
        <v>513</v>
      </c>
      <c r="E124" s="497" t="s">
        <v>556</v>
      </c>
      <c r="F124" s="497" t="s">
        <v>462</v>
      </c>
      <c r="G124" s="499">
        <v>44</v>
      </c>
      <c r="H124" s="499">
        <v>212</v>
      </c>
    </row>
    <row r="125" spans="1:8" x14ac:dyDescent="0.25">
      <c r="A125" s="497" t="s">
        <v>349</v>
      </c>
      <c r="B125" s="497" t="s">
        <v>348</v>
      </c>
      <c r="C125" s="497">
        <v>97.428251153846105</v>
      </c>
      <c r="D125" s="497" t="s">
        <v>513</v>
      </c>
      <c r="E125" s="497" t="s">
        <v>556</v>
      </c>
      <c r="F125" s="497" t="s">
        <v>507</v>
      </c>
      <c r="G125" s="499">
        <v>42</v>
      </c>
      <c r="H125" s="499">
        <v>180</v>
      </c>
    </row>
    <row r="126" spans="1:8" x14ac:dyDescent="0.25">
      <c r="A126" s="497" t="s">
        <v>316</v>
      </c>
      <c r="B126" s="497" t="s">
        <v>315</v>
      </c>
      <c r="C126" s="497">
        <v>97.444283730158702</v>
      </c>
      <c r="D126" s="497" t="s">
        <v>513</v>
      </c>
      <c r="E126" s="497" t="s">
        <v>556</v>
      </c>
      <c r="F126" s="497" t="s">
        <v>507</v>
      </c>
      <c r="G126" s="499">
        <v>91</v>
      </c>
      <c r="H126" s="499">
        <v>368</v>
      </c>
    </row>
    <row r="127" spans="1:8" x14ac:dyDescent="0.25">
      <c r="A127" s="497" t="s">
        <v>311</v>
      </c>
      <c r="B127" s="497" t="s">
        <v>309</v>
      </c>
      <c r="C127" s="497">
        <v>97.438259000000002</v>
      </c>
      <c r="D127" s="497" t="s">
        <v>513</v>
      </c>
      <c r="E127" s="497" t="s">
        <v>993</v>
      </c>
      <c r="F127" s="497" t="s">
        <v>462</v>
      </c>
      <c r="G127" s="499">
        <v>0</v>
      </c>
      <c r="H127" s="499">
        <v>90</v>
      </c>
    </row>
    <row r="128" spans="1:8" x14ac:dyDescent="0.25">
      <c r="A128" s="497" t="s">
        <v>126</v>
      </c>
      <c r="B128" s="497" t="s">
        <v>125</v>
      </c>
      <c r="C128" s="497">
        <v>96.286680000000004</v>
      </c>
      <c r="D128" s="497" t="s">
        <v>513</v>
      </c>
      <c r="E128" s="497" t="s">
        <v>556</v>
      </c>
      <c r="F128" s="497" t="s">
        <v>462</v>
      </c>
      <c r="G128" s="499">
        <v>41</v>
      </c>
      <c r="H128" s="499">
        <v>201</v>
      </c>
    </row>
    <row r="129" spans="1:8" x14ac:dyDescent="0.25">
      <c r="A129" s="497" t="s">
        <v>353</v>
      </c>
      <c r="B129" s="497" t="s">
        <v>352</v>
      </c>
      <c r="C129" s="497">
        <v>97.546893999999995</v>
      </c>
      <c r="D129" s="497" t="s">
        <v>515</v>
      </c>
      <c r="E129" s="497" t="s">
        <v>556</v>
      </c>
      <c r="F129" s="497" t="s">
        <v>1097</v>
      </c>
      <c r="G129" s="499">
        <v>1345</v>
      </c>
      <c r="H129" s="499">
        <v>6811</v>
      </c>
    </row>
    <row r="130" spans="1:8" x14ac:dyDescent="0.25">
      <c r="A130" s="497" t="s">
        <v>283</v>
      </c>
      <c r="B130" s="497" t="s">
        <v>282</v>
      </c>
      <c r="C130" s="497">
        <v>97.403878500000005</v>
      </c>
      <c r="D130" s="497" t="s">
        <v>513</v>
      </c>
      <c r="E130" s="497" t="s">
        <v>556</v>
      </c>
      <c r="F130" s="497" t="s">
        <v>507</v>
      </c>
      <c r="G130" s="499">
        <v>7</v>
      </c>
      <c r="H130" s="499">
        <v>37</v>
      </c>
    </row>
    <row r="131" spans="1:8" x14ac:dyDescent="0.25">
      <c r="A131" s="497" t="s">
        <v>26</v>
      </c>
      <c r="B131" s="497" t="s">
        <v>25</v>
      </c>
      <c r="C131" s="497">
        <v>97.240639999999999</v>
      </c>
      <c r="D131" s="497" t="s">
        <v>513</v>
      </c>
      <c r="E131" s="497" t="s">
        <v>556</v>
      </c>
      <c r="F131" s="497" t="s">
        <v>507</v>
      </c>
      <c r="G131" s="499">
        <v>15</v>
      </c>
      <c r="H131" s="499">
        <v>64</v>
      </c>
    </row>
    <row r="132" spans="1:8" x14ac:dyDescent="0.25">
      <c r="A132" s="497" t="s">
        <v>140</v>
      </c>
      <c r="B132" s="497" t="s">
        <v>139</v>
      </c>
      <c r="C132" s="497">
        <v>96.306910999999999</v>
      </c>
      <c r="D132" s="497" t="s">
        <v>513</v>
      </c>
      <c r="E132" s="497" t="s">
        <v>556</v>
      </c>
      <c r="F132" s="497" t="s">
        <v>462</v>
      </c>
      <c r="G132" s="499">
        <v>20</v>
      </c>
      <c r="H132" s="499">
        <v>80</v>
      </c>
    </row>
    <row r="133" spans="1:8" x14ac:dyDescent="0.25">
      <c r="A133" s="497" t="s">
        <v>373</v>
      </c>
      <c r="B133" s="497" t="s">
        <v>387</v>
      </c>
      <c r="C133" s="497">
        <v>97.837040000000002</v>
      </c>
      <c r="D133" s="497" t="s">
        <v>513</v>
      </c>
      <c r="E133" s="497" t="s">
        <v>556</v>
      </c>
      <c r="F133" s="497" t="s">
        <v>462</v>
      </c>
      <c r="G133" s="499">
        <v>178</v>
      </c>
      <c r="H133" s="499">
        <v>827</v>
      </c>
    </row>
    <row r="134" spans="1:8" x14ac:dyDescent="0.25">
      <c r="A134" s="497" t="s">
        <v>1129</v>
      </c>
      <c r="B134" s="497" t="s">
        <v>1130</v>
      </c>
      <c r="C134" s="497" t="s">
        <v>865</v>
      </c>
      <c r="D134" s="497" t="s">
        <v>513</v>
      </c>
      <c r="E134" s="497" t="s">
        <v>556</v>
      </c>
      <c r="F134" s="497" t="s">
        <v>462</v>
      </c>
      <c r="G134" s="499">
        <v>50</v>
      </c>
      <c r="H134" s="499">
        <v>226</v>
      </c>
    </row>
    <row r="135" spans="1:8" x14ac:dyDescent="0.25">
      <c r="A135" s="497" t="s">
        <v>1266</v>
      </c>
      <c r="B135" s="497" t="s">
        <v>345</v>
      </c>
      <c r="C135" s="497">
        <v>97.751389000000003</v>
      </c>
      <c r="D135" s="497" t="s">
        <v>515</v>
      </c>
      <c r="E135" s="497" t="s">
        <v>556</v>
      </c>
      <c r="F135" s="497" t="s">
        <v>462</v>
      </c>
      <c r="G135" s="499">
        <v>191</v>
      </c>
      <c r="H135" s="499">
        <v>768</v>
      </c>
    </row>
    <row r="136" spans="1:8" x14ac:dyDescent="0.25">
      <c r="A136" s="497" t="s">
        <v>1267</v>
      </c>
      <c r="B136" s="497" t="s">
        <v>241</v>
      </c>
      <c r="C136" s="497">
        <v>97.387636874999998</v>
      </c>
      <c r="D136" s="497" t="s">
        <v>513</v>
      </c>
      <c r="E136" s="497" t="s">
        <v>556</v>
      </c>
      <c r="F136" s="497" t="s">
        <v>507</v>
      </c>
      <c r="G136" s="499">
        <v>68</v>
      </c>
      <c r="H136" s="499">
        <v>339</v>
      </c>
    </row>
    <row r="137" spans="1:8" x14ac:dyDescent="0.25">
      <c r="A137" s="497" t="s">
        <v>1268</v>
      </c>
      <c r="B137" s="497" t="s">
        <v>356</v>
      </c>
      <c r="C137" s="497">
        <v>97.756789999999995</v>
      </c>
      <c r="D137" s="497" t="s">
        <v>515</v>
      </c>
      <c r="E137" s="497" t="s">
        <v>556</v>
      </c>
      <c r="F137" s="497" t="s">
        <v>462</v>
      </c>
      <c r="G137" s="499">
        <v>680</v>
      </c>
      <c r="H137" s="499">
        <v>2913</v>
      </c>
    </row>
    <row r="138" spans="1:8" x14ac:dyDescent="0.25">
      <c r="A138" s="497" t="s">
        <v>1292</v>
      </c>
      <c r="B138" s="497" t="s">
        <v>1291</v>
      </c>
      <c r="C138" s="497">
        <v>97.416121000000004</v>
      </c>
      <c r="D138" s="497" t="s">
        <v>513</v>
      </c>
      <c r="E138" s="497" t="s">
        <v>556</v>
      </c>
      <c r="F138" s="497" t="s">
        <v>462</v>
      </c>
      <c r="G138" s="499">
        <v>59</v>
      </c>
      <c r="H138" s="499">
        <v>274</v>
      </c>
    </row>
    <row r="139" spans="1:8" x14ac:dyDescent="0.25">
      <c r="A139" s="497" t="s">
        <v>1309</v>
      </c>
      <c r="B139" s="497" t="s">
        <v>1290</v>
      </c>
      <c r="C139" s="497">
        <v>98.218626999999998</v>
      </c>
      <c r="D139" s="497" t="s">
        <v>513</v>
      </c>
      <c r="E139" s="497" t="s">
        <v>556</v>
      </c>
      <c r="F139" s="497" t="s">
        <v>462</v>
      </c>
      <c r="G139" s="499">
        <v>44</v>
      </c>
      <c r="H139" s="499">
        <v>273</v>
      </c>
    </row>
    <row r="140" spans="1:8" x14ac:dyDescent="0.25">
      <c r="A140" s="497" t="s">
        <v>1302</v>
      </c>
      <c r="B140" s="497" t="s">
        <v>1305</v>
      </c>
      <c r="C140" s="497" t="s">
        <v>865</v>
      </c>
      <c r="D140" s="497" t="s">
        <v>513</v>
      </c>
      <c r="E140" s="497" t="s">
        <v>556</v>
      </c>
      <c r="F140" s="497" t="s">
        <v>1097</v>
      </c>
      <c r="G140" s="499">
        <v>9</v>
      </c>
      <c r="H140" s="499">
        <v>39</v>
      </c>
    </row>
    <row r="141" spans="1:8" x14ac:dyDescent="0.25">
      <c r="A141" s="497" t="s">
        <v>1361</v>
      </c>
      <c r="B141" s="497" t="s">
        <v>1362</v>
      </c>
      <c r="C141" s="497">
        <v>97.745480999999998</v>
      </c>
      <c r="D141" s="497" t="s">
        <v>513</v>
      </c>
      <c r="E141" s="497" t="s">
        <v>556</v>
      </c>
      <c r="F141" s="497" t="s">
        <v>865</v>
      </c>
      <c r="G141" s="499">
        <v>161</v>
      </c>
      <c r="H141" s="499">
        <v>711</v>
      </c>
    </row>
    <row r="142" spans="1:8" x14ac:dyDescent="0.25">
      <c r="A142" s="497" t="s">
        <v>1364</v>
      </c>
      <c r="B142" s="497" t="s">
        <v>1365</v>
      </c>
      <c r="C142" s="497">
        <v>97.75609</v>
      </c>
      <c r="D142" s="497" t="s">
        <v>513</v>
      </c>
      <c r="E142" s="497" t="s">
        <v>556</v>
      </c>
      <c r="F142" s="497" t="s">
        <v>865</v>
      </c>
      <c r="G142" s="499"/>
      <c r="H142" s="499">
        <v>489</v>
      </c>
    </row>
    <row r="143" spans="1:8" x14ac:dyDescent="0.25">
      <c r="A143" s="497" t="s">
        <v>1405</v>
      </c>
      <c r="B143" s="497" t="s">
        <v>1406</v>
      </c>
      <c r="C143" s="497">
        <v>97.461271999999994</v>
      </c>
      <c r="D143" s="497" t="s">
        <v>513</v>
      </c>
      <c r="E143" s="497" t="s">
        <v>993</v>
      </c>
      <c r="F143" s="497" t="s">
        <v>865</v>
      </c>
      <c r="G143" s="499"/>
      <c r="H143" s="499">
        <v>49</v>
      </c>
    </row>
    <row r="144" spans="1:8" x14ac:dyDescent="0.25">
      <c r="A144" s="497" t="s">
        <v>1408</v>
      </c>
      <c r="B144" s="497" t="s">
        <v>1409</v>
      </c>
      <c r="C144" s="497">
        <v>29.52796</v>
      </c>
      <c r="D144" s="497" t="s">
        <v>513</v>
      </c>
      <c r="E144" s="497" t="s">
        <v>556</v>
      </c>
      <c r="F144" s="497" t="s">
        <v>865</v>
      </c>
      <c r="G144" s="499">
        <v>105</v>
      </c>
      <c r="H144" s="499">
        <v>568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1"/>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505" t="s">
        <v>500</v>
      </c>
      <c r="B1" s="497" t="s">
        <v>502</v>
      </c>
    </row>
    <row r="2" spans="1:4" hidden="1" x14ac:dyDescent="0.25"/>
    <row r="3" spans="1:4" x14ac:dyDescent="0.25">
      <c r="A3" s="505" t="s">
        <v>403</v>
      </c>
      <c r="B3" s="505" t="s">
        <v>0</v>
      </c>
      <c r="C3" s="505" t="s">
        <v>512</v>
      </c>
      <c r="D3" s="505" t="s">
        <v>560</v>
      </c>
    </row>
    <row r="4" spans="1:4" x14ac:dyDescent="0.25">
      <c r="A4" s="497" t="s">
        <v>852</v>
      </c>
      <c r="B4" s="497" t="s">
        <v>5</v>
      </c>
      <c r="C4" s="497" t="s">
        <v>14</v>
      </c>
      <c r="D4" s="497" t="s">
        <v>13</v>
      </c>
    </row>
    <row r="5" spans="1:4" x14ac:dyDescent="0.25">
      <c r="C5" s="497" t="s">
        <v>18</v>
      </c>
      <c r="D5" s="497" t="s">
        <v>17</v>
      </c>
    </row>
    <row r="6" spans="1:4" x14ac:dyDescent="0.25">
      <c r="C6" s="497" t="s">
        <v>366</v>
      </c>
      <c r="D6" s="497" t="s">
        <v>376</v>
      </c>
    </row>
    <row r="7" spans="1:4" x14ac:dyDescent="0.25">
      <c r="C7" s="497" t="s">
        <v>22</v>
      </c>
      <c r="D7" s="497" t="s">
        <v>21</v>
      </c>
    </row>
    <row r="8" spans="1:4" x14ac:dyDescent="0.25">
      <c r="C8" s="497" t="s">
        <v>26</v>
      </c>
      <c r="D8" s="497" t="s">
        <v>25</v>
      </c>
    </row>
    <row r="9" spans="1:4" x14ac:dyDescent="0.25">
      <c r="B9" s="497" t="s">
        <v>146</v>
      </c>
      <c r="C9" s="497" t="s">
        <v>369</v>
      </c>
      <c r="D9" s="497" t="s">
        <v>383</v>
      </c>
    </row>
    <row r="10" spans="1:4" x14ac:dyDescent="0.25">
      <c r="C10" s="497" t="s">
        <v>370</v>
      </c>
      <c r="D10" s="497" t="s">
        <v>384</v>
      </c>
    </row>
    <row r="11" spans="1:4" x14ac:dyDescent="0.25">
      <c r="B11" s="497" t="s">
        <v>151</v>
      </c>
      <c r="C11" s="497" t="s">
        <v>160</v>
      </c>
      <c r="D11" s="497" t="s">
        <v>159</v>
      </c>
    </row>
    <row r="12" spans="1:4" x14ac:dyDescent="0.25">
      <c r="C12" s="497" t="s">
        <v>152</v>
      </c>
      <c r="D12" s="497" t="s">
        <v>150</v>
      </c>
    </row>
    <row r="13" spans="1:4" x14ac:dyDescent="0.25">
      <c r="B13" s="497" t="s">
        <v>185</v>
      </c>
      <c r="C13" s="497" t="s">
        <v>202</v>
      </c>
      <c r="D13" s="497" t="s">
        <v>201</v>
      </c>
    </row>
    <row r="14" spans="1:4" x14ac:dyDescent="0.25">
      <c r="C14" s="497" t="s">
        <v>209</v>
      </c>
      <c r="D14" s="497" t="s">
        <v>208</v>
      </c>
    </row>
    <row r="15" spans="1:4" x14ac:dyDescent="0.25">
      <c r="C15" s="497" t="s">
        <v>217</v>
      </c>
      <c r="D15" s="497" t="s">
        <v>216</v>
      </c>
    </row>
    <row r="16" spans="1:4" x14ac:dyDescent="0.25">
      <c r="B16" s="497" t="s">
        <v>230</v>
      </c>
      <c r="C16" s="497" t="s">
        <v>1060</v>
      </c>
      <c r="D16" s="497" t="s">
        <v>1061</v>
      </c>
    </row>
    <row r="17" spans="2:4" x14ac:dyDescent="0.25">
      <c r="C17" s="497" t="s">
        <v>1070</v>
      </c>
      <c r="D17" s="497" t="s">
        <v>1071</v>
      </c>
    </row>
    <row r="18" spans="2:4" x14ac:dyDescent="0.25">
      <c r="B18" s="497" t="s">
        <v>289</v>
      </c>
      <c r="C18" s="497" t="s">
        <v>1062</v>
      </c>
      <c r="D18" s="497" t="s">
        <v>1063</v>
      </c>
    </row>
    <row r="19" spans="2:4" x14ac:dyDescent="0.25">
      <c r="C19" s="497" t="s">
        <v>1074</v>
      </c>
      <c r="D19" s="497" t="s">
        <v>1067</v>
      </c>
    </row>
    <row r="20" spans="2:4" x14ac:dyDescent="0.25">
      <c r="B20" s="497" t="s">
        <v>302</v>
      </c>
      <c r="C20" s="497" t="s">
        <v>306</v>
      </c>
      <c r="D20" s="497" t="s">
        <v>305</v>
      </c>
    </row>
    <row r="21" spans="2:4" x14ac:dyDescent="0.25">
      <c r="B21" s="497" t="s">
        <v>310</v>
      </c>
      <c r="C21" s="497" t="s">
        <v>353</v>
      </c>
      <c r="D21" s="497" t="s">
        <v>352</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T298"/>
  <sheetViews>
    <sheetView showZeros="0" zoomScale="80" zoomScaleNormal="80" workbookViewId="0">
      <pane xSplit="1" ySplit="4" topLeftCell="B5" activePane="bottomRight" state="frozen"/>
      <selection activeCell="B11" sqref="B11"/>
      <selection pane="topRight" activeCell="B11" sqref="B11"/>
      <selection pane="bottomLeft" activeCell="B11" sqref="B11"/>
      <selection pane="bottomRight" activeCell="K1" sqref="K1:K1048576"/>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20.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7.85546875" customWidth="1"/>
    <col min="21" max="21" width="13.7109375" customWidth="1"/>
    <col min="22" max="22" width="13.7109375" style="497" hidden="1" customWidth="1"/>
    <col min="23" max="23" width="11.85546875" customWidth="1"/>
    <col min="24" max="16384" width="9.140625" style="4"/>
  </cols>
  <sheetData>
    <row r="1" spans="1:46" s="18" customFormat="1" ht="36" x14ac:dyDescent="0.25">
      <c r="A1" s="369"/>
      <c r="B1" s="310"/>
      <c r="C1" s="310"/>
      <c r="D1" s="310"/>
      <c r="E1" s="310"/>
      <c r="F1" s="310"/>
      <c r="G1" s="310"/>
      <c r="H1" s="310"/>
      <c r="I1" s="310"/>
      <c r="J1" s="310"/>
      <c r="K1" s="310"/>
      <c r="L1" s="310"/>
      <c r="M1" s="310"/>
      <c r="N1" s="310"/>
      <c r="O1" s="310"/>
      <c r="P1" s="310"/>
      <c r="Q1" s="253"/>
      <c r="R1" s="253"/>
      <c r="S1" s="253"/>
      <c r="T1" s="253"/>
      <c r="U1" s="253"/>
      <c r="V1" s="536"/>
      <c r="W1" s="254"/>
      <c r="AS1" s="60"/>
      <c r="AT1" s="60"/>
    </row>
    <row r="2" spans="1:46" s="18" customFormat="1" ht="36" x14ac:dyDescent="0.25">
      <c r="A2" s="841" t="s">
        <v>1313</v>
      </c>
      <c r="B2" s="836"/>
      <c r="C2" s="836"/>
      <c r="D2" s="276"/>
      <c r="E2" s="276"/>
      <c r="F2" s="276"/>
      <c r="G2" s="276"/>
      <c r="H2" s="276"/>
      <c r="I2" s="276"/>
      <c r="J2" s="276"/>
      <c r="K2" s="276"/>
      <c r="L2" s="276"/>
      <c r="M2" s="276"/>
      <c r="N2" s="276"/>
      <c r="O2" s="276"/>
      <c r="P2" s="276"/>
      <c r="Q2" s="216"/>
      <c r="R2" s="216"/>
      <c r="S2" s="216"/>
      <c r="T2" s="216"/>
      <c r="U2" s="216"/>
      <c r="V2" s="514"/>
      <c r="W2" s="255"/>
      <c r="AS2" s="60"/>
      <c r="AT2" s="60"/>
    </row>
    <row r="3" spans="1:46" s="18" customFormat="1" ht="18" customHeight="1" x14ac:dyDescent="0.25">
      <c r="A3" s="832">
        <f>Report_Date</f>
        <v>42309</v>
      </c>
      <c r="B3" s="833"/>
      <c r="C3" s="833"/>
      <c r="D3" s="833"/>
      <c r="E3" s="833"/>
      <c r="F3" s="833"/>
      <c r="G3" s="833"/>
      <c r="H3" s="833"/>
      <c r="I3" s="833"/>
      <c r="J3" s="833"/>
      <c r="K3" s="833"/>
      <c r="L3" s="833"/>
      <c r="M3" s="833"/>
      <c r="N3" s="833"/>
      <c r="O3" s="833"/>
      <c r="P3" s="833"/>
      <c r="Q3" s="423"/>
      <c r="R3" s="257"/>
      <c r="S3" s="257"/>
      <c r="T3" s="257"/>
      <c r="U3" s="257"/>
      <c r="V3" s="257"/>
      <c r="W3" s="258"/>
      <c r="AS3" s="60"/>
      <c r="AT3" s="60"/>
    </row>
    <row r="4" spans="1:46" ht="57" customHeight="1" x14ac:dyDescent="0.25">
      <c r="A4" s="401" t="s">
        <v>503</v>
      </c>
      <c r="B4" s="402" t="s">
        <v>403</v>
      </c>
      <c r="C4" s="403" t="s">
        <v>1314</v>
      </c>
      <c r="D4" s="402" t="s">
        <v>396</v>
      </c>
      <c r="E4" s="402" t="s">
        <v>0</v>
      </c>
      <c r="F4" s="402" t="s">
        <v>512</v>
      </c>
      <c r="G4" s="402" t="s">
        <v>1315</v>
      </c>
      <c r="H4" s="404" t="s">
        <v>1324</v>
      </c>
      <c r="I4" s="404" t="s">
        <v>1316</v>
      </c>
      <c r="J4" s="405" t="s">
        <v>1317</v>
      </c>
      <c r="K4" s="405" t="s">
        <v>1318</v>
      </c>
      <c r="L4" s="405" t="s">
        <v>1319</v>
      </c>
      <c r="M4" s="406" t="s">
        <v>1320</v>
      </c>
      <c r="N4" s="406" t="s">
        <v>1321</v>
      </c>
      <c r="O4" s="406" t="s">
        <v>1322</v>
      </c>
      <c r="P4" s="407" t="s">
        <v>1323</v>
      </c>
      <c r="Q4" s="408" t="s">
        <v>1012</v>
      </c>
      <c r="R4" s="408" t="s">
        <v>1011</v>
      </c>
      <c r="S4" s="409" t="s">
        <v>560</v>
      </c>
      <c r="T4" s="410" t="s">
        <v>500</v>
      </c>
      <c r="U4" s="406" t="s">
        <v>442</v>
      </c>
      <c r="V4" s="732" t="s">
        <v>1367</v>
      </c>
      <c r="W4" s="411" t="s">
        <v>1052</v>
      </c>
    </row>
    <row r="5" spans="1:46" ht="15" customHeight="1" x14ac:dyDescent="0.25">
      <c r="A5" s="392">
        <v>41609</v>
      </c>
      <c r="B5" s="221" t="s">
        <v>454</v>
      </c>
      <c r="C5" s="221" t="s">
        <v>462</v>
      </c>
      <c r="D5" s="221" t="s">
        <v>380</v>
      </c>
      <c r="E5" s="226" t="s">
        <v>529</v>
      </c>
      <c r="F5" s="221" t="s">
        <v>62</v>
      </c>
      <c r="G5" s="190">
        <v>1</v>
      </c>
      <c r="H5" s="190"/>
      <c r="I5" s="190"/>
      <c r="J5" s="190">
        <v>20</v>
      </c>
      <c r="K5" s="190">
        <v>20</v>
      </c>
      <c r="L5" s="221"/>
      <c r="M5" s="221"/>
      <c r="N5" s="221"/>
      <c r="O5" s="221"/>
      <c r="P5" s="191">
        <f>IF(V5="NO",Table_Shelter[[#This Row],[HH per Shelter]]*(Table_Shelter[[#This Row],['# of Temporary Shelter Units Built]]+Table_Shelter[[#This Row],['# of Temporary Shelter Under  Construction]]+Table_Shelter[[#This Row],['# of Permanent House Under Construction]]),0)</f>
        <v>20</v>
      </c>
      <c r="Q5" s="191"/>
      <c r="R5" s="221"/>
      <c r="S5" s="221" t="str">
        <f>IFERROR(VLOOKUP(Table_Shelter[[#This Row],[CampName]],CL,2,0),"")</f>
        <v>MMR001CMP179</v>
      </c>
      <c r="T5" s="221" t="str">
        <f>IFERROR(VLOOKUP(Table_Shelter[[#This Row],[CampName]],CL,3,0),"")</f>
        <v>Open</v>
      </c>
      <c r="U5" s="393">
        <f>IFERROR(Table_Shelter[[#This Row],[HH Covered]]/VLOOKUP(Table_Shelter[[#This Row],[CampName]],CL,4,0),"")</f>
        <v>0.26315789473684209</v>
      </c>
      <c r="V5" s="731" t="s">
        <v>1369</v>
      </c>
      <c r="W5" s="394"/>
    </row>
    <row r="6" spans="1:46" ht="14.25" customHeight="1" x14ac:dyDescent="0.25">
      <c r="A6" s="392"/>
      <c r="B6" s="220" t="s">
        <v>868</v>
      </c>
      <c r="C6" s="220"/>
      <c r="D6" s="223" t="s">
        <v>380</v>
      </c>
      <c r="E6" s="530" t="s">
        <v>529</v>
      </c>
      <c r="F6" s="220" t="s">
        <v>62</v>
      </c>
      <c r="G6" s="145">
        <v>1</v>
      </c>
      <c r="H6" s="190">
        <v>25</v>
      </c>
      <c r="I6" s="190">
        <v>25</v>
      </c>
      <c r="J6" s="190"/>
      <c r="K6" s="190"/>
      <c r="L6" s="221"/>
      <c r="M6" s="221"/>
      <c r="N6" s="221"/>
      <c r="O6" s="221"/>
      <c r="P6" s="191">
        <f>IF(V6="NO",Table_Shelter[[#This Row],[HH per Shelter]]*(Table_Shelter[[#This Row],['# of Temporary Shelter Units Built]]+Table_Shelter[[#This Row],['# of Temporary Shelter Under  Construction]]+Table_Shelter[[#This Row],['# of Permanent House Under Construction]]),0)</f>
        <v>0</v>
      </c>
      <c r="Q6" s="191"/>
      <c r="R6" s="221"/>
      <c r="S6" s="221" t="str">
        <f>IFERROR(VLOOKUP(Table_Shelter[[#This Row],[CampName]],CL,2,0),"")</f>
        <v>MMR001CMP179</v>
      </c>
      <c r="T6" s="221" t="str">
        <f>IFERROR(VLOOKUP(Table_Shelter[[#This Row],[CampName]],CL,3,0),"")</f>
        <v>Open</v>
      </c>
      <c r="U6" s="393">
        <f>IFERROR(Table_Shelter[[#This Row],[HH Covered]]/VLOOKUP(Table_Shelter[[#This Row],[CampName]],CL,4,0),"")</f>
        <v>0</v>
      </c>
      <c r="V6" s="731" t="s">
        <v>1369</v>
      </c>
      <c r="W6" s="394"/>
    </row>
    <row r="7" spans="1:46" ht="15" customHeight="1" x14ac:dyDescent="0.25">
      <c r="A7" s="395"/>
      <c r="B7" s="220" t="s">
        <v>454</v>
      </c>
      <c r="C7" s="220" t="s">
        <v>508</v>
      </c>
      <c r="D7" s="220" t="s">
        <v>380</v>
      </c>
      <c r="E7" s="225" t="s">
        <v>529</v>
      </c>
      <c r="F7" s="220" t="s">
        <v>62</v>
      </c>
      <c r="G7" s="145">
        <v>1</v>
      </c>
      <c r="H7" s="145"/>
      <c r="I7" s="145"/>
      <c r="J7" s="145"/>
      <c r="K7" s="145"/>
      <c r="L7" s="220"/>
      <c r="M7" s="220"/>
      <c r="N7" s="220"/>
      <c r="O7" s="220"/>
      <c r="P7" s="191">
        <f>IF(V7="NO",Table_Shelter[[#This Row],[HH per Shelter]]*(Table_Shelter[[#This Row],['# of Temporary Shelter Units Built]]+Table_Shelter[[#This Row],['# of Temporary Shelter Under  Construction]]+Table_Shelter[[#This Row],['# of Permanent House Under Construction]]),0)</f>
        <v>0</v>
      </c>
      <c r="Q7" s="144">
        <v>44</v>
      </c>
      <c r="R7" s="220"/>
      <c r="S7" s="221" t="str">
        <f>IFERROR(VLOOKUP(Table_Shelter[[#This Row],[CampName]],CL,2,0),"")</f>
        <v>MMR001CMP179</v>
      </c>
      <c r="T7" s="221" t="str">
        <f>IFERROR(VLOOKUP(Table_Shelter[[#This Row],[CampName]],CL,3,0),"")</f>
        <v>Open</v>
      </c>
      <c r="U7" s="393">
        <f>IFERROR(Table_Shelter[[#This Row],[HH Covered]]/VLOOKUP(Table_Shelter[[#This Row],[CampName]],CL,4,0),"")</f>
        <v>0</v>
      </c>
      <c r="V7" s="731" t="s">
        <v>1369</v>
      </c>
      <c r="W7" s="394"/>
    </row>
    <row r="8" spans="1:46" ht="15" customHeight="1" x14ac:dyDescent="0.25">
      <c r="A8" s="395"/>
      <c r="B8" s="220" t="s">
        <v>574</v>
      </c>
      <c r="C8" s="220" t="s">
        <v>461</v>
      </c>
      <c r="D8" s="220" t="s">
        <v>380</v>
      </c>
      <c r="E8" s="530" t="s">
        <v>5</v>
      </c>
      <c r="F8" s="220" t="s">
        <v>6</v>
      </c>
      <c r="G8" s="145">
        <v>1</v>
      </c>
      <c r="H8" s="145"/>
      <c r="I8" s="145"/>
      <c r="J8" s="145">
        <v>6</v>
      </c>
      <c r="K8" s="145">
        <v>6</v>
      </c>
      <c r="L8" s="220"/>
      <c r="M8" s="220"/>
      <c r="N8" s="220"/>
      <c r="O8" s="220"/>
      <c r="P8" s="191">
        <f>IF(V8="NO",Table_Shelter[[#This Row],[HH per Shelter]]*(Table_Shelter[[#This Row],['# of Temporary Shelter Units Built]]+Table_Shelter[[#This Row],['# of Temporary Shelter Under  Construction]]+Table_Shelter[[#This Row],['# of Permanent House Under Construction]]),0)</f>
        <v>6</v>
      </c>
      <c r="Q8" s="144"/>
      <c r="R8" s="220"/>
      <c r="S8" s="221" t="str">
        <f>IFERROR(VLOOKUP(Table_Shelter[[#This Row],[CampName]],CL,2,0),"")</f>
        <v>MMR001CMP050</v>
      </c>
      <c r="T8" s="221" t="str">
        <f>IFERROR(VLOOKUP(Table_Shelter[[#This Row],[CampName]],CL,3,0),"")</f>
        <v>Open</v>
      </c>
      <c r="U8" s="393">
        <f>IFERROR(Table_Shelter[[#This Row],[HH Covered]]/VLOOKUP(Table_Shelter[[#This Row],[CampName]],CL,4,0),"")</f>
        <v>1.9933554817275746E-2</v>
      </c>
      <c r="V8" s="731" t="s">
        <v>1369</v>
      </c>
      <c r="W8" s="394"/>
    </row>
    <row r="9" spans="1:46" ht="15" customHeight="1" x14ac:dyDescent="0.25">
      <c r="A9" s="396"/>
      <c r="B9" s="222" t="s">
        <v>454</v>
      </c>
      <c r="C9" s="222" t="s">
        <v>461</v>
      </c>
      <c r="D9" s="222" t="s">
        <v>380</v>
      </c>
      <c r="E9" s="227" t="s">
        <v>5</v>
      </c>
      <c r="F9" s="222" t="s">
        <v>6</v>
      </c>
      <c r="G9" s="149">
        <v>1</v>
      </c>
      <c r="H9" s="149"/>
      <c r="I9" s="149"/>
      <c r="J9" s="149">
        <v>144</v>
      </c>
      <c r="K9" s="149">
        <v>144</v>
      </c>
      <c r="L9" s="222"/>
      <c r="M9" s="222"/>
      <c r="N9" s="222"/>
      <c r="O9" s="222"/>
      <c r="P9" s="191">
        <f>IF(V9="NO",Table_Shelter[[#This Row],[HH per Shelter]]*(Table_Shelter[[#This Row],['# of Temporary Shelter Units Built]]+Table_Shelter[[#This Row],['# of Temporary Shelter Under  Construction]]+Table_Shelter[[#This Row],['# of Permanent House Under Construction]]),0)</f>
        <v>144</v>
      </c>
      <c r="Q9" s="148"/>
      <c r="R9" s="222"/>
      <c r="S9" s="221" t="str">
        <f>IFERROR(VLOOKUP(Table_Shelter[[#This Row],[CampName]],CL,2,0),"")</f>
        <v>MMR001CMP050</v>
      </c>
      <c r="T9" s="221" t="str">
        <f>IFERROR(VLOOKUP(Table_Shelter[[#This Row],[CampName]],CL,3,0),"")</f>
        <v>Open</v>
      </c>
      <c r="U9" s="393">
        <f>IFERROR(Table_Shelter[[#This Row],[HH Covered]]/VLOOKUP(Table_Shelter[[#This Row],[CampName]],CL,4,0),"")</f>
        <v>0.47840531561461797</v>
      </c>
      <c r="V9" s="731" t="s">
        <v>1369</v>
      </c>
      <c r="W9" s="394"/>
    </row>
    <row r="10" spans="1:46" x14ac:dyDescent="0.25">
      <c r="A10" s="395"/>
      <c r="B10" s="220" t="s">
        <v>454</v>
      </c>
      <c r="C10" s="220"/>
      <c r="D10" s="220" t="s">
        <v>380</v>
      </c>
      <c r="E10" s="225" t="s">
        <v>5</v>
      </c>
      <c r="F10" s="220" t="s">
        <v>6</v>
      </c>
      <c r="G10" s="145">
        <v>1</v>
      </c>
      <c r="H10" s="145"/>
      <c r="I10" s="145"/>
      <c r="J10" s="145">
        <v>20</v>
      </c>
      <c r="K10" s="145">
        <v>20</v>
      </c>
      <c r="L10" s="220"/>
      <c r="M10" s="220"/>
      <c r="N10" s="220"/>
      <c r="O10" s="220"/>
      <c r="P10" s="191">
        <f>IF(V10="NO",Table_Shelter[[#This Row],[HH per Shelter]]*(Table_Shelter[[#This Row],['# of Temporary Shelter Units Built]]+Table_Shelter[[#This Row],['# of Temporary Shelter Under  Construction]]+Table_Shelter[[#This Row],['# of Permanent House Under Construction]]),0)</f>
        <v>20</v>
      </c>
      <c r="Q10" s="144"/>
      <c r="R10" s="220"/>
      <c r="S10" s="221" t="str">
        <f>IFERROR(VLOOKUP(Table_Shelter[[#This Row],[CampName]],CL,2,0),"")</f>
        <v>MMR001CMP050</v>
      </c>
      <c r="T10" s="221" t="str">
        <f>IFERROR(VLOOKUP(Table_Shelter[[#This Row],[CampName]],CL,3,0),"")</f>
        <v>Open</v>
      </c>
      <c r="U10" s="393">
        <f>IFERROR(Table_Shelter[[#This Row],[HH Covered]]/VLOOKUP(Table_Shelter[[#This Row],[CampName]],CL,4,0),"")</f>
        <v>6.6445182724252497E-2</v>
      </c>
      <c r="V10" s="731" t="s">
        <v>1369</v>
      </c>
      <c r="W10" s="394"/>
    </row>
    <row r="11" spans="1:46" x14ac:dyDescent="0.25">
      <c r="A11" s="395">
        <v>41974</v>
      </c>
      <c r="B11" s="220" t="s">
        <v>454</v>
      </c>
      <c r="C11" s="220" t="s">
        <v>507</v>
      </c>
      <c r="D11" s="228" t="s">
        <v>380</v>
      </c>
      <c r="E11" s="530" t="s">
        <v>529</v>
      </c>
      <c r="F11" s="220" t="s">
        <v>41</v>
      </c>
      <c r="G11" s="145">
        <v>1</v>
      </c>
      <c r="H11" s="145"/>
      <c r="I11" s="145"/>
      <c r="J11" s="145">
        <v>15</v>
      </c>
      <c r="K11" s="145">
        <v>15</v>
      </c>
      <c r="L11" s="220"/>
      <c r="M11" s="220"/>
      <c r="N11" s="220"/>
      <c r="O11" s="220"/>
      <c r="P11" s="148">
        <f>IF(V11="NO",Table_Shelter[[#This Row],[HH per Shelter]]*(Table_Shelter[[#This Row],['# of Temporary Shelter Units Built]]+Table_Shelter[[#This Row],['# of Temporary Shelter Under  Construction]]+Table_Shelter[[#This Row],['# of Permanent House Under Construction]]),0)</f>
        <v>15</v>
      </c>
      <c r="Q11" s="144"/>
      <c r="R11" s="144"/>
      <c r="S11" s="148" t="str">
        <f>IFERROR(VLOOKUP(Table_Shelter[[#This Row],[CampName]],CL,2,0),"")</f>
        <v>MMR001CMP176</v>
      </c>
      <c r="T11" s="148" t="str">
        <f>IFERROR(VLOOKUP(Table_Shelter[[#This Row],[CampName]],CL,3,0),"")</f>
        <v>Open</v>
      </c>
      <c r="U11" s="393">
        <f>IFERROR(Table_Shelter[[#This Row],[HH Covered]]/VLOOKUP(Table_Shelter[[#This Row],[CampName]],CL,4,0),"")</f>
        <v>0.22388059701492538</v>
      </c>
      <c r="V11" s="731" t="s">
        <v>1369</v>
      </c>
      <c r="W11" s="397"/>
    </row>
    <row r="12" spans="1:46" x14ac:dyDescent="0.25">
      <c r="A12" s="395">
        <v>41609</v>
      </c>
      <c r="B12" s="220" t="s">
        <v>454</v>
      </c>
      <c r="C12" s="220" t="s">
        <v>507</v>
      </c>
      <c r="D12" s="220" t="s">
        <v>380</v>
      </c>
      <c r="E12" s="530" t="s">
        <v>529</v>
      </c>
      <c r="F12" s="220" t="s">
        <v>41</v>
      </c>
      <c r="G12" s="145">
        <v>1</v>
      </c>
      <c r="H12" s="145"/>
      <c r="I12" s="145"/>
      <c r="J12" s="145">
        <v>25</v>
      </c>
      <c r="K12" s="145">
        <v>25</v>
      </c>
      <c r="L12" s="220"/>
      <c r="M12" s="220"/>
      <c r="N12" s="220"/>
      <c r="O12" s="220"/>
      <c r="P12" s="191">
        <f>IF(V12="NO",Table_Shelter[[#This Row],[HH per Shelter]]*(Table_Shelter[[#This Row],['# of Temporary Shelter Units Built]]+Table_Shelter[[#This Row],['# of Temporary Shelter Under  Construction]]+Table_Shelter[[#This Row],['# of Permanent House Under Construction]]),0)</f>
        <v>25</v>
      </c>
      <c r="Q12" s="144"/>
      <c r="R12" s="220"/>
      <c r="S12" s="221" t="str">
        <f>IFERROR(VLOOKUP(Table_Shelter[[#This Row],[CampName]],CL,2,0),"")</f>
        <v>MMR001CMP176</v>
      </c>
      <c r="T12" s="221" t="str">
        <f>IFERROR(VLOOKUP(Table_Shelter[[#This Row],[CampName]],CL,3,0),"")</f>
        <v>Open</v>
      </c>
      <c r="U12" s="393">
        <f>IFERROR(Table_Shelter[[#This Row],[HH Covered]]/VLOOKUP(Table_Shelter[[#This Row],[CampName]],CL,4,0),"")</f>
        <v>0.37313432835820898</v>
      </c>
      <c r="V12" s="731" t="s">
        <v>1369</v>
      </c>
      <c r="W12" s="394"/>
    </row>
    <row r="13" spans="1:46" x14ac:dyDescent="0.25">
      <c r="A13" s="395"/>
      <c r="B13" s="220" t="s">
        <v>868</v>
      </c>
      <c r="C13" s="220"/>
      <c r="D13" s="223" t="s">
        <v>380</v>
      </c>
      <c r="E13" s="530" t="s">
        <v>529</v>
      </c>
      <c r="F13" s="220" t="s">
        <v>41</v>
      </c>
      <c r="G13" s="145">
        <v>1</v>
      </c>
      <c r="H13" s="145">
        <v>10</v>
      </c>
      <c r="I13" s="145">
        <v>10</v>
      </c>
      <c r="J13" s="145"/>
      <c r="K13" s="145"/>
      <c r="L13" s="220"/>
      <c r="M13" s="220"/>
      <c r="N13" s="220"/>
      <c r="O13" s="220"/>
      <c r="P13" s="191">
        <f>IF(V13="NO",Table_Shelter[[#This Row],[HH per Shelter]]*(Table_Shelter[[#This Row],['# of Temporary Shelter Units Built]]+Table_Shelter[[#This Row],['# of Temporary Shelter Under  Construction]]+Table_Shelter[[#This Row],['# of Permanent House Under Construction]]),0)</f>
        <v>0</v>
      </c>
      <c r="Q13" s="144"/>
      <c r="R13" s="220"/>
      <c r="S13" s="221" t="str">
        <f>IFERROR(VLOOKUP(Table_Shelter[[#This Row],[CampName]],CL,2,0),"")</f>
        <v>MMR001CMP176</v>
      </c>
      <c r="T13" s="221" t="str">
        <f>IFERROR(VLOOKUP(Table_Shelter[[#This Row],[CampName]],CL,3,0),"")</f>
        <v>Open</v>
      </c>
      <c r="U13" s="393">
        <f>IFERROR(Table_Shelter[[#This Row],[HH Covered]]/VLOOKUP(Table_Shelter[[#This Row],[CampName]],CL,4,0),"")</f>
        <v>0</v>
      </c>
      <c r="V13" s="731" t="s">
        <v>1369</v>
      </c>
      <c r="W13" s="394"/>
    </row>
    <row r="14" spans="1:46" ht="15" customHeight="1" x14ac:dyDescent="0.25">
      <c r="A14" s="395"/>
      <c r="B14" s="220" t="s">
        <v>454</v>
      </c>
      <c r="C14" s="220" t="s">
        <v>507</v>
      </c>
      <c r="D14" s="228" t="s">
        <v>380</v>
      </c>
      <c r="E14" s="225" t="s">
        <v>529</v>
      </c>
      <c r="F14" s="220" t="s">
        <v>41</v>
      </c>
      <c r="G14" s="145">
        <v>1</v>
      </c>
      <c r="H14" s="145"/>
      <c r="I14" s="145"/>
      <c r="J14" s="145">
        <v>5</v>
      </c>
      <c r="K14" s="145">
        <v>5</v>
      </c>
      <c r="L14" s="220"/>
      <c r="M14" s="220"/>
      <c r="N14" s="220"/>
      <c r="O14" s="220"/>
      <c r="P14" s="148">
        <f>IF(V14="NO",Table_Shelter[[#This Row],[HH per Shelter]]*(Table_Shelter[[#This Row],['# of Temporary Shelter Units Built]]+Table_Shelter[[#This Row],['# of Temporary Shelter Under  Construction]]+Table_Shelter[[#This Row],['# of Permanent House Under Construction]]),0)</f>
        <v>5</v>
      </c>
      <c r="Q14" s="144"/>
      <c r="R14" s="144"/>
      <c r="S14" s="148" t="str">
        <f>IFERROR(VLOOKUP(Table_Shelter[[#This Row],[CampName]],CL,2,0),"")</f>
        <v>MMR001CMP176</v>
      </c>
      <c r="T14" s="148" t="str">
        <f>IFERROR(VLOOKUP(Table_Shelter[[#This Row],[CampName]],CL,3,0),"")</f>
        <v>Open</v>
      </c>
      <c r="U14" s="393">
        <f>IFERROR(Table_Shelter[[#This Row],[HH Covered]]/VLOOKUP(Table_Shelter[[#This Row],[CampName]],CL,4,0),"")</f>
        <v>7.4626865671641784E-2</v>
      </c>
      <c r="V14" s="731" t="s">
        <v>1369</v>
      </c>
      <c r="W14" s="397"/>
    </row>
    <row r="15" spans="1:46" ht="15" customHeight="1" x14ac:dyDescent="0.25">
      <c r="A15" s="395">
        <v>41974</v>
      </c>
      <c r="B15" s="220" t="s">
        <v>454</v>
      </c>
      <c r="C15" s="220" t="s">
        <v>507</v>
      </c>
      <c r="D15" s="220" t="s">
        <v>380</v>
      </c>
      <c r="E15" s="225" t="s">
        <v>529</v>
      </c>
      <c r="F15" s="220" t="s">
        <v>43</v>
      </c>
      <c r="G15" s="145">
        <v>1</v>
      </c>
      <c r="H15" s="145"/>
      <c r="I15" s="145"/>
      <c r="J15" s="145">
        <v>5</v>
      </c>
      <c r="K15" s="145">
        <v>5</v>
      </c>
      <c r="L15" s="220"/>
      <c r="M15" s="220"/>
      <c r="N15" s="220"/>
      <c r="O15" s="220"/>
      <c r="P15" s="148">
        <f>IF(V15="NO",Table_Shelter[[#This Row],[HH per Shelter]]*(Table_Shelter[[#This Row],['# of Temporary Shelter Units Built]]+Table_Shelter[[#This Row],['# of Temporary Shelter Under  Construction]]+Table_Shelter[[#This Row],['# of Permanent House Under Construction]]),0)</f>
        <v>5</v>
      </c>
      <c r="Q15" s="144"/>
      <c r="R15" s="144"/>
      <c r="S15" s="148" t="str">
        <f>IFERROR(VLOOKUP(Table_Shelter[[#This Row],[CampName]],CL,2,0),"")</f>
        <v>MMR001CMP190</v>
      </c>
      <c r="T15" s="148" t="str">
        <f>IFERROR(VLOOKUP(Table_Shelter[[#This Row],[CampName]],CL,3,0),"")</f>
        <v>Open</v>
      </c>
      <c r="U15" s="393">
        <f>IFERROR(Table_Shelter[[#This Row],[HH Covered]]/VLOOKUP(Table_Shelter[[#This Row],[CampName]],CL,4,0),"")</f>
        <v>0.35714285714285715</v>
      </c>
      <c r="V15" s="731" t="s">
        <v>1369</v>
      </c>
      <c r="W15" s="397"/>
    </row>
    <row r="16" spans="1:46" ht="15" customHeight="1" x14ac:dyDescent="0.25">
      <c r="A16" s="395">
        <v>41609</v>
      </c>
      <c r="B16" s="220" t="s">
        <v>454</v>
      </c>
      <c r="C16" s="220" t="s">
        <v>507</v>
      </c>
      <c r="D16" s="220" t="s">
        <v>380</v>
      </c>
      <c r="E16" s="530" t="s">
        <v>529</v>
      </c>
      <c r="F16" s="220" t="s">
        <v>43</v>
      </c>
      <c r="G16" s="145">
        <v>1</v>
      </c>
      <c r="H16" s="145"/>
      <c r="I16" s="145"/>
      <c r="J16" s="145">
        <v>5</v>
      </c>
      <c r="K16" s="145">
        <v>5</v>
      </c>
      <c r="L16" s="220"/>
      <c r="M16" s="220"/>
      <c r="N16" s="220"/>
      <c r="O16" s="220"/>
      <c r="P16" s="191">
        <f>IF(V16="NO",Table_Shelter[[#This Row],[HH per Shelter]]*(Table_Shelter[[#This Row],['# of Temporary Shelter Units Built]]+Table_Shelter[[#This Row],['# of Temporary Shelter Under  Construction]]+Table_Shelter[[#This Row],['# of Permanent House Under Construction]]),0)</f>
        <v>5</v>
      </c>
      <c r="Q16" s="144"/>
      <c r="R16" s="220"/>
      <c r="S16" s="221" t="str">
        <f>IFERROR(VLOOKUP(Table_Shelter[[#This Row],[CampName]],CL,2,0),"")</f>
        <v>MMR001CMP190</v>
      </c>
      <c r="T16" s="221" t="str">
        <f>IFERROR(VLOOKUP(Table_Shelter[[#This Row],[CampName]],CL,3,0),"")</f>
        <v>Open</v>
      </c>
      <c r="U16" s="393">
        <f>IFERROR(Table_Shelter[[#This Row],[HH Covered]]/VLOOKUP(Table_Shelter[[#This Row],[CampName]],CL,4,0),"")</f>
        <v>0.35714285714285715</v>
      </c>
      <c r="V16" s="731" t="s">
        <v>1369</v>
      </c>
      <c r="W16" s="394"/>
    </row>
    <row r="17" spans="1:23" ht="15" customHeight="1" x14ac:dyDescent="0.25">
      <c r="A17" s="395"/>
      <c r="B17" s="220" t="s">
        <v>454</v>
      </c>
      <c r="C17" s="220" t="s">
        <v>461</v>
      </c>
      <c r="D17" s="220" t="s">
        <v>380</v>
      </c>
      <c r="E17" s="530" t="s">
        <v>5</v>
      </c>
      <c r="F17" s="220" t="s">
        <v>514</v>
      </c>
      <c r="G17" s="145">
        <v>1</v>
      </c>
      <c r="H17" s="145"/>
      <c r="I17" s="145"/>
      <c r="J17" s="145">
        <v>32</v>
      </c>
      <c r="K17" s="145">
        <v>32</v>
      </c>
      <c r="L17" s="220"/>
      <c r="M17" s="220"/>
      <c r="N17" s="220"/>
      <c r="O17" s="220"/>
      <c r="P17" s="191">
        <f>IF(V17="NO",Table_Shelter[[#This Row],[HH per Shelter]]*(Table_Shelter[[#This Row],['# of Temporary Shelter Units Built]]+Table_Shelter[[#This Row],['# of Temporary Shelter Under  Construction]]+Table_Shelter[[#This Row],['# of Permanent House Under Construction]]),0)</f>
        <v>32</v>
      </c>
      <c r="Q17" s="144"/>
      <c r="R17" s="220"/>
      <c r="S17" s="221" t="str">
        <f>IFERROR(VLOOKUP(Table_Shelter[[#This Row],[CampName]],CL,2,0),"")</f>
        <v>MMR001CMP194</v>
      </c>
      <c r="T17" s="221" t="str">
        <f>IFERROR(VLOOKUP(Table_Shelter[[#This Row],[CampName]],CL,3,0),"")</f>
        <v>Open</v>
      </c>
      <c r="U17" s="393">
        <f>IFERROR(Table_Shelter[[#This Row],[HH Covered]]/VLOOKUP(Table_Shelter[[#This Row],[CampName]],CL,4,0),"")</f>
        <v>2.6666666666666665</v>
      </c>
      <c r="V17" s="731" t="s">
        <v>1369</v>
      </c>
      <c r="W17" s="394"/>
    </row>
    <row r="18" spans="1:23" ht="15" customHeight="1" x14ac:dyDescent="0.25">
      <c r="A18" s="395"/>
      <c r="B18" s="220" t="s">
        <v>454</v>
      </c>
      <c r="C18" s="220"/>
      <c r="D18" s="220" t="s">
        <v>380</v>
      </c>
      <c r="E18" s="225" t="s">
        <v>5</v>
      </c>
      <c r="F18" s="220" t="s">
        <v>514</v>
      </c>
      <c r="G18" s="145">
        <v>1</v>
      </c>
      <c r="H18" s="145"/>
      <c r="I18" s="145"/>
      <c r="J18" s="145">
        <v>10</v>
      </c>
      <c r="K18" s="145">
        <v>10</v>
      </c>
      <c r="L18" s="220"/>
      <c r="M18" s="220"/>
      <c r="N18" s="220"/>
      <c r="O18" s="220"/>
      <c r="P18" s="191">
        <f>IF(V18="NO",Table_Shelter[[#This Row],[HH per Shelter]]*(Table_Shelter[[#This Row],['# of Temporary Shelter Units Built]]+Table_Shelter[[#This Row],['# of Temporary Shelter Under  Construction]]+Table_Shelter[[#This Row],['# of Permanent House Under Construction]]),0)</f>
        <v>10</v>
      </c>
      <c r="Q18" s="144"/>
      <c r="R18" s="220"/>
      <c r="S18" s="221" t="str">
        <f>IFERROR(VLOOKUP(Table_Shelter[[#This Row],[CampName]],CL,2,0),"")</f>
        <v>MMR001CMP194</v>
      </c>
      <c r="T18" s="221" t="str">
        <f>IFERROR(VLOOKUP(Table_Shelter[[#This Row],[CampName]],CL,3,0),"")</f>
        <v>Open</v>
      </c>
      <c r="U18" s="393">
        <f>IFERROR(Table_Shelter[[#This Row],[HH Covered]]/VLOOKUP(Table_Shelter[[#This Row],[CampName]],CL,4,0),"")</f>
        <v>0.83333333333333337</v>
      </c>
      <c r="V18" s="731" t="s">
        <v>1369</v>
      </c>
      <c r="W18" s="394"/>
    </row>
    <row r="19" spans="1:23" ht="15" customHeight="1" x14ac:dyDescent="0.25">
      <c r="A19" s="395">
        <v>41609</v>
      </c>
      <c r="B19" s="220" t="s">
        <v>454</v>
      </c>
      <c r="C19" s="220" t="s">
        <v>462</v>
      </c>
      <c r="D19" s="220" t="s">
        <v>380</v>
      </c>
      <c r="E19" s="530" t="s">
        <v>529</v>
      </c>
      <c r="F19" s="220" t="s">
        <v>52</v>
      </c>
      <c r="G19" s="145">
        <v>1</v>
      </c>
      <c r="H19" s="145"/>
      <c r="I19" s="145"/>
      <c r="J19" s="145">
        <v>20</v>
      </c>
      <c r="K19" s="145">
        <v>20</v>
      </c>
      <c r="L19" s="220"/>
      <c r="M19" s="220"/>
      <c r="N19" s="220"/>
      <c r="O19" s="220"/>
      <c r="P19" s="191">
        <f>IF(V19="NO",Table_Shelter[[#This Row],[HH per Shelter]]*(Table_Shelter[[#This Row],['# of Temporary Shelter Units Built]]+Table_Shelter[[#This Row],['# of Temporary Shelter Under  Construction]]+Table_Shelter[[#This Row],['# of Permanent House Under Construction]]),0)</f>
        <v>20</v>
      </c>
      <c r="Q19" s="144"/>
      <c r="R19" s="220"/>
      <c r="S19" s="221" t="str">
        <f>IFERROR(VLOOKUP(Table_Shelter[[#This Row],[CampName]],CL,2,0),"")</f>
        <v>MMR001CMP169</v>
      </c>
      <c r="T19" s="221" t="str">
        <f>IFERROR(VLOOKUP(Table_Shelter[[#This Row],[CampName]],CL,3,0),"")</f>
        <v>Open</v>
      </c>
      <c r="U19" s="393">
        <f>IFERROR(Table_Shelter[[#This Row],[HH Covered]]/VLOOKUP(Table_Shelter[[#This Row],[CampName]],CL,4,0),"")</f>
        <v>0.5714285714285714</v>
      </c>
      <c r="V19" s="731" t="s">
        <v>1369</v>
      </c>
      <c r="W19" s="394"/>
    </row>
    <row r="20" spans="1:23" x14ac:dyDescent="0.25">
      <c r="A20" s="395"/>
      <c r="B20" s="220" t="s">
        <v>868</v>
      </c>
      <c r="C20" s="220"/>
      <c r="D20" s="220" t="s">
        <v>380</v>
      </c>
      <c r="E20" s="530" t="s">
        <v>529</v>
      </c>
      <c r="F20" s="220" t="s">
        <v>52</v>
      </c>
      <c r="G20" s="145">
        <v>1</v>
      </c>
      <c r="H20" s="145">
        <v>10</v>
      </c>
      <c r="I20" s="145">
        <v>10</v>
      </c>
      <c r="J20" s="145"/>
      <c r="K20" s="145"/>
      <c r="L20" s="220"/>
      <c r="M20" s="220"/>
      <c r="N20" s="220"/>
      <c r="O20" s="220"/>
      <c r="P20" s="191">
        <f>IF(V20="NO",Table_Shelter[[#This Row],[HH per Shelter]]*(Table_Shelter[[#This Row],['# of Temporary Shelter Units Built]]+Table_Shelter[[#This Row],['# of Temporary Shelter Under  Construction]]+Table_Shelter[[#This Row],['# of Permanent House Under Construction]]),0)</f>
        <v>0</v>
      </c>
      <c r="Q20" s="144"/>
      <c r="R20" s="220"/>
      <c r="S20" s="221" t="str">
        <f>IFERROR(VLOOKUP(Table_Shelter[[#This Row],[CampName]],CL,2,0),"")</f>
        <v>MMR001CMP169</v>
      </c>
      <c r="T20" s="221" t="str">
        <f>IFERROR(VLOOKUP(Table_Shelter[[#This Row],[CampName]],CL,3,0),"")</f>
        <v>Open</v>
      </c>
      <c r="U20" s="393">
        <f>IFERROR(Table_Shelter[[#This Row],[HH Covered]]/VLOOKUP(Table_Shelter[[#This Row],[CampName]],CL,4,0),"")</f>
        <v>0</v>
      </c>
      <c r="V20" s="731" t="s">
        <v>1369</v>
      </c>
      <c r="W20" s="394"/>
    </row>
    <row r="21" spans="1:23" x14ac:dyDescent="0.25">
      <c r="A21" s="395">
        <v>41974</v>
      </c>
      <c r="B21" s="220" t="s">
        <v>454</v>
      </c>
      <c r="C21" s="220" t="s">
        <v>507</v>
      </c>
      <c r="D21" s="223" t="s">
        <v>380</v>
      </c>
      <c r="E21" s="225" t="s">
        <v>529</v>
      </c>
      <c r="F21" s="220" t="s">
        <v>58</v>
      </c>
      <c r="G21" s="145">
        <v>1</v>
      </c>
      <c r="H21" s="145"/>
      <c r="I21" s="145"/>
      <c r="J21" s="145">
        <v>5</v>
      </c>
      <c r="K21" s="145">
        <v>5</v>
      </c>
      <c r="L21" s="220"/>
      <c r="M21" s="220"/>
      <c r="N21" s="220"/>
      <c r="O21" s="220"/>
      <c r="P21" s="148">
        <f>IF(V21="NO",Table_Shelter[[#This Row],[HH per Shelter]]*(Table_Shelter[[#This Row],['# of Temporary Shelter Units Built]]+Table_Shelter[[#This Row],['# of Temporary Shelter Under  Construction]]+Table_Shelter[[#This Row],['# of Permanent House Under Construction]]),0)</f>
        <v>5</v>
      </c>
      <c r="Q21" s="144"/>
      <c r="R21" s="144"/>
      <c r="S21" s="148" t="str">
        <f>IFERROR(VLOOKUP(Table_Shelter[[#This Row],[CampName]],CL,2,0),"")</f>
        <v>MMR001CMP188</v>
      </c>
      <c r="T21" s="148" t="str">
        <f>IFERROR(VLOOKUP(Table_Shelter[[#This Row],[CampName]],CL,3,0),"")</f>
        <v>Closed</v>
      </c>
      <c r="U21" s="393" t="str">
        <f>IFERROR(Table_Shelter[[#This Row],[HH Covered]]/VLOOKUP(Table_Shelter[[#This Row],[CampName]],CL,4,0),"")</f>
        <v/>
      </c>
      <c r="V21" s="731" t="s">
        <v>1369</v>
      </c>
      <c r="W21" s="397"/>
    </row>
    <row r="22" spans="1:23" x14ac:dyDescent="0.25">
      <c r="A22" s="395">
        <v>41609</v>
      </c>
      <c r="B22" s="220" t="s">
        <v>454</v>
      </c>
      <c r="C22" s="220" t="s">
        <v>507</v>
      </c>
      <c r="D22" s="220" t="s">
        <v>380</v>
      </c>
      <c r="E22" s="225" t="s">
        <v>529</v>
      </c>
      <c r="F22" s="220" t="s">
        <v>58</v>
      </c>
      <c r="G22" s="145">
        <v>1</v>
      </c>
      <c r="H22" s="145"/>
      <c r="I22" s="145"/>
      <c r="J22" s="145">
        <v>10</v>
      </c>
      <c r="K22" s="145">
        <v>10</v>
      </c>
      <c r="L22" s="220"/>
      <c r="M22" s="220"/>
      <c r="N22" s="220"/>
      <c r="O22" s="220"/>
      <c r="P22" s="191">
        <f>IF(V22="NO",Table_Shelter[[#This Row],[HH per Shelter]]*(Table_Shelter[[#This Row],['# of Temporary Shelter Units Built]]+Table_Shelter[[#This Row],['# of Temporary Shelter Under  Construction]]+Table_Shelter[[#This Row],['# of Permanent House Under Construction]]),0)</f>
        <v>10</v>
      </c>
      <c r="Q22" s="144"/>
      <c r="R22" s="220"/>
      <c r="S22" s="221" t="str">
        <f>IFERROR(VLOOKUP(Table_Shelter[[#This Row],[CampName]],CL,2,0),"")</f>
        <v>MMR001CMP188</v>
      </c>
      <c r="T22" s="221" t="str">
        <f>IFERROR(VLOOKUP(Table_Shelter[[#This Row],[CampName]],CL,3,0),"")</f>
        <v>Closed</v>
      </c>
      <c r="U22" s="393" t="str">
        <f>IFERROR(Table_Shelter[[#This Row],[HH Covered]]/VLOOKUP(Table_Shelter[[#This Row],[CampName]],CL,4,0),"")</f>
        <v/>
      </c>
      <c r="V22" s="731" t="s">
        <v>1369</v>
      </c>
      <c r="W22" s="394"/>
    </row>
    <row r="23" spans="1:23" x14ac:dyDescent="0.25">
      <c r="A23" s="395"/>
      <c r="B23" s="220"/>
      <c r="C23" s="220"/>
      <c r="D23" s="223" t="s">
        <v>380</v>
      </c>
      <c r="E23" s="225" t="s">
        <v>529</v>
      </c>
      <c r="F23" s="220" t="s">
        <v>58</v>
      </c>
      <c r="G23" s="145">
        <v>1</v>
      </c>
      <c r="H23" s="145"/>
      <c r="I23" s="145"/>
      <c r="J23" s="145">
        <v>10</v>
      </c>
      <c r="K23" s="145">
        <v>10</v>
      </c>
      <c r="L23" s="220"/>
      <c r="M23" s="220"/>
      <c r="N23" s="220"/>
      <c r="O23" s="220"/>
      <c r="P23" s="191">
        <f>IF(V23="NO",Table_Shelter[[#This Row],[HH per Shelter]]*(Table_Shelter[[#This Row],['# of Temporary Shelter Units Built]]+Table_Shelter[[#This Row],['# of Temporary Shelter Under  Construction]]+Table_Shelter[[#This Row],['# of Permanent House Under Construction]]),0)</f>
        <v>10</v>
      </c>
      <c r="Q23" s="144"/>
      <c r="R23" s="220"/>
      <c r="S23" s="221" t="str">
        <f>IFERROR(VLOOKUP(Table_Shelter[[#This Row],[CampName]],CL,2,0),"")</f>
        <v>MMR001CMP188</v>
      </c>
      <c r="T23" s="221" t="str">
        <f>IFERROR(VLOOKUP(Table_Shelter[[#This Row],[CampName]],CL,3,0),"")</f>
        <v>Closed</v>
      </c>
      <c r="U23" s="393" t="str">
        <f>IFERROR(Table_Shelter[[#This Row],[HH Covered]]/VLOOKUP(Table_Shelter[[#This Row],[CampName]],CL,4,0),"")</f>
        <v/>
      </c>
      <c r="V23" s="731" t="s">
        <v>1369</v>
      </c>
      <c r="W23" s="394"/>
    </row>
    <row r="24" spans="1:23" x14ac:dyDescent="0.25">
      <c r="A24" s="395">
        <v>41609</v>
      </c>
      <c r="B24" s="222" t="s">
        <v>454</v>
      </c>
      <c r="C24" s="222" t="s">
        <v>508</v>
      </c>
      <c r="D24" s="224" t="s">
        <v>380</v>
      </c>
      <c r="E24" s="227" t="s">
        <v>310</v>
      </c>
      <c r="F24" s="222" t="s">
        <v>334</v>
      </c>
      <c r="G24" s="149">
        <v>1</v>
      </c>
      <c r="H24" s="149"/>
      <c r="I24" s="149"/>
      <c r="J24" s="149">
        <v>35</v>
      </c>
      <c r="K24" s="149">
        <v>35</v>
      </c>
      <c r="L24" s="222"/>
      <c r="M24" s="222"/>
      <c r="N24" s="222"/>
      <c r="O24" s="222"/>
      <c r="P24" s="148">
        <f>IF(V24="NO",Table_Shelter[[#This Row],[HH per Shelter]]*(Table_Shelter[[#This Row],['# of Temporary Shelter Units Built]]+Table_Shelter[[#This Row],['# of Temporary Shelter Under  Construction]]+Table_Shelter[[#This Row],['# of Permanent House Under Construction]]),0)</f>
        <v>35</v>
      </c>
      <c r="Q24" s="148"/>
      <c r="R24" s="148"/>
      <c r="S24" s="148" t="str">
        <f>IFERROR(VLOOKUP(Table_Shelter[[#This Row],[CampName]],CL,2,0),"")</f>
        <v>MMR001CMP113</v>
      </c>
      <c r="T24" s="148" t="str">
        <f>IFERROR(VLOOKUP(Table_Shelter[[#This Row],[CampName]],CL,3,0),"")</f>
        <v>Open</v>
      </c>
      <c r="U24" s="393">
        <f>IFERROR(Table_Shelter[[#This Row],[HH Covered]]/VLOOKUP(Table_Shelter[[#This Row],[CampName]],CL,4,0),"")</f>
        <v>0.22580645161290322</v>
      </c>
      <c r="V24" s="731" t="s">
        <v>1369</v>
      </c>
      <c r="W24" s="397"/>
    </row>
    <row r="25" spans="1:23" x14ac:dyDescent="0.25">
      <c r="A25" s="395"/>
      <c r="B25" s="220" t="s">
        <v>868</v>
      </c>
      <c r="C25" s="220"/>
      <c r="D25" s="220" t="s">
        <v>380</v>
      </c>
      <c r="E25" s="530" t="s">
        <v>310</v>
      </c>
      <c r="F25" s="220" t="s">
        <v>334</v>
      </c>
      <c r="G25" s="145">
        <v>1</v>
      </c>
      <c r="H25" s="145">
        <v>41</v>
      </c>
      <c r="I25" s="145">
        <v>41</v>
      </c>
      <c r="J25" s="145"/>
      <c r="K25" s="145"/>
      <c r="L25" s="220"/>
      <c r="M25" s="220"/>
      <c r="N25" s="220"/>
      <c r="O25" s="220"/>
      <c r="P25" s="191">
        <f>IF(V25="NO",Table_Shelter[[#This Row],[HH per Shelter]]*(Table_Shelter[[#This Row],['# of Temporary Shelter Units Built]]+Table_Shelter[[#This Row],['# of Temporary Shelter Under  Construction]]+Table_Shelter[[#This Row],['# of Permanent House Under Construction]]),0)</f>
        <v>0</v>
      </c>
      <c r="Q25" s="144"/>
      <c r="R25" s="220"/>
      <c r="S25" s="221" t="str">
        <f>IFERROR(VLOOKUP(Table_Shelter[[#This Row],[CampName]],CL,2,0),"")</f>
        <v>MMR001CMP113</v>
      </c>
      <c r="T25" s="221" t="str">
        <f>IFERROR(VLOOKUP(Table_Shelter[[#This Row],[CampName]],CL,3,0),"")</f>
        <v>Open</v>
      </c>
      <c r="U25" s="393">
        <f>IFERROR(Table_Shelter[[#This Row],[HH Covered]]/VLOOKUP(Table_Shelter[[#This Row],[CampName]],CL,4,0),"")</f>
        <v>0</v>
      </c>
      <c r="V25" s="731" t="s">
        <v>1369</v>
      </c>
      <c r="W25" s="394"/>
    </row>
    <row r="26" spans="1:23" x14ac:dyDescent="0.25">
      <c r="A26" s="395"/>
      <c r="B26" s="222" t="s">
        <v>454</v>
      </c>
      <c r="C26" s="222" t="s">
        <v>508</v>
      </c>
      <c r="D26" s="224" t="s">
        <v>380</v>
      </c>
      <c r="E26" s="227" t="s">
        <v>310</v>
      </c>
      <c r="F26" s="222" t="s">
        <v>334</v>
      </c>
      <c r="G26" s="149">
        <v>1</v>
      </c>
      <c r="H26" s="149"/>
      <c r="I26" s="149"/>
      <c r="J26" s="398">
        <v>202</v>
      </c>
      <c r="K26" s="149">
        <v>202</v>
      </c>
      <c r="L26" s="222"/>
      <c r="M26" s="222"/>
      <c r="N26" s="222"/>
      <c r="O26" s="222"/>
      <c r="P26" s="191">
        <f>IF(V26="NO",Table_Shelter[[#This Row],[HH per Shelter]]*(Table_Shelter[[#This Row],['# of Temporary Shelter Units Built]]+Table_Shelter[[#This Row],['# of Temporary Shelter Under  Construction]]+Table_Shelter[[#This Row],['# of Permanent House Under Construction]]),0)</f>
        <v>202</v>
      </c>
      <c r="Q26" s="148"/>
      <c r="R26" s="222"/>
      <c r="S26" s="221" t="str">
        <f>IFERROR(VLOOKUP(Table_Shelter[[#This Row],[CampName]],CL,2,0),"")</f>
        <v>MMR001CMP113</v>
      </c>
      <c r="T26" s="221" t="str">
        <f>IFERROR(VLOOKUP(Table_Shelter[[#This Row],[CampName]],CL,3,0),"")</f>
        <v>Open</v>
      </c>
      <c r="U26" s="393">
        <f>IFERROR(Table_Shelter[[#This Row],[HH Covered]]/VLOOKUP(Table_Shelter[[#This Row],[CampName]],CL,4,0),"")</f>
        <v>1.3032258064516129</v>
      </c>
      <c r="V26" s="731" t="s">
        <v>1369</v>
      </c>
      <c r="W26" s="394"/>
    </row>
    <row r="27" spans="1:23" x14ac:dyDescent="0.25">
      <c r="A27" s="395">
        <v>41974</v>
      </c>
      <c r="B27" s="220" t="s">
        <v>454</v>
      </c>
      <c r="C27" s="220" t="s">
        <v>462</v>
      </c>
      <c r="D27" s="220" t="s">
        <v>380</v>
      </c>
      <c r="E27" s="530" t="s">
        <v>151</v>
      </c>
      <c r="F27" s="220" t="s">
        <v>188</v>
      </c>
      <c r="G27" s="145">
        <v>1</v>
      </c>
      <c r="H27" s="145"/>
      <c r="I27" s="145"/>
      <c r="J27" s="145">
        <v>90</v>
      </c>
      <c r="K27" s="145">
        <v>90</v>
      </c>
      <c r="L27" s="220"/>
      <c r="M27" s="220"/>
      <c r="N27" s="220"/>
      <c r="O27" s="220"/>
      <c r="P27" s="191">
        <f>IF(V27="NO",Table_Shelter[[#This Row],[HH per Shelter]]*(Table_Shelter[[#This Row],['# of Temporary Shelter Units Built]]+Table_Shelter[[#This Row],['# of Temporary Shelter Under  Construction]]+Table_Shelter[[#This Row],['# of Permanent House Under Construction]]),0)</f>
        <v>90</v>
      </c>
      <c r="Q27" s="144"/>
      <c r="R27" s="220"/>
      <c r="S27" s="221" t="str">
        <f>IFERROR(VLOOKUP(Table_Shelter[[#This Row],[CampName]],CL,2,0),"")</f>
        <v>MMR001CMP129</v>
      </c>
      <c r="T27" s="221" t="str">
        <f>IFERROR(VLOOKUP(Table_Shelter[[#This Row],[CampName]],CL,3,0),"")</f>
        <v>Open</v>
      </c>
      <c r="U27" s="393">
        <f>IFERROR(Table_Shelter[[#This Row],[HH Covered]]/VLOOKUP(Table_Shelter[[#This Row],[CampName]],CL,4,0),"")</f>
        <v>0.51724137931034486</v>
      </c>
      <c r="V27" s="731" t="s">
        <v>1369</v>
      </c>
      <c r="W27" s="394"/>
    </row>
    <row r="28" spans="1:23" x14ac:dyDescent="0.25">
      <c r="A28" s="396">
        <v>41791</v>
      </c>
      <c r="B28" s="222" t="s">
        <v>454</v>
      </c>
      <c r="C28" s="222" t="s">
        <v>508</v>
      </c>
      <c r="D28" s="222" t="s">
        <v>380</v>
      </c>
      <c r="E28" s="227" t="s">
        <v>151</v>
      </c>
      <c r="F28" s="222" t="s">
        <v>188</v>
      </c>
      <c r="G28" s="149">
        <v>1</v>
      </c>
      <c r="H28" s="149"/>
      <c r="I28" s="149"/>
      <c r="J28" s="149">
        <v>100</v>
      </c>
      <c r="K28" s="149">
        <v>100</v>
      </c>
      <c r="L28" s="222"/>
      <c r="M28" s="222"/>
      <c r="N28" s="222"/>
      <c r="O28" s="222"/>
      <c r="P28" s="191">
        <f>IF(V28="NO",Table_Shelter[[#This Row],[HH per Shelter]]*(Table_Shelter[[#This Row],['# of Temporary Shelter Units Built]]+Table_Shelter[[#This Row],['# of Temporary Shelter Under  Construction]]+Table_Shelter[[#This Row],['# of Permanent House Under Construction]]),0)</f>
        <v>100</v>
      </c>
      <c r="Q28" s="148"/>
      <c r="R28" s="222"/>
      <c r="S28" s="221" t="str">
        <f>IFERROR(VLOOKUP(Table_Shelter[[#This Row],[CampName]],CL,2,0),"")</f>
        <v>MMR001CMP129</v>
      </c>
      <c r="T28" s="221" t="str">
        <f>IFERROR(VLOOKUP(Table_Shelter[[#This Row],[CampName]],CL,3,0),"")</f>
        <v>Open</v>
      </c>
      <c r="U28" s="393">
        <f>IFERROR(Table_Shelter[[#This Row],[HH Covered]]/VLOOKUP(Table_Shelter[[#This Row],[CampName]],CL,4,0),"")</f>
        <v>0.57471264367816088</v>
      </c>
      <c r="V28" s="731" t="s">
        <v>1369</v>
      </c>
      <c r="W28" s="394"/>
    </row>
    <row r="29" spans="1:23" x14ac:dyDescent="0.25">
      <c r="A29" s="395"/>
      <c r="B29" s="220" t="s">
        <v>454</v>
      </c>
      <c r="C29" s="220"/>
      <c r="D29" s="220" t="s">
        <v>380</v>
      </c>
      <c r="E29" s="530" t="s">
        <v>151</v>
      </c>
      <c r="F29" s="220" t="s">
        <v>188</v>
      </c>
      <c r="G29" s="145">
        <v>1</v>
      </c>
      <c r="H29" s="145"/>
      <c r="I29" s="145"/>
      <c r="J29" s="149">
        <v>150</v>
      </c>
      <c r="K29" s="145"/>
      <c r="L29" s="220"/>
      <c r="M29" s="220"/>
      <c r="N29" s="220"/>
      <c r="O29" s="220"/>
      <c r="P29" s="191">
        <f>IF(V29="NO",Table_Shelter[[#This Row],[HH per Shelter]]*(Table_Shelter[[#This Row],['# of Temporary Shelter Units Built]]+Table_Shelter[[#This Row],['# of Temporary Shelter Under  Construction]]+Table_Shelter[[#This Row],['# of Permanent House Under Construction]]),0)</f>
        <v>0</v>
      </c>
      <c r="Q29" s="144"/>
      <c r="R29" s="220"/>
      <c r="S29" s="221" t="str">
        <f>IFERROR(VLOOKUP(Table_Shelter[[#This Row],[CampName]],CL,2,0),"")</f>
        <v>MMR001CMP129</v>
      </c>
      <c r="T29" s="221" t="str">
        <f>IFERROR(VLOOKUP(Table_Shelter[[#This Row],[CampName]],CL,3,0),"")</f>
        <v>Open</v>
      </c>
      <c r="U29" s="393">
        <f>IFERROR(Table_Shelter[[#This Row],[HH Covered]]/VLOOKUP(Table_Shelter[[#This Row],[CampName]],CL,4,0),"")</f>
        <v>0</v>
      </c>
      <c r="V29" s="731" t="s">
        <v>1369</v>
      </c>
      <c r="W29" s="394"/>
    </row>
    <row r="30" spans="1:23" x14ac:dyDescent="0.25">
      <c r="A30" s="395">
        <v>41974</v>
      </c>
      <c r="B30" s="220" t="s">
        <v>454</v>
      </c>
      <c r="C30" s="220" t="s">
        <v>462</v>
      </c>
      <c r="D30" s="220" t="s">
        <v>380</v>
      </c>
      <c r="E30" s="225" t="s">
        <v>151</v>
      </c>
      <c r="F30" s="220" t="s">
        <v>1041</v>
      </c>
      <c r="G30" s="145">
        <v>1</v>
      </c>
      <c r="H30" s="145"/>
      <c r="I30" s="145"/>
      <c r="J30" s="145">
        <v>120</v>
      </c>
      <c r="K30" s="145">
        <v>120</v>
      </c>
      <c r="L30" s="220"/>
      <c r="M30" s="220"/>
      <c r="N30" s="220"/>
      <c r="O30" s="220"/>
      <c r="P30" s="191">
        <f>IF(V30="NO",Table_Shelter[[#This Row],[HH per Shelter]]*(Table_Shelter[[#This Row],['# of Temporary Shelter Units Built]]+Table_Shelter[[#This Row],['# of Temporary Shelter Under  Construction]]+Table_Shelter[[#This Row],['# of Permanent House Under Construction]]),0)</f>
        <v>120</v>
      </c>
      <c r="Q30" s="144"/>
      <c r="R30" s="220"/>
      <c r="S30" s="221" t="str">
        <f>IFERROR(VLOOKUP(Table_Shelter[[#This Row],[CampName]],CL,2,0),"")</f>
        <v>MMR001CMP226</v>
      </c>
      <c r="T30" s="221" t="str">
        <f>IFERROR(VLOOKUP(Table_Shelter[[#This Row],[CampName]],CL,3,0),"")</f>
        <v>Open</v>
      </c>
      <c r="U30" s="393">
        <f>IFERROR(Table_Shelter[[#This Row],[HH Covered]]/VLOOKUP(Table_Shelter[[#This Row],[CampName]],CL,4,0),"")</f>
        <v>0.54794520547945202</v>
      </c>
      <c r="V30" s="731" t="s">
        <v>1369</v>
      </c>
      <c r="W30" s="394"/>
    </row>
    <row r="31" spans="1:23" s="189" customFormat="1" ht="15" customHeight="1" x14ac:dyDescent="0.25">
      <c r="A31" s="396">
        <v>41974</v>
      </c>
      <c r="B31" s="222" t="s">
        <v>454</v>
      </c>
      <c r="C31" s="222" t="s">
        <v>507</v>
      </c>
      <c r="D31" s="222" t="s">
        <v>380</v>
      </c>
      <c r="E31" s="227" t="s">
        <v>529</v>
      </c>
      <c r="F31" s="222" t="s">
        <v>72</v>
      </c>
      <c r="G31" s="149">
        <v>1</v>
      </c>
      <c r="H31" s="149"/>
      <c r="I31" s="149"/>
      <c r="J31" s="149">
        <v>2</v>
      </c>
      <c r="K31" s="149">
        <v>2</v>
      </c>
      <c r="L31" s="222"/>
      <c r="M31" s="222"/>
      <c r="N31" s="222"/>
      <c r="O31" s="222"/>
      <c r="P31" s="148">
        <f>IF(V31="NO",Table_Shelter[[#This Row],[HH per Shelter]]*(Table_Shelter[[#This Row],['# of Temporary Shelter Units Built]]+Table_Shelter[[#This Row],['# of Temporary Shelter Under  Construction]]+Table_Shelter[[#This Row],['# of Permanent House Under Construction]]),0)</f>
        <v>2</v>
      </c>
      <c r="Q31" s="148"/>
      <c r="R31" s="148"/>
      <c r="S31" s="148" t="str">
        <f>IFERROR(VLOOKUP(Table_Shelter[[#This Row],[CampName]],CL,2,0),"")</f>
        <v>MMR001CMP109</v>
      </c>
      <c r="T31" s="148" t="str">
        <f>IFERROR(VLOOKUP(Table_Shelter[[#This Row],[CampName]],CL,3,0),"")</f>
        <v>Open</v>
      </c>
      <c r="U31" s="393">
        <f>IFERROR(Table_Shelter[[#This Row],[HH Covered]]/VLOOKUP(Table_Shelter[[#This Row],[CampName]],CL,4,0),"")</f>
        <v>0.33333333333333331</v>
      </c>
      <c r="V31" s="731" t="s">
        <v>1369</v>
      </c>
      <c r="W31" s="397"/>
    </row>
    <row r="32" spans="1:23" ht="15" customHeight="1" x14ac:dyDescent="0.25">
      <c r="A32" s="396">
        <v>41609</v>
      </c>
      <c r="B32" s="222" t="s">
        <v>454</v>
      </c>
      <c r="C32" s="222" t="s">
        <v>507</v>
      </c>
      <c r="D32" s="222" t="s">
        <v>380</v>
      </c>
      <c r="E32" s="227" t="s">
        <v>529</v>
      </c>
      <c r="F32" s="222" t="s">
        <v>72</v>
      </c>
      <c r="G32" s="149">
        <v>1</v>
      </c>
      <c r="H32" s="149"/>
      <c r="I32" s="149"/>
      <c r="J32" s="149">
        <v>4</v>
      </c>
      <c r="K32" s="149">
        <v>4</v>
      </c>
      <c r="L32" s="222"/>
      <c r="M32" s="222"/>
      <c r="N32" s="222"/>
      <c r="O32" s="222"/>
      <c r="P32" s="191">
        <f>IF(V32="NO",Table_Shelter[[#This Row],[HH per Shelter]]*(Table_Shelter[[#This Row],['# of Temporary Shelter Units Built]]+Table_Shelter[[#This Row],['# of Temporary Shelter Under  Construction]]+Table_Shelter[[#This Row],['# of Permanent House Under Construction]]),0)</f>
        <v>4</v>
      </c>
      <c r="Q32" s="148"/>
      <c r="R32" s="222"/>
      <c r="S32" s="221" t="str">
        <f>IFERROR(VLOOKUP(Table_Shelter[[#This Row],[CampName]],CL,2,0),"")</f>
        <v>MMR001CMP109</v>
      </c>
      <c r="T32" s="221" t="str">
        <f>IFERROR(VLOOKUP(Table_Shelter[[#This Row],[CampName]],CL,3,0),"")</f>
        <v>Open</v>
      </c>
      <c r="U32" s="393">
        <f>IFERROR(Table_Shelter[[#This Row],[HH Covered]]/VLOOKUP(Table_Shelter[[#This Row],[CampName]],CL,4,0),"")</f>
        <v>0.66666666666666663</v>
      </c>
      <c r="V32" s="731" t="s">
        <v>1369</v>
      </c>
      <c r="W32" s="394"/>
    </row>
    <row r="33" spans="1:23" ht="15" customHeight="1" x14ac:dyDescent="0.25">
      <c r="A33" s="395">
        <v>41974</v>
      </c>
      <c r="B33" s="220" t="s">
        <v>454</v>
      </c>
      <c r="C33" s="220" t="s">
        <v>507</v>
      </c>
      <c r="D33" s="220" t="s">
        <v>380</v>
      </c>
      <c r="E33" s="225" t="s">
        <v>27</v>
      </c>
      <c r="F33" s="220" t="s">
        <v>1112</v>
      </c>
      <c r="G33" s="145">
        <v>1</v>
      </c>
      <c r="H33" s="145"/>
      <c r="I33" s="145"/>
      <c r="J33" s="145">
        <v>5</v>
      </c>
      <c r="K33" s="145">
        <v>5</v>
      </c>
      <c r="L33" s="220"/>
      <c r="M33" s="220"/>
      <c r="N33" s="220"/>
      <c r="O33" s="220"/>
      <c r="P33" s="191">
        <f>IF(V33="NO",Table_Shelter[[#This Row],[HH per Shelter]]*(Table_Shelter[[#This Row],['# of Temporary Shelter Units Built]]+Table_Shelter[[#This Row],['# of Temporary Shelter Under  Construction]]+Table_Shelter[[#This Row],['# of Permanent House Under Construction]]),0)</f>
        <v>5</v>
      </c>
      <c r="Q33" s="144"/>
      <c r="R33" s="220"/>
      <c r="S33" s="221" t="str">
        <f>IFERROR(VLOOKUP(Table_Shelter[[#This Row],[CampName]],CL,2,0),"")</f>
        <v>MMR001CMP042</v>
      </c>
      <c r="T33" s="221" t="str">
        <f>IFERROR(VLOOKUP(Table_Shelter[[#This Row],[CampName]],CL,3,0),"")</f>
        <v>Open</v>
      </c>
      <c r="U33" s="393">
        <f>IFERROR(Table_Shelter[[#This Row],[HH Covered]]/VLOOKUP(Table_Shelter[[#This Row],[CampName]],CL,4,0),"")</f>
        <v>4.2372881355932202E-2</v>
      </c>
      <c r="V33" s="731" t="s">
        <v>1369</v>
      </c>
      <c r="W33" s="394"/>
    </row>
    <row r="34" spans="1:23" ht="15" customHeight="1" x14ac:dyDescent="0.25">
      <c r="A34" s="395"/>
      <c r="B34" s="220" t="s">
        <v>455</v>
      </c>
      <c r="C34" s="220" t="s">
        <v>507</v>
      </c>
      <c r="D34" s="220" t="s">
        <v>380</v>
      </c>
      <c r="E34" s="530" t="s">
        <v>27</v>
      </c>
      <c r="F34" s="220" t="s">
        <v>28</v>
      </c>
      <c r="G34" s="145">
        <v>1</v>
      </c>
      <c r="H34" s="145"/>
      <c r="I34" s="145"/>
      <c r="J34" s="145">
        <v>82</v>
      </c>
      <c r="K34" s="145">
        <v>82</v>
      </c>
      <c r="L34" s="220"/>
      <c r="M34" s="220"/>
      <c r="N34" s="220"/>
      <c r="O34" s="220"/>
      <c r="P34" s="191">
        <f>IF(V34="NO",Table_Shelter[[#This Row],[HH per Shelter]]*(Table_Shelter[[#This Row],['# of Temporary Shelter Units Built]]+Table_Shelter[[#This Row],['# of Temporary Shelter Under  Construction]]+Table_Shelter[[#This Row],['# of Permanent House Under Construction]]),0)</f>
        <v>82</v>
      </c>
      <c r="Q34" s="144"/>
      <c r="R34" s="220"/>
      <c r="S34" s="221" t="str">
        <f>IFERROR(VLOOKUP(Table_Shelter[[#This Row],[CampName]],CL,2,0),"")</f>
        <v>MMR001CMP042</v>
      </c>
      <c r="T34" s="221" t="str">
        <f>IFERROR(VLOOKUP(Table_Shelter[[#This Row],[CampName]],CL,3,0),"")</f>
        <v>Open</v>
      </c>
      <c r="U34" s="393">
        <f>IFERROR(Table_Shelter[[#This Row],[HH Covered]]/VLOOKUP(Table_Shelter[[#This Row],[CampName]],CL,4,0),"")</f>
        <v>0.69491525423728817</v>
      </c>
      <c r="V34" s="731" t="s">
        <v>1369</v>
      </c>
      <c r="W34" s="394"/>
    </row>
    <row r="35" spans="1:23" ht="15" customHeight="1" x14ac:dyDescent="0.25">
      <c r="A35" s="395"/>
      <c r="B35" s="220" t="s">
        <v>454</v>
      </c>
      <c r="C35" s="220" t="s">
        <v>507</v>
      </c>
      <c r="D35" s="228" t="s">
        <v>380</v>
      </c>
      <c r="E35" s="530" t="s">
        <v>27</v>
      </c>
      <c r="F35" s="220" t="s">
        <v>1112</v>
      </c>
      <c r="G35" s="145">
        <v>1</v>
      </c>
      <c r="H35" s="145"/>
      <c r="I35" s="145"/>
      <c r="J35" s="145">
        <v>20</v>
      </c>
      <c r="K35" s="145">
        <v>20</v>
      </c>
      <c r="L35" s="220"/>
      <c r="M35" s="220"/>
      <c r="N35" s="220"/>
      <c r="O35" s="220"/>
      <c r="P35" s="148">
        <f>IF(V35="NO",Table_Shelter[[#This Row],[HH per Shelter]]*(Table_Shelter[[#This Row],['# of Temporary Shelter Units Built]]+Table_Shelter[[#This Row],['# of Temporary Shelter Under  Construction]]+Table_Shelter[[#This Row],['# of Permanent House Under Construction]]),0)</f>
        <v>20</v>
      </c>
      <c r="Q35" s="144"/>
      <c r="R35" s="144"/>
      <c r="S35" s="148" t="str">
        <f>IFERROR(VLOOKUP(Table_Shelter[[#This Row],[CampName]],CL,2,0),"")</f>
        <v>MMR001CMP042</v>
      </c>
      <c r="T35" s="148" t="str">
        <f>IFERROR(VLOOKUP(Table_Shelter[[#This Row],[CampName]],CL,3,0),"")</f>
        <v>Open</v>
      </c>
      <c r="U35" s="393">
        <f>IFERROR(Table_Shelter[[#This Row],[HH Covered]]/VLOOKUP(Table_Shelter[[#This Row],[CampName]],CL,4,0),"")</f>
        <v>0.16949152542372881</v>
      </c>
      <c r="V35" s="731" t="s">
        <v>1369</v>
      </c>
      <c r="W35" s="397"/>
    </row>
    <row r="36" spans="1:23" ht="15" customHeight="1" x14ac:dyDescent="0.25">
      <c r="A36" s="396">
        <v>41974</v>
      </c>
      <c r="B36" s="222" t="s">
        <v>454</v>
      </c>
      <c r="C36" s="222" t="s">
        <v>507</v>
      </c>
      <c r="D36" s="222" t="s">
        <v>380</v>
      </c>
      <c r="E36" s="227" t="s">
        <v>529</v>
      </c>
      <c r="F36" s="222" t="s">
        <v>76</v>
      </c>
      <c r="G36" s="149">
        <v>1</v>
      </c>
      <c r="H36" s="149"/>
      <c r="I36" s="149"/>
      <c r="J36" s="149">
        <v>45</v>
      </c>
      <c r="K36" s="149">
        <v>45</v>
      </c>
      <c r="L36" s="222"/>
      <c r="M36" s="222"/>
      <c r="N36" s="222"/>
      <c r="O36" s="222"/>
      <c r="P36" s="191">
        <f>IF(V36="NO",Table_Shelter[[#This Row],[HH per Shelter]]*(Table_Shelter[[#This Row],['# of Temporary Shelter Units Built]]+Table_Shelter[[#This Row],['# of Temporary Shelter Under  Construction]]+Table_Shelter[[#This Row],['# of Permanent House Under Construction]]),0)</f>
        <v>45</v>
      </c>
      <c r="Q36" s="148"/>
      <c r="R36" s="222"/>
      <c r="S36" s="221" t="str">
        <f>IFERROR(VLOOKUP(Table_Shelter[[#This Row],[CampName]],CL,2,0),"")</f>
        <v>MMR001CMP174</v>
      </c>
      <c r="T36" s="221" t="str">
        <f>IFERROR(VLOOKUP(Table_Shelter[[#This Row],[CampName]],CL,3,0),"")</f>
        <v>Open</v>
      </c>
      <c r="U36" s="393">
        <f>IFERROR(Table_Shelter[[#This Row],[HH Covered]]/VLOOKUP(Table_Shelter[[#This Row],[CampName]],CL,4,0),"")</f>
        <v>0.69230769230769229</v>
      </c>
      <c r="V36" s="731" t="s">
        <v>1369</v>
      </c>
      <c r="W36" s="394"/>
    </row>
    <row r="37" spans="1:23" ht="15" customHeight="1" x14ac:dyDescent="0.25">
      <c r="A37" s="396">
        <v>41791</v>
      </c>
      <c r="B37" s="145" t="s">
        <v>454</v>
      </c>
      <c r="C37" s="145" t="s">
        <v>507</v>
      </c>
      <c r="D37" s="228" t="s">
        <v>380</v>
      </c>
      <c r="E37" s="229" t="s">
        <v>529</v>
      </c>
      <c r="F37" s="145" t="s">
        <v>76</v>
      </c>
      <c r="G37" s="145">
        <v>1</v>
      </c>
      <c r="H37" s="149"/>
      <c r="I37" s="149"/>
      <c r="J37" s="149">
        <v>20</v>
      </c>
      <c r="K37" s="149">
        <v>20</v>
      </c>
      <c r="L37" s="149"/>
      <c r="M37" s="149"/>
      <c r="N37" s="149"/>
      <c r="O37" s="149"/>
      <c r="P37" s="148">
        <f>IF(V37="NO",Table_Shelter[[#This Row],[HH per Shelter]]*(Table_Shelter[[#This Row],['# of Temporary Shelter Units Built]]+Table_Shelter[[#This Row],['# of Temporary Shelter Under  Construction]]+Table_Shelter[[#This Row],['# of Permanent House Under Construction]]),0)</f>
        <v>20</v>
      </c>
      <c r="Q37" s="148"/>
      <c r="R37" s="148"/>
      <c r="S37" s="148" t="str">
        <f>IFERROR(VLOOKUP(Table_Shelter[[#This Row],[CampName]],CL,2,0),"")</f>
        <v>MMR001CMP174</v>
      </c>
      <c r="T37" s="148" t="str">
        <f>IFERROR(VLOOKUP(Table_Shelter[[#This Row],[CampName]],CL,3,0),"")</f>
        <v>Open</v>
      </c>
      <c r="U37" s="399">
        <f>IFERROR(Table_Shelter[[#This Row],[HH Covered]]/VLOOKUP(Table_Shelter[[#This Row],[CampName]],CL,4,0),"")</f>
        <v>0.30769230769230771</v>
      </c>
      <c r="V37" s="731" t="s">
        <v>1369</v>
      </c>
      <c r="W37" s="397"/>
    </row>
    <row r="38" spans="1:23" ht="15" customHeight="1" x14ac:dyDescent="0.25">
      <c r="A38" s="395"/>
      <c r="B38" s="220" t="s">
        <v>868</v>
      </c>
      <c r="C38" s="220"/>
      <c r="D38" s="220" t="s">
        <v>380</v>
      </c>
      <c r="E38" s="530" t="s">
        <v>529</v>
      </c>
      <c r="F38" s="220" t="s">
        <v>76</v>
      </c>
      <c r="G38" s="145">
        <v>1</v>
      </c>
      <c r="H38" s="145">
        <v>5</v>
      </c>
      <c r="I38" s="145">
        <v>5</v>
      </c>
      <c r="J38" s="145"/>
      <c r="K38" s="145"/>
      <c r="L38" s="220"/>
      <c r="M38" s="220"/>
      <c r="N38" s="220"/>
      <c r="O38" s="220"/>
      <c r="P38" s="191">
        <f>IF(V38="NO",Table_Shelter[[#This Row],[HH per Shelter]]*(Table_Shelter[[#This Row],['# of Temporary Shelter Units Built]]+Table_Shelter[[#This Row],['# of Temporary Shelter Under  Construction]]+Table_Shelter[[#This Row],['# of Permanent House Under Construction]]),0)</f>
        <v>0</v>
      </c>
      <c r="Q38" s="144"/>
      <c r="R38" s="220"/>
      <c r="S38" s="221" t="str">
        <f>IFERROR(VLOOKUP(Table_Shelter[[#This Row],[CampName]],CL,2,0),"")</f>
        <v>MMR001CMP174</v>
      </c>
      <c r="T38" s="221" t="str">
        <f>IFERROR(VLOOKUP(Table_Shelter[[#This Row],[CampName]],CL,3,0),"")</f>
        <v>Open</v>
      </c>
      <c r="U38" s="393">
        <f>IFERROR(Table_Shelter[[#This Row],[HH Covered]]/VLOOKUP(Table_Shelter[[#This Row],[CampName]],CL,4,0),"")</f>
        <v>0</v>
      </c>
      <c r="V38" s="731" t="s">
        <v>1369</v>
      </c>
      <c r="W38" s="394"/>
    </row>
    <row r="39" spans="1:23" ht="15" customHeight="1" x14ac:dyDescent="0.25">
      <c r="A39" s="396"/>
      <c r="B39" s="145" t="s">
        <v>454</v>
      </c>
      <c r="C39" s="145" t="s">
        <v>507</v>
      </c>
      <c r="D39" s="228" t="s">
        <v>380</v>
      </c>
      <c r="E39" s="229" t="s">
        <v>529</v>
      </c>
      <c r="F39" s="145" t="s">
        <v>76</v>
      </c>
      <c r="G39" s="145">
        <v>1</v>
      </c>
      <c r="H39" s="149"/>
      <c r="I39" s="149"/>
      <c r="J39" s="149">
        <v>10</v>
      </c>
      <c r="K39" s="149">
        <v>10</v>
      </c>
      <c r="L39" s="149"/>
      <c r="M39" s="149"/>
      <c r="N39" s="149"/>
      <c r="O39" s="149"/>
      <c r="P39" s="148">
        <f>IF(V39="NO",Table_Shelter[[#This Row],[HH per Shelter]]*(Table_Shelter[[#This Row],['# of Temporary Shelter Units Built]]+Table_Shelter[[#This Row],['# of Temporary Shelter Under  Construction]]+Table_Shelter[[#This Row],['# of Permanent House Under Construction]]),0)</f>
        <v>10</v>
      </c>
      <c r="Q39" s="148"/>
      <c r="R39" s="148"/>
      <c r="S39" s="148" t="str">
        <f>IFERROR(VLOOKUP(Table_Shelter[[#This Row],[CampName]],CL,2,0),"")</f>
        <v>MMR001CMP174</v>
      </c>
      <c r="T39" s="148" t="str">
        <f>IFERROR(VLOOKUP(Table_Shelter[[#This Row],[CampName]],CL,3,0),"")</f>
        <v>Open</v>
      </c>
      <c r="U39" s="399">
        <f>IFERROR(Table_Shelter[[#This Row],[HH Covered]]/VLOOKUP(Table_Shelter[[#This Row],[CampName]],CL,4,0),"")</f>
        <v>0.15384615384615385</v>
      </c>
      <c r="V39" s="731" t="s">
        <v>1369</v>
      </c>
      <c r="W39" s="397"/>
    </row>
    <row r="40" spans="1:23" ht="15" customHeight="1" x14ac:dyDescent="0.25">
      <c r="A40" s="395"/>
      <c r="B40" s="220" t="s">
        <v>454</v>
      </c>
      <c r="C40" s="220"/>
      <c r="D40" s="220" t="s">
        <v>380</v>
      </c>
      <c r="E40" s="530" t="s">
        <v>237</v>
      </c>
      <c r="F40" s="220" t="s">
        <v>243</v>
      </c>
      <c r="G40" s="145">
        <v>1</v>
      </c>
      <c r="H40" s="145"/>
      <c r="I40" s="145"/>
      <c r="J40" s="145">
        <v>3</v>
      </c>
      <c r="K40" s="145">
        <v>3</v>
      </c>
      <c r="L40" s="220"/>
      <c r="M40" s="220"/>
      <c r="N40" s="220"/>
      <c r="O40" s="220"/>
      <c r="P40" s="191">
        <f>IF(V40="NO",Table_Shelter[[#This Row],[HH per Shelter]]*(Table_Shelter[[#This Row],['# of Temporary Shelter Units Built]]+Table_Shelter[[#This Row],['# of Temporary Shelter Under  Construction]]+Table_Shelter[[#This Row],['# of Permanent House Under Construction]]),0)</f>
        <v>3</v>
      </c>
      <c r="Q40" s="144"/>
      <c r="R40" s="220"/>
      <c r="S40" s="221" t="str">
        <f>IFERROR(VLOOKUP(Table_Shelter[[#This Row],[CampName]],CL,2,0),"")</f>
        <v>MMR001CMP012</v>
      </c>
      <c r="T40" s="221" t="str">
        <f>IFERROR(VLOOKUP(Table_Shelter[[#This Row],[CampName]],CL,3,0),"")</f>
        <v>Open</v>
      </c>
      <c r="U40" s="393">
        <f>IFERROR(Table_Shelter[[#This Row],[HH Covered]]/VLOOKUP(Table_Shelter[[#This Row],[CampName]],CL,4,0),"")</f>
        <v>0.5</v>
      </c>
      <c r="V40" s="731" t="s">
        <v>1369</v>
      </c>
      <c r="W40" s="394"/>
    </row>
    <row r="41" spans="1:23" ht="15" customHeight="1" x14ac:dyDescent="0.25">
      <c r="A41" s="395"/>
      <c r="B41" s="220" t="s">
        <v>454</v>
      </c>
      <c r="C41" s="220"/>
      <c r="D41" s="220" t="s">
        <v>380</v>
      </c>
      <c r="E41" s="530" t="s">
        <v>237</v>
      </c>
      <c r="F41" s="220" t="s">
        <v>245</v>
      </c>
      <c r="G41" s="145">
        <v>1</v>
      </c>
      <c r="H41" s="145"/>
      <c r="I41" s="145"/>
      <c r="J41" s="145">
        <v>6</v>
      </c>
      <c r="K41" s="145">
        <v>6</v>
      </c>
      <c r="L41" s="220"/>
      <c r="M41" s="220"/>
      <c r="N41" s="220"/>
      <c r="O41" s="220"/>
      <c r="P41" s="191">
        <f>IF(V41="NO",Table_Shelter[[#This Row],[HH per Shelter]]*(Table_Shelter[[#This Row],['# of Temporary Shelter Units Built]]+Table_Shelter[[#This Row],['# of Temporary Shelter Under  Construction]]+Table_Shelter[[#This Row],['# of Permanent House Under Construction]]),0)</f>
        <v>6</v>
      </c>
      <c r="Q41" s="144"/>
      <c r="R41" s="220"/>
      <c r="S41" s="221" t="str">
        <f>IFERROR(VLOOKUP(Table_Shelter[[#This Row],[CampName]],CL,2,0),"")</f>
        <v>MMR001CMP010</v>
      </c>
      <c r="T41" s="221" t="str">
        <f>IFERROR(VLOOKUP(Table_Shelter[[#This Row],[CampName]],CL,3,0),"")</f>
        <v>Open</v>
      </c>
      <c r="U41" s="393">
        <f>IFERROR(Table_Shelter[[#This Row],[HH Covered]]/VLOOKUP(Table_Shelter[[#This Row],[CampName]],CL,4,0),"")</f>
        <v>1</v>
      </c>
      <c r="V41" s="731" t="s">
        <v>1369</v>
      </c>
      <c r="W41" s="394"/>
    </row>
    <row r="42" spans="1:23" ht="15" customHeight="1" x14ac:dyDescent="0.25">
      <c r="A42" s="395"/>
      <c r="B42" s="220" t="s">
        <v>454</v>
      </c>
      <c r="C42" s="220"/>
      <c r="D42" s="220" t="s">
        <v>380</v>
      </c>
      <c r="E42" s="530" t="s">
        <v>237</v>
      </c>
      <c r="F42" s="220" t="s">
        <v>247</v>
      </c>
      <c r="G42" s="145">
        <v>1</v>
      </c>
      <c r="H42" s="145"/>
      <c r="I42" s="145"/>
      <c r="J42" s="149">
        <v>3</v>
      </c>
      <c r="K42" s="145">
        <v>3</v>
      </c>
      <c r="L42" s="220"/>
      <c r="M42" s="220"/>
      <c r="N42" s="220"/>
      <c r="O42" s="220"/>
      <c r="P42" s="191">
        <f>IF(V42="NO",Table_Shelter[[#This Row],[HH per Shelter]]*(Table_Shelter[[#This Row],['# of Temporary Shelter Units Built]]+Table_Shelter[[#This Row],['# of Temporary Shelter Under  Construction]]+Table_Shelter[[#This Row],['# of Permanent House Under Construction]]),0)</f>
        <v>3</v>
      </c>
      <c r="Q42" s="144"/>
      <c r="R42" s="220"/>
      <c r="S42" s="221" t="str">
        <f>IFERROR(VLOOKUP(Table_Shelter[[#This Row],[CampName]],CL,2,0),"")</f>
        <v>MMR001CMP011</v>
      </c>
      <c r="T42" s="221" t="str">
        <f>IFERROR(VLOOKUP(Table_Shelter[[#This Row],[CampName]],CL,3,0),"")</f>
        <v>Open</v>
      </c>
      <c r="U42" s="393">
        <f>IFERROR(Table_Shelter[[#This Row],[HH Covered]]/VLOOKUP(Table_Shelter[[#This Row],[CampName]],CL,4,0),"")</f>
        <v>0.06</v>
      </c>
      <c r="V42" s="731" t="s">
        <v>1369</v>
      </c>
      <c r="W42" s="394"/>
    </row>
    <row r="43" spans="1:23" ht="15" customHeight="1" x14ac:dyDescent="0.25">
      <c r="A43" s="395"/>
      <c r="B43" s="220" t="s">
        <v>454</v>
      </c>
      <c r="C43" s="220" t="s">
        <v>508</v>
      </c>
      <c r="D43" s="223" t="s">
        <v>380</v>
      </c>
      <c r="E43" s="530" t="s">
        <v>185</v>
      </c>
      <c r="F43" s="220" t="s">
        <v>192</v>
      </c>
      <c r="G43" s="145">
        <v>1</v>
      </c>
      <c r="H43" s="145"/>
      <c r="I43" s="145"/>
      <c r="J43" s="145">
        <v>123</v>
      </c>
      <c r="K43" s="145">
        <v>123</v>
      </c>
      <c r="L43" s="220"/>
      <c r="M43" s="220"/>
      <c r="N43" s="220"/>
      <c r="O43" s="220"/>
      <c r="P43" s="191">
        <f>IF(V43="NO",Table_Shelter[[#This Row],[HH per Shelter]]*(Table_Shelter[[#This Row],['# of Temporary Shelter Units Built]]+Table_Shelter[[#This Row],['# of Temporary Shelter Under  Construction]]+Table_Shelter[[#This Row],['# of Permanent House Under Construction]]),0)</f>
        <v>123</v>
      </c>
      <c r="Q43" s="144"/>
      <c r="R43" s="220"/>
      <c r="S43" s="221" t="str">
        <f>IFERROR(VLOOKUP(Table_Shelter[[#This Row],[CampName]],CL,2,0),"")</f>
        <v>MMR001CMP123</v>
      </c>
      <c r="T43" s="221" t="str">
        <f>IFERROR(VLOOKUP(Table_Shelter[[#This Row],[CampName]],CL,3,0),"")</f>
        <v>Open</v>
      </c>
      <c r="U43" s="393">
        <f>IFERROR(Table_Shelter[[#This Row],[HH Covered]]/VLOOKUP(Table_Shelter[[#This Row],[CampName]],CL,4,0),"")</f>
        <v>1.0695652173913044</v>
      </c>
      <c r="V43" s="731" t="s">
        <v>1369</v>
      </c>
      <c r="W43" s="394"/>
    </row>
    <row r="44" spans="1:23" x14ac:dyDescent="0.25">
      <c r="A44" s="395">
        <v>41809</v>
      </c>
      <c r="B44" s="220" t="s">
        <v>455</v>
      </c>
      <c r="C44" s="220" t="s">
        <v>507</v>
      </c>
      <c r="D44" s="220" t="s">
        <v>380</v>
      </c>
      <c r="E44" s="530" t="s">
        <v>310</v>
      </c>
      <c r="F44" s="220" t="s">
        <v>313</v>
      </c>
      <c r="G44" s="145">
        <v>1</v>
      </c>
      <c r="H44" s="145"/>
      <c r="I44" s="145"/>
      <c r="J44" s="145">
        <v>50</v>
      </c>
      <c r="K44" s="145">
        <v>55</v>
      </c>
      <c r="L44" s="220"/>
      <c r="M44" s="220"/>
      <c r="N44" s="220"/>
      <c r="O44" s="220"/>
      <c r="P44" s="191">
        <f>IF(V44="NO",Table_Shelter[[#This Row],[HH per Shelter]]*(Table_Shelter[[#This Row],['# of Temporary Shelter Units Built]]+Table_Shelter[[#This Row],['# of Temporary Shelter Under  Construction]]+Table_Shelter[[#This Row],['# of Permanent House Under Construction]]),0)</f>
        <v>55</v>
      </c>
      <c r="Q44" s="144"/>
      <c r="R44" s="220"/>
      <c r="S44" s="221" t="str">
        <f>IFERROR(VLOOKUP(Table_Shelter[[#This Row],[CampName]],CL,2,0),"")</f>
        <v>MMR001CMP028</v>
      </c>
      <c r="T44" s="221" t="str">
        <f>IFERROR(VLOOKUP(Table_Shelter[[#This Row],[CampName]],CL,3,0),"")</f>
        <v>Open</v>
      </c>
      <c r="U44" s="393">
        <f>IFERROR(Table_Shelter[[#This Row],[HH Covered]]/VLOOKUP(Table_Shelter[[#This Row],[CampName]],CL,4,0),"")</f>
        <v>0.5</v>
      </c>
      <c r="V44" s="731" t="s">
        <v>1369</v>
      </c>
      <c r="W44" s="394"/>
    </row>
    <row r="45" spans="1:23" x14ac:dyDescent="0.25">
      <c r="A45" s="395">
        <v>41609</v>
      </c>
      <c r="B45" s="220" t="s">
        <v>454</v>
      </c>
      <c r="C45" s="220" t="s">
        <v>507</v>
      </c>
      <c r="D45" s="220" t="s">
        <v>380</v>
      </c>
      <c r="E45" s="530" t="s">
        <v>310</v>
      </c>
      <c r="F45" s="220" t="s">
        <v>313</v>
      </c>
      <c r="G45" s="145">
        <v>1</v>
      </c>
      <c r="H45" s="145"/>
      <c r="I45" s="145"/>
      <c r="J45" s="145">
        <v>5</v>
      </c>
      <c r="K45" s="145">
        <v>5</v>
      </c>
      <c r="L45" s="220"/>
      <c r="M45" s="220"/>
      <c r="N45" s="220"/>
      <c r="O45" s="220"/>
      <c r="P45" s="148">
        <f>IF(V45="NO",Table_Shelter[[#This Row],[HH per Shelter]]*(Table_Shelter[[#This Row],['# of Temporary Shelter Units Built]]+Table_Shelter[[#This Row],['# of Temporary Shelter Under  Construction]]+Table_Shelter[[#This Row],['# of Permanent House Under Construction]]),0)</f>
        <v>5</v>
      </c>
      <c r="Q45" s="144"/>
      <c r="R45" s="144"/>
      <c r="S45" s="148" t="str">
        <f>IFERROR(VLOOKUP(Table_Shelter[[#This Row],[CampName]],CL,2,0),"")</f>
        <v>MMR001CMP028</v>
      </c>
      <c r="T45" s="148" t="str">
        <f>IFERROR(VLOOKUP(Table_Shelter[[#This Row],[CampName]],CL,3,0),"")</f>
        <v>Open</v>
      </c>
      <c r="U45" s="393">
        <f>IFERROR(Table_Shelter[[#This Row],[HH Covered]]/VLOOKUP(Table_Shelter[[#This Row],[CampName]],CL,4,0),"")</f>
        <v>4.5454545454545456E-2</v>
      </c>
      <c r="V45" s="731" t="s">
        <v>1369</v>
      </c>
      <c r="W45" s="397"/>
    </row>
    <row r="46" spans="1:23" x14ac:dyDescent="0.25">
      <c r="A46" s="395"/>
      <c r="B46" s="220" t="s">
        <v>454</v>
      </c>
      <c r="C46" s="220" t="s">
        <v>507</v>
      </c>
      <c r="D46" s="220" t="s">
        <v>380</v>
      </c>
      <c r="E46" s="225" t="s">
        <v>310</v>
      </c>
      <c r="F46" s="220" t="s">
        <v>313</v>
      </c>
      <c r="G46" s="145">
        <v>1</v>
      </c>
      <c r="H46" s="145"/>
      <c r="I46" s="145"/>
      <c r="J46" s="145">
        <v>45</v>
      </c>
      <c r="K46" s="145">
        <v>45</v>
      </c>
      <c r="L46" s="220"/>
      <c r="M46" s="220"/>
      <c r="N46" s="220"/>
      <c r="O46" s="220"/>
      <c r="P46" s="191">
        <f>IF(V46="NO",Table_Shelter[[#This Row],[HH per Shelter]]*(Table_Shelter[[#This Row],['# of Temporary Shelter Units Built]]+Table_Shelter[[#This Row],['# of Temporary Shelter Under  Construction]]+Table_Shelter[[#This Row],['# of Permanent House Under Construction]]),0)</f>
        <v>45</v>
      </c>
      <c r="Q46" s="144"/>
      <c r="R46" s="220"/>
      <c r="S46" s="221" t="str">
        <f>IFERROR(VLOOKUP(Table_Shelter[[#This Row],[CampName]],CL,2,0),"")</f>
        <v>MMR001CMP028</v>
      </c>
      <c r="T46" s="221" t="str">
        <f>IFERROR(VLOOKUP(Table_Shelter[[#This Row],[CampName]],CL,3,0),"")</f>
        <v>Open</v>
      </c>
      <c r="U46" s="393">
        <f>IFERROR(Table_Shelter[[#This Row],[HH Covered]]/VLOOKUP(Table_Shelter[[#This Row],[CampName]],CL,4,0),"")</f>
        <v>0.40909090909090912</v>
      </c>
      <c r="V46" s="731" t="s">
        <v>1369</v>
      </c>
      <c r="W46" s="394"/>
    </row>
    <row r="47" spans="1:23" x14ac:dyDescent="0.25">
      <c r="A47" s="395"/>
      <c r="B47" s="220" t="s">
        <v>455</v>
      </c>
      <c r="C47" s="220" t="s">
        <v>507</v>
      </c>
      <c r="D47" s="220" t="s">
        <v>380</v>
      </c>
      <c r="E47" s="530" t="s">
        <v>310</v>
      </c>
      <c r="F47" s="220" t="s">
        <v>336</v>
      </c>
      <c r="G47" s="145">
        <v>1</v>
      </c>
      <c r="H47" s="145"/>
      <c r="I47" s="145"/>
      <c r="J47" s="145">
        <v>100</v>
      </c>
      <c r="K47" s="145">
        <v>100</v>
      </c>
      <c r="L47" s="220"/>
      <c r="M47" s="220"/>
      <c r="N47" s="220"/>
      <c r="O47" s="220"/>
      <c r="P47" s="191">
        <f>IF(V47="NO",Table_Shelter[[#This Row],[HH per Shelter]]*(Table_Shelter[[#This Row],['# of Temporary Shelter Units Built]]+Table_Shelter[[#This Row],['# of Temporary Shelter Under  Construction]]+Table_Shelter[[#This Row],['# of Permanent House Under Construction]]),0)</f>
        <v>100</v>
      </c>
      <c r="Q47" s="144"/>
      <c r="R47" s="220"/>
      <c r="S47" s="221" t="str">
        <f>IFERROR(VLOOKUP(Table_Shelter[[#This Row],[CampName]],CL,2,0),"")</f>
        <v>MMR001CMP115</v>
      </c>
      <c r="T47" s="221" t="str">
        <f>IFERROR(VLOOKUP(Table_Shelter[[#This Row],[CampName]],CL,3,0),"")</f>
        <v>Open</v>
      </c>
      <c r="U47" s="393">
        <f>IFERROR(Table_Shelter[[#This Row],[HH Covered]]/VLOOKUP(Table_Shelter[[#This Row],[CampName]],CL,4,0),"")</f>
        <v>0.73529411764705888</v>
      </c>
      <c r="V47" s="731" t="s">
        <v>1369</v>
      </c>
      <c r="W47" s="394"/>
    </row>
    <row r="48" spans="1:23" x14ac:dyDescent="0.25">
      <c r="A48" s="396">
        <v>41609</v>
      </c>
      <c r="B48" s="145" t="s">
        <v>454</v>
      </c>
      <c r="C48" s="145" t="s">
        <v>507</v>
      </c>
      <c r="D48" s="228" t="s">
        <v>380</v>
      </c>
      <c r="E48" s="229" t="s">
        <v>529</v>
      </c>
      <c r="F48" s="145" t="s">
        <v>44</v>
      </c>
      <c r="G48" s="145">
        <v>1</v>
      </c>
      <c r="H48" s="149"/>
      <c r="I48" s="149"/>
      <c r="J48" s="149">
        <v>10</v>
      </c>
      <c r="K48" s="149">
        <v>10</v>
      </c>
      <c r="L48" s="149"/>
      <c r="M48" s="149"/>
      <c r="N48" s="149"/>
      <c r="O48" s="149"/>
      <c r="P48" s="148">
        <f>IF(V48="NO",Table_Shelter[[#This Row],[HH per Shelter]]*(Table_Shelter[[#This Row],['# of Temporary Shelter Units Built]]+Table_Shelter[[#This Row],['# of Temporary Shelter Under  Construction]]+Table_Shelter[[#This Row],['# of Permanent House Under Construction]]),0)</f>
        <v>10</v>
      </c>
      <c r="Q48" s="148"/>
      <c r="R48" s="148"/>
      <c r="S48" s="148" t="str">
        <f>IFERROR(VLOOKUP(Table_Shelter[[#This Row],[CampName]],CL,2,0),"")</f>
        <v>MMR001CMP191</v>
      </c>
      <c r="T48" s="148" t="str">
        <f>IFERROR(VLOOKUP(Table_Shelter[[#This Row],[CampName]],CL,3,0),"")</f>
        <v>Open</v>
      </c>
      <c r="U48" s="399">
        <f>IFERROR(Table_Shelter[[#This Row],[HH Covered]]/VLOOKUP(Table_Shelter[[#This Row],[CampName]],CL,4,0),"")</f>
        <v>0.76923076923076927</v>
      </c>
      <c r="V48" s="731" t="s">
        <v>1369</v>
      </c>
      <c r="W48" s="397"/>
    </row>
    <row r="49" spans="1:23" x14ac:dyDescent="0.25">
      <c r="A49" s="395"/>
      <c r="B49" s="220" t="s">
        <v>868</v>
      </c>
      <c r="C49" s="220"/>
      <c r="D49" s="220" t="s">
        <v>380</v>
      </c>
      <c r="E49" s="225" t="s">
        <v>529</v>
      </c>
      <c r="F49" s="220" t="s">
        <v>44</v>
      </c>
      <c r="G49" s="145">
        <v>1</v>
      </c>
      <c r="H49" s="145">
        <v>20</v>
      </c>
      <c r="I49" s="145">
        <v>20</v>
      </c>
      <c r="J49" s="145"/>
      <c r="K49" s="145"/>
      <c r="L49" s="220"/>
      <c r="M49" s="220"/>
      <c r="N49" s="220"/>
      <c r="O49" s="220"/>
      <c r="P49" s="191">
        <f>IF(V49="NO",Table_Shelter[[#This Row],[HH per Shelter]]*(Table_Shelter[[#This Row],['# of Temporary Shelter Units Built]]+Table_Shelter[[#This Row],['# of Temporary Shelter Under  Construction]]+Table_Shelter[[#This Row],['# of Permanent House Under Construction]]),0)</f>
        <v>0</v>
      </c>
      <c r="Q49" s="144"/>
      <c r="R49" s="220"/>
      <c r="S49" s="221" t="str">
        <f>IFERROR(VLOOKUP(Table_Shelter[[#This Row],[CampName]],CL,2,0),"")</f>
        <v>MMR001CMP191</v>
      </c>
      <c r="T49" s="221" t="str">
        <f>IFERROR(VLOOKUP(Table_Shelter[[#This Row],[CampName]],CL,3,0),"")</f>
        <v>Open</v>
      </c>
      <c r="U49" s="393">
        <f>IFERROR(Table_Shelter[[#This Row],[HH Covered]]/VLOOKUP(Table_Shelter[[#This Row],[CampName]],CL,4,0),"")</f>
        <v>0</v>
      </c>
      <c r="V49" s="731" t="s">
        <v>1369</v>
      </c>
      <c r="W49" s="394"/>
    </row>
    <row r="50" spans="1:23" x14ac:dyDescent="0.25">
      <c r="A50" s="395"/>
      <c r="B50" s="220" t="s">
        <v>454</v>
      </c>
      <c r="C50" s="220" t="s">
        <v>507</v>
      </c>
      <c r="D50" s="223" t="s">
        <v>380</v>
      </c>
      <c r="E50" s="530" t="s">
        <v>529</v>
      </c>
      <c r="F50" s="220" t="s">
        <v>44</v>
      </c>
      <c r="G50" s="145">
        <v>1</v>
      </c>
      <c r="H50" s="145"/>
      <c r="I50" s="145"/>
      <c r="J50" s="145">
        <v>5</v>
      </c>
      <c r="K50" s="145">
        <v>5</v>
      </c>
      <c r="L50" s="220"/>
      <c r="M50" s="220"/>
      <c r="N50" s="220"/>
      <c r="O50" s="220"/>
      <c r="P50" s="191">
        <f>IF(V50="NO",Table_Shelter[[#This Row],[HH per Shelter]]*(Table_Shelter[[#This Row],['# of Temporary Shelter Units Built]]+Table_Shelter[[#This Row],['# of Temporary Shelter Under  Construction]]+Table_Shelter[[#This Row],['# of Permanent House Under Construction]]),0)</f>
        <v>5</v>
      </c>
      <c r="Q50" s="144"/>
      <c r="R50" s="220"/>
      <c r="S50" s="221" t="str">
        <f>IFERROR(VLOOKUP(Table_Shelter[[#This Row],[CampName]],CL,2,0),"")</f>
        <v>MMR001CMP191</v>
      </c>
      <c r="T50" s="221" t="str">
        <f>IFERROR(VLOOKUP(Table_Shelter[[#This Row],[CampName]],CL,3,0),"")</f>
        <v>Open</v>
      </c>
      <c r="U50" s="393">
        <f>IFERROR(Table_Shelter[[#This Row],[HH Covered]]/VLOOKUP(Table_Shelter[[#This Row],[CampName]],CL,4,0),"")</f>
        <v>0.38461538461538464</v>
      </c>
      <c r="V50" s="731" t="s">
        <v>1369</v>
      </c>
      <c r="W50" s="394"/>
    </row>
    <row r="51" spans="1:23" x14ac:dyDescent="0.25">
      <c r="A51" s="396"/>
      <c r="B51" s="222" t="s">
        <v>454</v>
      </c>
      <c r="C51" s="222" t="s">
        <v>462</v>
      </c>
      <c r="D51" s="222" t="s">
        <v>555</v>
      </c>
      <c r="E51" s="227" t="s">
        <v>166</v>
      </c>
      <c r="F51" s="222" t="s">
        <v>169</v>
      </c>
      <c r="G51" s="149">
        <v>1</v>
      </c>
      <c r="H51" s="149"/>
      <c r="I51" s="149"/>
      <c r="J51" s="149">
        <v>10</v>
      </c>
      <c r="K51" s="149">
        <v>10</v>
      </c>
      <c r="L51" s="222"/>
      <c r="M51" s="222"/>
      <c r="N51" s="222"/>
      <c r="O51" s="222"/>
      <c r="P51" s="191">
        <f>IF(V51="NO",Table_Shelter[[#This Row],[HH per Shelter]]*(Table_Shelter[[#This Row],['# of Temporary Shelter Units Built]]+Table_Shelter[[#This Row],['# of Temporary Shelter Under  Construction]]+Table_Shelter[[#This Row],['# of Permanent House Under Construction]]),0)</f>
        <v>10</v>
      </c>
      <c r="Q51" s="148"/>
      <c r="R51" s="222"/>
      <c r="S51" s="221" t="str">
        <f>IFERROR(VLOOKUP(Table_Shelter[[#This Row],[CampName]],CL,2,0),"")</f>
        <v>MMR015CMP010</v>
      </c>
      <c r="T51" s="221" t="str">
        <f>IFERROR(VLOOKUP(Table_Shelter[[#This Row],[CampName]],CL,3,0),"")</f>
        <v>Open</v>
      </c>
      <c r="U51" s="393">
        <f>IFERROR(Table_Shelter[[#This Row],[HH Covered]]/VLOOKUP(Table_Shelter[[#This Row],[CampName]],CL,4,0),"")</f>
        <v>0.3125</v>
      </c>
      <c r="V51" s="731" t="s">
        <v>1369</v>
      </c>
      <c r="W51" s="394"/>
    </row>
    <row r="52" spans="1:23" x14ac:dyDescent="0.25">
      <c r="A52" s="396">
        <v>41974</v>
      </c>
      <c r="B52" s="222" t="s">
        <v>454</v>
      </c>
      <c r="C52" s="222" t="s">
        <v>508</v>
      </c>
      <c r="D52" s="222" t="s">
        <v>380</v>
      </c>
      <c r="E52" s="227" t="s">
        <v>185</v>
      </c>
      <c r="F52" s="222" t="s">
        <v>194</v>
      </c>
      <c r="G52" s="149">
        <v>1</v>
      </c>
      <c r="H52" s="149"/>
      <c r="I52" s="149"/>
      <c r="J52" s="149">
        <v>280</v>
      </c>
      <c r="K52" s="149">
        <v>280</v>
      </c>
      <c r="L52" s="222"/>
      <c r="M52" s="222"/>
      <c r="N52" s="222"/>
      <c r="O52" s="222"/>
      <c r="P52" s="191">
        <f>IF(V52="NO",Table_Shelter[[#This Row],[HH per Shelter]]*(Table_Shelter[[#This Row],['# of Temporary Shelter Units Built]]+Table_Shelter[[#This Row],['# of Temporary Shelter Under  Construction]]+Table_Shelter[[#This Row],['# of Permanent House Under Construction]]),0)</f>
        <v>280</v>
      </c>
      <c r="Q52" s="148"/>
      <c r="R52" s="222"/>
      <c r="S52" s="221" t="str">
        <f>IFERROR(VLOOKUP(Table_Shelter[[#This Row],[CampName]],CL,2,0),"")</f>
        <v>MMR001CMP122</v>
      </c>
      <c r="T52" s="221" t="str">
        <f>IFERROR(VLOOKUP(Table_Shelter[[#This Row],[CampName]],CL,3,0),"")</f>
        <v>Open</v>
      </c>
      <c r="U52" s="393">
        <f>IFERROR(Table_Shelter[[#This Row],[HH Covered]]/VLOOKUP(Table_Shelter[[#This Row],[CampName]],CL,4,0),"")</f>
        <v>0.45676998368678629</v>
      </c>
      <c r="V52" s="731" t="s">
        <v>1369</v>
      </c>
      <c r="W52" s="394"/>
    </row>
    <row r="53" spans="1:23" x14ac:dyDescent="0.25">
      <c r="A53" s="395"/>
      <c r="B53" s="220" t="s">
        <v>455</v>
      </c>
      <c r="C53" s="220" t="s">
        <v>508</v>
      </c>
      <c r="D53" s="223" t="s">
        <v>380</v>
      </c>
      <c r="E53" s="530" t="s">
        <v>185</v>
      </c>
      <c r="F53" s="220" t="s">
        <v>194</v>
      </c>
      <c r="G53" s="145">
        <v>1</v>
      </c>
      <c r="H53" s="145"/>
      <c r="I53" s="145"/>
      <c r="J53" s="145">
        <v>338</v>
      </c>
      <c r="K53" s="145">
        <v>338</v>
      </c>
      <c r="L53" s="220"/>
      <c r="M53" s="220"/>
      <c r="N53" s="220"/>
      <c r="O53" s="220"/>
      <c r="P53" s="191">
        <f>IF(V53="NO",Table_Shelter[[#This Row],[HH per Shelter]]*(Table_Shelter[[#This Row],['# of Temporary Shelter Units Built]]+Table_Shelter[[#This Row],['# of Temporary Shelter Under  Construction]]+Table_Shelter[[#This Row],['# of Permanent House Under Construction]]),0)</f>
        <v>338</v>
      </c>
      <c r="Q53" s="144"/>
      <c r="R53" s="220"/>
      <c r="S53" s="221" t="str">
        <f>IFERROR(VLOOKUP(Table_Shelter[[#This Row],[CampName]],CL,2,0),"")</f>
        <v>MMR001CMP122</v>
      </c>
      <c r="T53" s="221" t="str">
        <f>IFERROR(VLOOKUP(Table_Shelter[[#This Row],[CampName]],CL,3,0),"")</f>
        <v>Open</v>
      </c>
      <c r="U53" s="393">
        <f>IFERROR(Table_Shelter[[#This Row],[HH Covered]]/VLOOKUP(Table_Shelter[[#This Row],[CampName]],CL,4,0),"")</f>
        <v>0.5513866231647635</v>
      </c>
      <c r="V53" s="731" t="s">
        <v>1369</v>
      </c>
      <c r="W53" s="394"/>
    </row>
    <row r="54" spans="1:23" x14ac:dyDescent="0.25">
      <c r="A54" s="395"/>
      <c r="B54" s="220" t="s">
        <v>852</v>
      </c>
      <c r="C54" s="220"/>
      <c r="D54" s="220" t="s">
        <v>380</v>
      </c>
      <c r="E54" s="530" t="s">
        <v>5</v>
      </c>
      <c r="F54" s="220" t="s">
        <v>14</v>
      </c>
      <c r="G54" s="145">
        <v>1</v>
      </c>
      <c r="H54" s="145"/>
      <c r="I54" s="145"/>
      <c r="J54" s="145">
        <v>38</v>
      </c>
      <c r="K54" s="145">
        <v>38</v>
      </c>
      <c r="L54" s="220"/>
      <c r="M54" s="220"/>
      <c r="N54" s="220"/>
      <c r="O54" s="220"/>
      <c r="P54" s="191">
        <f>IF(V54="NO",Table_Shelter[[#This Row],[HH per Shelter]]*(Table_Shelter[[#This Row],['# of Temporary Shelter Units Built]]+Table_Shelter[[#This Row],['# of Temporary Shelter Under  Construction]]+Table_Shelter[[#This Row],['# of Permanent House Under Construction]]),0)</f>
        <v>38</v>
      </c>
      <c r="Q54" s="144"/>
      <c r="R54" s="220"/>
      <c r="S54" s="221" t="str">
        <f>IFERROR(VLOOKUP(Table_Shelter[[#This Row],[CampName]],CL,2,0),"")</f>
        <v>MMR001CMP052</v>
      </c>
      <c r="T54" s="221" t="str">
        <f>IFERROR(VLOOKUP(Table_Shelter[[#This Row],[CampName]],CL,3,0),"")</f>
        <v>Open</v>
      </c>
      <c r="U54" s="393">
        <f>IFERROR(Table_Shelter[[#This Row],[HH Covered]]/VLOOKUP(Table_Shelter[[#This Row],[CampName]],CL,4,0),"")</f>
        <v>0.88372093023255816</v>
      </c>
      <c r="V54" s="731" t="s">
        <v>1369</v>
      </c>
      <c r="W54" s="394"/>
    </row>
    <row r="55" spans="1:23" x14ac:dyDescent="0.25">
      <c r="A55" s="395"/>
      <c r="B55" s="220" t="s">
        <v>454</v>
      </c>
      <c r="C55" s="220"/>
      <c r="D55" s="220" t="s">
        <v>380</v>
      </c>
      <c r="E55" s="530" t="s">
        <v>5</v>
      </c>
      <c r="F55" s="220" t="s">
        <v>14</v>
      </c>
      <c r="G55" s="145">
        <v>1</v>
      </c>
      <c r="H55" s="145"/>
      <c r="I55" s="145"/>
      <c r="J55" s="145">
        <v>5</v>
      </c>
      <c r="K55" s="145"/>
      <c r="L55" s="220"/>
      <c r="M55" s="220"/>
      <c r="N55" s="220"/>
      <c r="O55" s="220"/>
      <c r="P55" s="191">
        <f>IF(V55="NO",Table_Shelter[[#This Row],[HH per Shelter]]*(Table_Shelter[[#This Row],['# of Temporary Shelter Units Built]]+Table_Shelter[[#This Row],['# of Temporary Shelter Under  Construction]]+Table_Shelter[[#This Row],['# of Permanent House Under Construction]]),0)</f>
        <v>0</v>
      </c>
      <c r="Q55" s="144"/>
      <c r="R55" s="220"/>
      <c r="S55" s="221" t="str">
        <f>IFERROR(VLOOKUP(Table_Shelter[[#This Row],[CampName]],CL,2,0),"")</f>
        <v>MMR001CMP052</v>
      </c>
      <c r="T55" s="221" t="str">
        <f>IFERROR(VLOOKUP(Table_Shelter[[#This Row],[CampName]],CL,3,0),"")</f>
        <v>Open</v>
      </c>
      <c r="U55" s="393">
        <f>IFERROR(Table_Shelter[[#This Row],[HH Covered]]/VLOOKUP(Table_Shelter[[#This Row],[CampName]],CL,4,0),"")</f>
        <v>0</v>
      </c>
      <c r="V55" s="731" t="s">
        <v>1369</v>
      </c>
      <c r="W55" s="394"/>
    </row>
    <row r="56" spans="1:23" x14ac:dyDescent="0.25">
      <c r="A56" s="395">
        <v>41609</v>
      </c>
      <c r="B56" s="220" t="s">
        <v>454</v>
      </c>
      <c r="C56" s="220" t="s">
        <v>462</v>
      </c>
      <c r="D56" s="220" t="s">
        <v>380</v>
      </c>
      <c r="E56" s="530" t="s">
        <v>237</v>
      </c>
      <c r="F56" s="220" t="s">
        <v>253</v>
      </c>
      <c r="G56" s="145">
        <v>1</v>
      </c>
      <c r="H56" s="145"/>
      <c r="I56" s="145"/>
      <c r="J56" s="145">
        <v>30</v>
      </c>
      <c r="K56" s="145">
        <v>30</v>
      </c>
      <c r="L56" s="220"/>
      <c r="M56" s="220"/>
      <c r="N56" s="220"/>
      <c r="O56" s="220"/>
      <c r="P56" s="191">
        <f>IF(V56="NO",Table_Shelter[[#This Row],[HH per Shelter]]*(Table_Shelter[[#This Row],['# of Temporary Shelter Units Built]]+Table_Shelter[[#This Row],['# of Temporary Shelter Under  Construction]]+Table_Shelter[[#This Row],['# of Permanent House Under Construction]]),0)</f>
        <v>30</v>
      </c>
      <c r="Q56" s="144"/>
      <c r="R56" s="220"/>
      <c r="S56" s="221" t="str">
        <f>IFERROR(VLOOKUP(Table_Shelter[[#This Row],[CampName]],CL,2,0),"")</f>
        <v>MMR001CMP018</v>
      </c>
      <c r="T56" s="221" t="str">
        <f>IFERROR(VLOOKUP(Table_Shelter[[#This Row],[CampName]],CL,3,0),"")</f>
        <v>Open</v>
      </c>
      <c r="U56" s="393">
        <f>IFERROR(Table_Shelter[[#This Row],[HH Covered]]/VLOOKUP(Table_Shelter[[#This Row],[CampName]],CL,4,0),"")</f>
        <v>0.14778325123152711</v>
      </c>
      <c r="V56" s="731" t="s">
        <v>1369</v>
      </c>
      <c r="W56" s="394"/>
    </row>
    <row r="57" spans="1:23" x14ac:dyDescent="0.25">
      <c r="A57" s="395"/>
      <c r="B57" s="220" t="s">
        <v>853</v>
      </c>
      <c r="C57" s="220" t="s">
        <v>508</v>
      </c>
      <c r="D57" s="220" t="s">
        <v>380</v>
      </c>
      <c r="E57" s="225" t="s">
        <v>237</v>
      </c>
      <c r="F57" s="220" t="s">
        <v>253</v>
      </c>
      <c r="G57" s="145">
        <v>1</v>
      </c>
      <c r="H57" s="145"/>
      <c r="I57" s="145"/>
      <c r="J57" s="145">
        <v>20</v>
      </c>
      <c r="K57" s="145">
        <v>20</v>
      </c>
      <c r="L57" s="220"/>
      <c r="M57" s="220"/>
      <c r="N57" s="220"/>
      <c r="O57" s="220"/>
      <c r="P57" s="191">
        <f>IF(V57="NO",Table_Shelter[[#This Row],[HH per Shelter]]*(Table_Shelter[[#This Row],['# of Temporary Shelter Units Built]]+Table_Shelter[[#This Row],['# of Temporary Shelter Under  Construction]]+Table_Shelter[[#This Row],['# of Permanent House Under Construction]]),0)</f>
        <v>20</v>
      </c>
      <c r="Q57" s="144"/>
      <c r="R57" s="220"/>
      <c r="S57" s="221" t="str">
        <f>IFERROR(VLOOKUP(Table_Shelter[[#This Row],[CampName]],CL,2,0),"")</f>
        <v>MMR001CMP018</v>
      </c>
      <c r="T57" s="221" t="str">
        <f>IFERROR(VLOOKUP(Table_Shelter[[#This Row],[CampName]],CL,3,0),"")</f>
        <v>Open</v>
      </c>
      <c r="U57" s="393">
        <f>IFERROR(Table_Shelter[[#This Row],[HH Covered]]/VLOOKUP(Table_Shelter[[#This Row],[CampName]],CL,4,0),"")</f>
        <v>9.8522167487684734E-2</v>
      </c>
      <c r="V57" s="731" t="s">
        <v>1369</v>
      </c>
      <c r="W57" s="394"/>
    </row>
    <row r="58" spans="1:23" x14ac:dyDescent="0.25">
      <c r="A58" s="395"/>
      <c r="B58" s="220" t="s">
        <v>572</v>
      </c>
      <c r="C58" s="220" t="s">
        <v>462</v>
      </c>
      <c r="D58" s="223" t="s">
        <v>380</v>
      </c>
      <c r="E58" s="225" t="s">
        <v>237</v>
      </c>
      <c r="F58" s="220" t="s">
        <v>253</v>
      </c>
      <c r="G58" s="145">
        <v>1</v>
      </c>
      <c r="H58" s="145"/>
      <c r="I58" s="145"/>
      <c r="J58" s="145">
        <v>60</v>
      </c>
      <c r="K58" s="145">
        <v>60</v>
      </c>
      <c r="L58" s="220"/>
      <c r="M58" s="220"/>
      <c r="N58" s="220"/>
      <c r="O58" s="220"/>
      <c r="P58" s="191">
        <f>IF(V58="NO",Table_Shelter[[#This Row],[HH per Shelter]]*(Table_Shelter[[#This Row],['# of Temporary Shelter Units Built]]+Table_Shelter[[#This Row],['# of Temporary Shelter Under  Construction]]+Table_Shelter[[#This Row],['# of Permanent House Under Construction]]),0)</f>
        <v>60</v>
      </c>
      <c r="Q58" s="144"/>
      <c r="R58" s="220"/>
      <c r="S58" s="221" t="str">
        <f>IFERROR(VLOOKUP(Table_Shelter[[#This Row],[CampName]],CL,2,0),"")</f>
        <v>MMR001CMP018</v>
      </c>
      <c r="T58" s="221" t="str">
        <f>IFERROR(VLOOKUP(Table_Shelter[[#This Row],[CampName]],CL,3,0),"")</f>
        <v>Open</v>
      </c>
      <c r="U58" s="393">
        <f>IFERROR(Table_Shelter[[#This Row],[HH Covered]]/VLOOKUP(Table_Shelter[[#This Row],[CampName]],CL,4,0),"")</f>
        <v>0.29556650246305421</v>
      </c>
      <c r="V58" s="731" t="s">
        <v>1369</v>
      </c>
      <c r="W58" s="394"/>
    </row>
    <row r="59" spans="1:23" x14ac:dyDescent="0.25">
      <c r="A59" s="395"/>
      <c r="B59" s="220" t="s">
        <v>454</v>
      </c>
      <c r="C59" s="220"/>
      <c r="D59" s="220" t="s">
        <v>380</v>
      </c>
      <c r="E59" s="530" t="s">
        <v>237</v>
      </c>
      <c r="F59" s="220" t="s">
        <v>253</v>
      </c>
      <c r="G59" s="145">
        <v>1</v>
      </c>
      <c r="H59" s="145"/>
      <c r="I59" s="145"/>
      <c r="J59" s="145">
        <v>50</v>
      </c>
      <c r="K59" s="145">
        <v>50</v>
      </c>
      <c r="L59" s="220"/>
      <c r="M59" s="220"/>
      <c r="N59" s="220"/>
      <c r="O59" s="220"/>
      <c r="P59" s="191">
        <f>IF(V59="NO",Table_Shelter[[#This Row],[HH per Shelter]]*(Table_Shelter[[#This Row],['# of Temporary Shelter Units Built]]+Table_Shelter[[#This Row],['# of Temporary Shelter Under  Construction]]+Table_Shelter[[#This Row],['# of Permanent House Under Construction]]),0)</f>
        <v>50</v>
      </c>
      <c r="Q59" s="144"/>
      <c r="R59" s="220"/>
      <c r="S59" s="221" t="str">
        <f>IFERROR(VLOOKUP(Table_Shelter[[#This Row],[CampName]],CL,2,0),"")</f>
        <v>MMR001CMP018</v>
      </c>
      <c r="T59" s="221" t="str">
        <f>IFERROR(VLOOKUP(Table_Shelter[[#This Row],[CampName]],CL,3,0),"")</f>
        <v>Open</v>
      </c>
      <c r="U59" s="393">
        <f>IFERROR(Table_Shelter[[#This Row],[HH Covered]]/VLOOKUP(Table_Shelter[[#This Row],[CampName]],CL,4,0),"")</f>
        <v>0.24630541871921183</v>
      </c>
      <c r="V59" s="731" t="s">
        <v>1369</v>
      </c>
      <c r="W59" s="394"/>
    </row>
    <row r="60" spans="1:23" x14ac:dyDescent="0.25">
      <c r="A60" s="395"/>
      <c r="B60" s="220" t="s">
        <v>594</v>
      </c>
      <c r="C60" s="220" t="s">
        <v>508</v>
      </c>
      <c r="D60" s="220" t="s">
        <v>380</v>
      </c>
      <c r="E60" s="530" t="s">
        <v>237</v>
      </c>
      <c r="F60" s="220" t="s">
        <v>255</v>
      </c>
      <c r="G60" s="145">
        <v>1</v>
      </c>
      <c r="H60" s="145"/>
      <c r="I60" s="145"/>
      <c r="J60" s="145">
        <v>60</v>
      </c>
      <c r="K60" s="145">
        <v>60</v>
      </c>
      <c r="L60" s="220"/>
      <c r="M60" s="220"/>
      <c r="N60" s="220"/>
      <c r="O60" s="220"/>
      <c r="P60" s="191">
        <f>IF(V60="NO",Table_Shelter[[#This Row],[HH per Shelter]]*(Table_Shelter[[#This Row],['# of Temporary Shelter Units Built]]+Table_Shelter[[#This Row],['# of Temporary Shelter Under  Construction]]+Table_Shelter[[#This Row],['# of Permanent House Under Construction]]),0)</f>
        <v>60</v>
      </c>
      <c r="Q60" s="144"/>
      <c r="R60" s="220"/>
      <c r="S60" s="221" t="str">
        <f>IFERROR(VLOOKUP(Table_Shelter[[#This Row],[CampName]],CL,2,0),"")</f>
        <v>MMR001CMP019</v>
      </c>
      <c r="T60" s="221" t="str">
        <f>IFERROR(VLOOKUP(Table_Shelter[[#This Row],[CampName]],CL,3,0),"")</f>
        <v>Open</v>
      </c>
      <c r="U60" s="393">
        <f>IFERROR(Table_Shelter[[#This Row],[HH Covered]]/VLOOKUP(Table_Shelter[[#This Row],[CampName]],CL,4,0),"")</f>
        <v>0.55045871559633031</v>
      </c>
      <c r="V60" s="731" t="s">
        <v>1369</v>
      </c>
      <c r="W60" s="394"/>
    </row>
    <row r="61" spans="1:23" x14ac:dyDescent="0.25">
      <c r="A61" s="395"/>
      <c r="B61" s="220" t="s">
        <v>454</v>
      </c>
      <c r="C61" s="220" t="s">
        <v>508</v>
      </c>
      <c r="D61" s="220" t="s">
        <v>380</v>
      </c>
      <c r="E61" s="530" t="s">
        <v>237</v>
      </c>
      <c r="F61" s="220" t="s">
        <v>255</v>
      </c>
      <c r="G61" s="145">
        <v>1</v>
      </c>
      <c r="H61" s="145"/>
      <c r="I61" s="145"/>
      <c r="J61" s="145">
        <v>20</v>
      </c>
      <c r="K61" s="145">
        <v>20</v>
      </c>
      <c r="L61" s="220"/>
      <c r="M61" s="220"/>
      <c r="N61" s="220"/>
      <c r="O61" s="220"/>
      <c r="P61" s="191">
        <f>IF(V61="NO",Table_Shelter[[#This Row],[HH per Shelter]]*(Table_Shelter[[#This Row],['# of Temporary Shelter Units Built]]+Table_Shelter[[#This Row],['# of Temporary Shelter Under  Construction]]+Table_Shelter[[#This Row],['# of Permanent House Under Construction]]),0)</f>
        <v>20</v>
      </c>
      <c r="Q61" s="144"/>
      <c r="R61" s="220"/>
      <c r="S61" s="221" t="str">
        <f>IFERROR(VLOOKUP(Table_Shelter[[#This Row],[CampName]],CL,2,0),"")</f>
        <v>MMR001CMP019</v>
      </c>
      <c r="T61" s="221" t="str">
        <f>IFERROR(VLOOKUP(Table_Shelter[[#This Row],[CampName]],CL,3,0),"")</f>
        <v>Open</v>
      </c>
      <c r="U61" s="393">
        <f>IFERROR(Table_Shelter[[#This Row],[HH Covered]]/VLOOKUP(Table_Shelter[[#This Row],[CampName]],CL,4,0),"")</f>
        <v>0.1834862385321101</v>
      </c>
      <c r="V61" s="731" t="s">
        <v>1369</v>
      </c>
      <c r="W61" s="394"/>
    </row>
    <row r="62" spans="1:23" x14ac:dyDescent="0.25">
      <c r="A62" s="395">
        <v>41974</v>
      </c>
      <c r="B62" s="220" t="s">
        <v>454</v>
      </c>
      <c r="C62" s="220" t="s">
        <v>508</v>
      </c>
      <c r="D62" s="220" t="s">
        <v>380</v>
      </c>
      <c r="E62" s="530" t="s">
        <v>185</v>
      </c>
      <c r="F62" s="220" t="s">
        <v>196</v>
      </c>
      <c r="G62" s="145">
        <v>1</v>
      </c>
      <c r="H62" s="145"/>
      <c r="I62" s="145"/>
      <c r="J62" s="145">
        <v>278</v>
      </c>
      <c r="K62" s="145">
        <v>278</v>
      </c>
      <c r="L62" s="220"/>
      <c r="M62" s="220"/>
      <c r="N62" s="220"/>
      <c r="O62" s="220"/>
      <c r="P62" s="191">
        <f>IF(V62="NO",Table_Shelter[[#This Row],[HH per Shelter]]*(Table_Shelter[[#This Row],['# of Temporary Shelter Units Built]]+Table_Shelter[[#This Row],['# of Temporary Shelter Under  Construction]]+Table_Shelter[[#This Row],['# of Permanent House Under Construction]]),0)</f>
        <v>278</v>
      </c>
      <c r="Q62" s="144"/>
      <c r="R62" s="220"/>
      <c r="S62" s="221" t="str">
        <f>IFERROR(VLOOKUP(Table_Shelter[[#This Row],[CampName]],CL,2,0),"")</f>
        <v>MMR001CMP121</v>
      </c>
      <c r="T62" s="221" t="str">
        <f>IFERROR(VLOOKUP(Table_Shelter[[#This Row],[CampName]],CL,3,0),"")</f>
        <v>Open</v>
      </c>
      <c r="U62" s="393">
        <f>IFERROR(Table_Shelter[[#This Row],[HH Covered]]/VLOOKUP(Table_Shelter[[#This Row],[CampName]],CL,4,0),"")</f>
        <v>0.16430260047281323</v>
      </c>
      <c r="V62" s="731" t="s">
        <v>1369</v>
      </c>
      <c r="W62" s="394"/>
    </row>
    <row r="63" spans="1:23" x14ac:dyDescent="0.25">
      <c r="A63" s="395"/>
      <c r="B63" s="220" t="s">
        <v>455</v>
      </c>
      <c r="C63" s="220" t="s">
        <v>508</v>
      </c>
      <c r="D63" s="223" t="s">
        <v>380</v>
      </c>
      <c r="E63" s="530" t="s">
        <v>185</v>
      </c>
      <c r="F63" s="220" t="s">
        <v>196</v>
      </c>
      <c r="G63" s="145">
        <v>1</v>
      </c>
      <c r="H63" s="145"/>
      <c r="I63" s="145"/>
      <c r="J63" s="145">
        <v>700</v>
      </c>
      <c r="K63" s="145">
        <v>700</v>
      </c>
      <c r="L63" s="220"/>
      <c r="M63" s="220"/>
      <c r="N63" s="220"/>
      <c r="O63" s="220"/>
      <c r="P63" s="191">
        <f>IF(V63="NO",Table_Shelter[[#This Row],[HH per Shelter]]*(Table_Shelter[[#This Row],['# of Temporary Shelter Units Built]]+Table_Shelter[[#This Row],['# of Temporary Shelter Under  Construction]]+Table_Shelter[[#This Row],['# of Permanent House Under Construction]]),0)</f>
        <v>700</v>
      </c>
      <c r="Q63" s="144"/>
      <c r="R63" s="220"/>
      <c r="S63" s="221" t="str">
        <f>IFERROR(VLOOKUP(Table_Shelter[[#This Row],[CampName]],CL,2,0),"")</f>
        <v>MMR001CMP121</v>
      </c>
      <c r="T63" s="221" t="str">
        <f>IFERROR(VLOOKUP(Table_Shelter[[#This Row],[CampName]],CL,3,0),"")</f>
        <v>Open</v>
      </c>
      <c r="U63" s="393">
        <f>IFERROR(Table_Shelter[[#This Row],[HH Covered]]/VLOOKUP(Table_Shelter[[#This Row],[CampName]],CL,4,0),"")</f>
        <v>0.41371158392434987</v>
      </c>
      <c r="V63" s="731" t="s">
        <v>1369</v>
      </c>
      <c r="W63" s="394"/>
    </row>
    <row r="64" spans="1:23" x14ac:dyDescent="0.25">
      <c r="A64" s="395"/>
      <c r="B64" s="220" t="s">
        <v>454</v>
      </c>
      <c r="C64" s="220" t="s">
        <v>461</v>
      </c>
      <c r="D64" s="223" t="s">
        <v>380</v>
      </c>
      <c r="E64" s="530" t="s">
        <v>185</v>
      </c>
      <c r="F64" s="220" t="s">
        <v>196</v>
      </c>
      <c r="G64" s="145">
        <v>1</v>
      </c>
      <c r="H64" s="145"/>
      <c r="I64" s="145"/>
      <c r="J64" s="230">
        <v>217</v>
      </c>
      <c r="K64" s="230">
        <v>217</v>
      </c>
      <c r="L64" s="220"/>
      <c r="M64" s="220"/>
      <c r="N64" s="220"/>
      <c r="O64" s="220"/>
      <c r="P64" s="191">
        <f>IF(V64="NO",Table_Shelter[[#This Row],[HH per Shelter]]*(Table_Shelter[[#This Row],['# of Temporary Shelter Units Built]]+Table_Shelter[[#This Row],['# of Temporary Shelter Under  Construction]]+Table_Shelter[[#This Row],['# of Permanent House Under Construction]]),0)</f>
        <v>217</v>
      </c>
      <c r="Q64" s="144"/>
      <c r="R64" s="220"/>
      <c r="S64" s="221" t="str">
        <f>IFERROR(VLOOKUP(Table_Shelter[[#This Row],[CampName]],CL,2,0),"")</f>
        <v>MMR001CMP121</v>
      </c>
      <c r="T64" s="221" t="str">
        <f>IFERROR(VLOOKUP(Table_Shelter[[#This Row],[CampName]],CL,3,0),"")</f>
        <v>Open</v>
      </c>
      <c r="U64" s="393">
        <f>IFERROR(Table_Shelter[[#This Row],[HH Covered]]/VLOOKUP(Table_Shelter[[#This Row],[CampName]],CL,4,0),"")</f>
        <v>0.12825059101654845</v>
      </c>
      <c r="V64" s="731" t="s">
        <v>1369</v>
      </c>
      <c r="W64" s="394"/>
    </row>
    <row r="65" spans="1:23" x14ac:dyDescent="0.25">
      <c r="A65" s="395"/>
      <c r="B65" s="220" t="s">
        <v>1104</v>
      </c>
      <c r="C65" s="220" t="s">
        <v>951</v>
      </c>
      <c r="D65" s="223" t="s">
        <v>555</v>
      </c>
      <c r="E65" s="530" t="s">
        <v>146</v>
      </c>
      <c r="F65" s="220" t="s">
        <v>372</v>
      </c>
      <c r="G65" s="145">
        <v>1</v>
      </c>
      <c r="H65" s="145"/>
      <c r="I65" s="145"/>
      <c r="J65" s="145">
        <v>121</v>
      </c>
      <c r="K65" s="145">
        <v>121</v>
      </c>
      <c r="L65" s="220"/>
      <c r="M65" s="220"/>
      <c r="N65" s="220"/>
      <c r="O65" s="220"/>
      <c r="P65" s="191">
        <f>IF(V65="NO",Table_Shelter[[#This Row],[HH per Shelter]]*(Table_Shelter[[#This Row],['# of Temporary Shelter Units Built]]+Table_Shelter[[#This Row],['# of Temporary Shelter Under  Construction]]+Table_Shelter[[#This Row],['# of Permanent House Under Construction]]),0)</f>
        <v>121</v>
      </c>
      <c r="Q65" s="144"/>
      <c r="R65" s="220"/>
      <c r="S65" s="221" t="str">
        <f>IFERROR(VLOOKUP(Table_Shelter[[#This Row],[CampName]],CL,2,0),"")</f>
        <v>MMR015CMP015</v>
      </c>
      <c r="T65" s="221" t="str">
        <f>IFERROR(VLOOKUP(Table_Shelter[[#This Row],[CampName]],CL,3,0),"")</f>
        <v>Open</v>
      </c>
      <c r="U65" s="393">
        <f>IFERROR(Table_Shelter[[#This Row],[HH Covered]]/VLOOKUP(Table_Shelter[[#This Row],[CampName]],CL,4,0),"")</f>
        <v>1.3908045977011494</v>
      </c>
      <c r="V65" s="731" t="s">
        <v>1369</v>
      </c>
      <c r="W65" s="394"/>
    </row>
    <row r="66" spans="1:23" x14ac:dyDescent="0.25">
      <c r="A66" s="396"/>
      <c r="B66" s="145" t="s">
        <v>454</v>
      </c>
      <c r="C66" s="145" t="s">
        <v>462</v>
      </c>
      <c r="D66" s="228" t="s">
        <v>380</v>
      </c>
      <c r="E66" s="229" t="s">
        <v>529</v>
      </c>
      <c r="F66" s="145" t="s">
        <v>1129</v>
      </c>
      <c r="G66" s="145">
        <v>1</v>
      </c>
      <c r="H66" s="149"/>
      <c r="I66" s="149"/>
      <c r="J66" s="149">
        <v>50</v>
      </c>
      <c r="K66" s="149">
        <v>50</v>
      </c>
      <c r="L66" s="149"/>
      <c r="M66" s="149"/>
      <c r="N66" s="149"/>
      <c r="O66" s="149"/>
      <c r="P66" s="148">
        <f>IF(V66="NO",Table_Shelter[[#This Row],[HH per Shelter]]*(Table_Shelter[[#This Row],['# of Temporary Shelter Units Built]]+Table_Shelter[[#This Row],['# of Temporary Shelter Under  Construction]]+Table_Shelter[[#This Row],['# of Permanent House Under Construction]]),0)</f>
        <v>50</v>
      </c>
      <c r="Q66" s="148"/>
      <c r="R66" s="148"/>
      <c r="S66" s="148" t="str">
        <f>IFERROR(VLOOKUP(Table_Shelter[[#This Row],[CampName]],CL,2,0),"")</f>
        <v>MMR001CMP231</v>
      </c>
      <c r="T66" s="148" t="str">
        <f>IFERROR(VLOOKUP(Table_Shelter[[#This Row],[CampName]],CL,3,0),"")</f>
        <v>Open</v>
      </c>
      <c r="U66" s="399">
        <f>IFERROR(Table_Shelter[[#This Row],[HH Covered]]/VLOOKUP(Table_Shelter[[#This Row],[CampName]],CL,4,0),"")</f>
        <v>1</v>
      </c>
      <c r="V66" s="731" t="s">
        <v>1369</v>
      </c>
      <c r="W66" s="397"/>
    </row>
    <row r="67" spans="1:23" x14ac:dyDescent="0.25">
      <c r="A67" s="395"/>
      <c r="B67" s="220" t="s">
        <v>852</v>
      </c>
      <c r="C67" s="220"/>
      <c r="D67" s="220" t="s">
        <v>555</v>
      </c>
      <c r="E67" s="225" t="s">
        <v>146</v>
      </c>
      <c r="F67" s="220" t="s">
        <v>369</v>
      </c>
      <c r="G67" s="145">
        <v>1</v>
      </c>
      <c r="H67" s="145"/>
      <c r="I67" s="145"/>
      <c r="J67" s="145">
        <v>80</v>
      </c>
      <c r="K67" s="145">
        <v>80</v>
      </c>
      <c r="L67" s="220"/>
      <c r="M67" s="220"/>
      <c r="N67" s="220"/>
      <c r="O67" s="220"/>
      <c r="P67" s="191">
        <f>IF(V67="NO",Table_Shelter[[#This Row],[HH per Shelter]]*(Table_Shelter[[#This Row],['# of Temporary Shelter Units Built]]+Table_Shelter[[#This Row],['# of Temporary Shelter Under  Construction]]+Table_Shelter[[#This Row],['# of Permanent House Under Construction]]),0)</f>
        <v>80</v>
      </c>
      <c r="Q67" s="144"/>
      <c r="R67" s="220"/>
      <c r="S67" s="221" t="str">
        <f>IFERROR(VLOOKUP(Table_Shelter[[#This Row],[CampName]],CL,2,0),"")</f>
        <v>MMR015CMP016</v>
      </c>
      <c r="T67" s="221" t="str">
        <f>IFERROR(VLOOKUP(Table_Shelter[[#This Row],[CampName]],CL,3,0),"")</f>
        <v>Open</v>
      </c>
      <c r="U67" s="393">
        <f>IFERROR(Table_Shelter[[#This Row],[HH Covered]]/VLOOKUP(Table_Shelter[[#This Row],[CampName]],CL,4,0),"")</f>
        <v>1.25</v>
      </c>
      <c r="V67" s="731" t="s">
        <v>1369</v>
      </c>
      <c r="W67" s="394"/>
    </row>
    <row r="68" spans="1:23" x14ac:dyDescent="0.25">
      <c r="A68" s="396"/>
      <c r="B68" s="222" t="s">
        <v>852</v>
      </c>
      <c r="C68" s="222"/>
      <c r="D68" s="222" t="s">
        <v>555</v>
      </c>
      <c r="E68" s="227" t="s">
        <v>146</v>
      </c>
      <c r="F68" s="222" t="s">
        <v>370</v>
      </c>
      <c r="G68" s="149">
        <v>1</v>
      </c>
      <c r="H68" s="149"/>
      <c r="I68" s="149"/>
      <c r="J68" s="149">
        <v>48</v>
      </c>
      <c r="K68" s="149">
        <v>48</v>
      </c>
      <c r="L68" s="222"/>
      <c r="M68" s="222"/>
      <c r="N68" s="222"/>
      <c r="O68" s="222"/>
      <c r="P68" s="191">
        <f>IF(V68="NO",Table_Shelter[[#This Row],[HH per Shelter]]*(Table_Shelter[[#This Row],['# of Temporary Shelter Units Built]]+Table_Shelter[[#This Row],['# of Temporary Shelter Under  Construction]]+Table_Shelter[[#This Row],['# of Permanent House Under Construction]]),0)</f>
        <v>48</v>
      </c>
      <c r="Q68" s="148"/>
      <c r="R68" s="222"/>
      <c r="S68" s="221" t="str">
        <f>IFERROR(VLOOKUP(Table_Shelter[[#This Row],[CampName]],CL,2,0),"")</f>
        <v>MMR015CMP017</v>
      </c>
      <c r="T68" s="221" t="str">
        <f>IFERROR(VLOOKUP(Table_Shelter[[#This Row],[CampName]],CL,3,0),"")</f>
        <v>Open</v>
      </c>
      <c r="U68" s="393">
        <f>IFERROR(Table_Shelter[[#This Row],[HH Covered]]/VLOOKUP(Table_Shelter[[#This Row],[CampName]],CL,4,0),"")</f>
        <v>1.6</v>
      </c>
      <c r="V68" s="731" t="s">
        <v>1369</v>
      </c>
      <c r="W68" s="394"/>
    </row>
    <row r="69" spans="1:23" x14ac:dyDescent="0.25">
      <c r="A69" s="395"/>
      <c r="B69" s="220" t="s">
        <v>454</v>
      </c>
      <c r="C69" s="220" t="s">
        <v>462</v>
      </c>
      <c r="D69" s="220" t="s">
        <v>380</v>
      </c>
      <c r="E69" s="225" t="s">
        <v>237</v>
      </c>
      <c r="F69" s="220" t="s">
        <v>257</v>
      </c>
      <c r="G69" s="145">
        <v>1</v>
      </c>
      <c r="H69" s="145"/>
      <c r="I69" s="145"/>
      <c r="J69" s="145">
        <v>5</v>
      </c>
      <c r="K69" s="145">
        <v>5</v>
      </c>
      <c r="L69" s="220"/>
      <c r="M69" s="220"/>
      <c r="N69" s="220"/>
      <c r="O69" s="220"/>
      <c r="P69" s="191">
        <f>IF(V69="NO",Table_Shelter[[#This Row],[HH per Shelter]]*(Table_Shelter[[#This Row],['# of Temporary Shelter Units Built]]+Table_Shelter[[#This Row],['# of Temporary Shelter Under  Construction]]+Table_Shelter[[#This Row],['# of Permanent House Under Construction]]),0)</f>
        <v>5</v>
      </c>
      <c r="Q69" s="144"/>
      <c r="R69" s="220"/>
      <c r="S69" s="221" t="str">
        <f>IFERROR(VLOOKUP(Table_Shelter[[#This Row],[CampName]],CL,2,0),"")</f>
        <v>MMR001CMP013</v>
      </c>
      <c r="T69" s="221" t="str">
        <f>IFERROR(VLOOKUP(Table_Shelter[[#This Row],[CampName]],CL,3,0),"")</f>
        <v>Open</v>
      </c>
      <c r="U69" s="393">
        <f>IFERROR(Table_Shelter[[#This Row],[HH Covered]]/VLOOKUP(Table_Shelter[[#This Row],[CampName]],CL,4,0),"")</f>
        <v>0.1111111111111111</v>
      </c>
      <c r="V69" s="731" t="s">
        <v>1369</v>
      </c>
      <c r="W69" s="394"/>
    </row>
    <row r="70" spans="1:23" x14ac:dyDescent="0.25">
      <c r="A70" s="395"/>
      <c r="B70" s="220" t="s">
        <v>454</v>
      </c>
      <c r="C70" s="220" t="s">
        <v>462</v>
      </c>
      <c r="D70" s="220" t="s">
        <v>380</v>
      </c>
      <c r="E70" s="530" t="s">
        <v>173</v>
      </c>
      <c r="F70" s="220" t="s">
        <v>174</v>
      </c>
      <c r="G70" s="145">
        <v>1</v>
      </c>
      <c r="H70" s="145"/>
      <c r="I70" s="145"/>
      <c r="J70" s="145">
        <v>15</v>
      </c>
      <c r="K70" s="145">
        <v>15</v>
      </c>
      <c r="L70" s="220"/>
      <c r="M70" s="220"/>
      <c r="N70" s="220"/>
      <c r="O70" s="220"/>
      <c r="P70" s="191">
        <f>IF(V70="NO",Table_Shelter[[#This Row],[HH per Shelter]]*(Table_Shelter[[#This Row],['# of Temporary Shelter Units Built]]+Table_Shelter[[#This Row],['# of Temporary Shelter Under  Construction]]+Table_Shelter[[#This Row],['# of Permanent House Under Construction]]),0)</f>
        <v>15</v>
      </c>
      <c r="Q70" s="144"/>
      <c r="R70" s="220"/>
      <c r="S70" s="221" t="str">
        <f>IFERROR(VLOOKUP(Table_Shelter[[#This Row],[CampName]],CL,2,0),"")</f>
        <v>MMR001CMP078</v>
      </c>
      <c r="T70" s="221" t="str">
        <f>IFERROR(VLOOKUP(Table_Shelter[[#This Row],[CampName]],CL,3,0),"")</f>
        <v>Open</v>
      </c>
      <c r="U70" s="393">
        <f>IFERROR(Table_Shelter[[#This Row],[HH Covered]]/VLOOKUP(Table_Shelter[[#This Row],[CampName]],CL,4,0),"")</f>
        <v>0.9375</v>
      </c>
      <c r="V70" s="731" t="s">
        <v>1369</v>
      </c>
      <c r="W70" s="394"/>
    </row>
    <row r="71" spans="1:23" x14ac:dyDescent="0.25">
      <c r="A71" s="395">
        <v>41609</v>
      </c>
      <c r="B71" s="220" t="s">
        <v>454</v>
      </c>
      <c r="C71" s="220" t="s">
        <v>461</v>
      </c>
      <c r="D71" s="220" t="s">
        <v>380</v>
      </c>
      <c r="E71" s="225" t="s">
        <v>151</v>
      </c>
      <c r="F71" s="220" t="s">
        <v>518</v>
      </c>
      <c r="G71" s="145">
        <v>1</v>
      </c>
      <c r="H71" s="145"/>
      <c r="I71" s="145"/>
      <c r="J71" s="145">
        <v>60</v>
      </c>
      <c r="K71" s="145">
        <v>60</v>
      </c>
      <c r="L71" s="220"/>
      <c r="M71" s="220"/>
      <c r="N71" s="220"/>
      <c r="O71" s="220"/>
      <c r="P71" s="191">
        <f>IF(V71="NO",Table_Shelter[[#This Row],[HH per Shelter]]*(Table_Shelter[[#This Row],['# of Temporary Shelter Units Built]]+Table_Shelter[[#This Row],['# of Temporary Shelter Under  Construction]]+Table_Shelter[[#This Row],['# of Permanent House Under Construction]]),0)</f>
        <v>60</v>
      </c>
      <c r="Q71" s="144"/>
      <c r="R71" s="220"/>
      <c r="S71" s="221" t="str">
        <f>IFERROR(VLOOKUP(Table_Shelter[[#This Row],[CampName]],CL,2,0),"")</f>
        <v>MMR001CMP202</v>
      </c>
      <c r="T71" s="221" t="str">
        <f>IFERROR(VLOOKUP(Table_Shelter[[#This Row],[CampName]],CL,3,0),"")</f>
        <v>Closed</v>
      </c>
      <c r="U71" s="393" t="str">
        <f>IFERROR(Table_Shelter[[#This Row],[HH Covered]]/VLOOKUP(Table_Shelter[[#This Row],[CampName]],CL,4,0),"")</f>
        <v/>
      </c>
      <c r="V71" s="731" t="s">
        <v>1369</v>
      </c>
      <c r="W71" s="394"/>
    </row>
    <row r="72" spans="1:23" x14ac:dyDescent="0.25">
      <c r="A72" s="395"/>
      <c r="B72" s="220" t="s">
        <v>594</v>
      </c>
      <c r="C72" s="220" t="s">
        <v>461</v>
      </c>
      <c r="D72" s="220" t="s">
        <v>380</v>
      </c>
      <c r="E72" s="530" t="s">
        <v>151</v>
      </c>
      <c r="F72" s="220" t="s">
        <v>518</v>
      </c>
      <c r="G72" s="145">
        <v>1</v>
      </c>
      <c r="H72" s="145"/>
      <c r="I72" s="145"/>
      <c r="J72" s="145">
        <v>100</v>
      </c>
      <c r="K72" s="145">
        <v>100</v>
      </c>
      <c r="L72" s="220"/>
      <c r="M72" s="220"/>
      <c r="N72" s="220"/>
      <c r="O72" s="220"/>
      <c r="P72" s="191">
        <f>IF(V72="NO",Table_Shelter[[#This Row],[HH per Shelter]]*(Table_Shelter[[#This Row],['# of Temporary Shelter Units Built]]+Table_Shelter[[#This Row],['# of Temporary Shelter Under  Construction]]+Table_Shelter[[#This Row],['# of Permanent House Under Construction]]),0)</f>
        <v>100</v>
      </c>
      <c r="Q72" s="144"/>
      <c r="R72" s="220"/>
      <c r="S72" s="221" t="str">
        <f>IFERROR(VLOOKUP(Table_Shelter[[#This Row],[CampName]],CL,2,0),"")</f>
        <v>MMR001CMP202</v>
      </c>
      <c r="T72" s="221" t="str">
        <f>IFERROR(VLOOKUP(Table_Shelter[[#This Row],[CampName]],CL,3,0),"")</f>
        <v>Closed</v>
      </c>
      <c r="U72" s="393" t="str">
        <f>IFERROR(Table_Shelter[[#This Row],[HH Covered]]/VLOOKUP(Table_Shelter[[#This Row],[CampName]],CL,4,0),"")</f>
        <v/>
      </c>
      <c r="V72" s="731" t="s">
        <v>1369</v>
      </c>
      <c r="W72" s="394"/>
    </row>
    <row r="73" spans="1:23" x14ac:dyDescent="0.25">
      <c r="A73" s="395">
        <v>41974</v>
      </c>
      <c r="B73" s="220" t="s">
        <v>454</v>
      </c>
      <c r="C73" s="220" t="s">
        <v>462</v>
      </c>
      <c r="D73" s="220" t="s">
        <v>380</v>
      </c>
      <c r="E73" s="530" t="s">
        <v>151</v>
      </c>
      <c r="F73" s="220" t="s">
        <v>198</v>
      </c>
      <c r="G73" s="145">
        <v>1</v>
      </c>
      <c r="H73" s="145"/>
      <c r="I73" s="145"/>
      <c r="J73" s="145">
        <v>118</v>
      </c>
      <c r="K73" s="145">
        <v>118</v>
      </c>
      <c r="L73" s="220"/>
      <c r="M73" s="220"/>
      <c r="N73" s="220"/>
      <c r="O73" s="220"/>
      <c r="P73" s="191">
        <f>IF(V73="NO",Table_Shelter[[#This Row],[HH per Shelter]]*(Table_Shelter[[#This Row],['# of Temporary Shelter Units Built]]+Table_Shelter[[#This Row],['# of Temporary Shelter Under  Construction]]+Table_Shelter[[#This Row],['# of Permanent House Under Construction]]),0)</f>
        <v>118</v>
      </c>
      <c r="Q73" s="144"/>
      <c r="R73" s="220"/>
      <c r="S73" s="221" t="str">
        <f>IFERROR(VLOOKUP(Table_Shelter[[#This Row],[CampName]],CL,2,0),"")</f>
        <v>MMR001CMP128</v>
      </c>
      <c r="T73" s="221" t="str">
        <f>IFERROR(VLOOKUP(Table_Shelter[[#This Row],[CampName]],CL,3,0),"")</f>
        <v>Open</v>
      </c>
      <c r="U73" s="393">
        <f>IFERROR(Table_Shelter[[#This Row],[HH Covered]]/VLOOKUP(Table_Shelter[[#This Row],[CampName]],CL,4,0),"")</f>
        <v>0.21811460258780038</v>
      </c>
      <c r="V73" s="731" t="s">
        <v>1369</v>
      </c>
      <c r="W73" s="394"/>
    </row>
    <row r="74" spans="1:23" x14ac:dyDescent="0.25">
      <c r="A74" s="395"/>
      <c r="B74" s="220" t="s">
        <v>574</v>
      </c>
      <c r="C74" s="220"/>
      <c r="D74" s="220" t="s">
        <v>380</v>
      </c>
      <c r="E74" s="530" t="s">
        <v>151</v>
      </c>
      <c r="F74" s="220" t="s">
        <v>198</v>
      </c>
      <c r="G74" s="145">
        <v>1</v>
      </c>
      <c r="H74" s="145"/>
      <c r="I74" s="145"/>
      <c r="J74" s="145">
        <v>26</v>
      </c>
      <c r="K74" s="145">
        <v>26</v>
      </c>
      <c r="L74" s="220"/>
      <c r="M74" s="220"/>
      <c r="N74" s="220"/>
      <c r="O74" s="220"/>
      <c r="P74" s="191">
        <f>IF(V74="NO",Table_Shelter[[#This Row],[HH per Shelter]]*(Table_Shelter[[#This Row],['# of Temporary Shelter Units Built]]+Table_Shelter[[#This Row],['# of Temporary Shelter Under  Construction]]+Table_Shelter[[#This Row],['# of Permanent House Under Construction]]),0)</f>
        <v>26</v>
      </c>
      <c r="Q74" s="144"/>
      <c r="R74" s="220"/>
      <c r="S74" s="221" t="str">
        <f>IFERROR(VLOOKUP(Table_Shelter[[#This Row],[CampName]],CL,2,0),"")</f>
        <v>MMR001CMP128</v>
      </c>
      <c r="T74" s="221" t="str">
        <f>IFERROR(VLOOKUP(Table_Shelter[[#This Row],[CampName]],CL,3,0),"")</f>
        <v>Open</v>
      </c>
      <c r="U74" s="393">
        <f>IFERROR(Table_Shelter[[#This Row],[HH Covered]]/VLOOKUP(Table_Shelter[[#This Row],[CampName]],CL,4,0),"")</f>
        <v>4.8059149722735672E-2</v>
      </c>
      <c r="V74" s="731" t="s">
        <v>1369</v>
      </c>
      <c r="W74" s="394"/>
    </row>
    <row r="75" spans="1:23" x14ac:dyDescent="0.25">
      <c r="A75" s="395"/>
      <c r="B75" s="220" t="s">
        <v>454</v>
      </c>
      <c r="C75" s="220" t="s">
        <v>461</v>
      </c>
      <c r="D75" s="220" t="s">
        <v>380</v>
      </c>
      <c r="E75" s="530" t="s">
        <v>151</v>
      </c>
      <c r="F75" s="220" t="s">
        <v>198</v>
      </c>
      <c r="G75" s="145">
        <v>1</v>
      </c>
      <c r="H75" s="145"/>
      <c r="I75" s="145"/>
      <c r="J75" s="145">
        <v>350</v>
      </c>
      <c r="K75" s="145">
        <v>350</v>
      </c>
      <c r="L75" s="220"/>
      <c r="M75" s="220"/>
      <c r="N75" s="220"/>
      <c r="O75" s="220"/>
      <c r="P75" s="191">
        <f>IF(V75="NO",Table_Shelter[[#This Row],[HH per Shelter]]*(Table_Shelter[[#This Row],['# of Temporary Shelter Units Built]]+Table_Shelter[[#This Row],['# of Temporary Shelter Under  Construction]]+Table_Shelter[[#This Row],['# of Permanent House Under Construction]]),0)</f>
        <v>350</v>
      </c>
      <c r="Q75" s="144"/>
      <c r="R75" s="220"/>
      <c r="S75" s="221" t="str">
        <f>IFERROR(VLOOKUP(Table_Shelter[[#This Row],[CampName]],CL,2,0),"")</f>
        <v>MMR001CMP128</v>
      </c>
      <c r="T75" s="221" t="str">
        <f>IFERROR(VLOOKUP(Table_Shelter[[#This Row],[CampName]],CL,3,0),"")</f>
        <v>Open</v>
      </c>
      <c r="U75" s="393">
        <f>IFERROR(Table_Shelter[[#This Row],[HH Covered]]/VLOOKUP(Table_Shelter[[#This Row],[CampName]],CL,4,0),"")</f>
        <v>0.64695009242144175</v>
      </c>
      <c r="V75" s="731" t="s">
        <v>1369</v>
      </c>
      <c r="W75" s="394"/>
    </row>
    <row r="76" spans="1:23" x14ac:dyDescent="0.25">
      <c r="A76" s="395"/>
      <c r="B76" s="220" t="s">
        <v>454</v>
      </c>
      <c r="C76" s="220"/>
      <c r="D76" s="220" t="s">
        <v>380</v>
      </c>
      <c r="E76" s="225" t="s">
        <v>151</v>
      </c>
      <c r="F76" s="220" t="s">
        <v>198</v>
      </c>
      <c r="G76" s="145">
        <v>1</v>
      </c>
      <c r="H76" s="145"/>
      <c r="I76" s="145"/>
      <c r="J76" s="145">
        <v>150</v>
      </c>
      <c r="K76" s="145"/>
      <c r="L76" s="220"/>
      <c r="M76" s="220"/>
      <c r="N76" s="220"/>
      <c r="O76" s="220"/>
      <c r="P76" s="191">
        <f>IF(V76="NO",Table_Shelter[[#This Row],[HH per Shelter]]*(Table_Shelter[[#This Row],['# of Temporary Shelter Units Built]]+Table_Shelter[[#This Row],['# of Temporary Shelter Under  Construction]]+Table_Shelter[[#This Row],['# of Permanent House Under Construction]]),0)</f>
        <v>0</v>
      </c>
      <c r="Q76" s="144"/>
      <c r="R76" s="220"/>
      <c r="S76" s="221" t="str">
        <f>IFERROR(VLOOKUP(Table_Shelter[[#This Row],[CampName]],CL,2,0),"")</f>
        <v>MMR001CMP128</v>
      </c>
      <c r="T76" s="221" t="str">
        <f>IFERROR(VLOOKUP(Table_Shelter[[#This Row],[CampName]],CL,3,0),"")</f>
        <v>Open</v>
      </c>
      <c r="U76" s="393">
        <f>IFERROR(Table_Shelter[[#This Row],[HH Covered]]/VLOOKUP(Table_Shelter[[#This Row],[CampName]],CL,4,0),"")</f>
        <v>0</v>
      </c>
      <c r="V76" s="731" t="s">
        <v>1369</v>
      </c>
      <c r="W76" s="394"/>
    </row>
    <row r="77" spans="1:23" x14ac:dyDescent="0.25">
      <c r="A77" s="395"/>
      <c r="B77" s="220" t="s">
        <v>853</v>
      </c>
      <c r="C77" s="220" t="s">
        <v>462</v>
      </c>
      <c r="D77" s="223" t="s">
        <v>380</v>
      </c>
      <c r="E77" s="225" t="s">
        <v>237</v>
      </c>
      <c r="F77" s="220" t="s">
        <v>240</v>
      </c>
      <c r="G77" s="145">
        <v>1</v>
      </c>
      <c r="H77" s="145"/>
      <c r="I77" s="145"/>
      <c r="J77" s="145">
        <v>9</v>
      </c>
      <c r="K77" s="145">
        <v>9</v>
      </c>
      <c r="L77" s="220"/>
      <c r="M77" s="220"/>
      <c r="N77" s="220"/>
      <c r="O77" s="220"/>
      <c r="P77" s="191">
        <f>IF(V77="NO",Table_Shelter[[#This Row],[HH per Shelter]]*(Table_Shelter[[#This Row],['# of Temporary Shelter Units Built]]+Table_Shelter[[#This Row],['# of Temporary Shelter Under  Construction]]+Table_Shelter[[#This Row],['# of Permanent House Under Construction]]),0)</f>
        <v>9</v>
      </c>
      <c r="Q77" s="144"/>
      <c r="R77" s="220"/>
      <c r="S77" s="221" t="str">
        <f>IFERROR(VLOOKUP(Table_Shelter[[#This Row],[CampName]],CL,2,0),"")</f>
        <v>MMR001CMP015</v>
      </c>
      <c r="T77" s="221" t="str">
        <f>IFERROR(VLOOKUP(Table_Shelter[[#This Row],[CampName]],CL,3,0),"")</f>
        <v>Open</v>
      </c>
      <c r="U77" s="393">
        <f>IFERROR(Table_Shelter[[#This Row],[HH Covered]]/VLOOKUP(Table_Shelter[[#This Row],[CampName]],CL,4,0),"")</f>
        <v>8.3333333333333329E-2</v>
      </c>
      <c r="V77" s="731" t="s">
        <v>1369</v>
      </c>
      <c r="W77" s="394"/>
    </row>
    <row r="78" spans="1:23" x14ac:dyDescent="0.25">
      <c r="A78" s="395"/>
      <c r="B78" s="220" t="s">
        <v>572</v>
      </c>
      <c r="C78" s="220" t="s">
        <v>462</v>
      </c>
      <c r="D78" s="220" t="s">
        <v>380</v>
      </c>
      <c r="E78" s="530" t="s">
        <v>237</v>
      </c>
      <c r="F78" s="220" t="s">
        <v>240</v>
      </c>
      <c r="G78" s="145">
        <v>1</v>
      </c>
      <c r="H78" s="145"/>
      <c r="I78" s="145"/>
      <c r="J78" s="145">
        <v>5</v>
      </c>
      <c r="K78" s="145">
        <v>5</v>
      </c>
      <c r="L78" s="220"/>
      <c r="M78" s="220"/>
      <c r="N78" s="220"/>
      <c r="O78" s="220"/>
      <c r="P78" s="191">
        <f>IF(V78="NO",Table_Shelter[[#This Row],[HH per Shelter]]*(Table_Shelter[[#This Row],['# of Temporary Shelter Units Built]]+Table_Shelter[[#This Row],['# of Temporary Shelter Under  Construction]]+Table_Shelter[[#This Row],['# of Permanent House Under Construction]]),0)</f>
        <v>5</v>
      </c>
      <c r="Q78" s="144"/>
      <c r="R78" s="220"/>
      <c r="S78" s="221" t="str">
        <f>IFERROR(VLOOKUP(Table_Shelter[[#This Row],[CampName]],CL,2,0),"")</f>
        <v>MMR001CMP015</v>
      </c>
      <c r="T78" s="221" t="str">
        <f>IFERROR(VLOOKUP(Table_Shelter[[#This Row],[CampName]],CL,3,0),"")</f>
        <v>Open</v>
      </c>
      <c r="U78" s="393">
        <f>IFERROR(Table_Shelter[[#This Row],[HH Covered]]/VLOOKUP(Table_Shelter[[#This Row],[CampName]],CL,4,0),"")</f>
        <v>4.6296296296296294E-2</v>
      </c>
      <c r="V78" s="731" t="s">
        <v>1369</v>
      </c>
      <c r="W78" s="394"/>
    </row>
    <row r="79" spans="1:23" s="189" customFormat="1" x14ac:dyDescent="0.25">
      <c r="A79" s="395"/>
      <c r="B79" s="220" t="s">
        <v>454</v>
      </c>
      <c r="C79" s="220" t="s">
        <v>462</v>
      </c>
      <c r="D79" s="220" t="s">
        <v>380</v>
      </c>
      <c r="E79" s="225" t="s">
        <v>237</v>
      </c>
      <c r="F79" s="220" t="s">
        <v>240</v>
      </c>
      <c r="G79" s="145">
        <v>1</v>
      </c>
      <c r="H79" s="145"/>
      <c r="I79" s="145"/>
      <c r="J79" s="145">
        <v>10</v>
      </c>
      <c r="K79" s="145">
        <v>10</v>
      </c>
      <c r="L79" s="220"/>
      <c r="M79" s="220"/>
      <c r="N79" s="220"/>
      <c r="O79" s="220"/>
      <c r="P79" s="191">
        <f>IF(V79="NO",Table_Shelter[[#This Row],[HH per Shelter]]*(Table_Shelter[[#This Row],['# of Temporary Shelter Units Built]]+Table_Shelter[[#This Row],['# of Temporary Shelter Under  Construction]]+Table_Shelter[[#This Row],['# of Permanent House Under Construction]]),0)</f>
        <v>10</v>
      </c>
      <c r="Q79" s="144"/>
      <c r="R79" s="220"/>
      <c r="S79" s="221" t="str">
        <f>IFERROR(VLOOKUP(Table_Shelter[[#This Row],[CampName]],CL,2,0),"")</f>
        <v>MMR001CMP015</v>
      </c>
      <c r="T79" s="221" t="str">
        <f>IFERROR(VLOOKUP(Table_Shelter[[#This Row],[CampName]],CL,3,0),"")</f>
        <v>Open</v>
      </c>
      <c r="U79" s="393">
        <f>IFERROR(Table_Shelter[[#This Row],[HH Covered]]/VLOOKUP(Table_Shelter[[#This Row],[CampName]],CL,4,0),"")</f>
        <v>9.2592592592592587E-2</v>
      </c>
      <c r="V79" s="731" t="s">
        <v>1369</v>
      </c>
      <c r="W79" s="394"/>
    </row>
    <row r="80" spans="1:23" s="189" customFormat="1" x14ac:dyDescent="0.25">
      <c r="A80" s="395"/>
      <c r="B80" s="220" t="s">
        <v>572</v>
      </c>
      <c r="C80" s="220" t="s">
        <v>462</v>
      </c>
      <c r="D80" s="220" t="s">
        <v>380</v>
      </c>
      <c r="E80" s="530" t="s">
        <v>237</v>
      </c>
      <c r="F80" s="220" t="s">
        <v>285</v>
      </c>
      <c r="G80" s="145">
        <v>1</v>
      </c>
      <c r="H80" s="145"/>
      <c r="I80" s="145"/>
      <c r="J80" s="145">
        <v>60</v>
      </c>
      <c r="K80" s="230">
        <v>60</v>
      </c>
      <c r="L80" s="220"/>
      <c r="M80" s="220"/>
      <c r="N80" s="220"/>
      <c r="O80" s="220"/>
      <c r="P80" s="191">
        <f>IF(V80="NO",Table_Shelter[[#This Row],[HH per Shelter]]*(Table_Shelter[[#This Row],['# of Temporary Shelter Units Built]]+Table_Shelter[[#This Row],['# of Temporary Shelter Under  Construction]]+Table_Shelter[[#This Row],['# of Permanent House Under Construction]]),0)</f>
        <v>60</v>
      </c>
      <c r="Q80" s="144"/>
      <c r="R80" s="220"/>
      <c r="S80" s="221" t="str">
        <f>IFERROR(VLOOKUP(Table_Shelter[[#This Row],[CampName]],CL,2,0),"")</f>
        <v>MMR001CMP014</v>
      </c>
      <c r="T80" s="221" t="str">
        <f>IFERROR(VLOOKUP(Table_Shelter[[#This Row],[CampName]],CL,3,0),"")</f>
        <v>Open</v>
      </c>
      <c r="U80" s="393">
        <f>IFERROR(Table_Shelter[[#This Row],[HH Covered]]/VLOOKUP(Table_Shelter[[#This Row],[CampName]],CL,4,0),"")</f>
        <v>0.36809815950920244</v>
      </c>
      <c r="V80" s="731" t="s">
        <v>1369</v>
      </c>
      <c r="W80" s="394"/>
    </row>
    <row r="81" spans="1:23" x14ac:dyDescent="0.25">
      <c r="A81" s="395"/>
      <c r="B81" s="220" t="s">
        <v>454</v>
      </c>
      <c r="C81" s="220" t="s">
        <v>462</v>
      </c>
      <c r="D81" s="220" t="s">
        <v>380</v>
      </c>
      <c r="E81" s="225" t="s">
        <v>237</v>
      </c>
      <c r="F81" s="220" t="s">
        <v>285</v>
      </c>
      <c r="G81" s="145">
        <v>1</v>
      </c>
      <c r="H81" s="145"/>
      <c r="I81" s="145"/>
      <c r="J81" s="145">
        <v>60</v>
      </c>
      <c r="K81" s="145">
        <v>60</v>
      </c>
      <c r="L81" s="220"/>
      <c r="M81" s="220"/>
      <c r="N81" s="220"/>
      <c r="O81" s="220"/>
      <c r="P81" s="191">
        <f>IF(V81="NO",Table_Shelter[[#This Row],[HH per Shelter]]*(Table_Shelter[[#This Row],['# of Temporary Shelter Units Built]]+Table_Shelter[[#This Row],['# of Temporary Shelter Under  Construction]]+Table_Shelter[[#This Row],['# of Permanent House Under Construction]]),0)</f>
        <v>60</v>
      </c>
      <c r="Q81" s="144"/>
      <c r="R81" s="220"/>
      <c r="S81" s="221" t="str">
        <f>IFERROR(VLOOKUP(Table_Shelter[[#This Row],[CampName]],CL,2,0),"")</f>
        <v>MMR001CMP014</v>
      </c>
      <c r="T81" s="221" t="str">
        <f>IFERROR(VLOOKUP(Table_Shelter[[#This Row],[CampName]],CL,3,0),"")</f>
        <v>Open</v>
      </c>
      <c r="U81" s="393">
        <f>IFERROR(Table_Shelter[[#This Row],[HH Covered]]/VLOOKUP(Table_Shelter[[#This Row],[CampName]],CL,4,0),"")</f>
        <v>0.36809815950920244</v>
      </c>
      <c r="V81" s="731" t="s">
        <v>1369</v>
      </c>
      <c r="W81" s="394"/>
    </row>
    <row r="82" spans="1:23" x14ac:dyDescent="0.25">
      <c r="A82" s="395"/>
      <c r="B82" s="220" t="s">
        <v>454</v>
      </c>
      <c r="C82" s="220"/>
      <c r="D82" s="220" t="s">
        <v>380</v>
      </c>
      <c r="E82" s="225" t="s">
        <v>237</v>
      </c>
      <c r="F82" s="220" t="s">
        <v>285</v>
      </c>
      <c r="G82" s="145">
        <v>1</v>
      </c>
      <c r="H82" s="145"/>
      <c r="I82" s="145"/>
      <c r="J82" s="145">
        <v>5</v>
      </c>
      <c r="K82" s="145">
        <v>5</v>
      </c>
      <c r="L82" s="220"/>
      <c r="M82" s="220"/>
      <c r="N82" s="220"/>
      <c r="O82" s="220"/>
      <c r="P82" s="191">
        <f>IF(V82="NO",Table_Shelter[[#This Row],[HH per Shelter]]*(Table_Shelter[[#This Row],['# of Temporary Shelter Units Built]]+Table_Shelter[[#This Row],['# of Temporary Shelter Under  Construction]]+Table_Shelter[[#This Row],['# of Permanent House Under Construction]]),0)</f>
        <v>5</v>
      </c>
      <c r="Q82" s="144"/>
      <c r="R82" s="220"/>
      <c r="S82" s="221" t="str">
        <f>IFERROR(VLOOKUP(Table_Shelter[[#This Row],[CampName]],CL,2,0),"")</f>
        <v>MMR001CMP014</v>
      </c>
      <c r="T82" s="221" t="str">
        <f>IFERROR(VLOOKUP(Table_Shelter[[#This Row],[CampName]],CL,3,0),"")</f>
        <v>Open</v>
      </c>
      <c r="U82" s="393">
        <f>IFERROR(Table_Shelter[[#This Row],[HH Covered]]/VLOOKUP(Table_Shelter[[#This Row],[CampName]],CL,4,0),"")</f>
        <v>3.0674846625766871E-2</v>
      </c>
      <c r="V82" s="731" t="s">
        <v>1369</v>
      </c>
      <c r="W82" s="394"/>
    </row>
    <row r="83" spans="1:23" x14ac:dyDescent="0.25">
      <c r="A83" s="396">
        <v>41974</v>
      </c>
      <c r="B83" s="222" t="s">
        <v>454</v>
      </c>
      <c r="C83" s="222" t="s">
        <v>507</v>
      </c>
      <c r="D83" s="222" t="s">
        <v>380</v>
      </c>
      <c r="E83" s="227" t="s">
        <v>27</v>
      </c>
      <c r="F83" s="222" t="s">
        <v>365</v>
      </c>
      <c r="G83" s="149">
        <v>1</v>
      </c>
      <c r="H83" s="149"/>
      <c r="I83" s="149"/>
      <c r="J83" s="149">
        <v>35</v>
      </c>
      <c r="K83" s="149">
        <v>35</v>
      </c>
      <c r="L83" s="222"/>
      <c r="M83" s="222"/>
      <c r="N83" s="222"/>
      <c r="O83" s="222"/>
      <c r="P83" s="148">
        <f>IF(V83="NO",Table_Shelter[[#This Row],[HH per Shelter]]*(Table_Shelter[[#This Row],['# of Temporary Shelter Units Built]]+Table_Shelter[[#This Row],['# of Temporary Shelter Under  Construction]]+Table_Shelter[[#This Row],['# of Permanent House Under Construction]]),0)</f>
        <v>35</v>
      </c>
      <c r="Q83" s="148"/>
      <c r="R83" s="148"/>
      <c r="S83" s="148" t="str">
        <f>IFERROR(VLOOKUP(Table_Shelter[[#This Row],[CampName]],CL,2,0),"")</f>
        <v>MMR001CMP195</v>
      </c>
      <c r="T83" s="148" t="str">
        <f>IFERROR(VLOOKUP(Table_Shelter[[#This Row],[CampName]],CL,3,0),"")</f>
        <v>Open</v>
      </c>
      <c r="U83" s="393">
        <f>IFERROR(Table_Shelter[[#This Row],[HH Covered]]/VLOOKUP(Table_Shelter[[#This Row],[CampName]],CL,4,0),"")</f>
        <v>0.24305555555555555</v>
      </c>
      <c r="V83" s="731" t="s">
        <v>1369</v>
      </c>
      <c r="W83" s="397"/>
    </row>
    <row r="84" spans="1:23" x14ac:dyDescent="0.25">
      <c r="A84" s="396">
        <v>41791</v>
      </c>
      <c r="B84" s="145" t="s">
        <v>454</v>
      </c>
      <c r="C84" s="145" t="s">
        <v>507</v>
      </c>
      <c r="D84" s="228" t="s">
        <v>380</v>
      </c>
      <c r="E84" s="229" t="s">
        <v>27</v>
      </c>
      <c r="F84" s="145" t="s">
        <v>365</v>
      </c>
      <c r="G84" s="145">
        <v>1</v>
      </c>
      <c r="H84" s="149"/>
      <c r="I84" s="149"/>
      <c r="J84" s="149">
        <v>5</v>
      </c>
      <c r="K84" s="149">
        <v>5</v>
      </c>
      <c r="L84" s="149"/>
      <c r="M84" s="149"/>
      <c r="N84" s="149"/>
      <c r="O84" s="149"/>
      <c r="P84" s="148">
        <f>IF(V84="NO",Table_Shelter[[#This Row],[HH per Shelter]]*(Table_Shelter[[#This Row],['# of Temporary Shelter Units Built]]+Table_Shelter[[#This Row],['# of Temporary Shelter Under  Construction]]+Table_Shelter[[#This Row],['# of Permanent House Under Construction]]),0)</f>
        <v>5</v>
      </c>
      <c r="Q84" s="148"/>
      <c r="R84" s="148"/>
      <c r="S84" s="148" t="str">
        <f>IFERROR(VLOOKUP(Table_Shelter[[#This Row],[CampName]],CL,2,0),"")</f>
        <v>MMR001CMP195</v>
      </c>
      <c r="T84" s="148" t="str">
        <f>IFERROR(VLOOKUP(Table_Shelter[[#This Row],[CampName]],CL,3,0),"")</f>
        <v>Open</v>
      </c>
      <c r="U84" s="399">
        <f>IFERROR(Table_Shelter[[#This Row],[HH Covered]]/VLOOKUP(Table_Shelter[[#This Row],[CampName]],CL,4,0),"")</f>
        <v>3.4722222222222224E-2</v>
      </c>
      <c r="V84" s="731" t="s">
        <v>1369</v>
      </c>
      <c r="W84" s="397"/>
    </row>
    <row r="85" spans="1:23" x14ac:dyDescent="0.25">
      <c r="A85" s="396"/>
      <c r="B85" s="222" t="s">
        <v>454</v>
      </c>
      <c r="C85" s="222" t="s">
        <v>507</v>
      </c>
      <c r="D85" s="222" t="s">
        <v>380</v>
      </c>
      <c r="E85" s="227" t="s">
        <v>27</v>
      </c>
      <c r="F85" s="222" t="s">
        <v>365</v>
      </c>
      <c r="G85" s="149">
        <v>1</v>
      </c>
      <c r="H85" s="149"/>
      <c r="I85" s="149"/>
      <c r="J85" s="149">
        <v>33</v>
      </c>
      <c r="K85" s="149">
        <v>33</v>
      </c>
      <c r="L85" s="222"/>
      <c r="M85" s="222"/>
      <c r="N85" s="222"/>
      <c r="O85" s="222"/>
      <c r="P85" s="191">
        <f>IF(V85="NO",Table_Shelter[[#This Row],[HH per Shelter]]*(Table_Shelter[[#This Row],['# of Temporary Shelter Units Built]]+Table_Shelter[[#This Row],['# of Temporary Shelter Under  Construction]]+Table_Shelter[[#This Row],['# of Permanent House Under Construction]]),0)</f>
        <v>33</v>
      </c>
      <c r="Q85" s="148"/>
      <c r="R85" s="222"/>
      <c r="S85" s="221" t="str">
        <f>IFERROR(VLOOKUP(Table_Shelter[[#This Row],[CampName]],CL,2,0),"")</f>
        <v>MMR001CMP195</v>
      </c>
      <c r="T85" s="221" t="str">
        <f>IFERROR(VLOOKUP(Table_Shelter[[#This Row],[CampName]],CL,3,0),"")</f>
        <v>Open</v>
      </c>
      <c r="U85" s="393">
        <f>IFERROR(Table_Shelter[[#This Row],[HH Covered]]/VLOOKUP(Table_Shelter[[#This Row],[CampName]],CL,4,0),"")</f>
        <v>0.22916666666666666</v>
      </c>
      <c r="V85" s="731" t="s">
        <v>1369</v>
      </c>
      <c r="W85" s="394"/>
    </row>
    <row r="86" spans="1:23" x14ac:dyDescent="0.25">
      <c r="A86" s="395">
        <v>41974</v>
      </c>
      <c r="B86" s="220" t="s">
        <v>454</v>
      </c>
      <c r="C86" s="220" t="s">
        <v>507</v>
      </c>
      <c r="D86" s="220" t="s">
        <v>380</v>
      </c>
      <c r="E86" s="530" t="s">
        <v>529</v>
      </c>
      <c r="F86" s="220" t="s">
        <v>90</v>
      </c>
      <c r="G86" s="145">
        <v>1</v>
      </c>
      <c r="H86" s="145"/>
      <c r="I86" s="145"/>
      <c r="J86" s="145">
        <v>5</v>
      </c>
      <c r="K86" s="145">
        <v>5</v>
      </c>
      <c r="L86" s="220"/>
      <c r="M86" s="220"/>
      <c r="N86" s="220"/>
      <c r="O86" s="220"/>
      <c r="P86" s="148">
        <f>IF(V86="NO",Table_Shelter[[#This Row],[HH per Shelter]]*(Table_Shelter[[#This Row],['# of Temporary Shelter Units Built]]+Table_Shelter[[#This Row],['# of Temporary Shelter Under  Construction]]+Table_Shelter[[#This Row],['# of Permanent House Under Construction]]),0)</f>
        <v>5</v>
      </c>
      <c r="Q86" s="144"/>
      <c r="R86" s="144"/>
      <c r="S86" s="148" t="str">
        <f>IFERROR(VLOOKUP(Table_Shelter[[#This Row],[CampName]],CL,2,0),"")</f>
        <v>MMR001CMP181</v>
      </c>
      <c r="T86" s="148" t="str">
        <f>IFERROR(VLOOKUP(Table_Shelter[[#This Row],[CampName]],CL,3,0),"")</f>
        <v>Open</v>
      </c>
      <c r="U86" s="393">
        <f>IFERROR(Table_Shelter[[#This Row],[HH Covered]]/VLOOKUP(Table_Shelter[[#This Row],[CampName]],CL,4,0),"")</f>
        <v>0.2</v>
      </c>
      <c r="V86" s="731" t="s">
        <v>1369</v>
      </c>
      <c r="W86" s="397"/>
    </row>
    <row r="87" spans="1:23" x14ac:dyDescent="0.25">
      <c r="A87" s="396">
        <v>41791</v>
      </c>
      <c r="B87" s="145" t="s">
        <v>454</v>
      </c>
      <c r="C87" s="145" t="s">
        <v>507</v>
      </c>
      <c r="D87" s="228" t="s">
        <v>380</v>
      </c>
      <c r="E87" s="229" t="s">
        <v>529</v>
      </c>
      <c r="F87" s="145" t="s">
        <v>90</v>
      </c>
      <c r="G87" s="145">
        <v>1</v>
      </c>
      <c r="H87" s="149"/>
      <c r="I87" s="149"/>
      <c r="J87" s="149">
        <v>2</v>
      </c>
      <c r="K87" s="149">
        <v>2</v>
      </c>
      <c r="L87" s="149"/>
      <c r="M87" s="149"/>
      <c r="N87" s="149"/>
      <c r="O87" s="149"/>
      <c r="P87" s="148">
        <f>IF(V87="NO",Table_Shelter[[#This Row],[HH per Shelter]]*(Table_Shelter[[#This Row],['# of Temporary Shelter Units Built]]+Table_Shelter[[#This Row],['# of Temporary Shelter Under  Construction]]+Table_Shelter[[#This Row],['# of Permanent House Under Construction]]),0)</f>
        <v>2</v>
      </c>
      <c r="Q87" s="148"/>
      <c r="R87" s="148"/>
      <c r="S87" s="148" t="str">
        <f>IFERROR(VLOOKUP(Table_Shelter[[#This Row],[CampName]],CL,2,0),"")</f>
        <v>MMR001CMP181</v>
      </c>
      <c r="T87" s="148" t="str">
        <f>IFERROR(VLOOKUP(Table_Shelter[[#This Row],[CampName]],CL,3,0),"")</f>
        <v>Open</v>
      </c>
      <c r="U87" s="399">
        <f>IFERROR(Table_Shelter[[#This Row],[HH Covered]]/VLOOKUP(Table_Shelter[[#This Row],[CampName]],CL,4,0),"")</f>
        <v>0.08</v>
      </c>
      <c r="V87" s="731" t="s">
        <v>1369</v>
      </c>
      <c r="W87" s="397"/>
    </row>
    <row r="88" spans="1:23" x14ac:dyDescent="0.25">
      <c r="A88" s="395">
        <v>41609</v>
      </c>
      <c r="B88" s="220" t="s">
        <v>454</v>
      </c>
      <c r="C88" s="220" t="s">
        <v>507</v>
      </c>
      <c r="D88" s="220" t="s">
        <v>380</v>
      </c>
      <c r="E88" s="225" t="s">
        <v>529</v>
      </c>
      <c r="F88" s="220" t="s">
        <v>90</v>
      </c>
      <c r="G88" s="145">
        <v>1</v>
      </c>
      <c r="H88" s="145"/>
      <c r="I88" s="145"/>
      <c r="J88" s="145">
        <v>18</v>
      </c>
      <c r="K88" s="145">
        <v>18</v>
      </c>
      <c r="L88" s="220"/>
      <c r="M88" s="220"/>
      <c r="N88" s="220"/>
      <c r="O88" s="220"/>
      <c r="P88" s="191">
        <f>IF(V88="NO",Table_Shelter[[#This Row],[HH per Shelter]]*(Table_Shelter[[#This Row],['# of Temporary Shelter Units Built]]+Table_Shelter[[#This Row],['# of Temporary Shelter Under  Construction]]+Table_Shelter[[#This Row],['# of Permanent House Under Construction]]),0)</f>
        <v>18</v>
      </c>
      <c r="Q88" s="144"/>
      <c r="R88" s="220"/>
      <c r="S88" s="221" t="str">
        <f>IFERROR(VLOOKUP(Table_Shelter[[#This Row],[CampName]],CL,2,0),"")</f>
        <v>MMR001CMP181</v>
      </c>
      <c r="T88" s="221" t="str">
        <f>IFERROR(VLOOKUP(Table_Shelter[[#This Row],[CampName]],CL,3,0),"")</f>
        <v>Open</v>
      </c>
      <c r="U88" s="393">
        <f>IFERROR(Table_Shelter[[#This Row],[HH Covered]]/VLOOKUP(Table_Shelter[[#This Row],[CampName]],CL,4,0),"")</f>
        <v>0.72</v>
      </c>
      <c r="V88" s="731" t="s">
        <v>1369</v>
      </c>
      <c r="W88" s="394"/>
    </row>
    <row r="89" spans="1:23" x14ac:dyDescent="0.25">
      <c r="A89" s="395">
        <v>41974</v>
      </c>
      <c r="B89" s="220" t="s">
        <v>454</v>
      </c>
      <c r="C89" s="220" t="s">
        <v>507</v>
      </c>
      <c r="D89" s="220" t="s">
        <v>380</v>
      </c>
      <c r="E89" s="225" t="s">
        <v>529</v>
      </c>
      <c r="F89" s="220" t="s">
        <v>92</v>
      </c>
      <c r="G89" s="145">
        <v>1</v>
      </c>
      <c r="H89" s="145"/>
      <c r="I89" s="145"/>
      <c r="J89" s="145">
        <v>15</v>
      </c>
      <c r="K89" s="145">
        <v>15</v>
      </c>
      <c r="L89" s="220"/>
      <c r="M89" s="220"/>
      <c r="N89" s="220"/>
      <c r="O89" s="220"/>
      <c r="P89" s="191">
        <f>IF(V89="NO",Table_Shelter[[#This Row],[HH per Shelter]]*(Table_Shelter[[#This Row],['# of Temporary Shelter Units Built]]+Table_Shelter[[#This Row],['# of Temporary Shelter Under  Construction]]+Table_Shelter[[#This Row],['# of Permanent House Under Construction]]),0)</f>
        <v>15</v>
      </c>
      <c r="Q89" s="144"/>
      <c r="R89" s="220"/>
      <c r="S89" s="221" t="str">
        <f>IFERROR(VLOOKUP(Table_Shelter[[#This Row],[CampName]],CL,2,0),"")</f>
        <v>MMR001CMP167</v>
      </c>
      <c r="T89" s="221" t="str">
        <f>IFERROR(VLOOKUP(Table_Shelter[[#This Row],[CampName]],CL,3,0),"")</f>
        <v>Open</v>
      </c>
      <c r="U89" s="393">
        <f>IFERROR(Table_Shelter[[#This Row],[HH Covered]]/VLOOKUP(Table_Shelter[[#This Row],[CampName]],CL,4,0),"")</f>
        <v>1</v>
      </c>
      <c r="V89" s="731" t="s">
        <v>1369</v>
      </c>
      <c r="W89" s="394"/>
    </row>
    <row r="90" spans="1:23" ht="15" customHeight="1" x14ac:dyDescent="0.25">
      <c r="A90" s="396">
        <v>41974</v>
      </c>
      <c r="B90" s="222" t="s">
        <v>454</v>
      </c>
      <c r="C90" s="222" t="s">
        <v>507</v>
      </c>
      <c r="D90" s="222" t="s">
        <v>380</v>
      </c>
      <c r="E90" s="227" t="s">
        <v>5</v>
      </c>
      <c r="F90" s="222" t="s">
        <v>18</v>
      </c>
      <c r="G90" s="149">
        <v>1</v>
      </c>
      <c r="H90" s="149"/>
      <c r="I90" s="149"/>
      <c r="J90" s="149">
        <v>15</v>
      </c>
      <c r="K90" s="149">
        <v>15</v>
      </c>
      <c r="L90" s="222"/>
      <c r="M90" s="222"/>
      <c r="N90" s="222"/>
      <c r="O90" s="222"/>
      <c r="P90" s="191">
        <f>IF(V90="NO",Table_Shelter[[#This Row],[HH per Shelter]]*(Table_Shelter[[#This Row],['# of Temporary Shelter Units Built]]+Table_Shelter[[#This Row],['# of Temporary Shelter Under  Construction]]+Table_Shelter[[#This Row],['# of Permanent House Under Construction]]),0)</f>
        <v>15</v>
      </c>
      <c r="Q90" s="148">
        <v>8</v>
      </c>
      <c r="R90" s="222"/>
      <c r="S90" s="221" t="str">
        <f>IFERROR(VLOOKUP(Table_Shelter[[#This Row],[CampName]],CL,2,0),"")</f>
        <v>MMR001CMP049</v>
      </c>
      <c r="T90" s="221" t="str">
        <f>IFERROR(VLOOKUP(Table_Shelter[[#This Row],[CampName]],CL,3,0),"")</f>
        <v>Open</v>
      </c>
      <c r="U90" s="393">
        <f>IFERROR(Table_Shelter[[#This Row],[HH Covered]]/VLOOKUP(Table_Shelter[[#This Row],[CampName]],CL,4,0),"")</f>
        <v>0.12931034482758622</v>
      </c>
      <c r="V90" s="731" t="s">
        <v>1369</v>
      </c>
      <c r="W90" s="394"/>
    </row>
    <row r="91" spans="1:23" ht="15" customHeight="1" x14ac:dyDescent="0.25">
      <c r="A91" s="395">
        <v>41609</v>
      </c>
      <c r="B91" s="222" t="s">
        <v>454</v>
      </c>
      <c r="C91" s="222" t="s">
        <v>507</v>
      </c>
      <c r="D91" s="222" t="s">
        <v>380</v>
      </c>
      <c r="E91" s="227" t="s">
        <v>5</v>
      </c>
      <c r="F91" s="222" t="s">
        <v>18</v>
      </c>
      <c r="G91" s="149">
        <v>1</v>
      </c>
      <c r="H91" s="145"/>
      <c r="I91" s="145"/>
      <c r="J91" s="145">
        <v>10</v>
      </c>
      <c r="K91" s="145">
        <v>10</v>
      </c>
      <c r="L91" s="220"/>
      <c r="M91" s="220"/>
      <c r="N91" s="220"/>
      <c r="O91" s="220"/>
      <c r="P91" s="148">
        <f>IF(V91="NO",Table_Shelter[[#This Row],[HH per Shelter]]*(Table_Shelter[[#This Row],['# of Temporary Shelter Units Built]]+Table_Shelter[[#This Row],['# of Temporary Shelter Under  Construction]]+Table_Shelter[[#This Row],['# of Permanent House Under Construction]]),0)</f>
        <v>10</v>
      </c>
      <c r="Q91" s="144"/>
      <c r="R91" s="144"/>
      <c r="S91" s="148" t="str">
        <f>IFERROR(VLOOKUP(Table_Shelter[[#This Row],[CampName]],CL,2,0),"")</f>
        <v>MMR001CMP049</v>
      </c>
      <c r="T91" s="148" t="str">
        <f>IFERROR(VLOOKUP(Table_Shelter[[#This Row],[CampName]],CL,3,0),"")</f>
        <v>Open</v>
      </c>
      <c r="U91" s="393">
        <f>IFERROR(Table_Shelter[[#This Row],[HH Covered]]/VLOOKUP(Table_Shelter[[#This Row],[CampName]],CL,4,0),"")</f>
        <v>8.6206896551724144E-2</v>
      </c>
      <c r="V91" s="731" t="s">
        <v>1369</v>
      </c>
      <c r="W91" s="397"/>
    </row>
    <row r="92" spans="1:23" ht="15" customHeight="1" x14ac:dyDescent="0.25">
      <c r="A92" s="395"/>
      <c r="B92" s="220" t="s">
        <v>852</v>
      </c>
      <c r="C92" s="220"/>
      <c r="D92" s="223" t="s">
        <v>380</v>
      </c>
      <c r="E92" s="530" t="s">
        <v>5</v>
      </c>
      <c r="F92" s="220" t="s">
        <v>18</v>
      </c>
      <c r="G92" s="145">
        <v>1</v>
      </c>
      <c r="H92" s="145"/>
      <c r="I92" s="145"/>
      <c r="J92" s="145">
        <v>12</v>
      </c>
      <c r="K92" s="145">
        <v>12</v>
      </c>
      <c r="L92" s="220"/>
      <c r="M92" s="220"/>
      <c r="N92" s="220"/>
      <c r="O92" s="220"/>
      <c r="P92" s="191">
        <f>IF(V92="NO",Table_Shelter[[#This Row],[HH per Shelter]]*(Table_Shelter[[#This Row],['# of Temporary Shelter Units Built]]+Table_Shelter[[#This Row],['# of Temporary Shelter Under  Construction]]+Table_Shelter[[#This Row],['# of Permanent House Under Construction]]),0)</f>
        <v>12</v>
      </c>
      <c r="Q92" s="144"/>
      <c r="R92" s="220"/>
      <c r="S92" s="221" t="str">
        <f>IFERROR(VLOOKUP(Table_Shelter[[#This Row],[CampName]],CL,2,0),"")</f>
        <v>MMR001CMP049</v>
      </c>
      <c r="T92" s="221" t="str">
        <f>IFERROR(VLOOKUP(Table_Shelter[[#This Row],[CampName]],CL,3,0),"")</f>
        <v>Open</v>
      </c>
      <c r="U92" s="393">
        <f>IFERROR(Table_Shelter[[#This Row],[HH Covered]]/VLOOKUP(Table_Shelter[[#This Row],[CampName]],CL,4,0),"")</f>
        <v>0.10344827586206896</v>
      </c>
      <c r="V92" s="731" t="s">
        <v>1369</v>
      </c>
      <c r="W92" s="394"/>
    </row>
    <row r="93" spans="1:23" ht="15" customHeight="1" x14ac:dyDescent="0.25">
      <c r="A93" s="395"/>
      <c r="B93" s="220" t="s">
        <v>454</v>
      </c>
      <c r="C93" s="220" t="s">
        <v>852</v>
      </c>
      <c r="D93" s="223" t="s">
        <v>380</v>
      </c>
      <c r="E93" s="530" t="s">
        <v>5</v>
      </c>
      <c r="F93" s="220" t="s">
        <v>18</v>
      </c>
      <c r="G93" s="145">
        <v>1</v>
      </c>
      <c r="H93" s="145"/>
      <c r="I93" s="145"/>
      <c r="J93" s="145">
        <v>30</v>
      </c>
      <c r="K93" s="145">
        <v>30</v>
      </c>
      <c r="L93" s="220"/>
      <c r="M93" s="220"/>
      <c r="N93" s="220"/>
      <c r="O93" s="220"/>
      <c r="P93" s="191">
        <f>IF(V93="NO",Table_Shelter[[#This Row],[HH per Shelter]]*(Table_Shelter[[#This Row],['# of Temporary Shelter Units Built]]+Table_Shelter[[#This Row],['# of Temporary Shelter Under  Construction]]+Table_Shelter[[#This Row],['# of Permanent House Under Construction]]),0)</f>
        <v>30</v>
      </c>
      <c r="Q93" s="144"/>
      <c r="R93" s="220"/>
      <c r="S93" s="221" t="str">
        <f>IFERROR(VLOOKUP(Table_Shelter[[#This Row],[CampName]],CL,2,0),"")</f>
        <v>MMR001CMP049</v>
      </c>
      <c r="T93" s="221" t="str">
        <f>IFERROR(VLOOKUP(Table_Shelter[[#This Row],[CampName]],CL,3,0),"")</f>
        <v>Open</v>
      </c>
      <c r="U93" s="393">
        <f>IFERROR(Table_Shelter[[#This Row],[HH Covered]]/VLOOKUP(Table_Shelter[[#This Row],[CampName]],CL,4,0),"")</f>
        <v>0.25862068965517243</v>
      </c>
      <c r="V93" s="731" t="s">
        <v>1369</v>
      </c>
      <c r="W93" s="394"/>
    </row>
    <row r="94" spans="1:23" ht="15" customHeight="1" x14ac:dyDescent="0.25">
      <c r="A94" s="396"/>
      <c r="B94" s="222" t="s">
        <v>454</v>
      </c>
      <c r="C94" s="222"/>
      <c r="D94" s="222" t="s">
        <v>380</v>
      </c>
      <c r="E94" s="227" t="s">
        <v>5</v>
      </c>
      <c r="F94" s="222" t="s">
        <v>18</v>
      </c>
      <c r="G94" s="149">
        <v>1</v>
      </c>
      <c r="H94" s="149"/>
      <c r="I94" s="149"/>
      <c r="J94" s="149">
        <v>15</v>
      </c>
      <c r="K94" s="149">
        <v>15</v>
      </c>
      <c r="L94" s="222"/>
      <c r="M94" s="222"/>
      <c r="N94" s="222"/>
      <c r="O94" s="222"/>
      <c r="P94" s="191">
        <f>IF(V94="NO",Table_Shelter[[#This Row],[HH per Shelter]]*(Table_Shelter[[#This Row],['# of Temporary Shelter Units Built]]+Table_Shelter[[#This Row],['# of Temporary Shelter Under  Construction]]+Table_Shelter[[#This Row],['# of Permanent House Under Construction]]),0)</f>
        <v>15</v>
      </c>
      <c r="Q94" s="148"/>
      <c r="R94" s="222"/>
      <c r="S94" s="221" t="str">
        <f>IFERROR(VLOOKUP(Table_Shelter[[#This Row],[CampName]],CL,2,0),"")</f>
        <v>MMR001CMP049</v>
      </c>
      <c r="T94" s="221" t="str">
        <f>IFERROR(VLOOKUP(Table_Shelter[[#This Row],[CampName]],CL,3,0),"")</f>
        <v>Open</v>
      </c>
      <c r="U94" s="393">
        <f>IFERROR(Table_Shelter[[#This Row],[HH Covered]]/VLOOKUP(Table_Shelter[[#This Row],[CampName]],CL,4,0),"")</f>
        <v>0.12931034482758622</v>
      </c>
      <c r="V94" s="731" t="s">
        <v>1369</v>
      </c>
      <c r="W94" s="394"/>
    </row>
    <row r="95" spans="1:23" ht="15" customHeight="1" x14ac:dyDescent="0.25">
      <c r="A95" s="396"/>
      <c r="B95" s="220" t="s">
        <v>454</v>
      </c>
      <c r="C95" s="220" t="s">
        <v>507</v>
      </c>
      <c r="D95" s="228" t="s">
        <v>380</v>
      </c>
      <c r="E95" s="225" t="s">
        <v>5</v>
      </c>
      <c r="F95" s="220" t="s">
        <v>18</v>
      </c>
      <c r="G95" s="145">
        <v>1</v>
      </c>
      <c r="H95" s="149"/>
      <c r="I95" s="149"/>
      <c r="J95" s="149">
        <v>5</v>
      </c>
      <c r="K95" s="149">
        <v>5</v>
      </c>
      <c r="L95" s="222"/>
      <c r="M95" s="222"/>
      <c r="N95" s="222"/>
      <c r="O95" s="222"/>
      <c r="P95" s="148">
        <f>IF(V95="NO",Table_Shelter[[#This Row],[HH per Shelter]]*(Table_Shelter[[#This Row],['# of Temporary Shelter Units Built]]+Table_Shelter[[#This Row],['# of Temporary Shelter Under  Construction]]+Table_Shelter[[#This Row],['# of Permanent House Under Construction]]),0)</f>
        <v>5</v>
      </c>
      <c r="Q95" s="148"/>
      <c r="R95" s="148"/>
      <c r="S95" s="148" t="str">
        <f>IFERROR(VLOOKUP(Table_Shelter[[#This Row],[CampName]],CL,2,0),"")</f>
        <v>MMR001CMP049</v>
      </c>
      <c r="T95" s="148" t="str">
        <f>IFERROR(VLOOKUP(Table_Shelter[[#This Row],[CampName]],CL,3,0),"")</f>
        <v>Open</v>
      </c>
      <c r="U95" s="393">
        <f>IFERROR(Table_Shelter[[#This Row],[HH Covered]]/VLOOKUP(Table_Shelter[[#This Row],[CampName]],CL,4,0),"")</f>
        <v>4.3103448275862072E-2</v>
      </c>
      <c r="V95" s="731" t="s">
        <v>1369</v>
      </c>
      <c r="W95" s="397"/>
    </row>
    <row r="96" spans="1:23" ht="15" customHeight="1" x14ac:dyDescent="0.25">
      <c r="A96" s="396"/>
      <c r="B96" s="222" t="s">
        <v>454</v>
      </c>
      <c r="C96" s="222"/>
      <c r="D96" s="222" t="s">
        <v>380</v>
      </c>
      <c r="E96" s="227" t="s">
        <v>185</v>
      </c>
      <c r="F96" s="222" t="s">
        <v>186</v>
      </c>
      <c r="G96" s="149">
        <v>1</v>
      </c>
      <c r="H96" s="149"/>
      <c r="I96" s="149"/>
      <c r="J96" s="149">
        <v>12</v>
      </c>
      <c r="K96" s="149">
        <v>12</v>
      </c>
      <c r="L96" s="222"/>
      <c r="M96" s="222"/>
      <c r="N96" s="222"/>
      <c r="O96" s="222"/>
      <c r="P96" s="191">
        <f>IF(V96="NO",Table_Shelter[[#This Row],[HH per Shelter]]*(Table_Shelter[[#This Row],['# of Temporary Shelter Units Built]]+Table_Shelter[[#This Row],['# of Temporary Shelter Under  Construction]]+Table_Shelter[[#This Row],['# of Permanent House Under Construction]]),0)</f>
        <v>12</v>
      </c>
      <c r="Q96" s="148"/>
      <c r="R96" s="222"/>
      <c r="S96" s="221" t="str">
        <f>IFERROR(VLOOKUP(Table_Shelter[[#This Row],[CampName]],CL,2,0),"")</f>
        <v>MMR001CMP071</v>
      </c>
      <c r="T96" s="221" t="str">
        <f>IFERROR(VLOOKUP(Table_Shelter[[#This Row],[CampName]],CL,3,0),"")</f>
        <v>Open</v>
      </c>
      <c r="U96" s="393">
        <f>IFERROR(Table_Shelter[[#This Row],[HH Covered]]/VLOOKUP(Table_Shelter[[#This Row],[CampName]],CL,4,0),"")</f>
        <v>0.41379310344827586</v>
      </c>
      <c r="V96" s="731" t="s">
        <v>1369</v>
      </c>
      <c r="W96" s="394"/>
    </row>
    <row r="97" spans="1:23" ht="15" customHeight="1" x14ac:dyDescent="0.25">
      <c r="A97" s="396"/>
      <c r="B97" s="220" t="s">
        <v>454</v>
      </c>
      <c r="C97" s="220" t="s">
        <v>462</v>
      </c>
      <c r="D97" s="228" t="s">
        <v>380</v>
      </c>
      <c r="E97" s="530" t="s">
        <v>185</v>
      </c>
      <c r="F97" s="220" t="s">
        <v>186</v>
      </c>
      <c r="G97" s="145">
        <v>1</v>
      </c>
      <c r="H97" s="149"/>
      <c r="I97" s="149"/>
      <c r="J97" s="149">
        <v>27</v>
      </c>
      <c r="K97" s="149">
        <v>27</v>
      </c>
      <c r="L97" s="222"/>
      <c r="M97" s="222"/>
      <c r="N97" s="222"/>
      <c r="O97" s="222"/>
      <c r="P97" s="148">
        <f>IF(V97="NO",Table_Shelter[[#This Row],[HH per Shelter]]*(Table_Shelter[[#This Row],['# of Temporary Shelter Units Built]]+Table_Shelter[[#This Row],['# of Temporary Shelter Under  Construction]]+Table_Shelter[[#This Row],['# of Permanent House Under Construction]]),0)</f>
        <v>27</v>
      </c>
      <c r="Q97" s="148"/>
      <c r="R97" s="148"/>
      <c r="S97" s="148" t="str">
        <f>IFERROR(VLOOKUP(Table_Shelter[[#This Row],[CampName]],CL,2,0),"")</f>
        <v>MMR001CMP071</v>
      </c>
      <c r="T97" s="148" t="str">
        <f>IFERROR(VLOOKUP(Table_Shelter[[#This Row],[CampName]],CL,3,0),"")</f>
        <v>Open</v>
      </c>
      <c r="U97" s="393">
        <f>IFERROR(Table_Shelter[[#This Row],[HH Covered]]/VLOOKUP(Table_Shelter[[#This Row],[CampName]],CL,4,0),"")</f>
        <v>0.93103448275862066</v>
      </c>
      <c r="V97" s="731" t="s">
        <v>1369</v>
      </c>
      <c r="W97" s="397"/>
    </row>
    <row r="98" spans="1:23" ht="15" customHeight="1" x14ac:dyDescent="0.25">
      <c r="A98" s="395">
        <v>41974</v>
      </c>
      <c r="B98" s="220" t="s">
        <v>454</v>
      </c>
      <c r="C98" s="220" t="s">
        <v>462</v>
      </c>
      <c r="D98" s="220" t="s">
        <v>380</v>
      </c>
      <c r="E98" s="530" t="s">
        <v>185</v>
      </c>
      <c r="F98" s="220" t="s">
        <v>223</v>
      </c>
      <c r="G98" s="145">
        <v>1</v>
      </c>
      <c r="H98" s="145"/>
      <c r="I98" s="145"/>
      <c r="J98" s="145">
        <v>21</v>
      </c>
      <c r="K98" s="145">
        <v>21</v>
      </c>
      <c r="L98" s="220"/>
      <c r="M98" s="220"/>
      <c r="N98" s="220"/>
      <c r="O98" s="220"/>
      <c r="P98" s="191">
        <f>IF(V98="NO",Table_Shelter[[#This Row],[HH per Shelter]]*(Table_Shelter[[#This Row],['# of Temporary Shelter Units Built]]+Table_Shelter[[#This Row],['# of Temporary Shelter Under  Construction]]+Table_Shelter[[#This Row],['# of Permanent House Under Construction]]),0)</f>
        <v>21</v>
      </c>
      <c r="Q98" s="144"/>
      <c r="R98" s="220"/>
      <c r="S98" s="221" t="str">
        <f>IFERROR(VLOOKUP(Table_Shelter[[#This Row],[CampName]],CL,2,0),"")</f>
        <v>MMR001CMP069</v>
      </c>
      <c r="T98" s="221" t="str">
        <f>IFERROR(VLOOKUP(Table_Shelter[[#This Row],[CampName]],CL,3,0),"")</f>
        <v>Open</v>
      </c>
      <c r="U98" s="393">
        <f>IFERROR(Table_Shelter[[#This Row],[HH Covered]]/VLOOKUP(Table_Shelter[[#This Row],[CampName]],CL,4,0),"")</f>
        <v>0.3</v>
      </c>
      <c r="V98" s="731" t="s">
        <v>1369</v>
      </c>
      <c r="W98" s="394"/>
    </row>
    <row r="99" spans="1:23" ht="15" customHeight="1" x14ac:dyDescent="0.25">
      <c r="A99" s="395"/>
      <c r="B99" s="220" t="s">
        <v>594</v>
      </c>
      <c r="C99" s="220"/>
      <c r="D99" s="223" t="s">
        <v>380</v>
      </c>
      <c r="E99" s="530" t="s">
        <v>185</v>
      </c>
      <c r="F99" s="220" t="s">
        <v>223</v>
      </c>
      <c r="G99" s="145">
        <v>1</v>
      </c>
      <c r="H99" s="145"/>
      <c r="I99" s="145"/>
      <c r="J99" s="145">
        <v>40</v>
      </c>
      <c r="K99" s="145">
        <v>40</v>
      </c>
      <c r="L99" s="220"/>
      <c r="M99" s="220"/>
      <c r="N99" s="220"/>
      <c r="O99" s="220"/>
      <c r="P99" s="191">
        <f>IF(V99="NO",Table_Shelter[[#This Row],[HH per Shelter]]*(Table_Shelter[[#This Row],['# of Temporary Shelter Units Built]]+Table_Shelter[[#This Row],['# of Temporary Shelter Under  Construction]]+Table_Shelter[[#This Row],['# of Permanent House Under Construction]]),0)</f>
        <v>40</v>
      </c>
      <c r="Q99" s="144"/>
      <c r="R99" s="220"/>
      <c r="S99" s="221" t="str">
        <f>IFERROR(VLOOKUP(Table_Shelter[[#This Row],[CampName]],CL,2,0),"")</f>
        <v>MMR001CMP069</v>
      </c>
      <c r="T99" s="221" t="str">
        <f>IFERROR(VLOOKUP(Table_Shelter[[#This Row],[CampName]],CL,3,0),"")</f>
        <v>Open</v>
      </c>
      <c r="U99" s="393">
        <f>IFERROR(Table_Shelter[[#This Row],[HH Covered]]/VLOOKUP(Table_Shelter[[#This Row],[CampName]],CL,4,0),"")</f>
        <v>0.5714285714285714</v>
      </c>
      <c r="V99" s="731" t="s">
        <v>1369</v>
      </c>
      <c r="W99" s="394"/>
    </row>
    <row r="100" spans="1:23" ht="15" customHeight="1" x14ac:dyDescent="0.25">
      <c r="A100" s="395"/>
      <c r="B100" s="220" t="s">
        <v>454</v>
      </c>
      <c r="C100" s="220"/>
      <c r="D100" s="220" t="s">
        <v>380</v>
      </c>
      <c r="E100" s="225" t="s">
        <v>185</v>
      </c>
      <c r="F100" s="220" t="s">
        <v>223</v>
      </c>
      <c r="G100" s="145">
        <v>1</v>
      </c>
      <c r="H100" s="145"/>
      <c r="I100" s="145"/>
      <c r="J100" s="145">
        <v>6</v>
      </c>
      <c r="K100" s="145">
        <v>6</v>
      </c>
      <c r="L100" s="220"/>
      <c r="M100" s="220"/>
      <c r="N100" s="220"/>
      <c r="O100" s="220"/>
      <c r="P100" s="191">
        <f>IF(V100="NO",Table_Shelter[[#This Row],[HH per Shelter]]*(Table_Shelter[[#This Row],['# of Temporary Shelter Units Built]]+Table_Shelter[[#This Row],['# of Temporary Shelter Under  Construction]]+Table_Shelter[[#This Row],['# of Permanent House Under Construction]]),0)</f>
        <v>6</v>
      </c>
      <c r="Q100" s="144"/>
      <c r="R100" s="220"/>
      <c r="S100" s="221" t="str">
        <f>IFERROR(VLOOKUP(Table_Shelter[[#This Row],[CampName]],CL,2,0),"")</f>
        <v>MMR001CMP069</v>
      </c>
      <c r="T100" s="221" t="str">
        <f>IFERROR(VLOOKUP(Table_Shelter[[#This Row],[CampName]],CL,3,0),"")</f>
        <v>Open</v>
      </c>
      <c r="U100" s="393">
        <f>IFERROR(Table_Shelter[[#This Row],[HH Covered]]/VLOOKUP(Table_Shelter[[#This Row],[CampName]],CL,4,0),"")</f>
        <v>8.5714285714285715E-2</v>
      </c>
      <c r="V100" s="731" t="s">
        <v>1369</v>
      </c>
      <c r="W100" s="394"/>
    </row>
    <row r="101" spans="1:23" ht="15" customHeight="1" x14ac:dyDescent="0.25">
      <c r="A101" s="395">
        <v>41791</v>
      </c>
      <c r="B101" s="220" t="s">
        <v>454</v>
      </c>
      <c r="C101" s="220" t="s">
        <v>462</v>
      </c>
      <c r="D101" s="223" t="s">
        <v>380</v>
      </c>
      <c r="E101" s="225" t="s">
        <v>185</v>
      </c>
      <c r="F101" s="220" t="s">
        <v>190</v>
      </c>
      <c r="G101" s="145">
        <v>1</v>
      </c>
      <c r="H101" s="145"/>
      <c r="I101" s="145"/>
      <c r="J101" s="145">
        <v>25</v>
      </c>
      <c r="K101" s="145">
        <v>25</v>
      </c>
      <c r="L101" s="220"/>
      <c r="M101" s="220"/>
      <c r="N101" s="220"/>
      <c r="O101" s="220"/>
      <c r="P101" s="191">
        <f>IF(V101="NO",Table_Shelter[[#This Row],[HH per Shelter]]*(Table_Shelter[[#This Row],['# of Temporary Shelter Units Built]]+Table_Shelter[[#This Row],['# of Temporary Shelter Under  Construction]]+Table_Shelter[[#This Row],['# of Permanent House Under Construction]]),0)</f>
        <v>25</v>
      </c>
      <c r="Q101" s="144"/>
      <c r="R101" s="220"/>
      <c r="S101" s="221" t="str">
        <f>IFERROR(VLOOKUP(Table_Shelter[[#This Row],[CampName]],CL,2,0),"")</f>
        <v>MMR001CMP070</v>
      </c>
      <c r="T101" s="221" t="str">
        <f>IFERROR(VLOOKUP(Table_Shelter[[#This Row],[CampName]],CL,3,0),"")</f>
        <v>Open</v>
      </c>
      <c r="U101" s="393">
        <f>IFERROR(Table_Shelter[[#This Row],[HH Covered]]/VLOOKUP(Table_Shelter[[#This Row],[CampName]],CL,4,0),"")</f>
        <v>0.13297872340425532</v>
      </c>
      <c r="V101" s="731" t="s">
        <v>1369</v>
      </c>
      <c r="W101" s="394"/>
    </row>
    <row r="102" spans="1:23" ht="15" customHeight="1" x14ac:dyDescent="0.25">
      <c r="A102" s="395"/>
      <c r="B102" s="220" t="s">
        <v>454</v>
      </c>
      <c r="C102" s="220"/>
      <c r="D102" s="220" t="s">
        <v>380</v>
      </c>
      <c r="E102" s="225" t="s">
        <v>185</v>
      </c>
      <c r="F102" s="220" t="s">
        <v>190</v>
      </c>
      <c r="G102" s="145">
        <v>1</v>
      </c>
      <c r="H102" s="145"/>
      <c r="I102" s="145"/>
      <c r="J102" s="145">
        <v>5</v>
      </c>
      <c r="K102" s="145">
        <v>57</v>
      </c>
      <c r="L102" s="220"/>
      <c r="M102" s="220"/>
      <c r="N102" s="220"/>
      <c r="O102" s="220"/>
      <c r="P102" s="191">
        <f>IF(V102="NO",Table_Shelter[[#This Row],[HH per Shelter]]*(Table_Shelter[[#This Row],['# of Temporary Shelter Units Built]]+Table_Shelter[[#This Row],['# of Temporary Shelter Under  Construction]]+Table_Shelter[[#This Row],['# of Permanent House Under Construction]]),0)</f>
        <v>57</v>
      </c>
      <c r="Q102" s="144"/>
      <c r="R102" s="220"/>
      <c r="S102" s="221" t="str">
        <f>IFERROR(VLOOKUP(Table_Shelter[[#This Row],[CampName]],CL,2,0),"")</f>
        <v>MMR001CMP070</v>
      </c>
      <c r="T102" s="221" t="str">
        <f>IFERROR(VLOOKUP(Table_Shelter[[#This Row],[CampName]],CL,3,0),"")</f>
        <v>Open</v>
      </c>
      <c r="U102" s="393">
        <f>IFERROR(Table_Shelter[[#This Row],[HH Covered]]/VLOOKUP(Table_Shelter[[#This Row],[CampName]],CL,4,0),"")</f>
        <v>0.30319148936170215</v>
      </c>
      <c r="V102" s="731" t="s">
        <v>1369</v>
      </c>
      <c r="W102" s="394"/>
    </row>
    <row r="103" spans="1:23" s="189" customFormat="1" x14ac:dyDescent="0.25">
      <c r="A103" s="396"/>
      <c r="B103" s="222" t="s">
        <v>594</v>
      </c>
      <c r="C103" s="222" t="s">
        <v>461</v>
      </c>
      <c r="D103" s="222" t="s">
        <v>380</v>
      </c>
      <c r="E103" s="227" t="s">
        <v>151</v>
      </c>
      <c r="F103" s="222" t="s">
        <v>158</v>
      </c>
      <c r="G103" s="149">
        <v>1</v>
      </c>
      <c r="H103" s="149"/>
      <c r="I103" s="149"/>
      <c r="J103" s="149">
        <v>100</v>
      </c>
      <c r="K103" s="149">
        <v>100</v>
      </c>
      <c r="L103" s="222"/>
      <c r="M103" s="222"/>
      <c r="N103" s="222"/>
      <c r="O103" s="222"/>
      <c r="P103" s="191">
        <f>IF(V103="NO",Table_Shelter[[#This Row],[HH per Shelter]]*(Table_Shelter[[#This Row],['# of Temporary Shelter Units Built]]+Table_Shelter[[#This Row],['# of Temporary Shelter Under  Construction]]+Table_Shelter[[#This Row],['# of Permanent House Under Construction]]),0)</f>
        <v>100</v>
      </c>
      <c r="Q103" s="148"/>
      <c r="R103" s="222"/>
      <c r="S103" s="221" t="str">
        <f>IFERROR(VLOOKUP(Table_Shelter[[#This Row],[CampName]],CL,2,0),"")</f>
        <v>MMR001CMP135</v>
      </c>
      <c r="T103" s="221" t="str">
        <f>IFERROR(VLOOKUP(Table_Shelter[[#This Row],[CampName]],CL,3,0),"")</f>
        <v>Closed</v>
      </c>
      <c r="U103" s="393" t="str">
        <f>IFERROR(Table_Shelter[[#This Row],[HH Covered]]/VLOOKUP(Table_Shelter[[#This Row],[CampName]],CL,4,0),"")</f>
        <v/>
      </c>
      <c r="V103" s="731" t="s">
        <v>1369</v>
      </c>
      <c r="W103" s="394"/>
    </row>
    <row r="104" spans="1:23" s="189" customFormat="1" x14ac:dyDescent="0.25">
      <c r="A104" s="395"/>
      <c r="B104" s="220" t="s">
        <v>454</v>
      </c>
      <c r="C104" s="220" t="s">
        <v>507</v>
      </c>
      <c r="D104" s="220" t="s">
        <v>380</v>
      </c>
      <c r="E104" s="225" t="s">
        <v>310</v>
      </c>
      <c r="F104" s="220" t="s">
        <v>320</v>
      </c>
      <c r="G104" s="145">
        <v>1</v>
      </c>
      <c r="H104" s="145"/>
      <c r="I104" s="145"/>
      <c r="J104" s="145">
        <v>25</v>
      </c>
      <c r="K104" s="145">
        <v>25</v>
      </c>
      <c r="L104" s="220"/>
      <c r="M104" s="220"/>
      <c r="N104" s="220"/>
      <c r="O104" s="220"/>
      <c r="P104" s="191">
        <f>IF(V104="NO",Table_Shelter[[#This Row],[HH per Shelter]]*(Table_Shelter[[#This Row],['# of Temporary Shelter Units Built]]+Table_Shelter[[#This Row],['# of Temporary Shelter Under  Construction]]+Table_Shelter[[#This Row],['# of Permanent House Under Construction]]),0)</f>
        <v>25</v>
      </c>
      <c r="Q104" s="144"/>
      <c r="R104" s="220"/>
      <c r="S104" s="221" t="str">
        <f>IFERROR(VLOOKUP(Table_Shelter[[#This Row],[CampName]],CL,2,0),"")</f>
        <v>MMR001CMP027</v>
      </c>
      <c r="T104" s="221" t="str">
        <f>IFERROR(VLOOKUP(Table_Shelter[[#This Row],[CampName]],CL,3,0),"")</f>
        <v>Open</v>
      </c>
      <c r="U104" s="393">
        <f>IFERROR(Table_Shelter[[#This Row],[HH Covered]]/VLOOKUP(Table_Shelter[[#This Row],[CampName]],CL,4,0),"")</f>
        <v>1</v>
      </c>
      <c r="V104" s="731" t="s">
        <v>1369</v>
      </c>
      <c r="W104" s="394"/>
    </row>
    <row r="105" spans="1:23" x14ac:dyDescent="0.25">
      <c r="A105" s="395"/>
      <c r="B105" s="220" t="s">
        <v>455</v>
      </c>
      <c r="C105" s="220" t="s">
        <v>508</v>
      </c>
      <c r="D105" s="223" t="s">
        <v>380</v>
      </c>
      <c r="E105" s="225" t="s">
        <v>310</v>
      </c>
      <c r="F105" s="220" t="s">
        <v>322</v>
      </c>
      <c r="G105" s="145">
        <v>1</v>
      </c>
      <c r="H105" s="145"/>
      <c r="I105" s="145"/>
      <c r="J105" s="149">
        <v>604</v>
      </c>
      <c r="K105" s="145">
        <v>604</v>
      </c>
      <c r="L105" s="220"/>
      <c r="M105" s="220"/>
      <c r="N105" s="220"/>
      <c r="O105" s="220"/>
      <c r="P105" s="191">
        <f>IF(V105="NO",Table_Shelter[[#This Row],[HH per Shelter]]*(Table_Shelter[[#This Row],['# of Temporary Shelter Units Built]]+Table_Shelter[[#This Row],['# of Temporary Shelter Under  Construction]]+Table_Shelter[[#This Row],['# of Permanent House Under Construction]]),0)</f>
        <v>604</v>
      </c>
      <c r="Q105" s="144"/>
      <c r="R105" s="220"/>
      <c r="S105" s="221" t="str">
        <f>IFERROR(VLOOKUP(Table_Shelter[[#This Row],[CampName]],CL,2,0),"")</f>
        <v>MMR001CMP119</v>
      </c>
      <c r="T105" s="221" t="str">
        <f>IFERROR(VLOOKUP(Table_Shelter[[#This Row],[CampName]],CL,3,0),"")</f>
        <v>Open</v>
      </c>
      <c r="U105" s="393">
        <f>IFERROR(Table_Shelter[[#This Row],[HH Covered]]/VLOOKUP(Table_Shelter[[#This Row],[CampName]],CL,4,0),"")</f>
        <v>0.99178981937602628</v>
      </c>
      <c r="V105" s="731" t="s">
        <v>1369</v>
      </c>
      <c r="W105" s="394"/>
    </row>
    <row r="106" spans="1:23" x14ac:dyDescent="0.25">
      <c r="A106" s="395"/>
      <c r="B106" s="220"/>
      <c r="C106" s="220"/>
      <c r="D106" s="220" t="s">
        <v>380</v>
      </c>
      <c r="E106" s="225" t="s">
        <v>185</v>
      </c>
      <c r="F106" s="220" t="s">
        <v>200</v>
      </c>
      <c r="G106" s="145">
        <v>1</v>
      </c>
      <c r="H106" s="145"/>
      <c r="I106" s="145"/>
      <c r="J106" s="145">
        <v>92</v>
      </c>
      <c r="K106" s="145">
        <v>92</v>
      </c>
      <c r="L106" s="220"/>
      <c r="M106" s="220"/>
      <c r="N106" s="220"/>
      <c r="O106" s="220"/>
      <c r="P106" s="191">
        <f>IF(V106="NO",Table_Shelter[[#This Row],[HH per Shelter]]*(Table_Shelter[[#This Row],['# of Temporary Shelter Units Built]]+Table_Shelter[[#This Row],['# of Temporary Shelter Under  Construction]]+Table_Shelter[[#This Row],['# of Permanent House Under Construction]]),0)</f>
        <v>92</v>
      </c>
      <c r="Q106" s="144"/>
      <c r="R106" s="220"/>
      <c r="S106" s="221" t="str">
        <f>IFERROR(VLOOKUP(Table_Shelter[[#This Row],[CampName]],CL,2,0),"")</f>
        <v>MMR001CMP064</v>
      </c>
      <c r="T106" s="221" t="str">
        <f>IFERROR(VLOOKUP(Table_Shelter[[#This Row],[CampName]],CL,3,0),"")</f>
        <v>Open</v>
      </c>
      <c r="U106" s="393">
        <f>IFERROR(Table_Shelter[[#This Row],[HH Covered]]/VLOOKUP(Table_Shelter[[#This Row],[CampName]],CL,4,0),"")</f>
        <v>46</v>
      </c>
      <c r="V106" s="731" t="s">
        <v>1369</v>
      </c>
      <c r="W106" s="394"/>
    </row>
    <row r="107" spans="1:23" x14ac:dyDescent="0.25">
      <c r="A107" s="395">
        <v>41609</v>
      </c>
      <c r="B107" s="220" t="s">
        <v>454</v>
      </c>
      <c r="C107" s="220" t="s">
        <v>507</v>
      </c>
      <c r="D107" s="220" t="s">
        <v>380</v>
      </c>
      <c r="E107" s="225" t="s">
        <v>310</v>
      </c>
      <c r="F107" s="220" t="s">
        <v>328</v>
      </c>
      <c r="G107" s="145">
        <v>1</v>
      </c>
      <c r="H107" s="145"/>
      <c r="I107" s="145"/>
      <c r="J107" s="145">
        <v>35</v>
      </c>
      <c r="K107" s="145">
        <v>35</v>
      </c>
      <c r="L107" s="220"/>
      <c r="M107" s="220"/>
      <c r="N107" s="220"/>
      <c r="O107" s="220"/>
      <c r="P107" s="148">
        <f>IF(V107="NO",Table_Shelter[[#This Row],[HH per Shelter]]*(Table_Shelter[[#This Row],['# of Temporary Shelter Units Built]]+Table_Shelter[[#This Row],['# of Temporary Shelter Under  Construction]]+Table_Shelter[[#This Row],['# of Permanent House Under Construction]]),0)</f>
        <v>35</v>
      </c>
      <c r="Q107" s="144"/>
      <c r="R107" s="144"/>
      <c r="S107" s="148" t="str">
        <f>IFERROR(VLOOKUP(Table_Shelter[[#This Row],[CampName]],CL,2,0),"")</f>
        <v>MMR001CMP031</v>
      </c>
      <c r="T107" s="148" t="str">
        <f>IFERROR(VLOOKUP(Table_Shelter[[#This Row],[CampName]],CL,3,0),"")</f>
        <v>Open</v>
      </c>
      <c r="U107" s="393">
        <f>IFERROR(Table_Shelter[[#This Row],[HH Covered]]/VLOOKUP(Table_Shelter[[#This Row],[CampName]],CL,4,0),"")</f>
        <v>0.25925925925925924</v>
      </c>
      <c r="V107" s="731" t="s">
        <v>1369</v>
      </c>
      <c r="W107" s="397"/>
    </row>
    <row r="108" spans="1:23" x14ac:dyDescent="0.25">
      <c r="A108" s="395"/>
      <c r="B108" s="220" t="s">
        <v>454</v>
      </c>
      <c r="C108" s="220" t="s">
        <v>507</v>
      </c>
      <c r="D108" s="220" t="s">
        <v>380</v>
      </c>
      <c r="E108" s="225" t="s">
        <v>310</v>
      </c>
      <c r="F108" s="220" t="s">
        <v>328</v>
      </c>
      <c r="G108" s="145">
        <v>1</v>
      </c>
      <c r="H108" s="145"/>
      <c r="I108" s="145"/>
      <c r="J108" s="145">
        <v>54</v>
      </c>
      <c r="K108" s="145">
        <v>54</v>
      </c>
      <c r="L108" s="220"/>
      <c r="M108" s="220"/>
      <c r="N108" s="220"/>
      <c r="O108" s="220"/>
      <c r="P108" s="191">
        <f>IF(V108="NO",Table_Shelter[[#This Row],[HH per Shelter]]*(Table_Shelter[[#This Row],['# of Temporary Shelter Units Built]]+Table_Shelter[[#This Row],['# of Temporary Shelter Under  Construction]]+Table_Shelter[[#This Row],['# of Permanent House Under Construction]]),0)</f>
        <v>54</v>
      </c>
      <c r="Q108" s="144"/>
      <c r="R108" s="220"/>
      <c r="S108" s="221" t="str">
        <f>IFERROR(VLOOKUP(Table_Shelter[[#This Row],[CampName]],CL,2,0),"")</f>
        <v>MMR001CMP031</v>
      </c>
      <c r="T108" s="221" t="str">
        <f>IFERROR(VLOOKUP(Table_Shelter[[#This Row],[CampName]],CL,3,0),"")</f>
        <v>Open</v>
      </c>
      <c r="U108" s="393">
        <f>IFERROR(Table_Shelter[[#This Row],[HH Covered]]/VLOOKUP(Table_Shelter[[#This Row],[CampName]],CL,4,0),"")</f>
        <v>0.4</v>
      </c>
      <c r="V108" s="731" t="s">
        <v>1369</v>
      </c>
      <c r="W108" s="394"/>
    </row>
    <row r="109" spans="1:23" x14ac:dyDescent="0.25">
      <c r="A109" s="395"/>
      <c r="B109" s="220" t="s">
        <v>571</v>
      </c>
      <c r="C109" s="220"/>
      <c r="D109" s="220" t="s">
        <v>380</v>
      </c>
      <c r="E109" s="225" t="s">
        <v>310</v>
      </c>
      <c r="F109" s="220" t="s">
        <v>328</v>
      </c>
      <c r="G109" s="145">
        <v>1</v>
      </c>
      <c r="H109" s="145"/>
      <c r="I109" s="145"/>
      <c r="J109" s="145">
        <v>18</v>
      </c>
      <c r="K109" s="145">
        <v>18</v>
      </c>
      <c r="L109" s="220"/>
      <c r="M109" s="220"/>
      <c r="N109" s="220"/>
      <c r="O109" s="220"/>
      <c r="P109" s="191">
        <f>IF(V109="NO",Table_Shelter[[#This Row],[HH per Shelter]]*(Table_Shelter[[#This Row],['# of Temporary Shelter Units Built]]+Table_Shelter[[#This Row],['# of Temporary Shelter Under  Construction]]+Table_Shelter[[#This Row],['# of Permanent House Under Construction]]),0)</f>
        <v>18</v>
      </c>
      <c r="Q109" s="144"/>
      <c r="R109" s="220"/>
      <c r="S109" s="221" t="str">
        <f>IFERROR(VLOOKUP(Table_Shelter[[#This Row],[CampName]],CL,2,0),"")</f>
        <v>MMR001CMP031</v>
      </c>
      <c r="T109" s="221" t="str">
        <f>IFERROR(VLOOKUP(Table_Shelter[[#This Row],[CampName]],CL,3,0),"")</f>
        <v>Open</v>
      </c>
      <c r="U109" s="393">
        <f>IFERROR(Table_Shelter[[#This Row],[HH Covered]]/VLOOKUP(Table_Shelter[[#This Row],[CampName]],CL,4,0),"")</f>
        <v>0.13333333333333333</v>
      </c>
      <c r="V109" s="731" t="s">
        <v>1369</v>
      </c>
      <c r="W109" s="394"/>
    </row>
    <row r="110" spans="1:23" x14ac:dyDescent="0.25">
      <c r="A110" s="396"/>
      <c r="B110" s="222" t="s">
        <v>455</v>
      </c>
      <c r="C110" s="222" t="s">
        <v>508</v>
      </c>
      <c r="D110" s="224" t="s">
        <v>380</v>
      </c>
      <c r="E110" s="227" t="s">
        <v>310</v>
      </c>
      <c r="F110" s="222" t="s">
        <v>330</v>
      </c>
      <c r="G110" s="149">
        <v>1</v>
      </c>
      <c r="H110" s="149"/>
      <c r="I110" s="149"/>
      <c r="J110" s="398">
        <v>12</v>
      </c>
      <c r="K110" s="230">
        <v>12</v>
      </c>
      <c r="L110" s="222"/>
      <c r="M110" s="222"/>
      <c r="N110" s="222"/>
      <c r="O110" s="222"/>
      <c r="P110" s="191">
        <f>IF(V110="NO",Table_Shelter[[#This Row],[HH per Shelter]]*(Table_Shelter[[#This Row],['# of Temporary Shelter Units Built]]+Table_Shelter[[#This Row],['# of Temporary Shelter Under  Construction]]+Table_Shelter[[#This Row],['# of Permanent House Under Construction]]),0)</f>
        <v>12</v>
      </c>
      <c r="Q110" s="148"/>
      <c r="R110" s="222"/>
      <c r="S110" s="221" t="str">
        <f>IFERROR(VLOOKUP(Table_Shelter[[#This Row],[CampName]],CL,2,0),"")</f>
        <v>MMR001CMP029</v>
      </c>
      <c r="T110" s="221" t="str">
        <f>IFERROR(VLOOKUP(Table_Shelter[[#This Row],[CampName]],CL,3,0),"")</f>
        <v>Open</v>
      </c>
      <c r="U110" s="393">
        <f>IFERROR(Table_Shelter[[#This Row],[HH Covered]]/VLOOKUP(Table_Shelter[[#This Row],[CampName]],CL,4,0),"")</f>
        <v>5.2863436123348019E-2</v>
      </c>
      <c r="V110" s="731" t="s">
        <v>1369</v>
      </c>
      <c r="W110" s="394"/>
    </row>
    <row r="111" spans="1:23" x14ac:dyDescent="0.25">
      <c r="A111" s="396"/>
      <c r="B111" s="222" t="s">
        <v>454</v>
      </c>
      <c r="C111" s="222" t="s">
        <v>508</v>
      </c>
      <c r="D111" s="222" t="s">
        <v>380</v>
      </c>
      <c r="E111" s="227" t="s">
        <v>310</v>
      </c>
      <c r="F111" s="222" t="s">
        <v>330</v>
      </c>
      <c r="G111" s="149">
        <v>1</v>
      </c>
      <c r="H111" s="149"/>
      <c r="I111" s="149"/>
      <c r="J111" s="149">
        <v>78</v>
      </c>
      <c r="K111" s="149">
        <v>78</v>
      </c>
      <c r="L111" s="222"/>
      <c r="M111" s="222"/>
      <c r="N111" s="222"/>
      <c r="O111" s="222"/>
      <c r="P111" s="191">
        <f>IF(V111="NO",Table_Shelter[[#This Row],[HH per Shelter]]*(Table_Shelter[[#This Row],['# of Temporary Shelter Units Built]]+Table_Shelter[[#This Row],['# of Temporary Shelter Under  Construction]]+Table_Shelter[[#This Row],['# of Permanent House Under Construction]]),0)</f>
        <v>78</v>
      </c>
      <c r="Q111" s="148">
        <v>138</v>
      </c>
      <c r="R111" s="222"/>
      <c r="S111" s="221" t="str">
        <f>IFERROR(VLOOKUP(Table_Shelter[[#This Row],[CampName]],CL,2,0),"")</f>
        <v>MMR001CMP029</v>
      </c>
      <c r="T111" s="221" t="str">
        <f>IFERROR(VLOOKUP(Table_Shelter[[#This Row],[CampName]],CL,3,0),"")</f>
        <v>Open</v>
      </c>
      <c r="U111" s="393">
        <f>IFERROR(Table_Shelter[[#This Row],[HH Covered]]/VLOOKUP(Table_Shelter[[#This Row],[CampName]],CL,4,0),"")</f>
        <v>0.34361233480176212</v>
      </c>
      <c r="V111" s="731" t="s">
        <v>1369</v>
      </c>
      <c r="W111" s="394"/>
    </row>
    <row r="112" spans="1:23" x14ac:dyDescent="0.25">
      <c r="A112" s="395"/>
      <c r="B112" s="220" t="s">
        <v>454</v>
      </c>
      <c r="C112" s="220"/>
      <c r="D112" s="220" t="s">
        <v>380</v>
      </c>
      <c r="E112" s="225" t="s">
        <v>310</v>
      </c>
      <c r="F112" s="220" t="s">
        <v>330</v>
      </c>
      <c r="G112" s="145">
        <v>1</v>
      </c>
      <c r="H112" s="145"/>
      <c r="I112" s="145"/>
      <c r="J112" s="145">
        <v>120</v>
      </c>
      <c r="K112" s="145">
        <v>120</v>
      </c>
      <c r="L112" s="220"/>
      <c r="M112" s="220"/>
      <c r="N112" s="220"/>
      <c r="O112" s="220"/>
      <c r="P112" s="191">
        <f>IF(V112="NO",Table_Shelter[[#This Row],[HH per Shelter]]*(Table_Shelter[[#This Row],['# of Temporary Shelter Units Built]]+Table_Shelter[[#This Row],['# of Temporary Shelter Under  Construction]]+Table_Shelter[[#This Row],['# of Permanent House Under Construction]]),0)</f>
        <v>120</v>
      </c>
      <c r="Q112" s="144"/>
      <c r="R112" s="220"/>
      <c r="S112" s="221" t="str">
        <f>IFERROR(VLOOKUP(Table_Shelter[[#This Row],[CampName]],CL,2,0),"")</f>
        <v>MMR001CMP029</v>
      </c>
      <c r="T112" s="221" t="str">
        <f>IFERROR(VLOOKUP(Table_Shelter[[#This Row],[CampName]],CL,3,0),"")</f>
        <v>Open</v>
      </c>
      <c r="U112" s="393">
        <f>IFERROR(Table_Shelter[[#This Row],[HH Covered]]/VLOOKUP(Table_Shelter[[#This Row],[CampName]],CL,4,0),"")</f>
        <v>0.52863436123348018</v>
      </c>
      <c r="V112" s="731" t="s">
        <v>1369</v>
      </c>
      <c r="W112" s="394"/>
    </row>
    <row r="113" spans="1:23" x14ac:dyDescent="0.25">
      <c r="A113" s="392"/>
      <c r="B113" s="221" t="s">
        <v>572</v>
      </c>
      <c r="C113" s="221" t="s">
        <v>462</v>
      </c>
      <c r="D113" s="221" t="s">
        <v>380</v>
      </c>
      <c r="E113" s="226" t="s">
        <v>310</v>
      </c>
      <c r="F113" s="221" t="s">
        <v>324</v>
      </c>
      <c r="G113" s="190">
        <v>1</v>
      </c>
      <c r="H113" s="190"/>
      <c r="I113" s="190"/>
      <c r="J113" s="190">
        <v>50</v>
      </c>
      <c r="K113" s="190">
        <v>50</v>
      </c>
      <c r="L113" s="221"/>
      <c r="M113" s="221"/>
      <c r="N113" s="221"/>
      <c r="O113" s="221"/>
      <c r="P113" s="191">
        <f>IF(V113="NO",Table_Shelter[[#This Row],[HH per Shelter]]*(Table_Shelter[[#This Row],['# of Temporary Shelter Units Built]]+Table_Shelter[[#This Row],['# of Temporary Shelter Under  Construction]]+Table_Shelter[[#This Row],['# of Permanent House Under Construction]]),0)</f>
        <v>50</v>
      </c>
      <c r="Q113" s="191"/>
      <c r="R113" s="221"/>
      <c r="S113" s="221" t="str">
        <f>IFERROR(VLOOKUP(Table_Shelter[[#This Row],[CampName]],CL,2,0),"")</f>
        <v>MMR001CMP040</v>
      </c>
      <c r="T113" s="221" t="str">
        <f>IFERROR(VLOOKUP(Table_Shelter[[#This Row],[CampName]],CL,3,0),"")</f>
        <v>Open</v>
      </c>
      <c r="U113" s="393">
        <f>IFERROR(Table_Shelter[[#This Row],[HH Covered]]/VLOOKUP(Table_Shelter[[#This Row],[CampName]],CL,4,0),"")</f>
        <v>0.11682242990654206</v>
      </c>
      <c r="V113" s="731" t="s">
        <v>1369</v>
      </c>
      <c r="W113" s="394"/>
    </row>
    <row r="114" spans="1:23" x14ac:dyDescent="0.25">
      <c r="A114" s="392"/>
      <c r="B114" s="221" t="s">
        <v>454</v>
      </c>
      <c r="C114" s="221" t="s">
        <v>462</v>
      </c>
      <c r="D114" s="221" t="s">
        <v>380</v>
      </c>
      <c r="E114" s="226" t="s">
        <v>310</v>
      </c>
      <c r="F114" s="221" t="s">
        <v>324</v>
      </c>
      <c r="G114" s="190">
        <v>1</v>
      </c>
      <c r="H114" s="190"/>
      <c r="I114" s="190"/>
      <c r="J114" s="190">
        <v>400</v>
      </c>
      <c r="K114" s="190">
        <v>400</v>
      </c>
      <c r="L114" s="221"/>
      <c r="M114" s="221"/>
      <c r="N114" s="221"/>
      <c r="O114" s="221"/>
      <c r="P114" s="191">
        <f>IF(V114="NO",Table_Shelter[[#This Row],[HH per Shelter]]*(Table_Shelter[[#This Row],['# of Temporary Shelter Units Built]]+Table_Shelter[[#This Row],['# of Temporary Shelter Under  Construction]]+Table_Shelter[[#This Row],['# of Permanent House Under Construction]]),0)</f>
        <v>400</v>
      </c>
      <c r="Q114" s="191"/>
      <c r="R114" s="221"/>
      <c r="S114" s="221" t="str">
        <f>IFERROR(VLOOKUP(Table_Shelter[[#This Row],[CampName]],CL,2,0),"")</f>
        <v>MMR001CMP040</v>
      </c>
      <c r="T114" s="221" t="str">
        <f>IFERROR(VLOOKUP(Table_Shelter[[#This Row],[CampName]],CL,3,0),"")</f>
        <v>Open</v>
      </c>
      <c r="U114" s="393">
        <f>IFERROR(Table_Shelter[[#This Row],[HH Covered]]/VLOOKUP(Table_Shelter[[#This Row],[CampName]],CL,4,0),"")</f>
        <v>0.93457943925233644</v>
      </c>
      <c r="V114" s="731" t="s">
        <v>1369</v>
      </c>
      <c r="W114" s="394"/>
    </row>
    <row r="115" spans="1:23" x14ac:dyDescent="0.25">
      <c r="A115" s="392"/>
      <c r="B115" s="221" t="s">
        <v>856</v>
      </c>
      <c r="C115" s="221" t="s">
        <v>462</v>
      </c>
      <c r="D115" s="221" t="s">
        <v>380</v>
      </c>
      <c r="E115" s="226" t="s">
        <v>310</v>
      </c>
      <c r="F115" s="221" t="s">
        <v>324</v>
      </c>
      <c r="G115" s="190">
        <v>1</v>
      </c>
      <c r="H115" s="190"/>
      <c r="I115" s="190"/>
      <c r="J115" s="190">
        <v>10</v>
      </c>
      <c r="K115" s="190">
        <v>10</v>
      </c>
      <c r="L115" s="221"/>
      <c r="M115" s="221"/>
      <c r="N115" s="221"/>
      <c r="O115" s="221"/>
      <c r="P115" s="191">
        <f>IF(V115="NO",Table_Shelter[[#This Row],[HH per Shelter]]*(Table_Shelter[[#This Row],['# of Temporary Shelter Units Built]]+Table_Shelter[[#This Row],['# of Temporary Shelter Under  Construction]]+Table_Shelter[[#This Row],['# of Permanent House Under Construction]]),0)</f>
        <v>10</v>
      </c>
      <c r="Q115" s="191"/>
      <c r="R115" s="221"/>
      <c r="S115" s="221" t="str">
        <f>IFERROR(VLOOKUP(Table_Shelter[[#This Row],[CampName]],CL,2,0),"")</f>
        <v>MMR001CMP040</v>
      </c>
      <c r="T115" s="221" t="str">
        <f>IFERROR(VLOOKUP(Table_Shelter[[#This Row],[CampName]],CL,3,0),"")</f>
        <v>Open</v>
      </c>
      <c r="U115" s="393">
        <f>IFERROR(Table_Shelter[[#This Row],[HH Covered]]/VLOOKUP(Table_Shelter[[#This Row],[CampName]],CL,4,0),"")</f>
        <v>2.336448598130841E-2</v>
      </c>
      <c r="V115" s="731" t="s">
        <v>1369</v>
      </c>
      <c r="W115" s="394"/>
    </row>
    <row r="116" spans="1:23" x14ac:dyDescent="0.25">
      <c r="A116" s="396"/>
      <c r="B116" s="222" t="s">
        <v>454</v>
      </c>
      <c r="C116" s="222" t="s">
        <v>462</v>
      </c>
      <c r="D116" s="222" t="s">
        <v>380</v>
      </c>
      <c r="E116" s="227" t="s">
        <v>310</v>
      </c>
      <c r="F116" s="222" t="s">
        <v>326</v>
      </c>
      <c r="G116" s="149">
        <v>1</v>
      </c>
      <c r="H116" s="149"/>
      <c r="I116" s="149"/>
      <c r="J116" s="149">
        <v>30</v>
      </c>
      <c r="K116" s="149">
        <v>30</v>
      </c>
      <c r="L116" s="222"/>
      <c r="M116" s="222"/>
      <c r="N116" s="222"/>
      <c r="O116" s="222"/>
      <c r="P116" s="191">
        <f>IF(V116="NO",Table_Shelter[[#This Row],[HH per Shelter]]*(Table_Shelter[[#This Row],['# of Temporary Shelter Units Built]]+Table_Shelter[[#This Row],['# of Temporary Shelter Under  Construction]]+Table_Shelter[[#This Row],['# of Permanent House Under Construction]]),0)</f>
        <v>30</v>
      </c>
      <c r="Q116" s="148"/>
      <c r="R116" s="222"/>
      <c r="S116" s="221" t="str">
        <f>IFERROR(VLOOKUP(Table_Shelter[[#This Row],[CampName]],CL,2,0),"")</f>
        <v>MMR001CMP039</v>
      </c>
      <c r="T116" s="221" t="str">
        <f>IFERROR(VLOOKUP(Table_Shelter[[#This Row],[CampName]],CL,3,0),"")</f>
        <v>Open</v>
      </c>
      <c r="U116" s="393">
        <f>IFERROR(Table_Shelter[[#This Row],[HH Covered]]/VLOOKUP(Table_Shelter[[#This Row],[CampName]],CL,4,0),"")</f>
        <v>0.625</v>
      </c>
      <c r="V116" s="731" t="s">
        <v>1369</v>
      </c>
      <c r="W116" s="394"/>
    </row>
    <row r="117" spans="1:23" x14ac:dyDescent="0.25">
      <c r="A117" s="396"/>
      <c r="B117" s="222" t="s">
        <v>571</v>
      </c>
      <c r="C117" s="222"/>
      <c r="D117" s="222" t="s">
        <v>380</v>
      </c>
      <c r="E117" s="227" t="s">
        <v>310</v>
      </c>
      <c r="F117" s="222" t="s">
        <v>326</v>
      </c>
      <c r="G117" s="149">
        <v>1</v>
      </c>
      <c r="H117" s="149"/>
      <c r="I117" s="149"/>
      <c r="J117" s="149">
        <v>10</v>
      </c>
      <c r="K117" s="149">
        <v>10</v>
      </c>
      <c r="L117" s="222"/>
      <c r="M117" s="222"/>
      <c r="N117" s="222"/>
      <c r="O117" s="222"/>
      <c r="P117" s="191">
        <f>IF(V117="NO",Table_Shelter[[#This Row],[HH per Shelter]]*(Table_Shelter[[#This Row],['# of Temporary Shelter Units Built]]+Table_Shelter[[#This Row],['# of Temporary Shelter Under  Construction]]+Table_Shelter[[#This Row],['# of Permanent House Under Construction]]),0)</f>
        <v>10</v>
      </c>
      <c r="Q117" s="148"/>
      <c r="R117" s="222"/>
      <c r="S117" s="221" t="str">
        <f>IFERROR(VLOOKUP(Table_Shelter[[#This Row],[CampName]],CL,2,0),"")</f>
        <v>MMR001CMP039</v>
      </c>
      <c r="T117" s="221" t="str">
        <f>IFERROR(VLOOKUP(Table_Shelter[[#This Row],[CampName]],CL,3,0),"")</f>
        <v>Open</v>
      </c>
      <c r="U117" s="393">
        <f>IFERROR(Table_Shelter[[#This Row],[HH Covered]]/VLOOKUP(Table_Shelter[[#This Row],[CampName]],CL,4,0),"")</f>
        <v>0.20833333333333334</v>
      </c>
      <c r="V117" s="731" t="s">
        <v>1369</v>
      </c>
      <c r="W117" s="394"/>
    </row>
    <row r="118" spans="1:23" x14ac:dyDescent="0.25">
      <c r="A118" s="396">
        <v>41791</v>
      </c>
      <c r="B118" s="222" t="s">
        <v>454</v>
      </c>
      <c r="C118" s="222" t="s">
        <v>462</v>
      </c>
      <c r="D118" s="222" t="s">
        <v>380</v>
      </c>
      <c r="E118" s="227" t="s">
        <v>151</v>
      </c>
      <c r="F118" s="222" t="s">
        <v>891</v>
      </c>
      <c r="G118" s="149">
        <v>1</v>
      </c>
      <c r="H118" s="149"/>
      <c r="I118" s="149"/>
      <c r="J118" s="149">
        <v>60</v>
      </c>
      <c r="K118" s="149">
        <v>60</v>
      </c>
      <c r="L118" s="222"/>
      <c r="M118" s="222"/>
      <c r="N118" s="222"/>
      <c r="O118" s="222"/>
      <c r="P118" s="191">
        <f>IF(V118="NO",Table_Shelter[[#This Row],[HH per Shelter]]*(Table_Shelter[[#This Row],['# of Temporary Shelter Units Built]]+Table_Shelter[[#This Row],['# of Temporary Shelter Under  Construction]]+Table_Shelter[[#This Row],['# of Permanent House Under Construction]]),0)</f>
        <v>60</v>
      </c>
      <c r="Q118" s="148"/>
      <c r="R118" s="222"/>
      <c r="S118" s="221" t="str">
        <f>IFERROR(VLOOKUP(Table_Shelter[[#This Row],[CampName]],CL,2,0),"")</f>
        <v>MMR001CMP218</v>
      </c>
      <c r="T118" s="221" t="str">
        <f>IFERROR(VLOOKUP(Table_Shelter[[#This Row],[CampName]],CL,3,0),"")</f>
        <v>Open</v>
      </c>
      <c r="U118" s="393">
        <f>IFERROR(Table_Shelter[[#This Row],[HH Covered]]/VLOOKUP(Table_Shelter[[#This Row],[CampName]],CL,4,0),"")</f>
        <v>0.16129032258064516</v>
      </c>
      <c r="V118" s="731" t="s">
        <v>1369</v>
      </c>
      <c r="W118" s="394"/>
    </row>
    <row r="119" spans="1:23" x14ac:dyDescent="0.25">
      <c r="A119" s="396"/>
      <c r="B119" s="222" t="s">
        <v>853</v>
      </c>
      <c r="C119" s="222" t="s">
        <v>462</v>
      </c>
      <c r="D119" s="222" t="s">
        <v>380</v>
      </c>
      <c r="E119" s="227" t="s">
        <v>151</v>
      </c>
      <c r="F119" s="222" t="s">
        <v>891</v>
      </c>
      <c r="G119" s="149">
        <v>1</v>
      </c>
      <c r="H119" s="149"/>
      <c r="I119" s="149"/>
      <c r="J119" s="149">
        <v>20</v>
      </c>
      <c r="K119" s="149">
        <v>20</v>
      </c>
      <c r="L119" s="222"/>
      <c r="M119" s="222"/>
      <c r="N119" s="222"/>
      <c r="O119" s="222"/>
      <c r="P119" s="191">
        <f>IF(V119="NO",Table_Shelter[[#This Row],[HH per Shelter]]*(Table_Shelter[[#This Row],['# of Temporary Shelter Units Built]]+Table_Shelter[[#This Row],['# of Temporary Shelter Under  Construction]]+Table_Shelter[[#This Row],['# of Permanent House Under Construction]]),0)</f>
        <v>20</v>
      </c>
      <c r="Q119" s="148"/>
      <c r="R119" s="222"/>
      <c r="S119" s="221" t="str">
        <f>IFERROR(VLOOKUP(Table_Shelter[[#This Row],[CampName]],CL,2,0),"")</f>
        <v>MMR001CMP218</v>
      </c>
      <c r="T119" s="221" t="str">
        <f>IFERROR(VLOOKUP(Table_Shelter[[#This Row],[CampName]],CL,3,0),"")</f>
        <v>Open</v>
      </c>
      <c r="U119" s="393">
        <f>IFERROR(Table_Shelter[[#This Row],[HH Covered]]/VLOOKUP(Table_Shelter[[#This Row],[CampName]],CL,4,0),"")</f>
        <v>5.3763440860215055E-2</v>
      </c>
      <c r="V119" s="731" t="s">
        <v>1369</v>
      </c>
      <c r="W119" s="394"/>
    </row>
    <row r="120" spans="1:23" x14ac:dyDescent="0.25">
      <c r="A120" s="396"/>
      <c r="B120" s="222" t="s">
        <v>455</v>
      </c>
      <c r="C120" s="222"/>
      <c r="D120" s="222" t="s">
        <v>380</v>
      </c>
      <c r="E120" s="227" t="s">
        <v>151</v>
      </c>
      <c r="F120" s="222" t="s">
        <v>891</v>
      </c>
      <c r="G120" s="149">
        <v>1</v>
      </c>
      <c r="H120" s="149"/>
      <c r="I120" s="149"/>
      <c r="J120" s="149">
        <v>144</v>
      </c>
      <c r="K120" s="149">
        <v>144</v>
      </c>
      <c r="L120" s="222"/>
      <c r="M120" s="222"/>
      <c r="N120" s="222"/>
      <c r="O120" s="222"/>
      <c r="P120" s="191">
        <f>IF(V120="NO",Table_Shelter[[#This Row],[HH per Shelter]]*(Table_Shelter[[#This Row],['# of Temporary Shelter Units Built]]+Table_Shelter[[#This Row],['# of Temporary Shelter Under  Construction]]+Table_Shelter[[#This Row],['# of Permanent House Under Construction]]),0)</f>
        <v>144</v>
      </c>
      <c r="Q120" s="148"/>
      <c r="R120" s="222"/>
      <c r="S120" s="221" t="str">
        <f>IFERROR(VLOOKUP(Table_Shelter[[#This Row],[CampName]],CL,2,0),"")</f>
        <v>MMR001CMP218</v>
      </c>
      <c r="T120" s="221" t="str">
        <f>IFERROR(VLOOKUP(Table_Shelter[[#This Row],[CampName]],CL,3,0),"")</f>
        <v>Open</v>
      </c>
      <c r="U120" s="393">
        <f>IFERROR(Table_Shelter[[#This Row],[HH Covered]]/VLOOKUP(Table_Shelter[[#This Row],[CampName]],CL,4,0),"")</f>
        <v>0.38709677419354838</v>
      </c>
      <c r="V120" s="731" t="s">
        <v>1369</v>
      </c>
      <c r="W120" s="394"/>
    </row>
    <row r="121" spans="1:23" x14ac:dyDescent="0.25">
      <c r="A121" s="396"/>
      <c r="B121" s="222" t="s">
        <v>1108</v>
      </c>
      <c r="C121" s="222"/>
      <c r="D121" s="222" t="s">
        <v>380</v>
      </c>
      <c r="E121" s="227" t="s">
        <v>151</v>
      </c>
      <c r="F121" s="222" t="s">
        <v>949</v>
      </c>
      <c r="G121" s="149">
        <v>1</v>
      </c>
      <c r="H121" s="149"/>
      <c r="I121" s="149"/>
      <c r="J121" s="149">
        <v>20</v>
      </c>
      <c r="K121" s="149">
        <v>20</v>
      </c>
      <c r="L121" s="222"/>
      <c r="M121" s="222"/>
      <c r="N121" s="222"/>
      <c r="O121" s="222"/>
      <c r="P121" s="191">
        <f>IF(V121="NO",Table_Shelter[[#This Row],[HH per Shelter]]*(Table_Shelter[[#This Row],['# of Temporary Shelter Units Built]]+Table_Shelter[[#This Row],['# of Temporary Shelter Under  Construction]]+Table_Shelter[[#This Row],['# of Permanent House Under Construction]]),0)</f>
        <v>20</v>
      </c>
      <c r="Q121" s="148"/>
      <c r="R121" s="222"/>
      <c r="S121" s="221" t="str">
        <f>IFERROR(VLOOKUP(Table_Shelter[[#This Row],[CampName]],CL,2,0),"")</f>
        <v>MMR001CMP223</v>
      </c>
      <c r="T121" s="221" t="str">
        <f>IFERROR(VLOOKUP(Table_Shelter[[#This Row],[CampName]],CL,3,0),"")</f>
        <v>Open</v>
      </c>
      <c r="U121" s="393">
        <f>IFERROR(Table_Shelter[[#This Row],[HH Covered]]/VLOOKUP(Table_Shelter[[#This Row],[CampName]],CL,4,0),"")</f>
        <v>0.16528925619834711</v>
      </c>
      <c r="V121" s="731" t="s">
        <v>1369</v>
      </c>
      <c r="W121" s="394"/>
    </row>
    <row r="122" spans="1:23" x14ac:dyDescent="0.25">
      <c r="A122" s="396"/>
      <c r="B122" s="222"/>
      <c r="C122" s="222"/>
      <c r="D122" s="222" t="s">
        <v>380</v>
      </c>
      <c r="E122" s="227" t="s">
        <v>151</v>
      </c>
      <c r="F122" s="222" t="s">
        <v>949</v>
      </c>
      <c r="G122" s="149">
        <v>1</v>
      </c>
      <c r="H122" s="149"/>
      <c r="I122" s="149"/>
      <c r="J122" s="149">
        <v>30</v>
      </c>
      <c r="K122" s="149">
        <v>30</v>
      </c>
      <c r="L122" s="222"/>
      <c r="M122" s="222"/>
      <c r="N122" s="222"/>
      <c r="O122" s="222"/>
      <c r="P122" s="191">
        <f>IF(V122="NO",Table_Shelter[[#This Row],[HH per Shelter]]*(Table_Shelter[[#This Row],['# of Temporary Shelter Units Built]]+Table_Shelter[[#This Row],['# of Temporary Shelter Under  Construction]]+Table_Shelter[[#This Row],['# of Permanent House Under Construction]]),0)</f>
        <v>30</v>
      </c>
      <c r="Q122" s="148"/>
      <c r="R122" s="222"/>
      <c r="S122" s="221" t="str">
        <f>IFERROR(VLOOKUP(Table_Shelter[[#This Row],[CampName]],CL,2,0),"")</f>
        <v>MMR001CMP223</v>
      </c>
      <c r="T122" s="221" t="str">
        <f>IFERROR(VLOOKUP(Table_Shelter[[#This Row],[CampName]],CL,3,0),"")</f>
        <v>Open</v>
      </c>
      <c r="U122" s="393">
        <f>IFERROR(Table_Shelter[[#This Row],[HH Covered]]/VLOOKUP(Table_Shelter[[#This Row],[CampName]],CL,4,0),"")</f>
        <v>0.24793388429752067</v>
      </c>
      <c r="V122" s="731" t="s">
        <v>1369</v>
      </c>
      <c r="W122" s="394"/>
    </row>
    <row r="123" spans="1:23" x14ac:dyDescent="0.25">
      <c r="A123" s="396"/>
      <c r="B123" s="222" t="s">
        <v>454</v>
      </c>
      <c r="C123" s="222" t="s">
        <v>462</v>
      </c>
      <c r="D123" s="222" t="s">
        <v>380</v>
      </c>
      <c r="E123" s="227" t="s">
        <v>237</v>
      </c>
      <c r="F123" s="222" t="s">
        <v>259</v>
      </c>
      <c r="G123" s="149">
        <v>1</v>
      </c>
      <c r="H123" s="149"/>
      <c r="I123" s="149"/>
      <c r="J123" s="149">
        <v>20</v>
      </c>
      <c r="K123" s="149">
        <v>20</v>
      </c>
      <c r="L123" s="222"/>
      <c r="M123" s="222"/>
      <c r="N123" s="222"/>
      <c r="O123" s="222"/>
      <c r="P123" s="191">
        <f>IF(V123="NO",Table_Shelter[[#This Row],[HH per Shelter]]*(Table_Shelter[[#This Row],['# of Temporary Shelter Units Built]]+Table_Shelter[[#This Row],['# of Temporary Shelter Under  Construction]]+Table_Shelter[[#This Row],['# of Permanent House Under Construction]]),0)</f>
        <v>20</v>
      </c>
      <c r="Q123" s="148"/>
      <c r="R123" s="222"/>
      <c r="S123" s="221" t="str">
        <f>IFERROR(VLOOKUP(Table_Shelter[[#This Row],[CampName]],CL,2,0),"")</f>
        <v>MMR001CMP016</v>
      </c>
      <c r="T123" s="221" t="str">
        <f>IFERROR(VLOOKUP(Table_Shelter[[#This Row],[CampName]],CL,3,0),"")</f>
        <v>Open</v>
      </c>
      <c r="U123" s="393">
        <f>IFERROR(Table_Shelter[[#This Row],[HH Covered]]/VLOOKUP(Table_Shelter[[#This Row],[CampName]],CL,4,0),"")</f>
        <v>0.27777777777777779</v>
      </c>
      <c r="V123" s="731" t="s">
        <v>1369</v>
      </c>
      <c r="W123" s="394"/>
    </row>
    <row r="124" spans="1:23" x14ac:dyDescent="0.25">
      <c r="A124" s="395">
        <v>41809</v>
      </c>
      <c r="B124" s="220" t="s">
        <v>454</v>
      </c>
      <c r="C124" s="220" t="s">
        <v>461</v>
      </c>
      <c r="D124" s="220" t="s">
        <v>380</v>
      </c>
      <c r="E124" s="530" t="s">
        <v>185</v>
      </c>
      <c r="F124" s="220" t="s">
        <v>202</v>
      </c>
      <c r="G124" s="145">
        <v>1</v>
      </c>
      <c r="H124" s="145"/>
      <c r="I124" s="145"/>
      <c r="J124" s="145">
        <v>80</v>
      </c>
      <c r="K124" s="145">
        <v>80</v>
      </c>
      <c r="L124" s="220"/>
      <c r="M124" s="220"/>
      <c r="N124" s="220"/>
      <c r="O124" s="220"/>
      <c r="P124" s="191">
        <f>IF(V124="NO",Table_Shelter[[#This Row],[HH per Shelter]]*(Table_Shelter[[#This Row],['# of Temporary Shelter Units Built]]+Table_Shelter[[#This Row],['# of Temporary Shelter Under  Construction]]+Table_Shelter[[#This Row],['# of Permanent House Under Construction]]),0)</f>
        <v>80</v>
      </c>
      <c r="Q124" s="144"/>
      <c r="R124" s="220"/>
      <c r="S124" s="221" t="str">
        <f>IFERROR(VLOOKUP(Table_Shelter[[#This Row],[CampName]],CL,2,0),"")</f>
        <v>MMR001CMP062</v>
      </c>
      <c r="T124" s="221" t="str">
        <f>IFERROR(VLOOKUP(Table_Shelter[[#This Row],[CampName]],CL,3,0),"")</f>
        <v>Open</v>
      </c>
      <c r="U124" s="393">
        <f>IFERROR(Table_Shelter[[#This Row],[HH Covered]]/VLOOKUP(Table_Shelter[[#This Row],[CampName]],CL,4,0),"")</f>
        <v>0.30188679245283018</v>
      </c>
      <c r="V124" s="731" t="s">
        <v>1369</v>
      </c>
      <c r="W124" s="394"/>
    </row>
    <row r="125" spans="1:23" x14ac:dyDescent="0.25">
      <c r="A125" s="395"/>
      <c r="B125" s="220" t="s">
        <v>852</v>
      </c>
      <c r="C125" s="220"/>
      <c r="D125" s="220" t="s">
        <v>380</v>
      </c>
      <c r="E125" s="530" t="s">
        <v>185</v>
      </c>
      <c r="F125" s="220" t="s">
        <v>202</v>
      </c>
      <c r="G125" s="145">
        <v>1</v>
      </c>
      <c r="H125" s="145"/>
      <c r="I125" s="145"/>
      <c r="J125" s="145">
        <v>18</v>
      </c>
      <c r="K125" s="145">
        <v>18</v>
      </c>
      <c r="L125" s="220"/>
      <c r="M125" s="220"/>
      <c r="N125" s="220"/>
      <c r="O125" s="220"/>
      <c r="P125" s="191">
        <f>IF(V125="NO",Table_Shelter[[#This Row],[HH per Shelter]]*(Table_Shelter[[#This Row],['# of Temporary Shelter Units Built]]+Table_Shelter[[#This Row],['# of Temporary Shelter Under  Construction]]+Table_Shelter[[#This Row],['# of Permanent House Under Construction]]),0)</f>
        <v>18</v>
      </c>
      <c r="Q125" s="144"/>
      <c r="R125" s="220"/>
      <c r="S125" s="221" t="str">
        <f>IFERROR(VLOOKUP(Table_Shelter[[#This Row],[CampName]],CL,2,0),"")</f>
        <v>MMR001CMP062</v>
      </c>
      <c r="T125" s="221" t="str">
        <f>IFERROR(VLOOKUP(Table_Shelter[[#This Row],[CampName]],CL,3,0),"")</f>
        <v>Open</v>
      </c>
      <c r="U125" s="393">
        <f>IFERROR(Table_Shelter[[#This Row],[HH Covered]]/VLOOKUP(Table_Shelter[[#This Row],[CampName]],CL,4,0),"")</f>
        <v>6.7924528301886791E-2</v>
      </c>
      <c r="V125" s="731" t="s">
        <v>1369</v>
      </c>
      <c r="W125" s="394"/>
    </row>
    <row r="126" spans="1:23" x14ac:dyDescent="0.25">
      <c r="A126" s="395"/>
      <c r="B126" s="220" t="s">
        <v>454</v>
      </c>
      <c r="C126" s="220"/>
      <c r="D126" s="220" t="s">
        <v>380</v>
      </c>
      <c r="E126" s="225" t="s">
        <v>185</v>
      </c>
      <c r="F126" s="220" t="s">
        <v>202</v>
      </c>
      <c r="G126" s="145">
        <v>1</v>
      </c>
      <c r="H126" s="145"/>
      <c r="I126" s="145"/>
      <c r="J126" s="145">
        <v>55</v>
      </c>
      <c r="K126" s="145">
        <v>55</v>
      </c>
      <c r="L126" s="220"/>
      <c r="M126" s="220"/>
      <c r="N126" s="220"/>
      <c r="O126" s="220"/>
      <c r="P126" s="191">
        <f>IF(V126="NO",Table_Shelter[[#This Row],[HH per Shelter]]*(Table_Shelter[[#This Row],['# of Temporary Shelter Units Built]]+Table_Shelter[[#This Row],['# of Temporary Shelter Under  Construction]]+Table_Shelter[[#This Row],['# of Permanent House Under Construction]]),0)</f>
        <v>55</v>
      </c>
      <c r="Q126" s="144"/>
      <c r="R126" s="220"/>
      <c r="S126" s="221" t="str">
        <f>IFERROR(VLOOKUP(Table_Shelter[[#This Row],[CampName]],CL,2,0),"")</f>
        <v>MMR001CMP062</v>
      </c>
      <c r="T126" s="221" t="str">
        <f>IFERROR(VLOOKUP(Table_Shelter[[#This Row],[CampName]],CL,3,0),"")</f>
        <v>Open</v>
      </c>
      <c r="U126" s="393">
        <f>IFERROR(Table_Shelter[[#This Row],[HH Covered]]/VLOOKUP(Table_Shelter[[#This Row],[CampName]],CL,4,0),"")</f>
        <v>0.20754716981132076</v>
      </c>
      <c r="V126" s="731" t="s">
        <v>1369</v>
      </c>
      <c r="W126" s="394"/>
    </row>
    <row r="127" spans="1:23" x14ac:dyDescent="0.25">
      <c r="A127" s="395"/>
      <c r="B127" s="220" t="s">
        <v>454</v>
      </c>
      <c r="C127" s="220" t="s">
        <v>462</v>
      </c>
      <c r="D127" s="220" t="s">
        <v>380</v>
      </c>
      <c r="E127" s="530" t="s">
        <v>237</v>
      </c>
      <c r="F127" s="220" t="s">
        <v>261</v>
      </c>
      <c r="G127" s="145">
        <v>1</v>
      </c>
      <c r="H127" s="145"/>
      <c r="I127" s="145"/>
      <c r="J127" s="145">
        <v>60</v>
      </c>
      <c r="K127" s="145">
        <v>60</v>
      </c>
      <c r="L127" s="220"/>
      <c r="M127" s="220"/>
      <c r="N127" s="220"/>
      <c r="O127" s="220"/>
      <c r="P127" s="191">
        <f>IF(V127="NO",Table_Shelter[[#This Row],[HH per Shelter]]*(Table_Shelter[[#This Row],['# of Temporary Shelter Units Built]]+Table_Shelter[[#This Row],['# of Temporary Shelter Under  Construction]]+Table_Shelter[[#This Row],['# of Permanent House Under Construction]]),0)</f>
        <v>60</v>
      </c>
      <c r="Q127" s="144"/>
      <c r="R127" s="220"/>
      <c r="S127" s="221" t="str">
        <f>IFERROR(VLOOKUP(Table_Shelter[[#This Row],[CampName]],CL,2,0),"")</f>
        <v>MMR001CMP008</v>
      </c>
      <c r="T127" s="221" t="str">
        <f>IFERROR(VLOOKUP(Table_Shelter[[#This Row],[CampName]],CL,3,0),"")</f>
        <v>Open</v>
      </c>
      <c r="U127" s="393">
        <f>IFERROR(Table_Shelter[[#This Row],[HH Covered]]/VLOOKUP(Table_Shelter[[#This Row],[CampName]],CL,4,0),"")</f>
        <v>0.625</v>
      </c>
      <c r="V127" s="731" t="s">
        <v>1369</v>
      </c>
      <c r="W127" s="394"/>
    </row>
    <row r="128" spans="1:23" x14ac:dyDescent="0.25">
      <c r="A128" s="395"/>
      <c r="B128" s="220" t="s">
        <v>454</v>
      </c>
      <c r="C128" s="220"/>
      <c r="D128" s="220" t="s">
        <v>380</v>
      </c>
      <c r="E128" s="225" t="s">
        <v>237</v>
      </c>
      <c r="F128" s="220" t="s">
        <v>261</v>
      </c>
      <c r="G128" s="145">
        <v>1</v>
      </c>
      <c r="H128" s="145"/>
      <c r="I128" s="145"/>
      <c r="J128" s="145">
        <v>20</v>
      </c>
      <c r="K128" s="145">
        <v>20</v>
      </c>
      <c r="L128" s="220"/>
      <c r="M128" s="220"/>
      <c r="N128" s="220"/>
      <c r="O128" s="220"/>
      <c r="P128" s="191">
        <f>IF(V128="NO",Table_Shelter[[#This Row],[HH per Shelter]]*(Table_Shelter[[#This Row],['# of Temporary Shelter Units Built]]+Table_Shelter[[#This Row],['# of Temporary Shelter Under  Construction]]+Table_Shelter[[#This Row],['# of Permanent House Under Construction]]),0)</f>
        <v>20</v>
      </c>
      <c r="Q128" s="144"/>
      <c r="R128" s="220"/>
      <c r="S128" s="221" t="str">
        <f>IFERROR(VLOOKUP(Table_Shelter[[#This Row],[CampName]],CL,2,0),"")</f>
        <v>MMR001CMP008</v>
      </c>
      <c r="T128" s="221" t="str">
        <f>IFERROR(VLOOKUP(Table_Shelter[[#This Row],[CampName]],CL,3,0),"")</f>
        <v>Open</v>
      </c>
      <c r="U128" s="393">
        <f>IFERROR(Table_Shelter[[#This Row],[HH Covered]]/VLOOKUP(Table_Shelter[[#This Row],[CampName]],CL,4,0),"")</f>
        <v>0.20833333333333334</v>
      </c>
      <c r="V128" s="731" t="s">
        <v>1369</v>
      </c>
      <c r="W128" s="394"/>
    </row>
    <row r="129" spans="1:23" x14ac:dyDescent="0.25">
      <c r="A129" s="395">
        <v>41749</v>
      </c>
      <c r="B129" s="220" t="s">
        <v>454</v>
      </c>
      <c r="C129" s="220"/>
      <c r="D129" s="220" t="s">
        <v>380</v>
      </c>
      <c r="E129" s="225" t="s">
        <v>151</v>
      </c>
      <c r="F129" s="220" t="s">
        <v>882</v>
      </c>
      <c r="G129" s="145">
        <v>1</v>
      </c>
      <c r="H129" s="145">
        <v>200</v>
      </c>
      <c r="I129" s="145">
        <v>200</v>
      </c>
      <c r="J129" s="145"/>
      <c r="K129" s="145"/>
      <c r="L129" s="220"/>
      <c r="M129" s="220"/>
      <c r="N129" s="220"/>
      <c r="O129" s="220"/>
      <c r="P129" s="191">
        <f>IF(V129="NO",Table_Shelter[[#This Row],[HH per Shelter]]*(Table_Shelter[[#This Row],['# of Temporary Shelter Units Built]]+Table_Shelter[[#This Row],['# of Temporary Shelter Under  Construction]]+Table_Shelter[[#This Row],['# of Permanent House Under Construction]]),0)</f>
        <v>0</v>
      </c>
      <c r="Q129" s="144"/>
      <c r="R129" s="220"/>
      <c r="S129" s="221" t="str">
        <f>IFERROR(VLOOKUP(Table_Shelter[[#This Row],[CampName]],CL,2,0),"")</f>
        <v>MMR001CMP212</v>
      </c>
      <c r="T129" s="221" t="str">
        <f>IFERROR(VLOOKUP(Table_Shelter[[#This Row],[CampName]],CL,3,0),"")</f>
        <v>Closed</v>
      </c>
      <c r="U129" s="393" t="str">
        <f>IFERROR(Table_Shelter[[#This Row],[HH Covered]]/VLOOKUP(Table_Shelter[[#This Row],[CampName]],CL,4,0),"")</f>
        <v/>
      </c>
      <c r="V129" s="731" t="s">
        <v>1369</v>
      </c>
      <c r="W129" s="394"/>
    </row>
    <row r="130" spans="1:23" x14ac:dyDescent="0.25">
      <c r="A130" s="395"/>
      <c r="B130" s="220" t="s">
        <v>455</v>
      </c>
      <c r="C130" s="220" t="s">
        <v>462</v>
      </c>
      <c r="D130" s="220" t="s">
        <v>380</v>
      </c>
      <c r="E130" s="530" t="s">
        <v>151</v>
      </c>
      <c r="F130" s="220" t="s">
        <v>160</v>
      </c>
      <c r="G130" s="145">
        <v>1</v>
      </c>
      <c r="H130" s="145"/>
      <c r="I130" s="145"/>
      <c r="J130" s="145">
        <v>39</v>
      </c>
      <c r="K130" s="145">
        <v>39</v>
      </c>
      <c r="L130" s="220"/>
      <c r="M130" s="220"/>
      <c r="N130" s="220"/>
      <c r="O130" s="220"/>
      <c r="P130" s="191">
        <f>IF(V130="NO",Table_Shelter[[#This Row],[HH per Shelter]]*(Table_Shelter[[#This Row],['# of Temporary Shelter Units Built]]+Table_Shelter[[#This Row],['# of Temporary Shelter Under  Construction]]+Table_Shelter[[#This Row],['# of Permanent House Under Construction]]),0)</f>
        <v>39</v>
      </c>
      <c r="Q130" s="144"/>
      <c r="R130" s="220"/>
      <c r="S130" s="221" t="str">
        <f>IFERROR(VLOOKUP(Table_Shelter[[#This Row],[CampName]],CL,2,0),"")</f>
        <v>MMR001CMP133</v>
      </c>
      <c r="T130" s="221" t="str">
        <f>IFERROR(VLOOKUP(Table_Shelter[[#This Row],[CampName]],CL,3,0),"")</f>
        <v>Open</v>
      </c>
      <c r="U130" s="393">
        <f>IFERROR(Table_Shelter[[#This Row],[HH Covered]]/VLOOKUP(Table_Shelter[[#This Row],[CampName]],CL,4,0),"")</f>
        <v>0.34210526315789475</v>
      </c>
      <c r="V130" s="731" t="s">
        <v>1369</v>
      </c>
      <c r="W130" s="394"/>
    </row>
    <row r="131" spans="1:23" x14ac:dyDescent="0.25">
      <c r="A131" s="395"/>
      <c r="B131" s="220" t="s">
        <v>852</v>
      </c>
      <c r="C131" s="220"/>
      <c r="D131" s="220" t="s">
        <v>380</v>
      </c>
      <c r="E131" s="530" t="s">
        <v>151</v>
      </c>
      <c r="F131" s="220" t="s">
        <v>160</v>
      </c>
      <c r="G131" s="145">
        <v>1</v>
      </c>
      <c r="H131" s="145"/>
      <c r="I131" s="145"/>
      <c r="J131" s="145">
        <v>15</v>
      </c>
      <c r="K131" s="145">
        <v>15</v>
      </c>
      <c r="L131" s="220"/>
      <c r="M131" s="220"/>
      <c r="N131" s="220"/>
      <c r="O131" s="220"/>
      <c r="P131" s="191">
        <f>IF(V131="NO",Table_Shelter[[#This Row],[HH per Shelter]]*(Table_Shelter[[#This Row],['# of Temporary Shelter Units Built]]+Table_Shelter[[#This Row],['# of Temporary Shelter Under  Construction]]+Table_Shelter[[#This Row],['# of Permanent House Under Construction]]),0)</f>
        <v>15</v>
      </c>
      <c r="Q131" s="144"/>
      <c r="R131" s="220"/>
      <c r="S131" s="221" t="str">
        <f>IFERROR(VLOOKUP(Table_Shelter[[#This Row],[CampName]],CL,2,0),"")</f>
        <v>MMR001CMP133</v>
      </c>
      <c r="T131" s="221" t="str">
        <f>IFERROR(VLOOKUP(Table_Shelter[[#This Row],[CampName]],CL,3,0),"")</f>
        <v>Open</v>
      </c>
      <c r="U131" s="393">
        <f>IFERROR(Table_Shelter[[#This Row],[HH Covered]]/VLOOKUP(Table_Shelter[[#This Row],[CampName]],CL,4,0),"")</f>
        <v>0.13157894736842105</v>
      </c>
      <c r="V131" s="731" t="s">
        <v>1369</v>
      </c>
      <c r="W131" s="394"/>
    </row>
    <row r="132" spans="1:23" x14ac:dyDescent="0.25">
      <c r="A132" s="395"/>
      <c r="B132" s="220" t="s">
        <v>454</v>
      </c>
      <c r="C132" s="220" t="s">
        <v>462</v>
      </c>
      <c r="D132" s="228" t="s">
        <v>380</v>
      </c>
      <c r="E132" s="225" t="s">
        <v>151</v>
      </c>
      <c r="F132" s="220" t="s">
        <v>160</v>
      </c>
      <c r="G132" s="145">
        <v>1</v>
      </c>
      <c r="H132" s="145"/>
      <c r="I132" s="145"/>
      <c r="J132" s="145">
        <v>20</v>
      </c>
      <c r="K132" s="145">
        <v>20</v>
      </c>
      <c r="L132" s="220"/>
      <c r="M132" s="220"/>
      <c r="N132" s="220"/>
      <c r="O132" s="220"/>
      <c r="P132" s="148">
        <f>IF(V132="NO",Table_Shelter[[#This Row],[HH per Shelter]]*(Table_Shelter[[#This Row],['# of Temporary Shelter Units Built]]+Table_Shelter[[#This Row],['# of Temporary Shelter Under  Construction]]+Table_Shelter[[#This Row],['# of Permanent House Under Construction]]),0)</f>
        <v>20</v>
      </c>
      <c r="Q132" s="144"/>
      <c r="R132" s="144"/>
      <c r="S132" s="148" t="str">
        <f>IFERROR(VLOOKUP(Table_Shelter[[#This Row],[CampName]],CL,2,0),"")</f>
        <v>MMR001CMP133</v>
      </c>
      <c r="T132" s="148" t="str">
        <f>IFERROR(VLOOKUP(Table_Shelter[[#This Row],[CampName]],CL,3,0),"")</f>
        <v>Open</v>
      </c>
      <c r="U132" s="393">
        <f>IFERROR(Table_Shelter[[#This Row],[HH Covered]]/VLOOKUP(Table_Shelter[[#This Row],[CampName]],CL,4,0),"")</f>
        <v>0.17543859649122806</v>
      </c>
      <c r="V132" s="731" t="s">
        <v>1369</v>
      </c>
      <c r="W132" s="397"/>
    </row>
    <row r="133" spans="1:23" x14ac:dyDescent="0.25">
      <c r="A133" s="396">
        <v>41748</v>
      </c>
      <c r="B133" s="222" t="s">
        <v>454</v>
      </c>
      <c r="C133" s="222"/>
      <c r="D133" s="222" t="s">
        <v>380</v>
      </c>
      <c r="E133" s="227" t="s">
        <v>151</v>
      </c>
      <c r="F133" s="222" t="s">
        <v>154</v>
      </c>
      <c r="G133" s="149">
        <v>1</v>
      </c>
      <c r="H133" s="149">
        <v>200</v>
      </c>
      <c r="I133" s="149">
        <v>200</v>
      </c>
      <c r="J133" s="149"/>
      <c r="K133" s="149"/>
      <c r="L133" s="222"/>
      <c r="M133" s="222"/>
      <c r="N133" s="222"/>
      <c r="O133" s="222"/>
      <c r="P133" s="191">
        <f>IF(V133="NO",Table_Shelter[[#This Row],[HH per Shelter]]*(Table_Shelter[[#This Row],['# of Temporary Shelter Units Built]]+Table_Shelter[[#This Row],['# of Temporary Shelter Under  Construction]]+Table_Shelter[[#This Row],['# of Permanent House Under Construction]]),0)</f>
        <v>0</v>
      </c>
      <c r="Q133" s="148"/>
      <c r="R133" s="222"/>
      <c r="S133" s="221" t="str">
        <f>IFERROR(VLOOKUP(Table_Shelter[[#This Row],[CampName]],CL,2,0),"")</f>
        <v>MMR001CMP132</v>
      </c>
      <c r="T133" s="221" t="str">
        <f>IFERROR(VLOOKUP(Table_Shelter[[#This Row],[CampName]],CL,3,0),"")</f>
        <v>Open</v>
      </c>
      <c r="U133" s="393">
        <f>IFERROR(Table_Shelter[[#This Row],[HH Covered]]/VLOOKUP(Table_Shelter[[#This Row],[CampName]],CL,4,0),"")</f>
        <v>0</v>
      </c>
      <c r="V133" s="731" t="s">
        <v>1369</v>
      </c>
      <c r="W133" s="394"/>
    </row>
    <row r="134" spans="1:23" x14ac:dyDescent="0.25">
      <c r="A134" s="395"/>
      <c r="B134" s="220" t="s">
        <v>454</v>
      </c>
      <c r="C134" s="220" t="s">
        <v>461</v>
      </c>
      <c r="D134" s="220" t="s">
        <v>380</v>
      </c>
      <c r="E134" s="530" t="s">
        <v>151</v>
      </c>
      <c r="F134" s="220" t="s">
        <v>154</v>
      </c>
      <c r="G134" s="145">
        <v>1</v>
      </c>
      <c r="H134" s="145"/>
      <c r="I134" s="145"/>
      <c r="J134" s="145">
        <v>200</v>
      </c>
      <c r="K134" s="145">
        <v>200</v>
      </c>
      <c r="L134" s="220"/>
      <c r="M134" s="220"/>
      <c r="N134" s="220"/>
      <c r="O134" s="220"/>
      <c r="P134" s="191">
        <f>IF(V134="NO",Table_Shelter[[#This Row],[HH per Shelter]]*(Table_Shelter[[#This Row],['# of Temporary Shelter Units Built]]+Table_Shelter[[#This Row],['# of Temporary Shelter Under  Construction]]+Table_Shelter[[#This Row],['# of Permanent House Under Construction]]),0)</f>
        <v>200</v>
      </c>
      <c r="Q134" s="144"/>
      <c r="R134" s="220"/>
      <c r="S134" s="221" t="str">
        <f>IFERROR(VLOOKUP(Table_Shelter[[#This Row],[CampName]],CL,2,0),"")</f>
        <v>MMR001CMP132</v>
      </c>
      <c r="T134" s="221" t="str">
        <f>IFERROR(VLOOKUP(Table_Shelter[[#This Row],[CampName]],CL,3,0),"")</f>
        <v>Open</v>
      </c>
      <c r="U134" s="393">
        <f>IFERROR(Table_Shelter[[#This Row],[HH Covered]]/VLOOKUP(Table_Shelter[[#This Row],[CampName]],CL,4,0),"")</f>
        <v>0.41152263374485598</v>
      </c>
      <c r="V134" s="731" t="s">
        <v>1369</v>
      </c>
      <c r="W134" s="394"/>
    </row>
    <row r="135" spans="1:23" x14ac:dyDescent="0.25">
      <c r="A135" s="395"/>
      <c r="B135" s="220" t="s">
        <v>852</v>
      </c>
      <c r="C135" s="220"/>
      <c r="D135" s="220" t="s">
        <v>380</v>
      </c>
      <c r="E135" s="225" t="s">
        <v>185</v>
      </c>
      <c r="F135" s="220" t="s">
        <v>207</v>
      </c>
      <c r="G135" s="145">
        <v>1</v>
      </c>
      <c r="H135" s="145"/>
      <c r="I135" s="145"/>
      <c r="J135" s="145">
        <v>6</v>
      </c>
      <c r="K135" s="145">
        <v>6</v>
      </c>
      <c r="L135" s="220"/>
      <c r="M135" s="220"/>
      <c r="N135" s="220"/>
      <c r="O135" s="220"/>
      <c r="P135" s="191">
        <f>IF(V135="NO",Table_Shelter[[#This Row],[HH per Shelter]]*(Table_Shelter[[#This Row],['# of Temporary Shelter Units Built]]+Table_Shelter[[#This Row],['# of Temporary Shelter Under  Construction]]+Table_Shelter[[#This Row],['# of Permanent House Under Construction]]),0)</f>
        <v>6</v>
      </c>
      <c r="Q135" s="144"/>
      <c r="R135" s="220"/>
      <c r="S135" s="221" t="str">
        <f>IFERROR(VLOOKUP(Table_Shelter[[#This Row],[CampName]],CL,2,0),"")</f>
        <v>MMR001CMP058</v>
      </c>
      <c r="T135" s="221" t="str">
        <f>IFERROR(VLOOKUP(Table_Shelter[[#This Row],[CampName]],CL,3,0),"")</f>
        <v>Closed</v>
      </c>
      <c r="U135" s="393" t="str">
        <f>IFERROR(Table_Shelter[[#This Row],[HH Covered]]/VLOOKUP(Table_Shelter[[#This Row],[CampName]],CL,4,0),"")</f>
        <v/>
      </c>
      <c r="V135" s="731" t="s">
        <v>1369</v>
      </c>
      <c r="W135" s="394"/>
    </row>
    <row r="136" spans="1:23" x14ac:dyDescent="0.25">
      <c r="A136" s="395"/>
      <c r="B136" s="220" t="s">
        <v>454</v>
      </c>
      <c r="C136" s="220" t="s">
        <v>507</v>
      </c>
      <c r="D136" s="220" t="s">
        <v>380</v>
      </c>
      <c r="E136" s="225" t="s">
        <v>185</v>
      </c>
      <c r="F136" s="220" t="s">
        <v>207</v>
      </c>
      <c r="G136" s="145">
        <v>1</v>
      </c>
      <c r="H136" s="145"/>
      <c r="I136" s="145"/>
      <c r="J136" s="145"/>
      <c r="K136" s="145"/>
      <c r="L136" s="220"/>
      <c r="M136" s="220"/>
      <c r="N136" s="220"/>
      <c r="O136" s="220"/>
      <c r="P136" s="191">
        <f>IF(V136="NO",Table_Shelter[[#This Row],[HH per Shelter]]*(Table_Shelter[[#This Row],['# of Temporary Shelter Units Built]]+Table_Shelter[[#This Row],['# of Temporary Shelter Under  Construction]]+Table_Shelter[[#This Row],['# of Permanent House Under Construction]]),0)</f>
        <v>0</v>
      </c>
      <c r="Q136" s="144">
        <v>5</v>
      </c>
      <c r="R136" s="220"/>
      <c r="S136" s="221" t="str">
        <f>IFERROR(VLOOKUP(Table_Shelter[[#This Row],[CampName]],CL,2,0),"")</f>
        <v>MMR001CMP058</v>
      </c>
      <c r="T136" s="221" t="str">
        <f>IFERROR(VLOOKUP(Table_Shelter[[#This Row],[CampName]],CL,3,0),"")</f>
        <v>Closed</v>
      </c>
      <c r="U136" s="393" t="str">
        <f>IFERROR(Table_Shelter[[#This Row],[HH Covered]]/VLOOKUP(Table_Shelter[[#This Row],[CampName]],CL,4,0),"")</f>
        <v/>
      </c>
      <c r="V136" s="731" t="s">
        <v>1369</v>
      </c>
      <c r="W136" s="394"/>
    </row>
    <row r="137" spans="1:23" x14ac:dyDescent="0.25">
      <c r="A137" s="395">
        <v>41609</v>
      </c>
      <c r="B137" s="220" t="s">
        <v>454</v>
      </c>
      <c r="C137" s="220" t="s">
        <v>462</v>
      </c>
      <c r="D137" s="220" t="s">
        <v>555</v>
      </c>
      <c r="E137" s="225" t="s">
        <v>166</v>
      </c>
      <c r="F137" s="220" t="s">
        <v>167</v>
      </c>
      <c r="G137" s="145">
        <v>1</v>
      </c>
      <c r="H137" s="145"/>
      <c r="I137" s="145"/>
      <c r="J137" s="145">
        <v>10</v>
      </c>
      <c r="K137" s="145">
        <v>10</v>
      </c>
      <c r="L137" s="220"/>
      <c r="M137" s="220"/>
      <c r="N137" s="220"/>
      <c r="O137" s="220"/>
      <c r="P137" s="148">
        <f>IF(V137="NO",Table_Shelter[[#This Row],[HH per Shelter]]*(Table_Shelter[[#This Row],['# of Temporary Shelter Units Built]]+Table_Shelter[[#This Row],['# of Temporary Shelter Under  Construction]]+Table_Shelter[[#This Row],['# of Permanent House Under Construction]]),0)</f>
        <v>10</v>
      </c>
      <c r="Q137" s="144"/>
      <c r="R137" s="144"/>
      <c r="S137" s="148" t="str">
        <f>IFERROR(VLOOKUP(Table_Shelter[[#This Row],[CampName]],CL,2,0),"")</f>
        <v>MMR015CMP009</v>
      </c>
      <c r="T137" s="148" t="str">
        <f>IFERROR(VLOOKUP(Table_Shelter[[#This Row],[CampName]],CL,3,0),"")</f>
        <v>Open</v>
      </c>
      <c r="U137" s="393">
        <f>IFERROR(Table_Shelter[[#This Row],[HH Covered]]/VLOOKUP(Table_Shelter[[#This Row],[CampName]],CL,4,0),"")</f>
        <v>0.26315789473684209</v>
      </c>
      <c r="V137" s="731" t="s">
        <v>1369</v>
      </c>
      <c r="W137" s="397"/>
    </row>
    <row r="138" spans="1:23" x14ac:dyDescent="0.25">
      <c r="A138" s="395"/>
      <c r="B138" s="220" t="s">
        <v>454</v>
      </c>
      <c r="C138" s="220" t="s">
        <v>462</v>
      </c>
      <c r="D138" s="220" t="s">
        <v>555</v>
      </c>
      <c r="E138" s="225" t="s">
        <v>166</v>
      </c>
      <c r="F138" s="220" t="s">
        <v>167</v>
      </c>
      <c r="G138" s="145">
        <v>1</v>
      </c>
      <c r="H138" s="145"/>
      <c r="I138" s="145"/>
      <c r="J138" s="145">
        <v>30</v>
      </c>
      <c r="K138" s="145">
        <v>30</v>
      </c>
      <c r="L138" s="220"/>
      <c r="M138" s="220"/>
      <c r="N138" s="220"/>
      <c r="O138" s="220"/>
      <c r="P138" s="191">
        <f>IF(V138="NO",Table_Shelter[[#This Row],[HH per Shelter]]*(Table_Shelter[[#This Row],['# of Temporary Shelter Units Built]]+Table_Shelter[[#This Row],['# of Temporary Shelter Under  Construction]]+Table_Shelter[[#This Row],['# of Permanent House Under Construction]]),0)</f>
        <v>30</v>
      </c>
      <c r="Q138" s="144"/>
      <c r="R138" s="220"/>
      <c r="S138" s="221" t="str">
        <f>IFERROR(VLOOKUP(Table_Shelter[[#This Row],[CampName]],CL,2,0),"")</f>
        <v>MMR015CMP009</v>
      </c>
      <c r="T138" s="221" t="str">
        <f>IFERROR(VLOOKUP(Table_Shelter[[#This Row],[CampName]],CL,3,0),"")</f>
        <v>Open</v>
      </c>
      <c r="U138" s="393">
        <f>IFERROR(Table_Shelter[[#This Row],[HH Covered]]/VLOOKUP(Table_Shelter[[#This Row],[CampName]],CL,4,0),"")</f>
        <v>0.78947368421052633</v>
      </c>
      <c r="V138" s="731" t="s">
        <v>1369</v>
      </c>
      <c r="W138" s="394"/>
    </row>
    <row r="139" spans="1:23" x14ac:dyDescent="0.25">
      <c r="A139" s="396">
        <v>41609</v>
      </c>
      <c r="B139" s="145" t="s">
        <v>454</v>
      </c>
      <c r="C139" s="145" t="s">
        <v>508</v>
      </c>
      <c r="D139" s="228" t="s">
        <v>555</v>
      </c>
      <c r="E139" s="229" t="s">
        <v>166</v>
      </c>
      <c r="F139" s="145" t="s">
        <v>828</v>
      </c>
      <c r="G139" s="145">
        <v>1</v>
      </c>
      <c r="H139" s="149"/>
      <c r="I139" s="149"/>
      <c r="J139" s="149">
        <v>30</v>
      </c>
      <c r="K139" s="149">
        <v>30</v>
      </c>
      <c r="L139" s="149"/>
      <c r="M139" s="149"/>
      <c r="N139" s="149"/>
      <c r="O139" s="149"/>
      <c r="P139" s="148">
        <f>IF(V139="NO",Table_Shelter[[#This Row],[HH per Shelter]]*(Table_Shelter[[#This Row],['# of Temporary Shelter Units Built]]+Table_Shelter[[#This Row],['# of Temporary Shelter Under  Construction]]+Table_Shelter[[#This Row],['# of Permanent House Under Construction]]),0)</f>
        <v>30</v>
      </c>
      <c r="Q139" s="148"/>
      <c r="R139" s="148"/>
      <c r="S139" s="148" t="str">
        <f>IFERROR(VLOOKUP(Table_Shelter[[#This Row],[CampName]],CL,2,0),"")</f>
        <v>MMR015CMP209</v>
      </c>
      <c r="T139" s="148" t="str">
        <f>IFERROR(VLOOKUP(Table_Shelter[[#This Row],[CampName]],CL,3,0),"")</f>
        <v>Open</v>
      </c>
      <c r="U139" s="399">
        <f>IFERROR(Table_Shelter[[#This Row],[HH Covered]]/VLOOKUP(Table_Shelter[[#This Row],[CampName]],CL,4,0),"")</f>
        <v>0.967741935483871</v>
      </c>
      <c r="V139" s="731" t="s">
        <v>1369</v>
      </c>
      <c r="W139" s="397"/>
    </row>
    <row r="140" spans="1:23" x14ac:dyDescent="0.25">
      <c r="A140" s="395"/>
      <c r="B140" s="220" t="s">
        <v>454</v>
      </c>
      <c r="C140" s="220" t="s">
        <v>462</v>
      </c>
      <c r="D140" s="220" t="s">
        <v>380</v>
      </c>
      <c r="E140" s="225" t="s">
        <v>173</v>
      </c>
      <c r="F140" s="220" t="s">
        <v>176</v>
      </c>
      <c r="G140" s="145">
        <v>1</v>
      </c>
      <c r="H140" s="145"/>
      <c r="I140" s="145"/>
      <c r="J140" s="145">
        <v>10</v>
      </c>
      <c r="K140" s="145">
        <v>10</v>
      </c>
      <c r="L140" s="220"/>
      <c r="M140" s="220"/>
      <c r="N140" s="220"/>
      <c r="O140" s="220"/>
      <c r="P140" s="191">
        <f>IF(V140="NO",Table_Shelter[[#This Row],[HH per Shelter]]*(Table_Shelter[[#This Row],['# of Temporary Shelter Units Built]]+Table_Shelter[[#This Row],['# of Temporary Shelter Under  Construction]]+Table_Shelter[[#This Row],['# of Permanent House Under Construction]]),0)</f>
        <v>10</v>
      </c>
      <c r="Q140" s="144"/>
      <c r="R140" s="220"/>
      <c r="S140" s="221" t="str">
        <f>IFERROR(VLOOKUP(Table_Shelter[[#This Row],[CampName]],CL,2,0),"")</f>
        <v>MMR001CMP077</v>
      </c>
      <c r="T140" s="221" t="str">
        <f>IFERROR(VLOOKUP(Table_Shelter[[#This Row],[CampName]],CL,3,0),"")</f>
        <v>Open</v>
      </c>
      <c r="U140" s="393">
        <f>IFERROR(Table_Shelter[[#This Row],[HH Covered]]/VLOOKUP(Table_Shelter[[#This Row],[CampName]],CL,4,0),"")</f>
        <v>0.55555555555555558</v>
      </c>
      <c r="V140" s="731" t="s">
        <v>1369</v>
      </c>
      <c r="W140" s="394"/>
    </row>
    <row r="141" spans="1:23" x14ac:dyDescent="0.25">
      <c r="A141" s="396">
        <v>41809</v>
      </c>
      <c r="B141" s="222" t="s">
        <v>852</v>
      </c>
      <c r="C141" s="222"/>
      <c r="D141" s="222" t="s">
        <v>380</v>
      </c>
      <c r="E141" s="227" t="s">
        <v>151</v>
      </c>
      <c r="F141" s="222" t="s">
        <v>152</v>
      </c>
      <c r="G141" s="149">
        <v>1</v>
      </c>
      <c r="H141" s="149"/>
      <c r="I141" s="149"/>
      <c r="J141" s="149">
        <v>56</v>
      </c>
      <c r="K141" s="149">
        <v>60</v>
      </c>
      <c r="L141" s="222"/>
      <c r="M141" s="222"/>
      <c r="N141" s="222"/>
      <c r="O141" s="222"/>
      <c r="P141" s="191">
        <f>IF(V141="NO",Table_Shelter[[#This Row],[HH per Shelter]]*(Table_Shelter[[#This Row],['# of Temporary Shelter Units Built]]+Table_Shelter[[#This Row],['# of Temporary Shelter Under  Construction]]+Table_Shelter[[#This Row],['# of Permanent House Under Construction]]),0)</f>
        <v>60</v>
      </c>
      <c r="Q141" s="148"/>
      <c r="R141" s="222"/>
      <c r="S141" s="221" t="str">
        <f>IFERROR(VLOOKUP(Table_Shelter[[#This Row],[CampName]],CL,2,0),"")</f>
        <v>MMR001CMP066</v>
      </c>
      <c r="T141" s="221" t="str">
        <f>IFERROR(VLOOKUP(Table_Shelter[[#This Row],[CampName]],CL,3,0),"")</f>
        <v>Open</v>
      </c>
      <c r="U141" s="393">
        <f>IFERROR(Table_Shelter[[#This Row],[HH Covered]]/VLOOKUP(Table_Shelter[[#This Row],[CampName]],CL,4,0),"")</f>
        <v>0.27149321266968324</v>
      </c>
      <c r="V141" s="731" t="s">
        <v>1369</v>
      </c>
      <c r="W141" s="394"/>
    </row>
    <row r="142" spans="1:23" x14ac:dyDescent="0.25">
      <c r="A142" s="395">
        <v>41791</v>
      </c>
      <c r="B142" s="220" t="s">
        <v>454</v>
      </c>
      <c r="C142" s="220" t="s">
        <v>462</v>
      </c>
      <c r="D142" s="220" t="s">
        <v>380</v>
      </c>
      <c r="E142" s="530" t="s">
        <v>151</v>
      </c>
      <c r="F142" s="220" t="s">
        <v>152</v>
      </c>
      <c r="G142" s="145">
        <v>1</v>
      </c>
      <c r="H142" s="145"/>
      <c r="I142" s="145"/>
      <c r="J142" s="145">
        <v>15</v>
      </c>
      <c r="K142" s="145">
        <v>15</v>
      </c>
      <c r="L142" s="220"/>
      <c r="M142" s="220"/>
      <c r="N142" s="220"/>
      <c r="O142" s="220"/>
      <c r="P142" s="148">
        <f>IF(V142="NO",Table_Shelter[[#This Row],[HH per Shelter]]*(Table_Shelter[[#This Row],['# of Temporary Shelter Units Built]]+Table_Shelter[[#This Row],['# of Temporary Shelter Under  Construction]]+Table_Shelter[[#This Row],['# of Permanent House Under Construction]]),0)</f>
        <v>15</v>
      </c>
      <c r="Q142" s="144"/>
      <c r="R142" s="144"/>
      <c r="S142" s="148" t="str">
        <f>IFERROR(VLOOKUP(Table_Shelter[[#This Row],[CampName]],CL,2,0),"")</f>
        <v>MMR001CMP066</v>
      </c>
      <c r="T142" s="148" t="str">
        <f>IFERROR(VLOOKUP(Table_Shelter[[#This Row],[CampName]],CL,3,0),"")</f>
        <v>Open</v>
      </c>
      <c r="U142" s="393">
        <f>IFERROR(Table_Shelter[[#This Row],[HH Covered]]/VLOOKUP(Table_Shelter[[#This Row],[CampName]],CL,4,0),"")</f>
        <v>6.7873303167420809E-2</v>
      </c>
      <c r="V142" s="731" t="s">
        <v>1369</v>
      </c>
      <c r="W142" s="397"/>
    </row>
    <row r="143" spans="1:23" x14ac:dyDescent="0.25">
      <c r="A143" s="395">
        <v>41609</v>
      </c>
      <c r="B143" s="220" t="s">
        <v>454</v>
      </c>
      <c r="C143" s="220" t="s">
        <v>462</v>
      </c>
      <c r="D143" s="220" t="s">
        <v>380</v>
      </c>
      <c r="E143" s="225" t="s">
        <v>151</v>
      </c>
      <c r="F143" s="220" t="s">
        <v>152</v>
      </c>
      <c r="G143" s="145">
        <v>1</v>
      </c>
      <c r="H143" s="145"/>
      <c r="I143" s="145"/>
      <c r="J143" s="145">
        <v>20</v>
      </c>
      <c r="K143" s="145">
        <v>20</v>
      </c>
      <c r="L143" s="220"/>
      <c r="M143" s="220"/>
      <c r="N143" s="220"/>
      <c r="O143" s="220"/>
      <c r="P143" s="191">
        <f>IF(V143="NO",Table_Shelter[[#This Row],[HH per Shelter]]*(Table_Shelter[[#This Row],['# of Temporary Shelter Units Built]]+Table_Shelter[[#This Row],['# of Temporary Shelter Under  Construction]]+Table_Shelter[[#This Row],['# of Permanent House Under Construction]]),0)</f>
        <v>20</v>
      </c>
      <c r="Q143" s="144"/>
      <c r="R143" s="220"/>
      <c r="S143" s="221" t="str">
        <f>IFERROR(VLOOKUP(Table_Shelter[[#This Row],[CampName]],CL,2,0),"")</f>
        <v>MMR001CMP066</v>
      </c>
      <c r="T143" s="221" t="str">
        <f>IFERROR(VLOOKUP(Table_Shelter[[#This Row],[CampName]],CL,3,0),"")</f>
        <v>Open</v>
      </c>
      <c r="U143" s="393">
        <f>IFERROR(Table_Shelter[[#This Row],[HH Covered]]/VLOOKUP(Table_Shelter[[#This Row],[CampName]],CL,4,0),"")</f>
        <v>9.0497737556561084E-2</v>
      </c>
      <c r="V143" s="731" t="s">
        <v>1369</v>
      </c>
      <c r="W143" s="394"/>
    </row>
    <row r="144" spans="1:23" x14ac:dyDescent="0.25">
      <c r="A144" s="395"/>
      <c r="B144" s="220" t="s">
        <v>454</v>
      </c>
      <c r="C144" s="220"/>
      <c r="D144" s="220" t="s">
        <v>380</v>
      </c>
      <c r="E144" s="225" t="s">
        <v>151</v>
      </c>
      <c r="F144" s="220" t="s">
        <v>152</v>
      </c>
      <c r="G144" s="145">
        <v>1</v>
      </c>
      <c r="H144" s="145"/>
      <c r="I144" s="145"/>
      <c r="J144" s="145">
        <v>41</v>
      </c>
      <c r="K144" s="145">
        <v>10</v>
      </c>
      <c r="L144" s="220"/>
      <c r="M144" s="220"/>
      <c r="N144" s="220"/>
      <c r="O144" s="220"/>
      <c r="P144" s="191">
        <f>IF(V144="NO",Table_Shelter[[#This Row],[HH per Shelter]]*(Table_Shelter[[#This Row],['# of Temporary Shelter Units Built]]+Table_Shelter[[#This Row],['# of Temporary Shelter Under  Construction]]+Table_Shelter[[#This Row],['# of Permanent House Under Construction]]),0)</f>
        <v>10</v>
      </c>
      <c r="Q144" s="144"/>
      <c r="R144" s="220"/>
      <c r="S144" s="221" t="str">
        <f>IFERROR(VLOOKUP(Table_Shelter[[#This Row],[CampName]],CL,2,0),"")</f>
        <v>MMR001CMP066</v>
      </c>
      <c r="T144" s="221" t="str">
        <f>IFERROR(VLOOKUP(Table_Shelter[[#This Row],[CampName]],CL,3,0),"")</f>
        <v>Open</v>
      </c>
      <c r="U144" s="393">
        <f>IFERROR(Table_Shelter[[#This Row],[HH Covered]]/VLOOKUP(Table_Shelter[[#This Row],[CampName]],CL,4,0),"")</f>
        <v>4.5248868778280542E-2</v>
      </c>
      <c r="V144" s="731" t="s">
        <v>1369</v>
      </c>
      <c r="W144" s="394"/>
    </row>
    <row r="145" spans="1:23" x14ac:dyDescent="0.25">
      <c r="A145" s="395"/>
      <c r="B145" s="220" t="s">
        <v>853</v>
      </c>
      <c r="C145" s="220" t="s">
        <v>853</v>
      </c>
      <c r="D145" s="220" t="s">
        <v>380</v>
      </c>
      <c r="E145" s="225" t="s">
        <v>529</v>
      </c>
      <c r="F145" s="220" t="s">
        <v>54</v>
      </c>
      <c r="G145" s="145">
        <v>1</v>
      </c>
      <c r="H145" s="145"/>
      <c r="I145" s="145"/>
      <c r="J145" s="145">
        <v>10</v>
      </c>
      <c r="K145" s="145">
        <v>10</v>
      </c>
      <c r="L145" s="220"/>
      <c r="M145" s="220"/>
      <c r="N145" s="220"/>
      <c r="O145" s="220"/>
      <c r="P145" s="191">
        <f>IF(V145="NO",Table_Shelter[[#This Row],[HH per Shelter]]*(Table_Shelter[[#This Row],['# of Temporary Shelter Units Built]]+Table_Shelter[[#This Row],['# of Temporary Shelter Under  Construction]]+Table_Shelter[[#This Row],['# of Permanent House Under Construction]]),0)</f>
        <v>10</v>
      </c>
      <c r="Q145" s="144"/>
      <c r="R145" s="220"/>
      <c r="S145" s="221" t="str">
        <f>IFERROR(VLOOKUP(Table_Shelter[[#This Row],[CampName]],CL,2,0),"")</f>
        <v>MMR001CMP094</v>
      </c>
      <c r="T145" s="221" t="str">
        <f>IFERROR(VLOOKUP(Table_Shelter[[#This Row],[CampName]],CL,3,0),"")</f>
        <v>Closed</v>
      </c>
      <c r="U145" s="393" t="str">
        <f>IFERROR(Table_Shelter[[#This Row],[HH Covered]]/VLOOKUP(Table_Shelter[[#This Row],[CampName]],CL,4,0),"")</f>
        <v/>
      </c>
      <c r="V145" s="731" t="s">
        <v>1369</v>
      </c>
      <c r="W145" s="394"/>
    </row>
    <row r="146" spans="1:23" x14ac:dyDescent="0.25">
      <c r="A146" s="395"/>
      <c r="B146" s="220" t="s">
        <v>454</v>
      </c>
      <c r="C146" s="220" t="s">
        <v>507</v>
      </c>
      <c r="D146" s="220" t="s">
        <v>380</v>
      </c>
      <c r="E146" s="530" t="s">
        <v>529</v>
      </c>
      <c r="F146" s="220" t="s">
        <v>54</v>
      </c>
      <c r="G146" s="145">
        <v>1</v>
      </c>
      <c r="H146" s="145"/>
      <c r="I146" s="145"/>
      <c r="J146" s="145">
        <v>10</v>
      </c>
      <c r="K146" s="145">
        <v>10</v>
      </c>
      <c r="L146" s="220"/>
      <c r="M146" s="220"/>
      <c r="N146" s="220"/>
      <c r="O146" s="220"/>
      <c r="P146" s="191">
        <f>IF(V146="NO",Table_Shelter[[#This Row],[HH per Shelter]]*(Table_Shelter[[#This Row],['# of Temporary Shelter Units Built]]+Table_Shelter[[#This Row],['# of Temporary Shelter Under  Construction]]+Table_Shelter[[#This Row],['# of Permanent House Under Construction]]),0)</f>
        <v>10</v>
      </c>
      <c r="Q146" s="144"/>
      <c r="R146" s="220"/>
      <c r="S146" s="221" t="str">
        <f>IFERROR(VLOOKUP(Table_Shelter[[#This Row],[CampName]],CL,2,0),"")</f>
        <v>MMR001CMP094</v>
      </c>
      <c r="T146" s="221" t="str">
        <f>IFERROR(VLOOKUP(Table_Shelter[[#This Row],[CampName]],CL,3,0),"")</f>
        <v>Closed</v>
      </c>
      <c r="U146" s="393" t="str">
        <f>IFERROR(Table_Shelter[[#This Row],[HH Covered]]/VLOOKUP(Table_Shelter[[#This Row],[CampName]],CL,4,0),"")</f>
        <v/>
      </c>
      <c r="V146" s="731" t="s">
        <v>1369</v>
      </c>
      <c r="W146" s="394"/>
    </row>
    <row r="147" spans="1:23" x14ac:dyDescent="0.25">
      <c r="A147" s="396">
        <v>41791</v>
      </c>
      <c r="B147" s="145" t="s">
        <v>454</v>
      </c>
      <c r="C147" s="145" t="s">
        <v>507</v>
      </c>
      <c r="D147" s="228" t="s">
        <v>380</v>
      </c>
      <c r="E147" s="229" t="s">
        <v>237</v>
      </c>
      <c r="F147" s="145" t="s">
        <v>263</v>
      </c>
      <c r="G147" s="145">
        <v>1</v>
      </c>
      <c r="H147" s="149"/>
      <c r="I147" s="149"/>
      <c r="J147" s="149">
        <v>5</v>
      </c>
      <c r="K147" s="149">
        <v>5</v>
      </c>
      <c r="L147" s="149"/>
      <c r="M147" s="149"/>
      <c r="N147" s="149"/>
      <c r="O147" s="149"/>
      <c r="P147" s="148">
        <f>IF(V147="NO",Table_Shelter[[#This Row],[HH per Shelter]]*(Table_Shelter[[#This Row],['# of Temporary Shelter Units Built]]+Table_Shelter[[#This Row],['# of Temporary Shelter Under  Construction]]+Table_Shelter[[#This Row],['# of Permanent House Under Construction]]),0)</f>
        <v>5</v>
      </c>
      <c r="Q147" s="148"/>
      <c r="R147" s="148"/>
      <c r="S147" s="148" t="str">
        <f>IFERROR(VLOOKUP(Table_Shelter[[#This Row],[CampName]],CL,2,0),"")</f>
        <v>MMR001CMP020</v>
      </c>
      <c r="T147" s="148" t="str">
        <f>IFERROR(VLOOKUP(Table_Shelter[[#This Row],[CampName]],CL,3,0),"")</f>
        <v>Open</v>
      </c>
      <c r="U147" s="399">
        <f>IFERROR(Table_Shelter[[#This Row],[HH Covered]]/VLOOKUP(Table_Shelter[[#This Row],[CampName]],CL,4,0),"")</f>
        <v>0.22727272727272727</v>
      </c>
      <c r="V147" s="731" t="s">
        <v>1369</v>
      </c>
      <c r="W147" s="397"/>
    </row>
    <row r="148" spans="1:23" x14ac:dyDescent="0.25">
      <c r="A148" s="396"/>
      <c r="B148" s="222" t="s">
        <v>454</v>
      </c>
      <c r="C148" s="222" t="s">
        <v>507</v>
      </c>
      <c r="D148" s="222" t="s">
        <v>380</v>
      </c>
      <c r="E148" s="227" t="s">
        <v>237</v>
      </c>
      <c r="F148" s="222" t="s">
        <v>263</v>
      </c>
      <c r="G148" s="149">
        <v>1</v>
      </c>
      <c r="H148" s="149"/>
      <c r="I148" s="149"/>
      <c r="J148" s="149">
        <v>27</v>
      </c>
      <c r="K148" s="231">
        <v>27</v>
      </c>
      <c r="L148" s="222"/>
      <c r="M148" s="222"/>
      <c r="N148" s="222"/>
      <c r="O148" s="222"/>
      <c r="P148" s="191">
        <f>IF(V148="NO",Table_Shelter[[#This Row],[HH per Shelter]]*(Table_Shelter[[#This Row],['# of Temporary Shelter Units Built]]+Table_Shelter[[#This Row],['# of Temporary Shelter Under  Construction]]+Table_Shelter[[#This Row],['# of Permanent House Under Construction]]),0)</f>
        <v>27</v>
      </c>
      <c r="Q148" s="148"/>
      <c r="R148" s="222"/>
      <c r="S148" s="221" t="str">
        <f>IFERROR(VLOOKUP(Table_Shelter[[#This Row],[CampName]],CL,2,0),"")</f>
        <v>MMR001CMP020</v>
      </c>
      <c r="T148" s="221" t="str">
        <f>IFERROR(VLOOKUP(Table_Shelter[[#This Row],[CampName]],CL,3,0),"")</f>
        <v>Open</v>
      </c>
      <c r="U148" s="393">
        <f>IFERROR(Table_Shelter[[#This Row],[HH Covered]]/VLOOKUP(Table_Shelter[[#This Row],[CampName]],CL,4,0),"")</f>
        <v>1.2272727272727273</v>
      </c>
      <c r="V148" s="731" t="s">
        <v>1369</v>
      </c>
      <c r="W148" s="394"/>
    </row>
    <row r="149" spans="1:23" x14ac:dyDescent="0.25">
      <c r="A149" s="395">
        <v>41609</v>
      </c>
      <c r="B149" s="220" t="s">
        <v>454</v>
      </c>
      <c r="C149" s="220" t="s">
        <v>507</v>
      </c>
      <c r="D149" s="220" t="s">
        <v>380</v>
      </c>
      <c r="E149" s="225" t="s">
        <v>237</v>
      </c>
      <c r="F149" s="220" t="s">
        <v>265</v>
      </c>
      <c r="G149" s="145">
        <v>1</v>
      </c>
      <c r="H149" s="145"/>
      <c r="I149" s="145"/>
      <c r="J149" s="145">
        <v>15</v>
      </c>
      <c r="K149" s="145">
        <v>15</v>
      </c>
      <c r="L149" s="220"/>
      <c r="M149" s="220"/>
      <c r="N149" s="220"/>
      <c r="O149" s="220"/>
      <c r="P149" s="148">
        <f>IF(V149="NO",Table_Shelter[[#This Row],[HH per Shelter]]*(Table_Shelter[[#This Row],['# of Temporary Shelter Units Built]]+Table_Shelter[[#This Row],['# of Temporary Shelter Under  Construction]]+Table_Shelter[[#This Row],['# of Permanent House Under Construction]]),0)</f>
        <v>15</v>
      </c>
      <c r="Q149" s="144"/>
      <c r="R149" s="144"/>
      <c r="S149" s="148" t="str">
        <f>IFERROR(VLOOKUP(Table_Shelter[[#This Row],[CampName]],CL,2,0),"")</f>
        <v>MMR001CMP021</v>
      </c>
      <c r="T149" s="148" t="str">
        <f>IFERROR(VLOOKUP(Table_Shelter[[#This Row],[CampName]],CL,3,0),"")</f>
        <v>Open</v>
      </c>
      <c r="U149" s="393">
        <f>IFERROR(Table_Shelter[[#This Row],[HH Covered]]/VLOOKUP(Table_Shelter[[#This Row],[CampName]],CL,4,0),"")</f>
        <v>1.0714285714285714</v>
      </c>
      <c r="V149" s="731" t="s">
        <v>1369</v>
      </c>
      <c r="W149" s="397"/>
    </row>
    <row r="150" spans="1:23" x14ac:dyDescent="0.25">
      <c r="A150" s="395"/>
      <c r="B150" s="220" t="s">
        <v>454</v>
      </c>
      <c r="C150" s="220" t="s">
        <v>507</v>
      </c>
      <c r="D150" s="220" t="s">
        <v>380</v>
      </c>
      <c r="E150" s="225" t="s">
        <v>237</v>
      </c>
      <c r="F150" s="220" t="s">
        <v>265</v>
      </c>
      <c r="G150" s="145">
        <v>1</v>
      </c>
      <c r="H150" s="145"/>
      <c r="I150" s="145"/>
      <c r="J150" s="145">
        <v>4</v>
      </c>
      <c r="K150" s="145">
        <v>4</v>
      </c>
      <c r="L150" s="220"/>
      <c r="M150" s="220"/>
      <c r="N150" s="220"/>
      <c r="O150" s="220"/>
      <c r="P150" s="191">
        <f>IF(V150="NO",Table_Shelter[[#This Row],[HH per Shelter]]*(Table_Shelter[[#This Row],['# of Temporary Shelter Units Built]]+Table_Shelter[[#This Row],['# of Temporary Shelter Under  Construction]]+Table_Shelter[[#This Row],['# of Permanent House Under Construction]]),0)</f>
        <v>4</v>
      </c>
      <c r="Q150" s="144"/>
      <c r="R150" s="220"/>
      <c r="S150" s="221" t="str">
        <f>IFERROR(VLOOKUP(Table_Shelter[[#This Row],[CampName]],CL,2,0),"")</f>
        <v>MMR001CMP021</v>
      </c>
      <c r="T150" s="221" t="str">
        <f>IFERROR(VLOOKUP(Table_Shelter[[#This Row],[CampName]],CL,3,0),"")</f>
        <v>Open</v>
      </c>
      <c r="U150" s="393">
        <f>IFERROR(Table_Shelter[[#This Row],[HH Covered]]/VLOOKUP(Table_Shelter[[#This Row],[CampName]],CL,4,0),"")</f>
        <v>0.2857142857142857</v>
      </c>
      <c r="V150" s="731" t="s">
        <v>1369</v>
      </c>
      <c r="W150" s="394"/>
    </row>
    <row r="151" spans="1:23" x14ac:dyDescent="0.25">
      <c r="A151" s="396">
        <v>41609</v>
      </c>
      <c r="B151" s="221" t="s">
        <v>454</v>
      </c>
      <c r="C151" s="221" t="s">
        <v>507</v>
      </c>
      <c r="D151" s="221" t="s">
        <v>380</v>
      </c>
      <c r="E151" s="226" t="s">
        <v>529</v>
      </c>
      <c r="F151" s="221" t="s">
        <v>100</v>
      </c>
      <c r="G151" s="190">
        <v>1</v>
      </c>
      <c r="H151" s="149"/>
      <c r="I151" s="149"/>
      <c r="J151" s="149">
        <v>5</v>
      </c>
      <c r="K151" s="149">
        <v>5</v>
      </c>
      <c r="L151" s="222"/>
      <c r="M151" s="222"/>
      <c r="N151" s="222"/>
      <c r="O151" s="222"/>
      <c r="P151" s="148">
        <f>IF(V151="NO",Table_Shelter[[#This Row],[HH per Shelter]]*(Table_Shelter[[#This Row],['# of Temporary Shelter Units Built]]+Table_Shelter[[#This Row],['# of Temporary Shelter Under  Construction]]+Table_Shelter[[#This Row],['# of Permanent House Under Construction]]),0)</f>
        <v>5</v>
      </c>
      <c r="Q151" s="148"/>
      <c r="R151" s="148"/>
      <c r="S151" s="148" t="str">
        <f>IFERROR(VLOOKUP(Table_Shelter[[#This Row],[CampName]],CL,2,0),"")</f>
        <v>MMR001CMP091</v>
      </c>
      <c r="T151" s="148" t="str">
        <f>IFERROR(VLOOKUP(Table_Shelter[[#This Row],[CampName]],CL,3,0),"")</f>
        <v>Open</v>
      </c>
      <c r="U151" s="393">
        <f>IFERROR(Table_Shelter[[#This Row],[HH Covered]]/VLOOKUP(Table_Shelter[[#This Row],[CampName]],CL,4,0),"")</f>
        <v>1</v>
      </c>
      <c r="V151" s="731" t="s">
        <v>1369</v>
      </c>
      <c r="W151" s="397"/>
    </row>
    <row r="152" spans="1:23" x14ac:dyDescent="0.25">
      <c r="A152" s="392"/>
      <c r="B152" s="221" t="s">
        <v>454</v>
      </c>
      <c r="C152" s="221" t="s">
        <v>507</v>
      </c>
      <c r="D152" s="221" t="s">
        <v>380</v>
      </c>
      <c r="E152" s="226" t="s">
        <v>529</v>
      </c>
      <c r="F152" s="221" t="s">
        <v>100</v>
      </c>
      <c r="G152" s="190">
        <v>1</v>
      </c>
      <c r="H152" s="190"/>
      <c r="I152" s="190"/>
      <c r="J152" s="190">
        <v>5</v>
      </c>
      <c r="K152" s="190">
        <v>5</v>
      </c>
      <c r="L152" s="221"/>
      <c r="M152" s="221"/>
      <c r="N152" s="221"/>
      <c r="O152" s="221"/>
      <c r="P152" s="191">
        <f>IF(V152="NO",Table_Shelter[[#This Row],[HH per Shelter]]*(Table_Shelter[[#This Row],['# of Temporary Shelter Units Built]]+Table_Shelter[[#This Row],['# of Temporary Shelter Under  Construction]]+Table_Shelter[[#This Row],['# of Permanent House Under Construction]]),0)</f>
        <v>5</v>
      </c>
      <c r="Q152" s="191"/>
      <c r="R152" s="221"/>
      <c r="S152" s="221" t="str">
        <f>IFERROR(VLOOKUP(Table_Shelter[[#This Row],[CampName]],CL,2,0),"")</f>
        <v>MMR001CMP091</v>
      </c>
      <c r="T152" s="221" t="str">
        <f>IFERROR(VLOOKUP(Table_Shelter[[#This Row],[CampName]],CL,3,0),"")</f>
        <v>Open</v>
      </c>
      <c r="U152" s="393">
        <f>IFERROR(Table_Shelter[[#This Row],[HH Covered]]/VLOOKUP(Table_Shelter[[#This Row],[CampName]],CL,4,0),"")</f>
        <v>1</v>
      </c>
      <c r="V152" s="731" t="s">
        <v>1369</v>
      </c>
      <c r="W152" s="394"/>
    </row>
    <row r="153" spans="1:23" x14ac:dyDescent="0.25">
      <c r="A153" s="392"/>
      <c r="B153" s="221" t="s">
        <v>1104</v>
      </c>
      <c r="C153" s="221" t="s">
        <v>951</v>
      </c>
      <c r="D153" s="221" t="s">
        <v>555</v>
      </c>
      <c r="E153" s="226" t="s">
        <v>146</v>
      </c>
      <c r="F153" s="221" t="s">
        <v>368</v>
      </c>
      <c r="G153" s="190">
        <v>1</v>
      </c>
      <c r="H153" s="190"/>
      <c r="I153" s="190"/>
      <c r="J153" s="190">
        <v>63</v>
      </c>
      <c r="K153" s="190">
        <v>63</v>
      </c>
      <c r="L153" s="221"/>
      <c r="M153" s="221"/>
      <c r="N153" s="221"/>
      <c r="O153" s="221"/>
      <c r="P153" s="191">
        <f>IF(V153="NO",Table_Shelter[[#This Row],[HH per Shelter]]*(Table_Shelter[[#This Row],['# of Temporary Shelter Units Built]]+Table_Shelter[[#This Row],['# of Temporary Shelter Under  Construction]]+Table_Shelter[[#This Row],['# of Permanent House Under Construction]]),0)</f>
        <v>63</v>
      </c>
      <c r="Q153" s="191"/>
      <c r="R153" s="221"/>
      <c r="S153" s="221" t="str">
        <f>IFERROR(VLOOKUP(Table_Shelter[[#This Row],[CampName]],CL,2,0),"")</f>
        <v>MMR015CMP018</v>
      </c>
      <c r="T153" s="221" t="str">
        <f>IFERROR(VLOOKUP(Table_Shelter[[#This Row],[CampName]],CL,3,0),"")</f>
        <v>Open</v>
      </c>
      <c r="U153" s="393">
        <f>IFERROR(Table_Shelter[[#This Row],[HH Covered]]/VLOOKUP(Table_Shelter[[#This Row],[CampName]],CL,4,0),"")</f>
        <v>0.79746835443037978</v>
      </c>
      <c r="V153" s="731" t="s">
        <v>1369</v>
      </c>
      <c r="W153" s="394"/>
    </row>
    <row r="154" spans="1:23" x14ac:dyDescent="0.25">
      <c r="A154" s="396">
        <v>41791</v>
      </c>
      <c r="B154" s="220" t="s">
        <v>454</v>
      </c>
      <c r="C154" s="220" t="s">
        <v>462</v>
      </c>
      <c r="D154" s="223" t="s">
        <v>380</v>
      </c>
      <c r="E154" s="225" t="s">
        <v>185</v>
      </c>
      <c r="F154" s="220" t="s">
        <v>209</v>
      </c>
      <c r="G154" s="145">
        <v>1</v>
      </c>
      <c r="H154" s="149"/>
      <c r="I154" s="149"/>
      <c r="J154" s="149">
        <v>10</v>
      </c>
      <c r="K154" s="149">
        <v>10</v>
      </c>
      <c r="L154" s="222"/>
      <c r="M154" s="222"/>
      <c r="N154" s="222"/>
      <c r="O154" s="222"/>
      <c r="P154" s="148">
        <f>IF(V154="NO",Table_Shelter[[#This Row],[HH per Shelter]]*(Table_Shelter[[#This Row],['# of Temporary Shelter Units Built]]+Table_Shelter[[#This Row],['# of Temporary Shelter Under  Construction]]+Table_Shelter[[#This Row],['# of Permanent House Under Construction]]),0)</f>
        <v>10</v>
      </c>
      <c r="Q154" s="148"/>
      <c r="R154" s="148"/>
      <c r="S154" s="148" t="str">
        <f>IFERROR(VLOOKUP(Table_Shelter[[#This Row],[CampName]],CL,2,0),"")</f>
        <v>MMR001CMP056</v>
      </c>
      <c r="T154" s="148" t="str">
        <f>IFERROR(VLOOKUP(Table_Shelter[[#This Row],[CampName]],CL,3,0),"")</f>
        <v>Open</v>
      </c>
      <c r="U154" s="393">
        <f>IFERROR(Table_Shelter[[#This Row],[HH Covered]]/VLOOKUP(Table_Shelter[[#This Row],[CampName]],CL,4,0),"")</f>
        <v>4.8309178743961352E-2</v>
      </c>
      <c r="V154" s="731" t="s">
        <v>1369</v>
      </c>
      <c r="W154" s="397"/>
    </row>
    <row r="155" spans="1:23" x14ac:dyDescent="0.25">
      <c r="A155" s="396">
        <v>41609</v>
      </c>
      <c r="B155" s="220" t="s">
        <v>454</v>
      </c>
      <c r="C155" s="220"/>
      <c r="D155" s="223" t="s">
        <v>380</v>
      </c>
      <c r="E155" s="225" t="s">
        <v>185</v>
      </c>
      <c r="F155" s="220" t="s">
        <v>209</v>
      </c>
      <c r="G155" s="145">
        <v>1</v>
      </c>
      <c r="H155" s="149"/>
      <c r="I155" s="149"/>
      <c r="J155" s="149">
        <v>50</v>
      </c>
      <c r="K155" s="149">
        <v>50</v>
      </c>
      <c r="L155" s="222"/>
      <c r="M155" s="222"/>
      <c r="N155" s="222"/>
      <c r="O155" s="222"/>
      <c r="P155" s="148">
        <f>IF(V155="NO",Table_Shelter[[#This Row],[HH per Shelter]]*(Table_Shelter[[#This Row],['# of Temporary Shelter Units Built]]+Table_Shelter[[#This Row],['# of Temporary Shelter Under  Construction]]+Table_Shelter[[#This Row],['# of Permanent House Under Construction]]),0)</f>
        <v>50</v>
      </c>
      <c r="Q155" s="148"/>
      <c r="R155" s="222"/>
      <c r="S155" s="222" t="str">
        <f>IFERROR(VLOOKUP(Table_Shelter[[#This Row],[CampName]],CL,2,0),"")</f>
        <v>MMR001CMP056</v>
      </c>
      <c r="T155" s="222" t="str">
        <f>IFERROR(VLOOKUP(Table_Shelter[[#This Row],[CampName]],CL,3,0),"")</f>
        <v>Open</v>
      </c>
      <c r="U155" s="393">
        <f>IFERROR(Table_Shelter[[#This Row],[HH Covered]]/VLOOKUP(Table_Shelter[[#This Row],[CampName]],CL,4,0),"")</f>
        <v>0.24154589371980675</v>
      </c>
      <c r="V155" s="731" t="s">
        <v>1369</v>
      </c>
      <c r="W155" s="394"/>
    </row>
    <row r="156" spans="1:23" x14ac:dyDescent="0.25">
      <c r="A156" s="396"/>
      <c r="B156" s="220" t="s">
        <v>853</v>
      </c>
      <c r="C156" s="220" t="s">
        <v>852</v>
      </c>
      <c r="D156" s="223" t="s">
        <v>380</v>
      </c>
      <c r="E156" s="530" t="s">
        <v>185</v>
      </c>
      <c r="F156" s="220" t="s">
        <v>209</v>
      </c>
      <c r="G156" s="145">
        <v>1</v>
      </c>
      <c r="H156" s="149"/>
      <c r="I156" s="149"/>
      <c r="J156" s="149">
        <v>32</v>
      </c>
      <c r="K156" s="149">
        <v>32</v>
      </c>
      <c r="L156" s="222"/>
      <c r="M156" s="222"/>
      <c r="N156" s="222"/>
      <c r="O156" s="222"/>
      <c r="P156" s="148">
        <f>IF(V156="NO",Table_Shelter[[#This Row],[HH per Shelter]]*(Table_Shelter[[#This Row],['# of Temporary Shelter Units Built]]+Table_Shelter[[#This Row],['# of Temporary Shelter Under  Construction]]+Table_Shelter[[#This Row],['# of Permanent House Under Construction]]),0)</f>
        <v>32</v>
      </c>
      <c r="Q156" s="148"/>
      <c r="R156" s="222"/>
      <c r="S156" s="222" t="str">
        <f>IFERROR(VLOOKUP(Table_Shelter[[#This Row],[CampName]],CL,2,0),"")</f>
        <v>MMR001CMP056</v>
      </c>
      <c r="T156" s="222" t="str">
        <f>IFERROR(VLOOKUP(Table_Shelter[[#This Row],[CampName]],CL,3,0),"")</f>
        <v>Open</v>
      </c>
      <c r="U156" s="393">
        <f>IFERROR(Table_Shelter[[#This Row],[HH Covered]]/VLOOKUP(Table_Shelter[[#This Row],[CampName]],CL,4,0),"")</f>
        <v>0.15458937198067632</v>
      </c>
      <c r="V156" s="731" t="s">
        <v>1369</v>
      </c>
      <c r="W156" s="394"/>
    </row>
    <row r="157" spans="1:23" x14ac:dyDescent="0.25">
      <c r="A157" s="396"/>
      <c r="B157" s="220" t="s">
        <v>852</v>
      </c>
      <c r="C157" s="220"/>
      <c r="D157" s="223" t="s">
        <v>380</v>
      </c>
      <c r="E157" s="530" t="s">
        <v>185</v>
      </c>
      <c r="F157" s="220" t="s">
        <v>209</v>
      </c>
      <c r="G157" s="145">
        <v>1</v>
      </c>
      <c r="H157" s="149"/>
      <c r="I157" s="149"/>
      <c r="J157" s="149">
        <v>144</v>
      </c>
      <c r="K157" s="149">
        <v>144</v>
      </c>
      <c r="L157" s="222"/>
      <c r="M157" s="222"/>
      <c r="N157" s="222"/>
      <c r="O157" s="222"/>
      <c r="P157" s="148">
        <f>IF(V157="NO",Table_Shelter[[#This Row],[HH per Shelter]]*(Table_Shelter[[#This Row],['# of Temporary Shelter Units Built]]+Table_Shelter[[#This Row],['# of Temporary Shelter Under  Construction]]+Table_Shelter[[#This Row],['# of Permanent House Under Construction]]),0)</f>
        <v>144</v>
      </c>
      <c r="Q157" s="148"/>
      <c r="R157" s="222"/>
      <c r="S157" s="222" t="str">
        <f>IFERROR(VLOOKUP(Table_Shelter[[#This Row],[CampName]],CL,2,0),"")</f>
        <v>MMR001CMP056</v>
      </c>
      <c r="T157" s="222" t="str">
        <f>IFERROR(VLOOKUP(Table_Shelter[[#This Row],[CampName]],CL,3,0),"")</f>
        <v>Open</v>
      </c>
      <c r="U157" s="393">
        <f>IFERROR(Table_Shelter[[#This Row],[HH Covered]]/VLOOKUP(Table_Shelter[[#This Row],[CampName]],CL,4,0),"")</f>
        <v>0.69565217391304346</v>
      </c>
      <c r="V157" s="731" t="s">
        <v>1369</v>
      </c>
      <c r="W157" s="394"/>
    </row>
    <row r="158" spans="1:23" x14ac:dyDescent="0.25">
      <c r="A158" s="396"/>
      <c r="B158" s="220" t="s">
        <v>454</v>
      </c>
      <c r="C158" s="220" t="s">
        <v>462</v>
      </c>
      <c r="D158" s="223" t="s">
        <v>380</v>
      </c>
      <c r="E158" s="530" t="s">
        <v>185</v>
      </c>
      <c r="F158" s="220" t="s">
        <v>209</v>
      </c>
      <c r="G158" s="145">
        <v>1</v>
      </c>
      <c r="H158" s="149"/>
      <c r="I158" s="149"/>
      <c r="J158" s="149">
        <v>40</v>
      </c>
      <c r="K158" s="149">
        <v>40</v>
      </c>
      <c r="L158" s="222"/>
      <c r="M158" s="222"/>
      <c r="N158" s="222"/>
      <c r="O158" s="222"/>
      <c r="P158" s="148">
        <f>IF(V158="NO",Table_Shelter[[#This Row],[HH per Shelter]]*(Table_Shelter[[#This Row],['# of Temporary Shelter Units Built]]+Table_Shelter[[#This Row],['# of Temporary Shelter Under  Construction]]+Table_Shelter[[#This Row],['# of Permanent House Under Construction]]),0)</f>
        <v>40</v>
      </c>
      <c r="Q158" s="148"/>
      <c r="R158" s="222"/>
      <c r="S158" s="222" t="str">
        <f>IFERROR(VLOOKUP(Table_Shelter[[#This Row],[CampName]],CL,2,0),"")</f>
        <v>MMR001CMP056</v>
      </c>
      <c r="T158" s="222" t="str">
        <f>IFERROR(VLOOKUP(Table_Shelter[[#This Row],[CampName]],CL,3,0),"")</f>
        <v>Open</v>
      </c>
      <c r="U158" s="393">
        <f>IFERROR(Table_Shelter[[#This Row],[HH Covered]]/VLOOKUP(Table_Shelter[[#This Row],[CampName]],CL,4,0),"")</f>
        <v>0.19323671497584541</v>
      </c>
      <c r="V158" s="731" t="s">
        <v>1369</v>
      </c>
      <c r="W158" s="394"/>
    </row>
    <row r="159" spans="1:23" x14ac:dyDescent="0.25">
      <c r="A159" s="396"/>
      <c r="B159" s="220" t="s">
        <v>594</v>
      </c>
      <c r="C159" s="220" t="s">
        <v>461</v>
      </c>
      <c r="D159" s="223" t="s">
        <v>380</v>
      </c>
      <c r="E159" s="530" t="s">
        <v>185</v>
      </c>
      <c r="F159" s="220" t="s">
        <v>211</v>
      </c>
      <c r="G159" s="145">
        <v>1</v>
      </c>
      <c r="H159" s="149"/>
      <c r="I159" s="149"/>
      <c r="J159" s="149">
        <v>92</v>
      </c>
      <c r="K159" s="149">
        <v>92</v>
      </c>
      <c r="L159" s="222"/>
      <c r="M159" s="222"/>
      <c r="N159" s="222"/>
      <c r="O159" s="222"/>
      <c r="P159" s="148">
        <f>IF(V159="NO",Table_Shelter[[#This Row],[HH per Shelter]]*(Table_Shelter[[#This Row],['# of Temporary Shelter Units Built]]+Table_Shelter[[#This Row],['# of Temporary Shelter Under  Construction]]+Table_Shelter[[#This Row],['# of Permanent House Under Construction]]),0)</f>
        <v>92</v>
      </c>
      <c r="Q159" s="148"/>
      <c r="R159" s="222"/>
      <c r="S159" s="222" t="str">
        <f>IFERROR(VLOOKUP(Table_Shelter[[#This Row],[CampName]],CL,2,0),"")</f>
        <v>MMR001CMP057</v>
      </c>
      <c r="T159" s="222" t="str">
        <f>IFERROR(VLOOKUP(Table_Shelter[[#This Row],[CampName]],CL,3,0),"")</f>
        <v>Closed</v>
      </c>
      <c r="U159" s="393" t="str">
        <f>IFERROR(Table_Shelter[[#This Row],[HH Covered]]/VLOOKUP(Table_Shelter[[#This Row],[CampName]],CL,4,0),"")</f>
        <v/>
      </c>
      <c r="V159" s="731" t="s">
        <v>1369</v>
      </c>
      <c r="W159" s="394"/>
    </row>
    <row r="160" spans="1:23" x14ac:dyDescent="0.25">
      <c r="A160" s="396"/>
      <c r="B160" s="220" t="s">
        <v>454</v>
      </c>
      <c r="C160" s="220" t="s">
        <v>462</v>
      </c>
      <c r="D160" s="223" t="s">
        <v>555</v>
      </c>
      <c r="E160" s="530" t="s">
        <v>230</v>
      </c>
      <c r="F160" s="220" t="s">
        <v>235</v>
      </c>
      <c r="G160" s="145">
        <v>1</v>
      </c>
      <c r="H160" s="149"/>
      <c r="I160" s="149"/>
      <c r="J160" s="149">
        <v>10</v>
      </c>
      <c r="K160" s="149">
        <v>10</v>
      </c>
      <c r="L160" s="222"/>
      <c r="M160" s="222"/>
      <c r="N160" s="222"/>
      <c r="O160" s="222"/>
      <c r="P160" s="148">
        <f>IF(V160="NO",Table_Shelter[[#This Row],[HH per Shelter]]*(Table_Shelter[[#This Row],['# of Temporary Shelter Units Built]]+Table_Shelter[[#This Row],['# of Temporary Shelter Under  Construction]]+Table_Shelter[[#This Row],['# of Permanent House Under Construction]]),0)</f>
        <v>10</v>
      </c>
      <c r="Q160" s="148"/>
      <c r="R160" s="222"/>
      <c r="S160" s="222" t="str">
        <f>IFERROR(VLOOKUP(Table_Shelter[[#This Row],[CampName]],CL,2,0),"")</f>
        <v>MMR015CMP005</v>
      </c>
      <c r="T160" s="222" t="str">
        <f>IFERROR(VLOOKUP(Table_Shelter[[#This Row],[CampName]],CL,3,0),"")</f>
        <v>Open</v>
      </c>
      <c r="U160" s="393">
        <f>IFERROR(Table_Shelter[[#This Row],[HH Covered]]/VLOOKUP(Table_Shelter[[#This Row],[CampName]],CL,4,0),"")</f>
        <v>8.1300813008130079E-2</v>
      </c>
      <c r="V160" s="731" t="s">
        <v>1369</v>
      </c>
      <c r="W160" s="394"/>
    </row>
    <row r="161" spans="1:23" x14ac:dyDescent="0.25">
      <c r="A161" s="396"/>
      <c r="B161" s="220" t="s">
        <v>594</v>
      </c>
      <c r="C161" s="220" t="s">
        <v>461</v>
      </c>
      <c r="D161" s="223" t="s">
        <v>380</v>
      </c>
      <c r="E161" s="225" t="s">
        <v>151</v>
      </c>
      <c r="F161" s="220" t="s">
        <v>520</v>
      </c>
      <c r="G161" s="145">
        <v>1</v>
      </c>
      <c r="H161" s="149"/>
      <c r="I161" s="149"/>
      <c r="J161" s="149">
        <v>24</v>
      </c>
      <c r="K161" s="149">
        <v>24</v>
      </c>
      <c r="L161" s="222"/>
      <c r="M161" s="222"/>
      <c r="N161" s="222"/>
      <c r="O161" s="222"/>
      <c r="P161" s="148">
        <f>IF(V161="NO",Table_Shelter[[#This Row],[HH per Shelter]]*(Table_Shelter[[#This Row],['# of Temporary Shelter Units Built]]+Table_Shelter[[#This Row],['# of Temporary Shelter Under  Construction]]+Table_Shelter[[#This Row],['# of Permanent House Under Construction]]),0)</f>
        <v>24</v>
      </c>
      <c r="Q161" s="148"/>
      <c r="R161" s="222"/>
      <c r="S161" s="222" t="str">
        <f>IFERROR(VLOOKUP(Table_Shelter[[#This Row],[CampName]],CL,2,0),"")</f>
        <v>MMR001CMP203</v>
      </c>
      <c r="T161" s="222" t="str">
        <f>IFERROR(VLOOKUP(Table_Shelter[[#This Row],[CampName]],CL,3,0),"")</f>
        <v>Closed</v>
      </c>
      <c r="U161" s="393" t="str">
        <f>IFERROR(Table_Shelter[[#This Row],[HH Covered]]/VLOOKUP(Table_Shelter[[#This Row],[CampName]],CL,4,0),"")</f>
        <v/>
      </c>
      <c r="V161" s="731" t="s">
        <v>1369</v>
      </c>
      <c r="W161" s="394"/>
    </row>
    <row r="162" spans="1:23" x14ac:dyDescent="0.25">
      <c r="A162" s="396">
        <v>41609</v>
      </c>
      <c r="B162" s="145" t="s">
        <v>454</v>
      </c>
      <c r="C162" s="145" t="s">
        <v>462</v>
      </c>
      <c r="D162" s="228" t="s">
        <v>555</v>
      </c>
      <c r="E162" s="229" t="s">
        <v>146</v>
      </c>
      <c r="F162" s="145" t="s">
        <v>371</v>
      </c>
      <c r="G162" s="145">
        <v>1</v>
      </c>
      <c r="H162" s="149"/>
      <c r="I162" s="149"/>
      <c r="J162" s="149">
        <v>5</v>
      </c>
      <c r="K162" s="149">
        <v>5</v>
      </c>
      <c r="L162" s="149"/>
      <c r="M162" s="149"/>
      <c r="N162" s="149"/>
      <c r="O162" s="149"/>
      <c r="P162" s="148">
        <f>IF(V162="NO",Table_Shelter[[#This Row],[HH per Shelter]]*(Table_Shelter[[#This Row],['# of Temporary Shelter Units Built]]+Table_Shelter[[#This Row],['# of Temporary Shelter Under  Construction]]+Table_Shelter[[#This Row],['# of Permanent House Under Construction]]),0)</f>
        <v>5</v>
      </c>
      <c r="Q162" s="148"/>
      <c r="R162" s="148"/>
      <c r="S162" s="148" t="str">
        <f>IFERROR(VLOOKUP(Table_Shelter[[#This Row],[CampName]],CL,2,0),"")</f>
        <v>MMR015CMP006</v>
      </c>
      <c r="T162" s="148" t="str">
        <f>IFERROR(VLOOKUP(Table_Shelter[[#This Row],[CampName]],CL,3,0),"")</f>
        <v>Open</v>
      </c>
      <c r="U162" s="399">
        <f>IFERROR(Table_Shelter[[#This Row],[HH Covered]]/VLOOKUP(Table_Shelter[[#This Row],[CampName]],CL,4,0),"")</f>
        <v>9.8039215686274508E-2</v>
      </c>
      <c r="V162" s="731" t="s">
        <v>1369</v>
      </c>
      <c r="W162" s="397"/>
    </row>
    <row r="163" spans="1:23" x14ac:dyDescent="0.25">
      <c r="A163" s="396">
        <v>41974</v>
      </c>
      <c r="B163" s="220" t="s">
        <v>852</v>
      </c>
      <c r="C163" s="220"/>
      <c r="D163" s="223" t="s">
        <v>555</v>
      </c>
      <c r="E163" s="225" t="s">
        <v>230</v>
      </c>
      <c r="F163" s="220" t="s">
        <v>1060</v>
      </c>
      <c r="G163" s="145">
        <v>1</v>
      </c>
      <c r="H163" s="149"/>
      <c r="I163" s="149"/>
      <c r="J163" s="149">
        <v>44</v>
      </c>
      <c r="K163" s="149">
        <v>44</v>
      </c>
      <c r="L163" s="222"/>
      <c r="M163" s="222"/>
      <c r="N163" s="222"/>
      <c r="O163" s="222"/>
      <c r="P163" s="148">
        <f>IF(V163="NO",Table_Shelter[[#This Row],[HH per Shelter]]*(Table_Shelter[[#This Row],['# of Temporary Shelter Units Built]]+Table_Shelter[[#This Row],['# of Temporary Shelter Under  Construction]]+Table_Shelter[[#This Row],['# of Permanent House Under Construction]]),0)</f>
        <v>44</v>
      </c>
      <c r="Q163" s="148"/>
      <c r="R163" s="222"/>
      <c r="S163" s="222" t="str">
        <f>IFERROR(VLOOKUP(Table_Shelter[[#This Row],[CampName]],CL,2,0),"")</f>
        <v>MMR015CMP213</v>
      </c>
      <c r="T163" s="222" t="str">
        <f>IFERROR(VLOOKUP(Table_Shelter[[#This Row],[CampName]],CL,3,0),"")</f>
        <v>Open</v>
      </c>
      <c r="U163" s="393">
        <f>IFERROR(Table_Shelter[[#This Row],[HH Covered]]/VLOOKUP(Table_Shelter[[#This Row],[CampName]],CL,4,0),"")</f>
        <v>0.8</v>
      </c>
      <c r="V163" s="731" t="s">
        <v>1369</v>
      </c>
      <c r="W163" s="394"/>
    </row>
    <row r="164" spans="1:23" x14ac:dyDescent="0.25">
      <c r="A164" s="396">
        <v>41770</v>
      </c>
      <c r="B164" s="220" t="s">
        <v>454</v>
      </c>
      <c r="C164" s="220"/>
      <c r="D164" s="223" t="s">
        <v>555</v>
      </c>
      <c r="E164" s="225" t="s">
        <v>230</v>
      </c>
      <c r="F164" s="220" t="s">
        <v>1060</v>
      </c>
      <c r="G164" s="145">
        <v>1</v>
      </c>
      <c r="H164" s="149">
        <v>110</v>
      </c>
      <c r="I164" s="149">
        <v>110</v>
      </c>
      <c r="J164" s="149"/>
      <c r="K164" s="149"/>
      <c r="L164" s="222"/>
      <c r="M164" s="222"/>
      <c r="N164" s="222"/>
      <c r="O164" s="222"/>
      <c r="P164" s="148">
        <f>IF(V164="NO",Table_Shelter[[#This Row],[HH per Shelter]]*(Table_Shelter[[#This Row],['# of Temporary Shelter Units Built]]+Table_Shelter[[#This Row],['# of Temporary Shelter Under  Construction]]+Table_Shelter[[#This Row],['# of Permanent House Under Construction]]),0)</f>
        <v>0</v>
      </c>
      <c r="Q164" s="148"/>
      <c r="R164" s="222"/>
      <c r="S164" s="222" t="str">
        <f>IFERROR(VLOOKUP(Table_Shelter[[#This Row],[CampName]],CL,2,0),"")</f>
        <v>MMR015CMP213</v>
      </c>
      <c r="T164" s="222" t="str">
        <f>IFERROR(VLOOKUP(Table_Shelter[[#This Row],[CampName]],CL,3,0),"")</f>
        <v>Open</v>
      </c>
      <c r="U164" s="393">
        <f>IFERROR(Table_Shelter[[#This Row],[HH Covered]]/VLOOKUP(Table_Shelter[[#This Row],[CampName]],CL,4,0),"")</f>
        <v>0</v>
      </c>
      <c r="V164" s="731" t="s">
        <v>1369</v>
      </c>
      <c r="W164" s="394"/>
    </row>
    <row r="165" spans="1:23" x14ac:dyDescent="0.25">
      <c r="A165" s="396"/>
      <c r="B165" s="220" t="s">
        <v>852</v>
      </c>
      <c r="C165" s="220"/>
      <c r="D165" s="223" t="s">
        <v>555</v>
      </c>
      <c r="E165" s="225" t="s">
        <v>230</v>
      </c>
      <c r="F165" s="220" t="s">
        <v>1070</v>
      </c>
      <c r="G165" s="145">
        <v>1</v>
      </c>
      <c r="H165" s="149"/>
      <c r="I165" s="149"/>
      <c r="J165" s="149">
        <v>20</v>
      </c>
      <c r="K165" s="149">
        <v>20</v>
      </c>
      <c r="L165" s="222"/>
      <c r="M165" s="222"/>
      <c r="N165" s="222"/>
      <c r="O165" s="222"/>
      <c r="P165" s="148">
        <f>IF(V165="NO",Table_Shelter[[#This Row],[HH per Shelter]]*(Table_Shelter[[#This Row],['# of Temporary Shelter Units Built]]+Table_Shelter[[#This Row],['# of Temporary Shelter Under  Construction]]+Table_Shelter[[#This Row],['# of Permanent House Under Construction]]),0)</f>
        <v>20</v>
      </c>
      <c r="Q165" s="148"/>
      <c r="R165" s="222"/>
      <c r="S165" s="222" t="str">
        <f>IFERROR(VLOOKUP(Table_Shelter[[#This Row],[CampName]],CL,2,0),"")</f>
        <v>MMR015CMP216</v>
      </c>
      <c r="T165" s="222" t="str">
        <f>IFERROR(VLOOKUP(Table_Shelter[[#This Row],[CampName]],CL,3,0),"")</f>
        <v>Open</v>
      </c>
      <c r="U165" s="393">
        <f>IFERROR(Table_Shelter[[#This Row],[HH Covered]]/VLOOKUP(Table_Shelter[[#This Row],[CampName]],CL,4,0),"")</f>
        <v>0.66666666666666663</v>
      </c>
      <c r="V165" s="731" t="s">
        <v>1369</v>
      </c>
      <c r="W165" s="394"/>
    </row>
    <row r="166" spans="1:23" x14ac:dyDescent="0.25">
      <c r="A166" s="396"/>
      <c r="B166" s="220" t="s">
        <v>454</v>
      </c>
      <c r="C166" s="220" t="s">
        <v>1296</v>
      </c>
      <c r="D166" s="228" t="s">
        <v>555</v>
      </c>
      <c r="E166" s="225" t="s">
        <v>230</v>
      </c>
      <c r="F166" s="220" t="s">
        <v>1070</v>
      </c>
      <c r="G166" s="145">
        <v>1</v>
      </c>
      <c r="H166" s="149"/>
      <c r="I166" s="149"/>
      <c r="J166" s="149">
        <v>10</v>
      </c>
      <c r="K166" s="149">
        <v>10</v>
      </c>
      <c r="L166" s="222"/>
      <c r="M166" s="222"/>
      <c r="N166" s="222"/>
      <c r="O166" s="222"/>
      <c r="P166" s="148">
        <f>IF(V166="NO",Table_Shelter[[#This Row],[HH per Shelter]]*(Table_Shelter[[#This Row],['# of Temporary Shelter Units Built]]+Table_Shelter[[#This Row],['# of Temporary Shelter Under  Construction]]+Table_Shelter[[#This Row],['# of Permanent House Under Construction]]),0)</f>
        <v>10</v>
      </c>
      <c r="Q166" s="148"/>
      <c r="R166" s="148"/>
      <c r="S166" s="148" t="str">
        <f>IFERROR(VLOOKUP(Table_Shelter[[#This Row],[CampName]],CL,2,0),"")</f>
        <v>MMR015CMP216</v>
      </c>
      <c r="T166" s="148" t="str">
        <f>IFERROR(VLOOKUP(Table_Shelter[[#This Row],[CampName]],CL,3,0),"")</f>
        <v>Open</v>
      </c>
      <c r="U166" s="393">
        <f>IFERROR(Table_Shelter[[#This Row],[HH Covered]]/VLOOKUP(Table_Shelter[[#This Row],[CampName]],CL,4,0),"")</f>
        <v>0.33333333333333331</v>
      </c>
      <c r="V166" s="731" t="s">
        <v>1369</v>
      </c>
      <c r="W166" s="397"/>
    </row>
    <row r="167" spans="1:23" x14ac:dyDescent="0.25">
      <c r="A167" s="396">
        <v>41791</v>
      </c>
      <c r="B167" s="145" t="s">
        <v>454</v>
      </c>
      <c r="C167" s="145" t="s">
        <v>507</v>
      </c>
      <c r="D167" s="228" t="s">
        <v>380</v>
      </c>
      <c r="E167" s="229" t="s">
        <v>5</v>
      </c>
      <c r="F167" s="145" t="s">
        <v>8</v>
      </c>
      <c r="G167" s="145">
        <v>1</v>
      </c>
      <c r="H167" s="149"/>
      <c r="I167" s="149"/>
      <c r="J167" s="149">
        <v>5</v>
      </c>
      <c r="K167" s="149">
        <v>5</v>
      </c>
      <c r="L167" s="149"/>
      <c r="M167" s="149"/>
      <c r="N167" s="149"/>
      <c r="O167" s="149"/>
      <c r="P167" s="148">
        <f>IF(V167="NO",Table_Shelter[[#This Row],[HH per Shelter]]*(Table_Shelter[[#This Row],['# of Temporary Shelter Units Built]]+Table_Shelter[[#This Row],['# of Temporary Shelter Under  Construction]]+Table_Shelter[[#This Row],['# of Permanent House Under Construction]]),0)</f>
        <v>5</v>
      </c>
      <c r="Q167" s="148"/>
      <c r="R167" s="148"/>
      <c r="S167" s="148" t="str">
        <f>IFERROR(VLOOKUP(Table_Shelter[[#This Row],[CampName]],CL,2,0),"")</f>
        <v>MMR001CMP051</v>
      </c>
      <c r="T167" s="148" t="str">
        <f>IFERROR(VLOOKUP(Table_Shelter[[#This Row],[CampName]],CL,3,0),"")</f>
        <v>Open</v>
      </c>
      <c r="U167" s="399">
        <f>IFERROR(Table_Shelter[[#This Row],[HH Covered]]/VLOOKUP(Table_Shelter[[#This Row],[CampName]],CL,4,0),"")</f>
        <v>0.21739130434782608</v>
      </c>
      <c r="V167" s="731" t="s">
        <v>1369</v>
      </c>
      <c r="W167" s="397"/>
    </row>
    <row r="168" spans="1:23" x14ac:dyDescent="0.25">
      <c r="A168" s="396">
        <v>41609</v>
      </c>
      <c r="B168" s="220" t="s">
        <v>454</v>
      </c>
      <c r="C168" s="220" t="s">
        <v>507</v>
      </c>
      <c r="D168" s="223" t="s">
        <v>380</v>
      </c>
      <c r="E168" s="530" t="s">
        <v>5</v>
      </c>
      <c r="F168" s="220" t="s">
        <v>8</v>
      </c>
      <c r="G168" s="145">
        <v>1</v>
      </c>
      <c r="H168" s="149"/>
      <c r="I168" s="149"/>
      <c r="J168" s="149">
        <v>13</v>
      </c>
      <c r="K168" s="149">
        <v>13</v>
      </c>
      <c r="L168" s="222"/>
      <c r="M168" s="222"/>
      <c r="N168" s="222"/>
      <c r="O168" s="222"/>
      <c r="P168" s="148">
        <f>IF(V168="NO",Table_Shelter[[#This Row],[HH per Shelter]]*(Table_Shelter[[#This Row],['# of Temporary Shelter Units Built]]+Table_Shelter[[#This Row],['# of Temporary Shelter Under  Construction]]+Table_Shelter[[#This Row],['# of Permanent House Under Construction]]),0)</f>
        <v>13</v>
      </c>
      <c r="Q168" s="148"/>
      <c r="R168" s="222"/>
      <c r="S168" s="222" t="str">
        <f>IFERROR(VLOOKUP(Table_Shelter[[#This Row],[CampName]],CL,2,0),"")</f>
        <v>MMR001CMP051</v>
      </c>
      <c r="T168" s="222" t="str">
        <f>IFERROR(VLOOKUP(Table_Shelter[[#This Row],[CampName]],CL,3,0),"")</f>
        <v>Open</v>
      </c>
      <c r="U168" s="393">
        <f>IFERROR(Table_Shelter[[#This Row],[HH Covered]]/VLOOKUP(Table_Shelter[[#This Row],[CampName]],CL,4,0),"")</f>
        <v>0.56521739130434778</v>
      </c>
      <c r="V168" s="731" t="s">
        <v>1369</v>
      </c>
      <c r="W168" s="394"/>
    </row>
    <row r="169" spans="1:23" x14ac:dyDescent="0.25">
      <c r="A169" s="396"/>
      <c r="B169" s="220" t="s">
        <v>455</v>
      </c>
      <c r="C169" s="220" t="s">
        <v>462</v>
      </c>
      <c r="D169" s="223" t="s">
        <v>555</v>
      </c>
      <c r="E169" s="225" t="s">
        <v>289</v>
      </c>
      <c r="F169" s="220" t="s">
        <v>292</v>
      </c>
      <c r="G169" s="145">
        <v>1</v>
      </c>
      <c r="H169" s="149"/>
      <c r="I169" s="149"/>
      <c r="J169" s="149">
        <v>78</v>
      </c>
      <c r="K169" s="149">
        <v>78</v>
      </c>
      <c r="L169" s="222"/>
      <c r="M169" s="222"/>
      <c r="N169" s="222"/>
      <c r="O169" s="222"/>
      <c r="P169" s="148">
        <f>IF(V169="NO",Table_Shelter[[#This Row],[HH per Shelter]]*(Table_Shelter[[#This Row],['# of Temporary Shelter Units Built]]+Table_Shelter[[#This Row],['# of Temporary Shelter Under  Construction]]+Table_Shelter[[#This Row],['# of Permanent House Under Construction]]),0)</f>
        <v>78</v>
      </c>
      <c r="Q169" s="148"/>
      <c r="R169" s="222"/>
      <c r="S169" s="222" t="str">
        <f>IFERROR(VLOOKUP(Table_Shelter[[#This Row],[CampName]],CL,2,0),"")</f>
        <v>MMR015CMP004</v>
      </c>
      <c r="T169" s="222" t="str">
        <f>IFERROR(VLOOKUP(Table_Shelter[[#This Row],[CampName]],CL,3,0),"")</f>
        <v>Open</v>
      </c>
      <c r="U169" s="393">
        <f>IFERROR(Table_Shelter[[#This Row],[HH Covered]]/VLOOKUP(Table_Shelter[[#This Row],[CampName]],CL,4,0),"")</f>
        <v>0.95121951219512191</v>
      </c>
      <c r="V169" s="731" t="s">
        <v>1369</v>
      </c>
      <c r="W169" s="394"/>
    </row>
    <row r="170" spans="1:23" x14ac:dyDescent="0.25">
      <c r="A170" s="396"/>
      <c r="B170" s="220" t="s">
        <v>454</v>
      </c>
      <c r="C170" s="220" t="s">
        <v>462</v>
      </c>
      <c r="D170" s="223" t="s">
        <v>555</v>
      </c>
      <c r="E170" s="225" t="s">
        <v>289</v>
      </c>
      <c r="F170" s="220" t="s">
        <v>292</v>
      </c>
      <c r="G170" s="145">
        <v>1</v>
      </c>
      <c r="H170" s="149"/>
      <c r="I170" s="149"/>
      <c r="J170" s="149">
        <v>20</v>
      </c>
      <c r="K170" s="149">
        <v>20</v>
      </c>
      <c r="L170" s="222"/>
      <c r="M170" s="222"/>
      <c r="N170" s="222"/>
      <c r="O170" s="222"/>
      <c r="P170" s="148">
        <f>IF(V170="NO",Table_Shelter[[#This Row],[HH per Shelter]]*(Table_Shelter[[#This Row],['# of Temporary Shelter Units Built]]+Table_Shelter[[#This Row],['# of Temporary Shelter Under  Construction]]+Table_Shelter[[#This Row],['# of Permanent House Under Construction]]),0)</f>
        <v>20</v>
      </c>
      <c r="Q170" s="148"/>
      <c r="R170" s="222"/>
      <c r="S170" s="222" t="str">
        <f>IFERROR(VLOOKUP(Table_Shelter[[#This Row],[CampName]],CL,2,0),"")</f>
        <v>MMR015CMP004</v>
      </c>
      <c r="T170" s="222" t="str">
        <f>IFERROR(VLOOKUP(Table_Shelter[[#This Row],[CampName]],CL,3,0),"")</f>
        <v>Open</v>
      </c>
      <c r="U170" s="393">
        <f>IFERROR(Table_Shelter[[#This Row],[HH Covered]]/VLOOKUP(Table_Shelter[[#This Row],[CampName]],CL,4,0),"")</f>
        <v>0.24390243902439024</v>
      </c>
      <c r="V170" s="731" t="s">
        <v>1369</v>
      </c>
      <c r="W170" s="394"/>
    </row>
    <row r="171" spans="1:23" x14ac:dyDescent="0.25">
      <c r="A171" s="396"/>
      <c r="B171" s="220" t="s">
        <v>455</v>
      </c>
      <c r="C171" s="220" t="s">
        <v>462</v>
      </c>
      <c r="D171" s="223" t="s">
        <v>555</v>
      </c>
      <c r="E171" s="225" t="s">
        <v>289</v>
      </c>
      <c r="F171" s="220" t="s">
        <v>290</v>
      </c>
      <c r="G171" s="145">
        <v>1</v>
      </c>
      <c r="H171" s="149"/>
      <c r="I171" s="149"/>
      <c r="J171" s="149">
        <v>30</v>
      </c>
      <c r="K171" s="149">
        <v>30</v>
      </c>
      <c r="L171" s="222"/>
      <c r="M171" s="222"/>
      <c r="N171" s="222"/>
      <c r="O171" s="222"/>
      <c r="P171" s="148">
        <f>IF(V171="NO",Table_Shelter[[#This Row],[HH per Shelter]]*(Table_Shelter[[#This Row],['# of Temporary Shelter Units Built]]+Table_Shelter[[#This Row],['# of Temporary Shelter Under  Construction]]+Table_Shelter[[#This Row],['# of Permanent House Under Construction]]),0)</f>
        <v>30</v>
      </c>
      <c r="Q171" s="148"/>
      <c r="R171" s="222"/>
      <c r="S171" s="222" t="str">
        <f>IFERROR(VLOOKUP(Table_Shelter[[#This Row],[CampName]],CL,2,0),"")</f>
        <v>MMR015CMP001</v>
      </c>
      <c r="T171" s="222" t="str">
        <f>IFERROR(VLOOKUP(Table_Shelter[[#This Row],[CampName]],CL,3,0),"")</f>
        <v>Open</v>
      </c>
      <c r="U171" s="393">
        <f>IFERROR(Table_Shelter[[#This Row],[HH Covered]]/VLOOKUP(Table_Shelter[[#This Row],[CampName]],CL,4,0),"")</f>
        <v>0.44117647058823528</v>
      </c>
      <c r="V171" s="731" t="s">
        <v>1369</v>
      </c>
      <c r="W171" s="394"/>
    </row>
    <row r="172" spans="1:23" x14ac:dyDescent="0.25">
      <c r="A172" s="396"/>
      <c r="B172" s="220" t="s">
        <v>852</v>
      </c>
      <c r="C172" s="220"/>
      <c r="D172" s="223" t="s">
        <v>555</v>
      </c>
      <c r="E172" s="225" t="s">
        <v>289</v>
      </c>
      <c r="F172" s="220" t="s">
        <v>1062</v>
      </c>
      <c r="G172" s="145">
        <v>1</v>
      </c>
      <c r="H172" s="149"/>
      <c r="I172" s="149"/>
      <c r="J172" s="149">
        <v>24</v>
      </c>
      <c r="K172" s="149">
        <v>12</v>
      </c>
      <c r="L172" s="222"/>
      <c r="M172" s="222"/>
      <c r="N172" s="222"/>
      <c r="O172" s="222"/>
      <c r="P172" s="148">
        <f>IF(V172="NO",Table_Shelter[[#This Row],[HH per Shelter]]*(Table_Shelter[[#This Row],['# of Temporary Shelter Units Built]]+Table_Shelter[[#This Row],['# of Temporary Shelter Under  Construction]]+Table_Shelter[[#This Row],['# of Permanent House Under Construction]]),0)</f>
        <v>12</v>
      </c>
      <c r="Q172" s="148"/>
      <c r="R172" s="222"/>
      <c r="S172" s="222" t="str">
        <f>IFERROR(VLOOKUP(Table_Shelter[[#This Row],[CampName]],CL,2,0),"")</f>
        <v>MMR015CMP214</v>
      </c>
      <c r="T172" s="222" t="str">
        <f>IFERROR(VLOOKUP(Table_Shelter[[#This Row],[CampName]],CL,3,0),"")</f>
        <v>Open</v>
      </c>
      <c r="U172" s="393">
        <f>IFERROR(Table_Shelter[[#This Row],[HH Covered]]/VLOOKUP(Table_Shelter[[#This Row],[CampName]],CL,4,0),"")</f>
        <v>0.29268292682926828</v>
      </c>
      <c r="V172" s="731" t="s">
        <v>1369</v>
      </c>
      <c r="W172" s="394"/>
    </row>
    <row r="173" spans="1:23" x14ac:dyDescent="0.25">
      <c r="A173" s="396"/>
      <c r="B173" s="220" t="s">
        <v>454</v>
      </c>
      <c r="C173" s="220" t="s">
        <v>462</v>
      </c>
      <c r="D173" s="223" t="s">
        <v>555</v>
      </c>
      <c r="E173" s="225" t="s">
        <v>146</v>
      </c>
      <c r="F173" s="220" t="s">
        <v>149</v>
      </c>
      <c r="G173" s="145">
        <v>1</v>
      </c>
      <c r="H173" s="149"/>
      <c r="I173" s="149"/>
      <c r="J173" s="149">
        <v>20</v>
      </c>
      <c r="K173" s="149">
        <v>20</v>
      </c>
      <c r="L173" s="222"/>
      <c r="M173" s="222"/>
      <c r="N173" s="222"/>
      <c r="O173" s="222"/>
      <c r="P173" s="148">
        <f>IF(V173="NO",Table_Shelter[[#This Row],[HH per Shelter]]*(Table_Shelter[[#This Row],['# of Temporary Shelter Units Built]]+Table_Shelter[[#This Row],['# of Temporary Shelter Under  Construction]]+Table_Shelter[[#This Row],['# of Permanent House Under Construction]]),0)</f>
        <v>20</v>
      </c>
      <c r="Q173" s="148"/>
      <c r="R173" s="222"/>
      <c r="S173" s="222" t="str">
        <f>IFERROR(VLOOKUP(Table_Shelter[[#This Row],[CampName]],CL,2,0),"")</f>
        <v>MMR015CMP007</v>
      </c>
      <c r="T173" s="222" t="str">
        <f>IFERROR(VLOOKUP(Table_Shelter[[#This Row],[CampName]],CL,3,0),"")</f>
        <v>Open</v>
      </c>
      <c r="U173" s="393">
        <f>IFERROR(Table_Shelter[[#This Row],[HH Covered]]/VLOOKUP(Table_Shelter[[#This Row],[CampName]],CL,4,0),"")</f>
        <v>0.28169014084507044</v>
      </c>
      <c r="V173" s="731" t="s">
        <v>1369</v>
      </c>
      <c r="W173" s="394"/>
    </row>
    <row r="174" spans="1:23" x14ac:dyDescent="0.25">
      <c r="A174" s="396"/>
      <c r="B174" s="220" t="s">
        <v>454</v>
      </c>
      <c r="C174" s="220" t="s">
        <v>852</v>
      </c>
      <c r="D174" s="223" t="s">
        <v>555</v>
      </c>
      <c r="E174" s="225" t="s">
        <v>146</v>
      </c>
      <c r="F174" s="220" t="s">
        <v>149</v>
      </c>
      <c r="G174" s="145">
        <v>1</v>
      </c>
      <c r="H174" s="149"/>
      <c r="I174" s="149"/>
      <c r="J174" s="149">
        <v>6</v>
      </c>
      <c r="K174" s="149">
        <v>6</v>
      </c>
      <c r="L174" s="222"/>
      <c r="M174" s="222"/>
      <c r="N174" s="222"/>
      <c r="O174" s="222"/>
      <c r="P174" s="148">
        <f>IF(V174="NO",Table_Shelter[[#This Row],[HH per Shelter]]*(Table_Shelter[[#This Row],['# of Temporary Shelter Units Built]]+Table_Shelter[[#This Row],['# of Temporary Shelter Under  Construction]]+Table_Shelter[[#This Row],['# of Permanent House Under Construction]]),0)</f>
        <v>6</v>
      </c>
      <c r="Q174" s="148"/>
      <c r="R174" s="222"/>
      <c r="S174" s="222" t="str">
        <f>IFERROR(VLOOKUP(Table_Shelter[[#This Row],[CampName]],CL,2,0),"")</f>
        <v>MMR015CMP007</v>
      </c>
      <c r="T174" s="222" t="str">
        <f>IFERROR(VLOOKUP(Table_Shelter[[#This Row],[CampName]],CL,3,0),"")</f>
        <v>Open</v>
      </c>
      <c r="U174" s="393">
        <f>IFERROR(Table_Shelter[[#This Row],[HH Covered]]/VLOOKUP(Table_Shelter[[#This Row],[CampName]],CL,4,0),"")</f>
        <v>8.4507042253521125E-2</v>
      </c>
      <c r="V174" s="731" t="s">
        <v>1369</v>
      </c>
      <c r="W174" s="394"/>
    </row>
    <row r="175" spans="1:23" x14ac:dyDescent="0.25">
      <c r="A175" s="396"/>
      <c r="B175" s="220" t="s">
        <v>454</v>
      </c>
      <c r="C175" s="220" t="s">
        <v>461</v>
      </c>
      <c r="D175" s="223" t="s">
        <v>380</v>
      </c>
      <c r="E175" s="225" t="s">
        <v>151</v>
      </c>
      <c r="F175" s="220" t="s">
        <v>871</v>
      </c>
      <c r="G175" s="145">
        <v>1</v>
      </c>
      <c r="H175" s="149"/>
      <c r="I175" s="149"/>
      <c r="J175" s="149">
        <v>36</v>
      </c>
      <c r="K175" s="149">
        <v>36</v>
      </c>
      <c r="L175" s="222"/>
      <c r="M175" s="222"/>
      <c r="N175" s="222"/>
      <c r="O175" s="222"/>
      <c r="P175" s="148">
        <f>IF(V175="NO",Table_Shelter[[#This Row],[HH per Shelter]]*(Table_Shelter[[#This Row],['# of Temporary Shelter Units Built]]+Table_Shelter[[#This Row],['# of Temporary Shelter Under  Construction]]+Table_Shelter[[#This Row],['# of Permanent House Under Construction]]),0)</f>
        <v>36</v>
      </c>
      <c r="Q175" s="148"/>
      <c r="R175" s="222"/>
      <c r="S175" s="222" t="str">
        <f>IFERROR(VLOOKUP(Table_Shelter[[#This Row],[CampName]],CL,2,0),"")</f>
        <v>MMR001CMP204</v>
      </c>
      <c r="T175" s="222" t="str">
        <f>IFERROR(VLOOKUP(Table_Shelter[[#This Row],[CampName]],CL,3,0),"")</f>
        <v>Closed</v>
      </c>
      <c r="U175" s="393" t="str">
        <f>IFERROR(Table_Shelter[[#This Row],[HH Covered]]/VLOOKUP(Table_Shelter[[#This Row],[CampName]],CL,4,0),"")</f>
        <v/>
      </c>
      <c r="V175" s="731" t="s">
        <v>1369</v>
      </c>
      <c r="W175" s="394"/>
    </row>
    <row r="176" spans="1:23" x14ac:dyDescent="0.25">
      <c r="A176" s="396">
        <v>41974</v>
      </c>
      <c r="B176" s="220" t="s">
        <v>454</v>
      </c>
      <c r="C176" s="220" t="s">
        <v>507</v>
      </c>
      <c r="D176" s="223" t="s">
        <v>380</v>
      </c>
      <c r="E176" s="225" t="s">
        <v>529</v>
      </c>
      <c r="F176" s="220" t="s">
        <v>613</v>
      </c>
      <c r="G176" s="145">
        <v>1</v>
      </c>
      <c r="H176" s="149"/>
      <c r="I176" s="149"/>
      <c r="J176" s="149">
        <v>5</v>
      </c>
      <c r="K176" s="149">
        <v>5</v>
      </c>
      <c r="L176" s="222"/>
      <c r="M176" s="222"/>
      <c r="N176" s="222"/>
      <c r="O176" s="222"/>
      <c r="P176" s="148">
        <f>IF(V176="NO",Table_Shelter[[#This Row],[HH per Shelter]]*(Table_Shelter[[#This Row],['# of Temporary Shelter Units Built]]+Table_Shelter[[#This Row],['# of Temporary Shelter Under  Construction]]+Table_Shelter[[#This Row],['# of Permanent House Under Construction]]),0)</f>
        <v>5</v>
      </c>
      <c r="Q176" s="148"/>
      <c r="R176" s="148"/>
      <c r="S176" s="148" t="str">
        <f>IFERROR(VLOOKUP(Table_Shelter[[#This Row],[CampName]],CL,2,0),"")</f>
        <v>MMR001CMP192</v>
      </c>
      <c r="T176" s="148" t="str">
        <f>IFERROR(VLOOKUP(Table_Shelter[[#This Row],[CampName]],CL,3,0),"")</f>
        <v>Open</v>
      </c>
      <c r="U176" s="393">
        <f>IFERROR(Table_Shelter[[#This Row],[HH Covered]]/VLOOKUP(Table_Shelter[[#This Row],[CampName]],CL,4,0),"")</f>
        <v>0.29411764705882354</v>
      </c>
      <c r="V176" s="731" t="s">
        <v>1369</v>
      </c>
      <c r="W176" s="397"/>
    </row>
    <row r="177" spans="1:23" x14ac:dyDescent="0.25">
      <c r="A177" s="396">
        <v>41609</v>
      </c>
      <c r="B177" s="220" t="s">
        <v>454</v>
      </c>
      <c r="C177" s="220" t="s">
        <v>507</v>
      </c>
      <c r="D177" s="223" t="s">
        <v>380</v>
      </c>
      <c r="E177" s="225" t="s">
        <v>529</v>
      </c>
      <c r="F177" s="220" t="s">
        <v>613</v>
      </c>
      <c r="G177" s="145">
        <v>1</v>
      </c>
      <c r="H177" s="149"/>
      <c r="I177" s="149"/>
      <c r="J177" s="149">
        <v>10</v>
      </c>
      <c r="K177" s="149">
        <v>10</v>
      </c>
      <c r="L177" s="222"/>
      <c r="M177" s="222"/>
      <c r="N177" s="222"/>
      <c r="O177" s="222"/>
      <c r="P177" s="148">
        <f>IF(V177="NO",Table_Shelter[[#This Row],[HH per Shelter]]*(Table_Shelter[[#This Row],['# of Temporary Shelter Units Built]]+Table_Shelter[[#This Row],['# of Temporary Shelter Under  Construction]]+Table_Shelter[[#This Row],['# of Permanent House Under Construction]]),0)</f>
        <v>10</v>
      </c>
      <c r="Q177" s="148"/>
      <c r="R177" s="222"/>
      <c r="S177" s="222" t="str">
        <f>IFERROR(VLOOKUP(Table_Shelter[[#This Row],[CampName]],CL,2,0),"")</f>
        <v>MMR001CMP192</v>
      </c>
      <c r="T177" s="222" t="str">
        <f>IFERROR(VLOOKUP(Table_Shelter[[#This Row],[CampName]],CL,3,0),"")</f>
        <v>Open</v>
      </c>
      <c r="U177" s="393">
        <f>IFERROR(Table_Shelter[[#This Row],[HH Covered]]/VLOOKUP(Table_Shelter[[#This Row],[CampName]],CL,4,0),"")</f>
        <v>0.58823529411764708</v>
      </c>
      <c r="V177" s="731" t="s">
        <v>1369</v>
      </c>
      <c r="W177" s="394"/>
    </row>
    <row r="178" spans="1:23" x14ac:dyDescent="0.25">
      <c r="A178" s="396"/>
      <c r="B178" s="220" t="s">
        <v>868</v>
      </c>
      <c r="C178" s="220"/>
      <c r="D178" s="223" t="s">
        <v>380</v>
      </c>
      <c r="E178" s="225" t="s">
        <v>529</v>
      </c>
      <c r="F178" s="220" t="s">
        <v>613</v>
      </c>
      <c r="G178" s="145">
        <v>1</v>
      </c>
      <c r="H178" s="149">
        <v>8</v>
      </c>
      <c r="I178" s="149">
        <v>8</v>
      </c>
      <c r="J178" s="149"/>
      <c r="K178" s="149"/>
      <c r="L178" s="222"/>
      <c r="M178" s="222"/>
      <c r="N178" s="222"/>
      <c r="O178" s="222"/>
      <c r="P178" s="148">
        <f>IF(V178="NO",Table_Shelter[[#This Row],[HH per Shelter]]*(Table_Shelter[[#This Row],['# of Temporary Shelter Units Built]]+Table_Shelter[[#This Row],['# of Temporary Shelter Under  Construction]]+Table_Shelter[[#This Row],['# of Permanent House Under Construction]]),0)</f>
        <v>0</v>
      </c>
      <c r="Q178" s="148"/>
      <c r="R178" s="222"/>
      <c r="S178" s="222" t="str">
        <f>IFERROR(VLOOKUP(Table_Shelter[[#This Row],[CampName]],CL,2,0),"")</f>
        <v>MMR001CMP192</v>
      </c>
      <c r="T178" s="222" t="str">
        <f>IFERROR(VLOOKUP(Table_Shelter[[#This Row],[CampName]],CL,3,0),"")</f>
        <v>Open</v>
      </c>
      <c r="U178" s="393">
        <f>IFERROR(Table_Shelter[[#This Row],[HH Covered]]/VLOOKUP(Table_Shelter[[#This Row],[CampName]],CL,4,0),"")</f>
        <v>0</v>
      </c>
      <c r="V178" s="731" t="s">
        <v>1369</v>
      </c>
      <c r="W178" s="394"/>
    </row>
    <row r="179" spans="1:23" x14ac:dyDescent="0.25">
      <c r="A179" s="396"/>
      <c r="B179" s="145" t="s">
        <v>454</v>
      </c>
      <c r="C179" s="145" t="s">
        <v>462</v>
      </c>
      <c r="D179" s="228" t="s">
        <v>555</v>
      </c>
      <c r="E179" s="229" t="s">
        <v>784</v>
      </c>
      <c r="F179" s="145" t="s">
        <v>1309</v>
      </c>
      <c r="G179" s="145">
        <v>1</v>
      </c>
      <c r="H179" s="149"/>
      <c r="I179" s="149"/>
      <c r="J179" s="149">
        <v>10</v>
      </c>
      <c r="K179" s="149">
        <v>10</v>
      </c>
      <c r="L179" s="149"/>
      <c r="M179" s="149"/>
      <c r="N179" s="149"/>
      <c r="O179" s="149"/>
      <c r="P179" s="148">
        <f>IF(V179="NO",Table_Shelter[[#This Row],[HH per Shelter]]*(Table_Shelter[[#This Row],['# of Temporary Shelter Units Built]]+Table_Shelter[[#This Row],['# of Temporary Shelter Under  Construction]]+Table_Shelter[[#This Row],['# of Permanent House Under Construction]]),0)</f>
        <v>10</v>
      </c>
      <c r="Q179" s="148"/>
      <c r="R179" s="148"/>
      <c r="S179" s="148" t="str">
        <f>IFERROR(VLOOKUP(Table_Shelter[[#This Row],[CampName]],CL,2,0),"")</f>
        <v>MMR015CMP218</v>
      </c>
      <c r="T179" s="148" t="str">
        <f>IFERROR(VLOOKUP(Table_Shelter[[#This Row],[CampName]],CL,3,0),"")</f>
        <v>Open</v>
      </c>
      <c r="U179" s="399">
        <f>IFERROR(Table_Shelter[[#This Row],[HH Covered]]/VLOOKUP(Table_Shelter[[#This Row],[CampName]],CL,4,0),"")</f>
        <v>0.22727272727272727</v>
      </c>
      <c r="V179" s="731" t="s">
        <v>1369</v>
      </c>
      <c r="W179" s="397"/>
    </row>
    <row r="180" spans="1:23" x14ac:dyDescent="0.25">
      <c r="A180" s="396"/>
      <c r="B180" s="220" t="s">
        <v>454</v>
      </c>
      <c r="C180" s="220" t="s">
        <v>462</v>
      </c>
      <c r="D180" s="223" t="s">
        <v>555</v>
      </c>
      <c r="E180" s="530" t="s">
        <v>298</v>
      </c>
      <c r="F180" s="220" t="s">
        <v>827</v>
      </c>
      <c r="G180" s="145">
        <v>1</v>
      </c>
      <c r="H180" s="149"/>
      <c r="I180" s="149"/>
      <c r="J180" s="149">
        <v>10</v>
      </c>
      <c r="K180" s="149">
        <v>10</v>
      </c>
      <c r="L180" s="222"/>
      <c r="M180" s="222"/>
      <c r="N180" s="222"/>
      <c r="O180" s="222"/>
      <c r="P180" s="148">
        <f>IF(V180="NO",Table_Shelter[[#This Row],[HH per Shelter]]*(Table_Shelter[[#This Row],['# of Temporary Shelter Units Built]]+Table_Shelter[[#This Row],['# of Temporary Shelter Under  Construction]]+Table_Shelter[[#This Row],['# of Permanent House Under Construction]]),0)</f>
        <v>10</v>
      </c>
      <c r="Q180" s="148"/>
      <c r="R180" s="222"/>
      <c r="S180" s="222" t="str">
        <f>IFERROR(VLOOKUP(Table_Shelter[[#This Row],[CampName]],CL,2,0),"")</f>
        <v>MMR015CMP014</v>
      </c>
      <c r="T180" s="222" t="str">
        <f>IFERROR(VLOOKUP(Table_Shelter[[#This Row],[CampName]],CL,3,0),"")</f>
        <v>Open</v>
      </c>
      <c r="U180" s="393">
        <f>IFERROR(Table_Shelter[[#This Row],[HH Covered]]/VLOOKUP(Table_Shelter[[#This Row],[CampName]],CL,4,0),"")</f>
        <v>1</v>
      </c>
      <c r="V180" s="731" t="s">
        <v>1369</v>
      </c>
      <c r="W180" s="394"/>
    </row>
    <row r="181" spans="1:23" x14ac:dyDescent="0.25">
      <c r="A181" s="396"/>
      <c r="B181" s="220" t="s">
        <v>852</v>
      </c>
      <c r="C181" s="220"/>
      <c r="D181" s="223" t="s">
        <v>555</v>
      </c>
      <c r="E181" s="225" t="s">
        <v>289</v>
      </c>
      <c r="F181" s="220" t="s">
        <v>1074</v>
      </c>
      <c r="G181" s="145">
        <v>1</v>
      </c>
      <c r="H181" s="149"/>
      <c r="I181" s="149"/>
      <c r="J181" s="149">
        <v>50</v>
      </c>
      <c r="K181" s="149">
        <v>36</v>
      </c>
      <c r="L181" s="222"/>
      <c r="M181" s="222"/>
      <c r="N181" s="222"/>
      <c r="O181" s="222"/>
      <c r="P181" s="148">
        <f>IF(V181="NO",Table_Shelter[[#This Row],[HH per Shelter]]*(Table_Shelter[[#This Row],['# of Temporary Shelter Units Built]]+Table_Shelter[[#This Row],['# of Temporary Shelter Under  Construction]]+Table_Shelter[[#This Row],['# of Permanent House Under Construction]]),0)</f>
        <v>36</v>
      </c>
      <c r="Q181" s="148"/>
      <c r="R181" s="222"/>
      <c r="S181" s="222" t="str">
        <f>IFERROR(VLOOKUP(Table_Shelter[[#This Row],[CampName]],CL,2,0),"")</f>
        <v>MMR015CMP215</v>
      </c>
      <c r="T181" s="222" t="str">
        <f>IFERROR(VLOOKUP(Table_Shelter[[#This Row],[CampName]],CL,3,0),"")</f>
        <v>Open</v>
      </c>
      <c r="U181" s="393">
        <f>IFERROR(Table_Shelter[[#This Row],[HH Covered]]/VLOOKUP(Table_Shelter[[#This Row],[CampName]],CL,4,0),"")</f>
        <v>0.25531914893617019</v>
      </c>
      <c r="V181" s="731" t="s">
        <v>1369</v>
      </c>
      <c r="W181" s="394"/>
    </row>
    <row r="182" spans="1:23" x14ac:dyDescent="0.25">
      <c r="A182" s="396"/>
      <c r="B182" s="220" t="s">
        <v>868</v>
      </c>
      <c r="C182" s="220"/>
      <c r="D182" s="223" t="s">
        <v>380</v>
      </c>
      <c r="E182" s="225" t="s">
        <v>237</v>
      </c>
      <c r="F182" s="220" t="s">
        <v>271</v>
      </c>
      <c r="G182" s="145">
        <v>1</v>
      </c>
      <c r="H182" s="149">
        <v>1</v>
      </c>
      <c r="I182" s="149">
        <v>1</v>
      </c>
      <c r="J182" s="149"/>
      <c r="K182" s="149"/>
      <c r="L182" s="222"/>
      <c r="M182" s="222"/>
      <c r="N182" s="222"/>
      <c r="O182" s="222"/>
      <c r="P182" s="148">
        <f>IF(V182="NO",Table_Shelter[[#This Row],[HH per Shelter]]*(Table_Shelter[[#This Row],['# of Temporary Shelter Units Built]]+Table_Shelter[[#This Row],['# of Temporary Shelter Under  Construction]]+Table_Shelter[[#This Row],['# of Permanent House Under Construction]]),0)</f>
        <v>0</v>
      </c>
      <c r="Q182" s="148"/>
      <c r="R182" s="222"/>
      <c r="S182" s="222" t="str">
        <f>IFERROR(VLOOKUP(Table_Shelter[[#This Row],[CampName]],CL,2,0),"")</f>
        <v>MMR001CMP024</v>
      </c>
      <c r="T182" s="222" t="str">
        <f>IFERROR(VLOOKUP(Table_Shelter[[#This Row],[CampName]],CL,3,0),"")</f>
        <v>Open</v>
      </c>
      <c r="U182" s="393">
        <f>IFERROR(Table_Shelter[[#This Row],[HH Covered]]/VLOOKUP(Table_Shelter[[#This Row],[CampName]],CL,4,0),"")</f>
        <v>0</v>
      </c>
      <c r="V182" s="731" t="s">
        <v>1369</v>
      </c>
      <c r="W182" s="394"/>
    </row>
    <row r="183" spans="1:23" x14ac:dyDescent="0.25">
      <c r="A183" s="396"/>
      <c r="B183" s="220" t="s">
        <v>455</v>
      </c>
      <c r="C183" s="220" t="s">
        <v>508</v>
      </c>
      <c r="D183" s="223" t="s">
        <v>380</v>
      </c>
      <c r="E183" s="225" t="s">
        <v>237</v>
      </c>
      <c r="F183" s="220" t="s">
        <v>271</v>
      </c>
      <c r="G183" s="145">
        <v>1</v>
      </c>
      <c r="H183" s="149"/>
      <c r="I183" s="149"/>
      <c r="J183" s="149">
        <v>46</v>
      </c>
      <c r="K183" s="149">
        <v>46</v>
      </c>
      <c r="L183" s="222"/>
      <c r="M183" s="222"/>
      <c r="N183" s="222"/>
      <c r="O183" s="222"/>
      <c r="P183" s="148">
        <f>IF(V183="NO",Table_Shelter[[#This Row],[HH per Shelter]]*(Table_Shelter[[#This Row],['# of Temporary Shelter Units Built]]+Table_Shelter[[#This Row],['# of Temporary Shelter Under  Construction]]+Table_Shelter[[#This Row],['# of Permanent House Under Construction]]),0)</f>
        <v>46</v>
      </c>
      <c r="Q183" s="148"/>
      <c r="R183" s="222"/>
      <c r="S183" s="222" t="str">
        <f>IFERROR(VLOOKUP(Table_Shelter[[#This Row],[CampName]],CL,2,0),"")</f>
        <v>MMR001CMP024</v>
      </c>
      <c r="T183" s="222" t="str">
        <f>IFERROR(VLOOKUP(Table_Shelter[[#This Row],[CampName]],CL,3,0),"")</f>
        <v>Open</v>
      </c>
      <c r="U183" s="393">
        <f>IFERROR(Table_Shelter[[#This Row],[HH Covered]]/VLOOKUP(Table_Shelter[[#This Row],[CampName]],CL,4,0),"")</f>
        <v>0.65714285714285714</v>
      </c>
      <c r="V183" s="731" t="s">
        <v>1369</v>
      </c>
      <c r="W183" s="394"/>
    </row>
    <row r="184" spans="1:23" x14ac:dyDescent="0.25">
      <c r="A184" s="396"/>
      <c r="B184" s="220" t="s">
        <v>454</v>
      </c>
      <c r="C184" s="220" t="s">
        <v>508</v>
      </c>
      <c r="D184" s="223" t="s">
        <v>380</v>
      </c>
      <c r="E184" s="225" t="s">
        <v>237</v>
      </c>
      <c r="F184" s="220" t="s">
        <v>271</v>
      </c>
      <c r="G184" s="145">
        <v>1</v>
      </c>
      <c r="H184" s="149"/>
      <c r="I184" s="149"/>
      <c r="J184" s="149">
        <v>21</v>
      </c>
      <c r="K184" s="149">
        <v>21</v>
      </c>
      <c r="L184" s="222"/>
      <c r="M184" s="222"/>
      <c r="N184" s="222"/>
      <c r="O184" s="222"/>
      <c r="P184" s="148">
        <f>IF(V184="NO",Table_Shelter[[#This Row],[HH per Shelter]]*(Table_Shelter[[#This Row],['# of Temporary Shelter Units Built]]+Table_Shelter[[#This Row],['# of Temporary Shelter Under  Construction]]+Table_Shelter[[#This Row],['# of Permanent House Under Construction]]),0)</f>
        <v>21</v>
      </c>
      <c r="Q184" s="148">
        <v>21</v>
      </c>
      <c r="R184" s="222"/>
      <c r="S184" s="222" t="str">
        <f>IFERROR(VLOOKUP(Table_Shelter[[#This Row],[CampName]],CL,2,0),"")</f>
        <v>MMR001CMP024</v>
      </c>
      <c r="T184" s="222" t="str">
        <f>IFERROR(VLOOKUP(Table_Shelter[[#This Row],[CampName]],CL,3,0),"")</f>
        <v>Open</v>
      </c>
      <c r="U184" s="393">
        <f>IFERROR(Table_Shelter[[#This Row],[HH Covered]]/VLOOKUP(Table_Shelter[[#This Row],[CampName]],CL,4,0),"")</f>
        <v>0.3</v>
      </c>
      <c r="V184" s="731" t="s">
        <v>1369</v>
      </c>
      <c r="W184" s="394"/>
    </row>
    <row r="185" spans="1:23" x14ac:dyDescent="0.25">
      <c r="A185" s="396"/>
      <c r="B185" s="220" t="s">
        <v>454</v>
      </c>
      <c r="C185" s="220"/>
      <c r="D185" s="223" t="s">
        <v>380</v>
      </c>
      <c r="E185" s="225" t="s">
        <v>5</v>
      </c>
      <c r="F185" s="220" t="s">
        <v>20</v>
      </c>
      <c r="G185" s="145">
        <v>1</v>
      </c>
      <c r="H185" s="149"/>
      <c r="I185" s="149"/>
      <c r="J185" s="149">
        <v>10</v>
      </c>
      <c r="K185" s="149">
        <v>10</v>
      </c>
      <c r="L185" s="222"/>
      <c r="M185" s="222"/>
      <c r="N185" s="222"/>
      <c r="O185" s="222"/>
      <c r="P185" s="148">
        <f>IF(V185="NO",Table_Shelter[[#This Row],[HH per Shelter]]*(Table_Shelter[[#This Row],['# of Temporary Shelter Units Built]]+Table_Shelter[[#This Row],['# of Temporary Shelter Under  Construction]]+Table_Shelter[[#This Row],['# of Permanent House Under Construction]]),0)</f>
        <v>10</v>
      </c>
      <c r="Q185" s="148"/>
      <c r="R185" s="222"/>
      <c r="S185" s="222" t="str">
        <f>IFERROR(VLOOKUP(Table_Shelter[[#This Row],[CampName]],CL,2,0),"")</f>
        <v>MMR001CMP054</v>
      </c>
      <c r="T185" s="222" t="str">
        <f>IFERROR(VLOOKUP(Table_Shelter[[#This Row],[CampName]],CL,3,0),"")</f>
        <v>Open</v>
      </c>
      <c r="U185" s="393">
        <f>IFERROR(Table_Shelter[[#This Row],[HH Covered]]/VLOOKUP(Table_Shelter[[#This Row],[CampName]],CL,4,0),"")</f>
        <v>0.43478260869565216</v>
      </c>
      <c r="V185" s="731" t="s">
        <v>1369</v>
      </c>
      <c r="W185" s="394"/>
    </row>
    <row r="186" spans="1:23" x14ac:dyDescent="0.25">
      <c r="A186" s="396"/>
      <c r="B186" s="220" t="s">
        <v>454</v>
      </c>
      <c r="C186" s="220" t="s">
        <v>462</v>
      </c>
      <c r="D186" s="223" t="s">
        <v>380</v>
      </c>
      <c r="E186" s="225" t="s">
        <v>529</v>
      </c>
      <c r="F186" s="220" t="s">
        <v>108</v>
      </c>
      <c r="G186" s="145">
        <v>1</v>
      </c>
      <c r="H186" s="149"/>
      <c r="I186" s="149"/>
      <c r="J186" s="149">
        <v>40</v>
      </c>
      <c r="K186" s="149">
        <v>40</v>
      </c>
      <c r="L186" s="222"/>
      <c r="M186" s="222"/>
      <c r="N186" s="222"/>
      <c r="O186" s="222"/>
      <c r="P186" s="148">
        <f>IF(V186="NO",Table_Shelter[[#This Row],[HH per Shelter]]*(Table_Shelter[[#This Row],['# of Temporary Shelter Units Built]]+Table_Shelter[[#This Row],['# of Temporary Shelter Under  Construction]]+Table_Shelter[[#This Row],['# of Permanent House Under Construction]]),0)</f>
        <v>40</v>
      </c>
      <c r="Q186" s="148"/>
      <c r="R186" s="222"/>
      <c r="S186" s="222" t="str">
        <f>IFERROR(VLOOKUP(Table_Shelter[[#This Row],[CampName]],CL,2,0),"")</f>
        <v>MMR001CMP103</v>
      </c>
      <c r="T186" s="222" t="str">
        <f>IFERROR(VLOOKUP(Table_Shelter[[#This Row],[CampName]],CL,3,0),"")</f>
        <v>Open</v>
      </c>
      <c r="U186" s="393">
        <f>IFERROR(Table_Shelter[[#This Row],[HH Covered]]/VLOOKUP(Table_Shelter[[#This Row],[CampName]],CL,4,0),"")</f>
        <v>0.7407407407407407</v>
      </c>
      <c r="V186" s="731" t="s">
        <v>1369</v>
      </c>
      <c r="W186" s="394"/>
    </row>
    <row r="187" spans="1:23" x14ac:dyDescent="0.25">
      <c r="A187" s="396"/>
      <c r="B187" s="220" t="s">
        <v>454</v>
      </c>
      <c r="C187" s="220" t="s">
        <v>507</v>
      </c>
      <c r="D187" s="228" t="s">
        <v>380</v>
      </c>
      <c r="E187" s="225" t="s">
        <v>529</v>
      </c>
      <c r="F187" s="220" t="s">
        <v>108</v>
      </c>
      <c r="G187" s="145">
        <v>1</v>
      </c>
      <c r="H187" s="149"/>
      <c r="I187" s="149"/>
      <c r="J187" s="149">
        <v>15</v>
      </c>
      <c r="K187" s="149">
        <v>15</v>
      </c>
      <c r="L187" s="222"/>
      <c r="M187" s="222"/>
      <c r="N187" s="222"/>
      <c r="O187" s="222"/>
      <c r="P187" s="148">
        <f>IF(V187="NO",Table_Shelter[[#This Row],[HH per Shelter]]*(Table_Shelter[[#This Row],['# of Temporary Shelter Units Built]]+Table_Shelter[[#This Row],['# of Temporary Shelter Under  Construction]]+Table_Shelter[[#This Row],['# of Permanent House Under Construction]]),0)</f>
        <v>15</v>
      </c>
      <c r="Q187" s="148"/>
      <c r="R187" s="148"/>
      <c r="S187" s="148" t="str">
        <f>IFERROR(VLOOKUP(Table_Shelter[[#This Row],[CampName]],CL,2,0),"")</f>
        <v>MMR001CMP103</v>
      </c>
      <c r="T187" s="148" t="str">
        <f>IFERROR(VLOOKUP(Table_Shelter[[#This Row],[CampName]],CL,3,0),"")</f>
        <v>Open</v>
      </c>
      <c r="U187" s="393">
        <f>IFERROR(Table_Shelter[[#This Row],[HH Covered]]/VLOOKUP(Table_Shelter[[#This Row],[CampName]],CL,4,0),"")</f>
        <v>0.27777777777777779</v>
      </c>
      <c r="V187" s="731" t="s">
        <v>1369</v>
      </c>
      <c r="W187" s="397"/>
    </row>
    <row r="188" spans="1:23" x14ac:dyDescent="0.25">
      <c r="A188" s="396"/>
      <c r="B188" s="220" t="s">
        <v>454</v>
      </c>
      <c r="C188" s="220" t="s">
        <v>462</v>
      </c>
      <c r="D188" s="223" t="s">
        <v>380</v>
      </c>
      <c r="E188" s="225" t="s">
        <v>173</v>
      </c>
      <c r="F188" s="220" t="s">
        <v>178</v>
      </c>
      <c r="G188" s="145">
        <v>1</v>
      </c>
      <c r="H188" s="149"/>
      <c r="I188" s="149"/>
      <c r="J188" s="149">
        <v>15</v>
      </c>
      <c r="K188" s="149">
        <v>15</v>
      </c>
      <c r="L188" s="222"/>
      <c r="M188" s="222"/>
      <c r="N188" s="222"/>
      <c r="O188" s="222"/>
      <c r="P188" s="148">
        <f>IF(V188="NO",Table_Shelter[[#This Row],[HH per Shelter]]*(Table_Shelter[[#This Row],['# of Temporary Shelter Units Built]]+Table_Shelter[[#This Row],['# of Temporary Shelter Under  Construction]]+Table_Shelter[[#This Row],['# of Permanent House Under Construction]]),0)</f>
        <v>15</v>
      </c>
      <c r="Q188" s="148"/>
      <c r="R188" s="222"/>
      <c r="S188" s="222" t="str">
        <f>IFERROR(VLOOKUP(Table_Shelter[[#This Row],[CampName]],CL,2,0),"")</f>
        <v>MMR001CMP079</v>
      </c>
      <c r="T188" s="222" t="str">
        <f>IFERROR(VLOOKUP(Table_Shelter[[#This Row],[CampName]],CL,3,0),"")</f>
        <v>Open</v>
      </c>
      <c r="U188" s="393">
        <f>IFERROR(Table_Shelter[[#This Row],[HH Covered]]/VLOOKUP(Table_Shelter[[#This Row],[CampName]],CL,4,0),"")</f>
        <v>1.0714285714285714</v>
      </c>
      <c r="V188" s="731" t="s">
        <v>1369</v>
      </c>
      <c r="W188" s="394"/>
    </row>
    <row r="189" spans="1:23" x14ac:dyDescent="0.25">
      <c r="A189" s="396">
        <v>41974</v>
      </c>
      <c r="B189" s="220" t="s">
        <v>454</v>
      </c>
      <c r="C189" s="220" t="s">
        <v>507</v>
      </c>
      <c r="D189" s="223" t="s">
        <v>380</v>
      </c>
      <c r="E189" s="225" t="s">
        <v>310</v>
      </c>
      <c r="F189" s="220" t="s">
        <v>344</v>
      </c>
      <c r="G189" s="145">
        <v>1</v>
      </c>
      <c r="H189" s="149"/>
      <c r="I189" s="149"/>
      <c r="J189" s="149">
        <v>9</v>
      </c>
      <c r="K189" s="149">
        <v>9</v>
      </c>
      <c r="L189" s="222"/>
      <c r="M189" s="222"/>
      <c r="N189" s="222"/>
      <c r="O189" s="222"/>
      <c r="P189" s="148">
        <f>IF(V189="NO",Table_Shelter[[#This Row],[HH per Shelter]]*(Table_Shelter[[#This Row],['# of Temporary Shelter Units Built]]+Table_Shelter[[#This Row],['# of Temporary Shelter Under  Construction]]+Table_Shelter[[#This Row],['# of Permanent House Under Construction]]),0)</f>
        <v>9</v>
      </c>
      <c r="Q189" s="148"/>
      <c r="R189" s="148"/>
      <c r="S189" s="148" t="str">
        <f>IFERROR(VLOOKUP(Table_Shelter[[#This Row],[CampName]],CL,2,0),"")</f>
        <v>MMR001CMP033</v>
      </c>
      <c r="T189" s="148" t="str">
        <f>IFERROR(VLOOKUP(Table_Shelter[[#This Row],[CampName]],CL,3,0),"")</f>
        <v>Open</v>
      </c>
      <c r="U189" s="393">
        <f>IFERROR(Table_Shelter[[#This Row],[HH Covered]]/VLOOKUP(Table_Shelter[[#This Row],[CampName]],CL,4,0),"")</f>
        <v>0.5</v>
      </c>
      <c r="V189" s="731" t="s">
        <v>1369</v>
      </c>
      <c r="W189" s="397"/>
    </row>
    <row r="190" spans="1:23" x14ac:dyDescent="0.25">
      <c r="A190" s="396">
        <v>41609</v>
      </c>
      <c r="B190" s="220" t="s">
        <v>454</v>
      </c>
      <c r="C190" s="220" t="s">
        <v>507</v>
      </c>
      <c r="D190" s="223" t="s">
        <v>380</v>
      </c>
      <c r="E190" s="225" t="s">
        <v>310</v>
      </c>
      <c r="F190" s="220" t="s">
        <v>344</v>
      </c>
      <c r="G190" s="145">
        <v>1</v>
      </c>
      <c r="H190" s="149"/>
      <c r="I190" s="149"/>
      <c r="J190" s="149">
        <v>10</v>
      </c>
      <c r="K190" s="149">
        <v>10</v>
      </c>
      <c r="L190" s="222"/>
      <c r="M190" s="222"/>
      <c r="N190" s="222"/>
      <c r="O190" s="222"/>
      <c r="P190" s="148">
        <f>IF(V190="NO",Table_Shelter[[#This Row],[HH per Shelter]]*(Table_Shelter[[#This Row],['# of Temporary Shelter Units Built]]+Table_Shelter[[#This Row],['# of Temporary Shelter Under  Construction]]+Table_Shelter[[#This Row],['# of Permanent House Under Construction]]),0)</f>
        <v>10</v>
      </c>
      <c r="Q190" s="148"/>
      <c r="R190" s="222"/>
      <c r="S190" s="222" t="str">
        <f>IFERROR(VLOOKUP(Table_Shelter[[#This Row],[CampName]],CL,2,0),"")</f>
        <v>MMR001CMP033</v>
      </c>
      <c r="T190" s="222" t="str">
        <f>IFERROR(VLOOKUP(Table_Shelter[[#This Row],[CampName]],CL,3,0),"")</f>
        <v>Open</v>
      </c>
      <c r="U190" s="393">
        <f>IFERROR(Table_Shelter[[#This Row],[HH Covered]]/VLOOKUP(Table_Shelter[[#This Row],[CampName]],CL,4,0),"")</f>
        <v>0.55555555555555558</v>
      </c>
      <c r="V190" s="731" t="s">
        <v>1369</v>
      </c>
      <c r="W190" s="394"/>
    </row>
    <row r="191" spans="1:23" x14ac:dyDescent="0.25">
      <c r="A191" s="396"/>
      <c r="B191" s="220" t="s">
        <v>572</v>
      </c>
      <c r="C191" s="220" t="s">
        <v>462</v>
      </c>
      <c r="D191" s="223" t="s">
        <v>380</v>
      </c>
      <c r="E191" s="225" t="s">
        <v>180</v>
      </c>
      <c r="F191" s="220" t="s">
        <v>287</v>
      </c>
      <c r="G191" s="145">
        <v>1</v>
      </c>
      <c r="H191" s="149"/>
      <c r="I191" s="149"/>
      <c r="J191" s="149">
        <v>10</v>
      </c>
      <c r="K191" s="149">
        <v>10</v>
      </c>
      <c r="L191" s="222"/>
      <c r="M191" s="222"/>
      <c r="N191" s="222"/>
      <c r="O191" s="222"/>
      <c r="P191" s="148">
        <f>IF(V191="NO",Table_Shelter[[#This Row],[HH per Shelter]]*(Table_Shelter[[#This Row],['# of Temporary Shelter Units Built]]+Table_Shelter[[#This Row],['# of Temporary Shelter Under  Construction]]+Table_Shelter[[#This Row],['# of Permanent House Under Construction]]),0)</f>
        <v>10</v>
      </c>
      <c r="Q191" s="148"/>
      <c r="R191" s="222"/>
      <c r="S191" s="222" t="str">
        <f>IFERROR(VLOOKUP(Table_Shelter[[#This Row],[CampName]],CL,2,0),"")</f>
        <v>MMR001CMP152</v>
      </c>
      <c r="T191" s="222" t="str">
        <f>IFERROR(VLOOKUP(Table_Shelter[[#This Row],[CampName]],CL,3,0),"")</f>
        <v>Open</v>
      </c>
      <c r="U191" s="393">
        <f>IFERROR(Table_Shelter[[#This Row],[HH Covered]]/VLOOKUP(Table_Shelter[[#This Row],[CampName]],CL,4,0),"")</f>
        <v>0.55555555555555558</v>
      </c>
      <c r="V191" s="731" t="s">
        <v>1369</v>
      </c>
      <c r="W191" s="394"/>
    </row>
    <row r="192" spans="1:23" x14ac:dyDescent="0.25">
      <c r="A192" s="396"/>
      <c r="B192" s="220" t="s">
        <v>454</v>
      </c>
      <c r="C192" s="220" t="s">
        <v>462</v>
      </c>
      <c r="D192" s="223" t="s">
        <v>380</v>
      </c>
      <c r="E192" s="225" t="s">
        <v>180</v>
      </c>
      <c r="F192" s="220" t="s">
        <v>287</v>
      </c>
      <c r="G192" s="145">
        <v>1</v>
      </c>
      <c r="H192" s="149"/>
      <c r="I192" s="149"/>
      <c r="J192" s="149">
        <v>20</v>
      </c>
      <c r="K192" s="149">
        <v>20</v>
      </c>
      <c r="L192" s="222"/>
      <c r="M192" s="222"/>
      <c r="N192" s="222"/>
      <c r="O192" s="222"/>
      <c r="P192" s="148">
        <f>IF(V192="NO",Table_Shelter[[#This Row],[HH per Shelter]]*(Table_Shelter[[#This Row],['# of Temporary Shelter Units Built]]+Table_Shelter[[#This Row],['# of Temporary Shelter Under  Construction]]+Table_Shelter[[#This Row],['# of Permanent House Under Construction]]),0)</f>
        <v>20</v>
      </c>
      <c r="Q192" s="148"/>
      <c r="R192" s="222"/>
      <c r="S192" s="222" t="str">
        <f>IFERROR(VLOOKUP(Table_Shelter[[#This Row],[CampName]],CL,2,0),"")</f>
        <v>MMR001CMP152</v>
      </c>
      <c r="T192" s="222" t="str">
        <f>IFERROR(VLOOKUP(Table_Shelter[[#This Row],[CampName]],CL,3,0),"")</f>
        <v>Open</v>
      </c>
      <c r="U192" s="393">
        <f>IFERROR(Table_Shelter[[#This Row],[HH Covered]]/VLOOKUP(Table_Shelter[[#This Row],[CampName]],CL,4,0),"")</f>
        <v>1.1111111111111112</v>
      </c>
      <c r="V192" s="731" t="s">
        <v>1369</v>
      </c>
      <c r="W192" s="394"/>
    </row>
    <row r="193" spans="1:23" x14ac:dyDescent="0.25">
      <c r="A193" s="396">
        <v>41609</v>
      </c>
      <c r="B193" s="220" t="s">
        <v>454</v>
      </c>
      <c r="C193" s="220" t="s">
        <v>507</v>
      </c>
      <c r="D193" s="223" t="s">
        <v>380</v>
      </c>
      <c r="E193" s="225" t="s">
        <v>529</v>
      </c>
      <c r="F193" s="220" t="s">
        <v>110</v>
      </c>
      <c r="G193" s="145">
        <v>1</v>
      </c>
      <c r="H193" s="149"/>
      <c r="I193" s="149"/>
      <c r="J193" s="149">
        <v>40</v>
      </c>
      <c r="K193" s="149">
        <v>40</v>
      </c>
      <c r="L193" s="222"/>
      <c r="M193" s="222"/>
      <c r="N193" s="222"/>
      <c r="O193" s="222"/>
      <c r="P193" s="148">
        <f>IF(V193="NO",Table_Shelter[[#This Row],[HH per Shelter]]*(Table_Shelter[[#This Row],['# of Temporary Shelter Units Built]]+Table_Shelter[[#This Row],['# of Temporary Shelter Under  Construction]]+Table_Shelter[[#This Row],['# of Permanent House Under Construction]]),0)</f>
        <v>40</v>
      </c>
      <c r="Q193" s="148"/>
      <c r="R193" s="148"/>
      <c r="S193" s="148" t="str">
        <f>IFERROR(VLOOKUP(Table_Shelter[[#This Row],[CampName]],CL,2,0),"")</f>
        <v>MMR001CMP082</v>
      </c>
      <c r="T193" s="148" t="str">
        <f>IFERROR(VLOOKUP(Table_Shelter[[#This Row],[CampName]],CL,3,0),"")</f>
        <v>Closed</v>
      </c>
      <c r="U193" s="393" t="str">
        <f>IFERROR(Table_Shelter[[#This Row],[HH Covered]]/VLOOKUP(Table_Shelter[[#This Row],[CampName]],CL,4,0),"")</f>
        <v/>
      </c>
      <c r="V193" s="731" t="s">
        <v>1369</v>
      </c>
      <c r="W193" s="397"/>
    </row>
    <row r="194" spans="1:23" x14ac:dyDescent="0.25">
      <c r="A194" s="396"/>
      <c r="B194" s="220" t="s">
        <v>868</v>
      </c>
      <c r="C194" s="220"/>
      <c r="D194" s="223" t="s">
        <v>380</v>
      </c>
      <c r="E194" s="225" t="s">
        <v>529</v>
      </c>
      <c r="F194" s="220" t="s">
        <v>110</v>
      </c>
      <c r="G194" s="145">
        <v>1</v>
      </c>
      <c r="H194" s="149">
        <v>50</v>
      </c>
      <c r="I194" s="149">
        <v>50</v>
      </c>
      <c r="J194" s="149"/>
      <c r="K194" s="149"/>
      <c r="L194" s="222"/>
      <c r="M194" s="222"/>
      <c r="N194" s="222"/>
      <c r="O194" s="222"/>
      <c r="P194" s="148">
        <f>IF(V194="NO",Table_Shelter[[#This Row],[HH per Shelter]]*(Table_Shelter[[#This Row],['# of Temporary Shelter Units Built]]+Table_Shelter[[#This Row],['# of Temporary Shelter Under  Construction]]+Table_Shelter[[#This Row],['# of Permanent House Under Construction]]),0)</f>
        <v>0</v>
      </c>
      <c r="Q194" s="148"/>
      <c r="R194" s="222"/>
      <c r="S194" s="222" t="str">
        <f>IFERROR(VLOOKUP(Table_Shelter[[#This Row],[CampName]],CL,2,0),"")</f>
        <v>MMR001CMP082</v>
      </c>
      <c r="T194" s="222" t="str">
        <f>IFERROR(VLOOKUP(Table_Shelter[[#This Row],[CampName]],CL,3,0),"")</f>
        <v>Closed</v>
      </c>
      <c r="U194" s="393" t="str">
        <f>IFERROR(Table_Shelter[[#This Row],[HH Covered]]/VLOOKUP(Table_Shelter[[#This Row],[CampName]],CL,4,0),"")</f>
        <v/>
      </c>
      <c r="V194" s="731" t="s">
        <v>1369</v>
      </c>
      <c r="W194" s="394"/>
    </row>
    <row r="195" spans="1:23" x14ac:dyDescent="0.25">
      <c r="A195" s="396"/>
      <c r="B195" s="220" t="s">
        <v>454</v>
      </c>
      <c r="C195" s="220" t="s">
        <v>507</v>
      </c>
      <c r="D195" s="223" t="s">
        <v>380</v>
      </c>
      <c r="E195" s="225" t="s">
        <v>529</v>
      </c>
      <c r="F195" s="220" t="s">
        <v>110</v>
      </c>
      <c r="G195" s="145">
        <v>1</v>
      </c>
      <c r="H195" s="149"/>
      <c r="I195" s="149"/>
      <c r="J195" s="149">
        <v>20</v>
      </c>
      <c r="K195" s="149">
        <v>20</v>
      </c>
      <c r="L195" s="222"/>
      <c r="M195" s="222"/>
      <c r="N195" s="222"/>
      <c r="O195" s="222"/>
      <c r="P195" s="148">
        <f>IF(V195="NO",Table_Shelter[[#This Row],[HH per Shelter]]*(Table_Shelter[[#This Row],['# of Temporary Shelter Units Built]]+Table_Shelter[[#This Row],['# of Temporary Shelter Under  Construction]]+Table_Shelter[[#This Row],['# of Permanent House Under Construction]]),0)</f>
        <v>20</v>
      </c>
      <c r="Q195" s="148"/>
      <c r="R195" s="222"/>
      <c r="S195" s="222" t="str">
        <f>IFERROR(VLOOKUP(Table_Shelter[[#This Row],[CampName]],CL,2,0),"")</f>
        <v>MMR001CMP082</v>
      </c>
      <c r="T195" s="222" t="str">
        <f>IFERROR(VLOOKUP(Table_Shelter[[#This Row],[CampName]],CL,3,0),"")</f>
        <v>Closed</v>
      </c>
      <c r="U195" s="393" t="str">
        <f>IFERROR(Table_Shelter[[#This Row],[HH Covered]]/VLOOKUP(Table_Shelter[[#This Row],[CampName]],CL,4,0),"")</f>
        <v/>
      </c>
      <c r="V195" s="731" t="s">
        <v>1369</v>
      </c>
      <c r="W195" s="394"/>
    </row>
    <row r="196" spans="1:23" x14ac:dyDescent="0.25">
      <c r="A196" s="396"/>
      <c r="B196" s="220" t="s">
        <v>454</v>
      </c>
      <c r="C196" s="220" t="s">
        <v>462</v>
      </c>
      <c r="D196" s="228" t="s">
        <v>380</v>
      </c>
      <c r="E196" s="225" t="s">
        <v>529</v>
      </c>
      <c r="F196" s="220" t="s">
        <v>110</v>
      </c>
      <c r="G196" s="145">
        <v>1</v>
      </c>
      <c r="H196" s="149"/>
      <c r="I196" s="149"/>
      <c r="J196" s="149">
        <v>15</v>
      </c>
      <c r="K196" s="149">
        <v>15</v>
      </c>
      <c r="L196" s="222"/>
      <c r="M196" s="222"/>
      <c r="N196" s="222"/>
      <c r="O196" s="222"/>
      <c r="P196" s="148">
        <f>IF(V196="NO",Table_Shelter[[#This Row],[HH per Shelter]]*(Table_Shelter[[#This Row],['# of Temporary Shelter Units Built]]+Table_Shelter[[#This Row],['# of Temporary Shelter Under  Construction]]+Table_Shelter[[#This Row],['# of Permanent House Under Construction]]),0)</f>
        <v>15</v>
      </c>
      <c r="Q196" s="148"/>
      <c r="R196" s="148"/>
      <c r="S196" s="148" t="str">
        <f>IFERROR(VLOOKUP(Table_Shelter[[#This Row],[CampName]],CL,2,0),"")</f>
        <v>MMR001CMP082</v>
      </c>
      <c r="T196" s="148" t="str">
        <f>IFERROR(VLOOKUP(Table_Shelter[[#This Row],[CampName]],CL,3,0),"")</f>
        <v>Closed</v>
      </c>
      <c r="U196" s="393" t="str">
        <f>IFERROR(Table_Shelter[[#This Row],[HH Covered]]/VLOOKUP(Table_Shelter[[#This Row],[CampName]],CL,4,0),"")</f>
        <v/>
      </c>
      <c r="V196" s="731" t="s">
        <v>1369</v>
      </c>
      <c r="W196" s="397"/>
    </row>
    <row r="197" spans="1:23" x14ac:dyDescent="0.25">
      <c r="A197" s="396"/>
      <c r="B197" s="220" t="s">
        <v>594</v>
      </c>
      <c r="C197" s="220" t="s">
        <v>461</v>
      </c>
      <c r="D197" s="223" t="s">
        <v>380</v>
      </c>
      <c r="E197" s="530" t="s">
        <v>185</v>
      </c>
      <c r="F197" s="220" t="s">
        <v>215</v>
      </c>
      <c r="G197" s="145">
        <v>1</v>
      </c>
      <c r="H197" s="149"/>
      <c r="I197" s="149"/>
      <c r="J197" s="149">
        <v>100</v>
      </c>
      <c r="K197" s="149">
        <v>100</v>
      </c>
      <c r="L197" s="222"/>
      <c r="M197" s="222"/>
      <c r="N197" s="222"/>
      <c r="O197" s="222"/>
      <c r="P197" s="148">
        <f>IF(V197="NO",Table_Shelter[[#This Row],[HH per Shelter]]*(Table_Shelter[[#This Row],['# of Temporary Shelter Units Built]]+Table_Shelter[[#This Row],['# of Temporary Shelter Under  Construction]]+Table_Shelter[[#This Row],['# of Permanent House Under Construction]]),0)</f>
        <v>100</v>
      </c>
      <c r="Q197" s="148"/>
      <c r="R197" s="222"/>
      <c r="S197" s="222" t="str">
        <f>IFERROR(VLOOKUP(Table_Shelter[[#This Row],[CampName]],CL,2,0),"")</f>
        <v>MMR001CMP131</v>
      </c>
      <c r="T197" s="222" t="str">
        <f>IFERROR(VLOOKUP(Table_Shelter[[#This Row],[CampName]],CL,3,0),"")</f>
        <v>Open</v>
      </c>
      <c r="U197" s="393">
        <f>IFERROR(Table_Shelter[[#This Row],[HH Covered]]/VLOOKUP(Table_Shelter[[#This Row],[CampName]],CL,4,0),"")</f>
        <v>0.24271844660194175</v>
      </c>
      <c r="V197" s="731" t="s">
        <v>1369</v>
      </c>
      <c r="W197" s="394"/>
    </row>
    <row r="198" spans="1:23" x14ac:dyDescent="0.25">
      <c r="A198" s="396"/>
      <c r="B198" s="220" t="s">
        <v>1107</v>
      </c>
      <c r="C198" s="220" t="s">
        <v>461</v>
      </c>
      <c r="D198" s="223" t="s">
        <v>380</v>
      </c>
      <c r="E198" s="225" t="s">
        <v>185</v>
      </c>
      <c r="F198" s="220" t="s">
        <v>215</v>
      </c>
      <c r="G198" s="145">
        <v>1</v>
      </c>
      <c r="H198" s="149"/>
      <c r="I198" s="149"/>
      <c r="J198" s="149">
        <v>350</v>
      </c>
      <c r="K198" s="149">
        <v>350</v>
      </c>
      <c r="L198" s="222"/>
      <c r="M198" s="222"/>
      <c r="N198" s="222"/>
      <c r="O198" s="222"/>
      <c r="P198" s="148">
        <f>IF(V198="NO",Table_Shelter[[#This Row],[HH per Shelter]]*(Table_Shelter[[#This Row],['# of Temporary Shelter Units Built]]+Table_Shelter[[#This Row],['# of Temporary Shelter Under  Construction]]+Table_Shelter[[#This Row],['# of Permanent House Under Construction]]),0)</f>
        <v>350</v>
      </c>
      <c r="Q198" s="148"/>
      <c r="R198" s="222"/>
      <c r="S198" s="222" t="str">
        <f>IFERROR(VLOOKUP(Table_Shelter[[#This Row],[CampName]],CL,2,0),"")</f>
        <v>MMR001CMP131</v>
      </c>
      <c r="T198" s="222" t="str">
        <f>IFERROR(VLOOKUP(Table_Shelter[[#This Row],[CampName]],CL,3,0),"")</f>
        <v>Open</v>
      </c>
      <c r="U198" s="393">
        <f>IFERROR(Table_Shelter[[#This Row],[HH Covered]]/VLOOKUP(Table_Shelter[[#This Row],[CampName]],CL,4,0),"")</f>
        <v>0.84951456310679607</v>
      </c>
      <c r="V198" s="731" t="s">
        <v>1369</v>
      </c>
      <c r="W198" s="394"/>
    </row>
    <row r="199" spans="1:23" x14ac:dyDescent="0.25">
      <c r="A199" s="396">
        <v>41609</v>
      </c>
      <c r="B199" s="220" t="s">
        <v>454</v>
      </c>
      <c r="C199" s="220" t="s">
        <v>507</v>
      </c>
      <c r="D199" s="223" t="s">
        <v>380</v>
      </c>
      <c r="E199" s="225" t="s">
        <v>185</v>
      </c>
      <c r="F199" s="220" t="s">
        <v>217</v>
      </c>
      <c r="G199" s="145">
        <v>1</v>
      </c>
      <c r="H199" s="149"/>
      <c r="I199" s="149"/>
      <c r="J199" s="149">
        <v>4</v>
      </c>
      <c r="K199" s="149">
        <v>4</v>
      </c>
      <c r="L199" s="222"/>
      <c r="M199" s="222"/>
      <c r="N199" s="222"/>
      <c r="O199" s="222"/>
      <c r="P199" s="148">
        <f>IF(V199="NO",Table_Shelter[[#This Row],[HH per Shelter]]*(Table_Shelter[[#This Row],['# of Temporary Shelter Units Built]]+Table_Shelter[[#This Row],['# of Temporary Shelter Under  Construction]]+Table_Shelter[[#This Row],['# of Permanent House Under Construction]]),0)</f>
        <v>4</v>
      </c>
      <c r="Q199" s="148">
        <v>5</v>
      </c>
      <c r="R199" s="222"/>
      <c r="S199" s="222" t="str">
        <f>IFERROR(VLOOKUP(Table_Shelter[[#This Row],[CampName]],CL,2,0),"")</f>
        <v>MMR001CMP059</v>
      </c>
      <c r="T199" s="222" t="str">
        <f>IFERROR(VLOOKUP(Table_Shelter[[#This Row],[CampName]],CL,3,0),"")</f>
        <v>Open</v>
      </c>
      <c r="U199" s="393">
        <f>IFERROR(Table_Shelter[[#This Row],[HH Covered]]/VLOOKUP(Table_Shelter[[#This Row],[CampName]],CL,4,0),"")</f>
        <v>0.16666666666666666</v>
      </c>
      <c r="V199" s="731" t="s">
        <v>1369</v>
      </c>
      <c r="W199" s="394"/>
    </row>
    <row r="200" spans="1:23" x14ac:dyDescent="0.25">
      <c r="A200" s="396"/>
      <c r="B200" s="220" t="s">
        <v>852</v>
      </c>
      <c r="C200" s="220"/>
      <c r="D200" s="223" t="s">
        <v>380</v>
      </c>
      <c r="E200" s="530" t="s">
        <v>185</v>
      </c>
      <c r="F200" s="220" t="s">
        <v>217</v>
      </c>
      <c r="G200" s="145">
        <v>1</v>
      </c>
      <c r="H200" s="149"/>
      <c r="I200" s="149"/>
      <c r="J200" s="149">
        <v>18</v>
      </c>
      <c r="K200" s="149">
        <v>18</v>
      </c>
      <c r="L200" s="222"/>
      <c r="M200" s="222"/>
      <c r="N200" s="222"/>
      <c r="O200" s="222"/>
      <c r="P200" s="148">
        <f>IF(V200="NO",Table_Shelter[[#This Row],[HH per Shelter]]*(Table_Shelter[[#This Row],['# of Temporary Shelter Units Built]]+Table_Shelter[[#This Row],['# of Temporary Shelter Under  Construction]]+Table_Shelter[[#This Row],['# of Permanent House Under Construction]]),0)</f>
        <v>18</v>
      </c>
      <c r="Q200" s="148"/>
      <c r="R200" s="222"/>
      <c r="S200" s="222" t="str">
        <f>IFERROR(VLOOKUP(Table_Shelter[[#This Row],[CampName]],CL,2,0),"")</f>
        <v>MMR001CMP059</v>
      </c>
      <c r="T200" s="222" t="str">
        <f>IFERROR(VLOOKUP(Table_Shelter[[#This Row],[CampName]],CL,3,0),"")</f>
        <v>Open</v>
      </c>
      <c r="U200" s="393">
        <f>IFERROR(Table_Shelter[[#This Row],[HH Covered]]/VLOOKUP(Table_Shelter[[#This Row],[CampName]],CL,4,0),"")</f>
        <v>0.75</v>
      </c>
      <c r="V200" s="731" t="s">
        <v>1369</v>
      </c>
      <c r="W200" s="394"/>
    </row>
    <row r="201" spans="1:23" x14ac:dyDescent="0.25">
      <c r="A201" s="396"/>
      <c r="B201" s="220" t="s">
        <v>454</v>
      </c>
      <c r="C201" s="220"/>
      <c r="D201" s="223" t="s">
        <v>380</v>
      </c>
      <c r="E201" s="530" t="s">
        <v>185</v>
      </c>
      <c r="F201" s="220" t="s">
        <v>217</v>
      </c>
      <c r="G201" s="145">
        <v>1</v>
      </c>
      <c r="H201" s="149"/>
      <c r="I201" s="149"/>
      <c r="J201" s="149">
        <v>9</v>
      </c>
      <c r="K201" s="149">
        <v>9</v>
      </c>
      <c r="L201" s="222"/>
      <c r="M201" s="222"/>
      <c r="N201" s="222"/>
      <c r="O201" s="222"/>
      <c r="P201" s="148">
        <f>IF(V201="NO",Table_Shelter[[#This Row],[HH per Shelter]]*(Table_Shelter[[#This Row],['# of Temporary Shelter Units Built]]+Table_Shelter[[#This Row],['# of Temporary Shelter Under  Construction]]+Table_Shelter[[#This Row],['# of Permanent House Under Construction]]),0)</f>
        <v>9</v>
      </c>
      <c r="Q201" s="148"/>
      <c r="R201" s="222"/>
      <c r="S201" s="222" t="str">
        <f>IFERROR(VLOOKUP(Table_Shelter[[#This Row],[CampName]],CL,2,0),"")</f>
        <v>MMR001CMP059</v>
      </c>
      <c r="T201" s="222" t="str">
        <f>IFERROR(VLOOKUP(Table_Shelter[[#This Row],[CampName]],CL,3,0),"")</f>
        <v>Open</v>
      </c>
      <c r="U201" s="393">
        <f>IFERROR(Table_Shelter[[#This Row],[HH Covered]]/VLOOKUP(Table_Shelter[[#This Row],[CampName]],CL,4,0),"")</f>
        <v>0.375</v>
      </c>
      <c r="V201" s="731" t="s">
        <v>1369</v>
      </c>
      <c r="W201" s="394"/>
    </row>
    <row r="202" spans="1:23" x14ac:dyDescent="0.25">
      <c r="A202" s="396"/>
      <c r="B202" s="220" t="s">
        <v>854</v>
      </c>
      <c r="C202" s="220" t="s">
        <v>462</v>
      </c>
      <c r="D202" s="223" t="s">
        <v>380</v>
      </c>
      <c r="E202" s="225" t="s">
        <v>237</v>
      </c>
      <c r="F202" s="220" t="s">
        <v>269</v>
      </c>
      <c r="G202" s="145">
        <v>1</v>
      </c>
      <c r="H202" s="149"/>
      <c r="I202" s="149"/>
      <c r="J202" s="149">
        <v>32</v>
      </c>
      <c r="K202" s="149">
        <v>32</v>
      </c>
      <c r="L202" s="222"/>
      <c r="M202" s="222"/>
      <c r="N202" s="222"/>
      <c r="O202" s="222"/>
      <c r="P202" s="148">
        <f>IF(V202="NO",Table_Shelter[[#This Row],[HH per Shelter]]*(Table_Shelter[[#This Row],['# of Temporary Shelter Units Built]]+Table_Shelter[[#This Row],['# of Temporary Shelter Under  Construction]]+Table_Shelter[[#This Row],['# of Permanent House Under Construction]]),0)</f>
        <v>32</v>
      </c>
      <c r="Q202" s="148"/>
      <c r="R202" s="222"/>
      <c r="S202" s="222" t="str">
        <f>IFERROR(VLOOKUP(Table_Shelter[[#This Row],[CampName]],CL,2,0),"")</f>
        <v>MMR001CMP002</v>
      </c>
      <c r="T202" s="222" t="str">
        <f>IFERROR(VLOOKUP(Table_Shelter[[#This Row],[CampName]],CL,3,0),"")</f>
        <v>Open</v>
      </c>
      <c r="U202" s="393">
        <f>IFERROR(Table_Shelter[[#This Row],[HH Covered]]/VLOOKUP(Table_Shelter[[#This Row],[CampName]],CL,4,0),"")</f>
        <v>0.56140350877192979</v>
      </c>
      <c r="V202" s="731" t="s">
        <v>1369</v>
      </c>
      <c r="W202" s="394"/>
    </row>
    <row r="203" spans="1:23" x14ac:dyDescent="0.25">
      <c r="A203" s="396"/>
      <c r="B203" s="220" t="s">
        <v>454</v>
      </c>
      <c r="C203" s="220" t="s">
        <v>462</v>
      </c>
      <c r="D203" s="223" t="s">
        <v>380</v>
      </c>
      <c r="E203" s="225" t="s">
        <v>237</v>
      </c>
      <c r="F203" s="220" t="s">
        <v>269</v>
      </c>
      <c r="G203" s="145">
        <v>1</v>
      </c>
      <c r="H203" s="149"/>
      <c r="I203" s="149"/>
      <c r="J203" s="149">
        <v>20</v>
      </c>
      <c r="K203" s="149">
        <v>20</v>
      </c>
      <c r="L203" s="222"/>
      <c r="M203" s="222"/>
      <c r="N203" s="222"/>
      <c r="O203" s="222"/>
      <c r="P203" s="148">
        <f>IF(V203="NO",Table_Shelter[[#This Row],[HH per Shelter]]*(Table_Shelter[[#This Row],['# of Temporary Shelter Units Built]]+Table_Shelter[[#This Row],['# of Temporary Shelter Under  Construction]]+Table_Shelter[[#This Row],['# of Permanent House Under Construction]]),0)</f>
        <v>20</v>
      </c>
      <c r="Q203" s="148"/>
      <c r="R203" s="222"/>
      <c r="S203" s="222" t="str">
        <f>IFERROR(VLOOKUP(Table_Shelter[[#This Row],[CampName]],CL,2,0),"")</f>
        <v>MMR001CMP002</v>
      </c>
      <c r="T203" s="222" t="str">
        <f>IFERROR(VLOOKUP(Table_Shelter[[#This Row],[CampName]],CL,3,0),"")</f>
        <v>Open</v>
      </c>
      <c r="U203" s="393">
        <f>IFERROR(Table_Shelter[[#This Row],[HH Covered]]/VLOOKUP(Table_Shelter[[#This Row],[CampName]],CL,4,0),"")</f>
        <v>0.35087719298245612</v>
      </c>
      <c r="V203" s="731" t="s">
        <v>1369</v>
      </c>
      <c r="W203" s="394"/>
    </row>
    <row r="204" spans="1:23" x14ac:dyDescent="0.25">
      <c r="A204" s="396"/>
      <c r="B204" s="220" t="s">
        <v>454</v>
      </c>
      <c r="C204" s="220"/>
      <c r="D204" s="223" t="s">
        <v>380</v>
      </c>
      <c r="E204" s="225" t="s">
        <v>185</v>
      </c>
      <c r="F204" s="220" t="s">
        <v>229</v>
      </c>
      <c r="G204" s="145">
        <v>1</v>
      </c>
      <c r="H204" s="149"/>
      <c r="I204" s="149"/>
      <c r="J204" s="149">
        <v>45</v>
      </c>
      <c r="K204" s="149">
        <v>45</v>
      </c>
      <c r="L204" s="222"/>
      <c r="M204" s="222"/>
      <c r="N204" s="222"/>
      <c r="O204" s="222"/>
      <c r="P204" s="148">
        <f>IF(V204="NO",Table_Shelter[[#This Row],[HH per Shelter]]*(Table_Shelter[[#This Row],['# of Temporary Shelter Units Built]]+Table_Shelter[[#This Row],['# of Temporary Shelter Under  Construction]]+Table_Shelter[[#This Row],['# of Permanent House Under Construction]]),0)</f>
        <v>45</v>
      </c>
      <c r="Q204" s="148"/>
      <c r="R204" s="222"/>
      <c r="S204" s="222" t="str">
        <f>IFERROR(VLOOKUP(Table_Shelter[[#This Row],[CampName]],CL,2,0),"")</f>
        <v>MMR001CMP072</v>
      </c>
      <c r="T204" s="222" t="str">
        <f>IFERROR(VLOOKUP(Table_Shelter[[#This Row],[CampName]],CL,3,0),"")</f>
        <v>Open</v>
      </c>
      <c r="U204" s="393">
        <f>IFERROR(Table_Shelter[[#This Row],[HH Covered]]/VLOOKUP(Table_Shelter[[#This Row],[CampName]],CL,4,0),"")</f>
        <v>0.9</v>
      </c>
      <c r="V204" s="731" t="s">
        <v>1369</v>
      </c>
      <c r="W204" s="394"/>
    </row>
    <row r="205" spans="1:23" x14ac:dyDescent="0.25">
      <c r="A205" s="396"/>
      <c r="B205" s="220" t="s">
        <v>594</v>
      </c>
      <c r="C205" s="220" t="s">
        <v>508</v>
      </c>
      <c r="D205" s="223" t="s">
        <v>380</v>
      </c>
      <c r="E205" s="225" t="s">
        <v>237</v>
      </c>
      <c r="F205" s="220" t="s">
        <v>273</v>
      </c>
      <c r="G205" s="145">
        <v>1</v>
      </c>
      <c r="H205" s="149"/>
      <c r="I205" s="149"/>
      <c r="J205" s="149">
        <v>30</v>
      </c>
      <c r="K205" s="149">
        <v>30</v>
      </c>
      <c r="L205" s="222"/>
      <c r="M205" s="222"/>
      <c r="N205" s="222"/>
      <c r="O205" s="222"/>
      <c r="P205" s="148">
        <f>IF(V205="NO",Table_Shelter[[#This Row],[HH per Shelter]]*(Table_Shelter[[#This Row],['# of Temporary Shelter Units Built]]+Table_Shelter[[#This Row],['# of Temporary Shelter Under  Construction]]+Table_Shelter[[#This Row],['# of Permanent House Under Construction]]),0)</f>
        <v>30</v>
      </c>
      <c r="Q205" s="148"/>
      <c r="R205" s="222"/>
      <c r="S205" s="222" t="str">
        <f>IFERROR(VLOOKUP(Table_Shelter[[#This Row],[CampName]],CL,2,0),"")</f>
        <v>MMR001CMP162</v>
      </c>
      <c r="T205" s="222" t="str">
        <f>IFERROR(VLOOKUP(Table_Shelter[[#This Row],[CampName]],CL,3,0),"")</f>
        <v>Open</v>
      </c>
      <c r="U205" s="393">
        <f>IFERROR(Table_Shelter[[#This Row],[HH Covered]]/VLOOKUP(Table_Shelter[[#This Row],[CampName]],CL,4,0),"")</f>
        <v>0.52631578947368418</v>
      </c>
      <c r="V205" s="731" t="s">
        <v>1369</v>
      </c>
      <c r="W205" s="394"/>
    </row>
    <row r="206" spans="1:23" x14ac:dyDescent="0.25">
      <c r="A206" s="396">
        <v>41974</v>
      </c>
      <c r="B206" s="220" t="s">
        <v>455</v>
      </c>
      <c r="C206" s="220"/>
      <c r="D206" s="223" t="s">
        <v>380</v>
      </c>
      <c r="E206" s="225" t="s">
        <v>185</v>
      </c>
      <c r="F206" s="220" t="s">
        <v>219</v>
      </c>
      <c r="G206" s="145">
        <v>1</v>
      </c>
      <c r="H206" s="149"/>
      <c r="I206" s="149"/>
      <c r="J206" s="149">
        <v>394</v>
      </c>
      <c r="K206" s="149">
        <v>140</v>
      </c>
      <c r="L206" s="222"/>
      <c r="M206" s="222"/>
      <c r="N206" s="222"/>
      <c r="O206" s="222"/>
      <c r="P206" s="148">
        <f>IF(V206="NO",Table_Shelter[[#This Row],[HH per Shelter]]*(Table_Shelter[[#This Row],['# of Temporary Shelter Units Built]]+Table_Shelter[[#This Row],['# of Temporary Shelter Under  Construction]]+Table_Shelter[[#This Row],['# of Permanent House Under Construction]]),0)</f>
        <v>140</v>
      </c>
      <c r="Q206" s="148"/>
      <c r="R206" s="222"/>
      <c r="S206" s="222" t="str">
        <f>IFERROR(VLOOKUP(Table_Shelter[[#This Row],[CampName]],CL,2,0),"")</f>
        <v>MMR001CMP126</v>
      </c>
      <c r="T206" s="222" t="str">
        <f>IFERROR(VLOOKUP(Table_Shelter[[#This Row],[CampName]],CL,3,0),"")</f>
        <v>Open</v>
      </c>
      <c r="U206" s="393">
        <f>IFERROR(Table_Shelter[[#This Row],[HH Covered]]/VLOOKUP(Table_Shelter[[#This Row],[CampName]],CL,4,0),"")</f>
        <v>0.16666666666666666</v>
      </c>
      <c r="V206" s="731" t="s">
        <v>1369</v>
      </c>
      <c r="W206" s="394"/>
    </row>
    <row r="207" spans="1:23" x14ac:dyDescent="0.25">
      <c r="A207" s="396"/>
      <c r="B207" s="220" t="s">
        <v>594</v>
      </c>
      <c r="C207" s="220" t="s">
        <v>574</v>
      </c>
      <c r="D207" s="223" t="s">
        <v>380</v>
      </c>
      <c r="E207" s="225" t="s">
        <v>185</v>
      </c>
      <c r="F207" s="220" t="s">
        <v>219</v>
      </c>
      <c r="G207" s="145">
        <v>1</v>
      </c>
      <c r="H207" s="149"/>
      <c r="I207" s="149"/>
      <c r="J207" s="149">
        <v>447</v>
      </c>
      <c r="K207" s="149">
        <v>447</v>
      </c>
      <c r="L207" s="222"/>
      <c r="M207" s="222"/>
      <c r="N207" s="222"/>
      <c r="O207" s="222"/>
      <c r="P207" s="148">
        <f>IF(V207="NO",Table_Shelter[[#This Row],[HH per Shelter]]*(Table_Shelter[[#This Row],['# of Temporary Shelter Units Built]]+Table_Shelter[[#This Row],['# of Temporary Shelter Under  Construction]]+Table_Shelter[[#This Row],['# of Permanent House Under Construction]]),0)</f>
        <v>447</v>
      </c>
      <c r="Q207" s="148"/>
      <c r="R207" s="222"/>
      <c r="S207" s="222" t="str">
        <f>IFERROR(VLOOKUP(Table_Shelter[[#This Row],[CampName]],CL,2,0),"")</f>
        <v>MMR001CMP126</v>
      </c>
      <c r="T207" s="222" t="str">
        <f>IFERROR(VLOOKUP(Table_Shelter[[#This Row],[CampName]],CL,3,0),"")</f>
        <v>Open</v>
      </c>
      <c r="U207" s="393">
        <f>IFERROR(Table_Shelter[[#This Row],[HH Covered]]/VLOOKUP(Table_Shelter[[#This Row],[CampName]],CL,4,0),"")</f>
        <v>0.53214285714285714</v>
      </c>
      <c r="V207" s="731" t="s">
        <v>1369</v>
      </c>
      <c r="W207" s="394"/>
    </row>
    <row r="208" spans="1:23" x14ac:dyDescent="0.25">
      <c r="A208" s="396"/>
      <c r="B208" s="220" t="s">
        <v>454</v>
      </c>
      <c r="C208" s="220" t="s">
        <v>461</v>
      </c>
      <c r="D208" s="223" t="s">
        <v>380</v>
      </c>
      <c r="E208" s="225" t="s">
        <v>185</v>
      </c>
      <c r="F208" s="220" t="s">
        <v>219</v>
      </c>
      <c r="G208" s="145">
        <v>1</v>
      </c>
      <c r="H208" s="149"/>
      <c r="I208" s="149"/>
      <c r="J208" s="149">
        <v>130</v>
      </c>
      <c r="K208" s="149">
        <v>130</v>
      </c>
      <c r="L208" s="222"/>
      <c r="M208" s="222"/>
      <c r="N208" s="222"/>
      <c r="O208" s="222"/>
      <c r="P208" s="148">
        <f>IF(V208="NO",Table_Shelter[[#This Row],[HH per Shelter]]*(Table_Shelter[[#This Row],['# of Temporary Shelter Units Built]]+Table_Shelter[[#This Row],['# of Temporary Shelter Under  Construction]]+Table_Shelter[[#This Row],['# of Permanent House Under Construction]]),0)</f>
        <v>130</v>
      </c>
      <c r="Q208" s="148"/>
      <c r="R208" s="222"/>
      <c r="S208" s="222" t="str">
        <f>IFERROR(VLOOKUP(Table_Shelter[[#This Row],[CampName]],CL,2,0),"")</f>
        <v>MMR001CMP126</v>
      </c>
      <c r="T208" s="222" t="str">
        <f>IFERROR(VLOOKUP(Table_Shelter[[#This Row],[CampName]],CL,3,0),"")</f>
        <v>Open</v>
      </c>
      <c r="U208" s="393">
        <f>IFERROR(Table_Shelter[[#This Row],[HH Covered]]/VLOOKUP(Table_Shelter[[#This Row],[CampName]],CL,4,0),"")</f>
        <v>0.15476190476190477</v>
      </c>
      <c r="V208" s="731" t="s">
        <v>1369</v>
      </c>
      <c r="W208" s="394"/>
    </row>
    <row r="209" spans="1:23" x14ac:dyDescent="0.25">
      <c r="A209" s="396">
        <v>41609</v>
      </c>
      <c r="B209" s="220" t="s">
        <v>454</v>
      </c>
      <c r="C209" s="220" t="s">
        <v>462</v>
      </c>
      <c r="D209" s="223" t="s">
        <v>380</v>
      </c>
      <c r="E209" s="225" t="s">
        <v>310</v>
      </c>
      <c r="F209" s="220" t="s">
        <v>1266</v>
      </c>
      <c r="G209" s="145">
        <v>1</v>
      </c>
      <c r="H209" s="149"/>
      <c r="I209" s="149"/>
      <c r="J209" s="149">
        <v>11</v>
      </c>
      <c r="K209" s="149">
        <v>11</v>
      </c>
      <c r="L209" s="222"/>
      <c r="M209" s="222"/>
      <c r="N209" s="222"/>
      <c r="O209" s="222"/>
      <c r="P209" s="148">
        <f>IF(V209="NO",Table_Shelter[[#This Row],[HH per Shelter]]*(Table_Shelter[[#This Row],['# of Temporary Shelter Units Built]]+Table_Shelter[[#This Row],['# of Temporary Shelter Under  Construction]]+Table_Shelter[[#This Row],['# of Permanent House Under Construction]]),0)</f>
        <v>11</v>
      </c>
      <c r="Q209" s="148"/>
      <c r="R209" s="148"/>
      <c r="S209" s="148" t="str">
        <f>IFERROR(VLOOKUP(Table_Shelter[[#This Row],[CampName]],CL,2,0),"")</f>
        <v>MMR001CMP120</v>
      </c>
      <c r="T209" s="148" t="str">
        <f>IFERROR(VLOOKUP(Table_Shelter[[#This Row],[CampName]],CL,3,0),"")</f>
        <v>Open</v>
      </c>
      <c r="U209" s="393">
        <f>IFERROR(Table_Shelter[[#This Row],[HH Covered]]/VLOOKUP(Table_Shelter[[#This Row],[CampName]],CL,4,0),"")</f>
        <v>5.7591623036649213E-2</v>
      </c>
      <c r="V209" s="731" t="s">
        <v>1369</v>
      </c>
      <c r="W209" s="397"/>
    </row>
    <row r="210" spans="1:23" x14ac:dyDescent="0.25">
      <c r="A210" s="396"/>
      <c r="B210" s="220" t="s">
        <v>454</v>
      </c>
      <c r="C210" s="220" t="s">
        <v>462</v>
      </c>
      <c r="D210" s="223" t="s">
        <v>380</v>
      </c>
      <c r="E210" s="225" t="s">
        <v>310</v>
      </c>
      <c r="F210" s="220" t="s">
        <v>1266</v>
      </c>
      <c r="G210" s="145">
        <v>1</v>
      </c>
      <c r="H210" s="149"/>
      <c r="I210" s="149"/>
      <c r="J210" s="149">
        <v>24</v>
      </c>
      <c r="K210" s="149">
        <v>24</v>
      </c>
      <c r="L210" s="222"/>
      <c r="M210" s="222"/>
      <c r="N210" s="222"/>
      <c r="O210" s="222"/>
      <c r="P210" s="148">
        <f>IF(V210="NO",Table_Shelter[[#This Row],[HH per Shelter]]*(Table_Shelter[[#This Row],['# of Temporary Shelter Units Built]]+Table_Shelter[[#This Row],['# of Temporary Shelter Under  Construction]]+Table_Shelter[[#This Row],['# of Permanent House Under Construction]]),0)</f>
        <v>24</v>
      </c>
      <c r="Q210" s="148"/>
      <c r="R210" s="222"/>
      <c r="S210" s="222" t="str">
        <f>IFERROR(VLOOKUP(Table_Shelter[[#This Row],[CampName]],CL,2,0),"")</f>
        <v>MMR001CMP120</v>
      </c>
      <c r="T210" s="222" t="str">
        <f>IFERROR(VLOOKUP(Table_Shelter[[#This Row],[CampName]],CL,3,0),"")</f>
        <v>Open</v>
      </c>
      <c r="U210" s="393">
        <f>IFERROR(Table_Shelter[[#This Row],[HH Covered]]/VLOOKUP(Table_Shelter[[#This Row],[CampName]],CL,4,0),"")</f>
        <v>0.1256544502617801</v>
      </c>
      <c r="V210" s="731" t="s">
        <v>1369</v>
      </c>
      <c r="W210" s="394"/>
    </row>
    <row r="211" spans="1:23" x14ac:dyDescent="0.25">
      <c r="A211" s="396"/>
      <c r="B211" s="220" t="s">
        <v>454</v>
      </c>
      <c r="C211" s="220" t="s">
        <v>508</v>
      </c>
      <c r="D211" s="223" t="s">
        <v>380</v>
      </c>
      <c r="E211" s="225" t="s">
        <v>27</v>
      </c>
      <c r="F211" s="220" t="s">
        <v>870</v>
      </c>
      <c r="G211" s="145">
        <v>1</v>
      </c>
      <c r="H211" s="149"/>
      <c r="I211" s="149"/>
      <c r="J211" s="149"/>
      <c r="K211" s="149"/>
      <c r="L211" s="222"/>
      <c r="M211" s="222"/>
      <c r="N211" s="222"/>
      <c r="O211" s="222"/>
      <c r="P211" s="148">
        <f>IF(V211="NO",Table_Shelter[[#This Row],[HH per Shelter]]*(Table_Shelter[[#This Row],['# of Temporary Shelter Units Built]]+Table_Shelter[[#This Row],['# of Temporary Shelter Under  Construction]]+Table_Shelter[[#This Row],['# of Permanent House Under Construction]]),0)</f>
        <v>0</v>
      </c>
      <c r="Q211" s="148">
        <v>40</v>
      </c>
      <c r="R211" s="222"/>
      <c r="S211" s="222" t="str">
        <f>IFERROR(VLOOKUP(Table_Shelter[[#This Row],[CampName]],CL,2,0),"")</f>
        <v>MMR001CMP210</v>
      </c>
      <c r="T211" s="222" t="str">
        <f>IFERROR(VLOOKUP(Table_Shelter[[#This Row],[CampName]],CL,3,0),"")</f>
        <v>Open</v>
      </c>
      <c r="U211" s="393">
        <f>IFERROR(Table_Shelter[[#This Row],[HH Covered]]/VLOOKUP(Table_Shelter[[#This Row],[CampName]],CL,4,0),"")</f>
        <v>0</v>
      </c>
      <c r="V211" s="731" t="s">
        <v>1369</v>
      </c>
      <c r="W211" s="394"/>
    </row>
    <row r="212" spans="1:23" x14ac:dyDescent="0.25">
      <c r="A212" s="396">
        <v>41791</v>
      </c>
      <c r="B212" s="220" t="s">
        <v>454</v>
      </c>
      <c r="C212" s="220" t="s">
        <v>462</v>
      </c>
      <c r="D212" s="223" t="s">
        <v>380</v>
      </c>
      <c r="E212" s="225" t="s">
        <v>5</v>
      </c>
      <c r="F212" s="220" t="s">
        <v>366</v>
      </c>
      <c r="G212" s="145">
        <v>1</v>
      </c>
      <c r="H212" s="149"/>
      <c r="I212" s="149"/>
      <c r="J212" s="149">
        <v>10</v>
      </c>
      <c r="K212" s="149">
        <v>10</v>
      </c>
      <c r="L212" s="222"/>
      <c r="M212" s="222"/>
      <c r="N212" s="222"/>
      <c r="O212" s="222"/>
      <c r="P212" s="148">
        <f>IF(V212="NO",Table_Shelter[[#This Row],[HH per Shelter]]*(Table_Shelter[[#This Row],['# of Temporary Shelter Units Built]]+Table_Shelter[[#This Row],['# of Temporary Shelter Under  Construction]]+Table_Shelter[[#This Row],['# of Permanent House Under Construction]]),0)</f>
        <v>10</v>
      </c>
      <c r="Q212" s="148"/>
      <c r="R212" s="148"/>
      <c r="S212" s="148" t="str">
        <f>IFERROR(VLOOKUP(Table_Shelter[[#This Row],[CampName]],CL,2,0),"")</f>
        <v>MMR001CMP193</v>
      </c>
      <c r="T212" s="148" t="str">
        <f>IFERROR(VLOOKUP(Table_Shelter[[#This Row],[CampName]],CL,3,0),"")</f>
        <v>Open</v>
      </c>
      <c r="U212" s="393">
        <f>IFERROR(Table_Shelter[[#This Row],[HH Covered]]/VLOOKUP(Table_Shelter[[#This Row],[CampName]],CL,4,0),"")</f>
        <v>6.3694267515923567E-2</v>
      </c>
      <c r="V212" s="731" t="s">
        <v>1369</v>
      </c>
      <c r="W212" s="397"/>
    </row>
    <row r="213" spans="1:23" x14ac:dyDescent="0.25">
      <c r="A213" s="396">
        <v>41609</v>
      </c>
      <c r="B213" s="220" t="s">
        <v>454</v>
      </c>
      <c r="C213" s="220" t="s">
        <v>462</v>
      </c>
      <c r="D213" s="223" t="s">
        <v>380</v>
      </c>
      <c r="E213" s="225" t="s">
        <v>5</v>
      </c>
      <c r="F213" s="220" t="s">
        <v>366</v>
      </c>
      <c r="G213" s="145">
        <v>1</v>
      </c>
      <c r="H213" s="149"/>
      <c r="I213" s="149"/>
      <c r="J213" s="149">
        <v>50</v>
      </c>
      <c r="K213" s="149">
        <v>50</v>
      </c>
      <c r="L213" s="222"/>
      <c r="M213" s="222"/>
      <c r="N213" s="222"/>
      <c r="O213" s="222"/>
      <c r="P213" s="148">
        <f>IF(V213="NO",Table_Shelter[[#This Row],[HH per Shelter]]*(Table_Shelter[[#This Row],['# of Temporary Shelter Units Built]]+Table_Shelter[[#This Row],['# of Temporary Shelter Under  Construction]]+Table_Shelter[[#This Row],['# of Permanent House Under Construction]]),0)</f>
        <v>50</v>
      </c>
      <c r="Q213" s="148"/>
      <c r="R213" s="222"/>
      <c r="S213" s="222" t="str">
        <f>IFERROR(VLOOKUP(Table_Shelter[[#This Row],[CampName]],CL,2,0),"")</f>
        <v>MMR001CMP193</v>
      </c>
      <c r="T213" s="222" t="str">
        <f>IFERROR(VLOOKUP(Table_Shelter[[#This Row],[CampName]],CL,3,0),"")</f>
        <v>Open</v>
      </c>
      <c r="U213" s="393">
        <f>IFERROR(Table_Shelter[[#This Row],[HH Covered]]/VLOOKUP(Table_Shelter[[#This Row],[CampName]],CL,4,0),"")</f>
        <v>0.31847133757961782</v>
      </c>
      <c r="V213" s="731" t="s">
        <v>1369</v>
      </c>
      <c r="W213" s="394"/>
    </row>
    <row r="214" spans="1:23" x14ac:dyDescent="0.25">
      <c r="A214" s="396"/>
      <c r="B214" s="220" t="s">
        <v>852</v>
      </c>
      <c r="C214" s="220"/>
      <c r="D214" s="223" t="s">
        <v>380</v>
      </c>
      <c r="E214" s="225" t="s">
        <v>5</v>
      </c>
      <c r="F214" s="220" t="s">
        <v>366</v>
      </c>
      <c r="G214" s="145">
        <v>1</v>
      </c>
      <c r="H214" s="149"/>
      <c r="I214" s="149"/>
      <c r="J214" s="149">
        <v>36</v>
      </c>
      <c r="K214" s="149">
        <v>36</v>
      </c>
      <c r="L214" s="222"/>
      <c r="M214" s="222"/>
      <c r="N214" s="222"/>
      <c r="O214" s="222"/>
      <c r="P214" s="148">
        <f>IF(V214="NO",Table_Shelter[[#This Row],[HH per Shelter]]*(Table_Shelter[[#This Row],['# of Temporary Shelter Units Built]]+Table_Shelter[[#This Row],['# of Temporary Shelter Under  Construction]]+Table_Shelter[[#This Row],['# of Permanent House Under Construction]]),0)</f>
        <v>36</v>
      </c>
      <c r="Q214" s="148"/>
      <c r="R214" s="222"/>
      <c r="S214" s="222" t="str">
        <f>IFERROR(VLOOKUP(Table_Shelter[[#This Row],[CampName]],CL,2,0),"")</f>
        <v>MMR001CMP193</v>
      </c>
      <c r="T214" s="222" t="str">
        <f>IFERROR(VLOOKUP(Table_Shelter[[#This Row],[CampName]],CL,3,0),"")</f>
        <v>Open</v>
      </c>
      <c r="U214" s="393">
        <f>IFERROR(Table_Shelter[[#This Row],[HH Covered]]/VLOOKUP(Table_Shelter[[#This Row],[CampName]],CL,4,0),"")</f>
        <v>0.22929936305732485</v>
      </c>
      <c r="V214" s="731" t="s">
        <v>1369</v>
      </c>
      <c r="W214" s="394"/>
    </row>
    <row r="215" spans="1:23" x14ac:dyDescent="0.25">
      <c r="A215" s="396"/>
      <c r="B215" s="220" t="s">
        <v>454</v>
      </c>
      <c r="C215" s="220"/>
      <c r="D215" s="223" t="s">
        <v>380</v>
      </c>
      <c r="E215" s="225" t="s">
        <v>5</v>
      </c>
      <c r="F215" s="220" t="s">
        <v>366</v>
      </c>
      <c r="G215" s="145">
        <v>1</v>
      </c>
      <c r="H215" s="149"/>
      <c r="I215" s="149"/>
      <c r="J215" s="149">
        <v>30</v>
      </c>
      <c r="K215" s="149">
        <v>30</v>
      </c>
      <c r="L215" s="222"/>
      <c r="M215" s="222"/>
      <c r="N215" s="222"/>
      <c r="O215" s="222"/>
      <c r="P215" s="148">
        <f>IF(V215="NO",Table_Shelter[[#This Row],[HH per Shelter]]*(Table_Shelter[[#This Row],['# of Temporary Shelter Units Built]]+Table_Shelter[[#This Row],['# of Temporary Shelter Under  Construction]]+Table_Shelter[[#This Row],['# of Permanent House Under Construction]]),0)</f>
        <v>30</v>
      </c>
      <c r="Q215" s="148"/>
      <c r="R215" s="222"/>
      <c r="S215" s="222" t="str">
        <f>IFERROR(VLOOKUP(Table_Shelter[[#This Row],[CampName]],CL,2,0),"")</f>
        <v>MMR001CMP193</v>
      </c>
      <c r="T215" s="222" t="str">
        <f>IFERROR(VLOOKUP(Table_Shelter[[#This Row],[CampName]],CL,3,0),"")</f>
        <v>Open</v>
      </c>
      <c r="U215" s="393">
        <f>IFERROR(Table_Shelter[[#This Row],[HH Covered]]/VLOOKUP(Table_Shelter[[#This Row],[CampName]],CL,4,0),"")</f>
        <v>0.19108280254777071</v>
      </c>
      <c r="V215" s="731" t="s">
        <v>1369</v>
      </c>
      <c r="W215" s="394"/>
    </row>
    <row r="216" spans="1:23" x14ac:dyDescent="0.25">
      <c r="A216" s="396"/>
      <c r="B216" s="220" t="s">
        <v>868</v>
      </c>
      <c r="C216" s="220"/>
      <c r="D216" s="223" t="s">
        <v>380</v>
      </c>
      <c r="E216" s="225" t="s">
        <v>310</v>
      </c>
      <c r="F216" s="220" t="s">
        <v>355</v>
      </c>
      <c r="G216" s="145">
        <v>1</v>
      </c>
      <c r="H216" s="149">
        <v>207</v>
      </c>
      <c r="I216" s="149">
        <v>207</v>
      </c>
      <c r="J216" s="149"/>
      <c r="K216" s="149"/>
      <c r="L216" s="222"/>
      <c r="M216" s="222"/>
      <c r="N216" s="222"/>
      <c r="O216" s="222"/>
      <c r="P216" s="148">
        <f>IF(V216="NO",Table_Shelter[[#This Row],[HH per Shelter]]*(Table_Shelter[[#This Row],['# of Temporary Shelter Units Built]]+Table_Shelter[[#This Row],['# of Temporary Shelter Under  Construction]]+Table_Shelter[[#This Row],['# of Permanent House Under Construction]]),0)</f>
        <v>0</v>
      </c>
      <c r="Q216" s="148"/>
      <c r="R216" s="222"/>
      <c r="S216" s="222" t="str">
        <f>IFERROR(VLOOKUP(Table_Shelter[[#This Row],[CampName]],CL,2,0),"")</f>
        <v>MMR001CMP160</v>
      </c>
      <c r="T216" s="222" t="str">
        <f>IFERROR(VLOOKUP(Table_Shelter[[#This Row],[CampName]],CL,3,0),"")</f>
        <v>Open</v>
      </c>
      <c r="U216" s="393">
        <f>IFERROR(Table_Shelter[[#This Row],[HH Covered]]/VLOOKUP(Table_Shelter[[#This Row],[CampName]],CL,4,0),"")</f>
        <v>0</v>
      </c>
      <c r="V216" s="731" t="s">
        <v>1369</v>
      </c>
      <c r="W216" s="394"/>
    </row>
    <row r="217" spans="1:23" x14ac:dyDescent="0.25">
      <c r="A217" s="396">
        <v>41974</v>
      </c>
      <c r="B217" s="220" t="s">
        <v>454</v>
      </c>
      <c r="C217" s="220" t="s">
        <v>507</v>
      </c>
      <c r="D217" s="223" t="s">
        <v>380</v>
      </c>
      <c r="E217" s="225" t="s">
        <v>310</v>
      </c>
      <c r="F217" s="220" t="s">
        <v>318</v>
      </c>
      <c r="G217" s="145">
        <v>1</v>
      </c>
      <c r="H217" s="149"/>
      <c r="I217" s="149"/>
      <c r="J217" s="149">
        <v>21</v>
      </c>
      <c r="K217" s="149">
        <v>21</v>
      </c>
      <c r="L217" s="222"/>
      <c r="M217" s="222"/>
      <c r="N217" s="222"/>
      <c r="O217" s="222"/>
      <c r="P217" s="148">
        <f>IF(V217="NO",Table_Shelter[[#This Row],[HH per Shelter]]*(Table_Shelter[[#This Row],['# of Temporary Shelter Units Built]]+Table_Shelter[[#This Row],['# of Temporary Shelter Under  Construction]]+Table_Shelter[[#This Row],['# of Permanent House Under Construction]]),0)</f>
        <v>21</v>
      </c>
      <c r="Q217" s="148"/>
      <c r="R217" s="148"/>
      <c r="S217" s="148" t="str">
        <f>IFERROR(VLOOKUP(Table_Shelter[[#This Row],[CampName]],CL,2,0),"")</f>
        <v>MMR001CMP032</v>
      </c>
      <c r="T217" s="148" t="str">
        <f>IFERROR(VLOOKUP(Table_Shelter[[#This Row],[CampName]],CL,3,0),"")</f>
        <v>Open</v>
      </c>
      <c r="U217" s="393">
        <f>IFERROR(Table_Shelter[[#This Row],[HH Covered]]/VLOOKUP(Table_Shelter[[#This Row],[CampName]],CL,4,0),"")</f>
        <v>0.22340425531914893</v>
      </c>
      <c r="V217" s="731" t="s">
        <v>1369</v>
      </c>
      <c r="W217" s="397"/>
    </row>
    <row r="218" spans="1:23" x14ac:dyDescent="0.25">
      <c r="A218" s="396">
        <v>41609</v>
      </c>
      <c r="B218" s="220" t="s">
        <v>454</v>
      </c>
      <c r="C218" s="220" t="s">
        <v>507</v>
      </c>
      <c r="D218" s="223" t="s">
        <v>380</v>
      </c>
      <c r="E218" s="225" t="s">
        <v>310</v>
      </c>
      <c r="F218" s="220" t="s">
        <v>318</v>
      </c>
      <c r="G218" s="145">
        <v>1</v>
      </c>
      <c r="H218" s="149"/>
      <c r="I218" s="149"/>
      <c r="J218" s="149">
        <v>10</v>
      </c>
      <c r="K218" s="149">
        <v>10</v>
      </c>
      <c r="L218" s="222"/>
      <c r="M218" s="222"/>
      <c r="N218" s="222"/>
      <c r="O218" s="222"/>
      <c r="P218" s="148">
        <f>IF(V218="NO",Table_Shelter[[#This Row],[HH per Shelter]]*(Table_Shelter[[#This Row],['# of Temporary Shelter Units Built]]+Table_Shelter[[#This Row],['# of Temporary Shelter Under  Construction]]+Table_Shelter[[#This Row],['# of Permanent House Under Construction]]),0)</f>
        <v>10</v>
      </c>
      <c r="Q218" s="148"/>
      <c r="R218" s="148"/>
      <c r="S218" s="148" t="str">
        <f>IFERROR(VLOOKUP(Table_Shelter[[#This Row],[CampName]],CL,2,0),"")</f>
        <v>MMR001CMP032</v>
      </c>
      <c r="T218" s="148" t="str">
        <f>IFERROR(VLOOKUP(Table_Shelter[[#This Row],[CampName]],CL,3,0),"")</f>
        <v>Open</v>
      </c>
      <c r="U218" s="393">
        <f>IFERROR(Table_Shelter[[#This Row],[HH Covered]]/VLOOKUP(Table_Shelter[[#This Row],[CampName]],CL,4,0),"")</f>
        <v>0.10638297872340426</v>
      </c>
      <c r="V218" s="731" t="s">
        <v>1369</v>
      </c>
      <c r="W218" s="397"/>
    </row>
    <row r="219" spans="1:23" x14ac:dyDescent="0.25">
      <c r="A219" s="396"/>
      <c r="B219" s="220" t="s">
        <v>454</v>
      </c>
      <c r="C219" s="220" t="s">
        <v>507</v>
      </c>
      <c r="D219" s="223" t="s">
        <v>380</v>
      </c>
      <c r="E219" s="225" t="s">
        <v>310</v>
      </c>
      <c r="F219" s="220" t="s">
        <v>318</v>
      </c>
      <c r="G219" s="145">
        <v>1</v>
      </c>
      <c r="H219" s="149"/>
      <c r="I219" s="149"/>
      <c r="J219" s="149">
        <v>45</v>
      </c>
      <c r="K219" s="149">
        <v>45</v>
      </c>
      <c r="L219" s="222"/>
      <c r="M219" s="222"/>
      <c r="N219" s="222"/>
      <c r="O219" s="222"/>
      <c r="P219" s="148">
        <f>IF(V219="NO",Table_Shelter[[#This Row],[HH per Shelter]]*(Table_Shelter[[#This Row],['# of Temporary Shelter Units Built]]+Table_Shelter[[#This Row],['# of Temporary Shelter Under  Construction]]+Table_Shelter[[#This Row],['# of Permanent House Under Construction]]),0)</f>
        <v>45</v>
      </c>
      <c r="Q219" s="148">
        <v>10</v>
      </c>
      <c r="R219" s="222"/>
      <c r="S219" s="222" t="str">
        <f>IFERROR(VLOOKUP(Table_Shelter[[#This Row],[CampName]],CL,2,0),"")</f>
        <v>MMR001CMP032</v>
      </c>
      <c r="T219" s="222" t="str">
        <f>IFERROR(VLOOKUP(Table_Shelter[[#This Row],[CampName]],CL,3,0),"")</f>
        <v>Open</v>
      </c>
      <c r="U219" s="393">
        <f>IFERROR(Table_Shelter[[#This Row],[HH Covered]]/VLOOKUP(Table_Shelter[[#This Row],[CampName]],CL,4,0),"")</f>
        <v>0.47872340425531917</v>
      </c>
      <c r="V219" s="731" t="s">
        <v>1369</v>
      </c>
      <c r="W219" s="394"/>
    </row>
    <row r="220" spans="1:23" x14ac:dyDescent="0.25">
      <c r="A220" s="396"/>
      <c r="B220" s="220" t="s">
        <v>454</v>
      </c>
      <c r="C220" s="220"/>
      <c r="D220" s="223" t="s">
        <v>380</v>
      </c>
      <c r="E220" s="530" t="s">
        <v>310</v>
      </c>
      <c r="F220" s="220" t="s">
        <v>318</v>
      </c>
      <c r="G220" s="145">
        <v>1</v>
      </c>
      <c r="H220" s="149"/>
      <c r="I220" s="149"/>
      <c r="J220" s="149">
        <v>5</v>
      </c>
      <c r="K220" s="149">
        <v>5</v>
      </c>
      <c r="L220" s="222"/>
      <c r="M220" s="222"/>
      <c r="N220" s="222"/>
      <c r="O220" s="222"/>
      <c r="P220" s="148">
        <f>IF(V220="NO",Table_Shelter[[#This Row],[HH per Shelter]]*(Table_Shelter[[#This Row],['# of Temporary Shelter Units Built]]+Table_Shelter[[#This Row],['# of Temporary Shelter Under  Construction]]+Table_Shelter[[#This Row],['# of Permanent House Under Construction]]),0)</f>
        <v>5</v>
      </c>
      <c r="Q220" s="148"/>
      <c r="R220" s="222"/>
      <c r="S220" s="222" t="str">
        <f>IFERROR(VLOOKUP(Table_Shelter[[#This Row],[CampName]],CL,2,0),"")</f>
        <v>MMR001CMP032</v>
      </c>
      <c r="T220" s="222" t="str">
        <f>IFERROR(VLOOKUP(Table_Shelter[[#This Row],[CampName]],CL,3,0),"")</f>
        <v>Open</v>
      </c>
      <c r="U220" s="393">
        <f>IFERROR(Table_Shelter[[#This Row],[HH Covered]]/VLOOKUP(Table_Shelter[[#This Row],[CampName]],CL,4,0),"")</f>
        <v>5.3191489361702128E-2</v>
      </c>
      <c r="V220" s="731" t="s">
        <v>1369</v>
      </c>
      <c r="W220" s="394"/>
    </row>
    <row r="221" spans="1:23" x14ac:dyDescent="0.25">
      <c r="A221" s="396"/>
      <c r="B221" s="220" t="s">
        <v>571</v>
      </c>
      <c r="C221" s="220"/>
      <c r="D221" s="223" t="s">
        <v>380</v>
      </c>
      <c r="E221" s="530" t="s">
        <v>310</v>
      </c>
      <c r="F221" s="220" t="s">
        <v>318</v>
      </c>
      <c r="G221" s="145">
        <v>1</v>
      </c>
      <c r="H221" s="149"/>
      <c r="I221" s="149"/>
      <c r="J221" s="149">
        <v>10</v>
      </c>
      <c r="K221" s="149">
        <v>10</v>
      </c>
      <c r="L221" s="222"/>
      <c r="M221" s="222"/>
      <c r="N221" s="222"/>
      <c r="O221" s="222"/>
      <c r="P221" s="148">
        <f>IF(V221="NO",Table_Shelter[[#This Row],[HH per Shelter]]*(Table_Shelter[[#This Row],['# of Temporary Shelter Units Built]]+Table_Shelter[[#This Row],['# of Temporary Shelter Under  Construction]]+Table_Shelter[[#This Row],['# of Permanent House Under Construction]]),0)</f>
        <v>10</v>
      </c>
      <c r="Q221" s="148"/>
      <c r="R221" s="222"/>
      <c r="S221" s="222" t="str">
        <f>IFERROR(VLOOKUP(Table_Shelter[[#This Row],[CampName]],CL,2,0),"")</f>
        <v>MMR001CMP032</v>
      </c>
      <c r="T221" s="222" t="str">
        <f>IFERROR(VLOOKUP(Table_Shelter[[#This Row],[CampName]],CL,3,0),"")</f>
        <v>Open</v>
      </c>
      <c r="U221" s="393">
        <f>IFERROR(Table_Shelter[[#This Row],[HH Covered]]/VLOOKUP(Table_Shelter[[#This Row],[CampName]],CL,4,0),"")</f>
        <v>0.10638297872340426</v>
      </c>
      <c r="V221" s="731" t="s">
        <v>1369</v>
      </c>
      <c r="W221" s="394"/>
    </row>
    <row r="222" spans="1:23" x14ac:dyDescent="0.25">
      <c r="A222" s="396"/>
      <c r="B222" s="220" t="s">
        <v>454</v>
      </c>
      <c r="C222" s="220" t="s">
        <v>507</v>
      </c>
      <c r="D222" s="228" t="s">
        <v>380</v>
      </c>
      <c r="E222" s="225" t="s">
        <v>310</v>
      </c>
      <c r="F222" s="220" t="s">
        <v>318</v>
      </c>
      <c r="G222" s="145">
        <v>1</v>
      </c>
      <c r="H222" s="149"/>
      <c r="I222" s="149"/>
      <c r="J222" s="149">
        <v>5</v>
      </c>
      <c r="K222" s="149">
        <v>5</v>
      </c>
      <c r="L222" s="222"/>
      <c r="M222" s="222"/>
      <c r="N222" s="222"/>
      <c r="O222" s="222"/>
      <c r="P222" s="148">
        <f>IF(V222="NO",Table_Shelter[[#This Row],[HH per Shelter]]*(Table_Shelter[[#This Row],['# of Temporary Shelter Units Built]]+Table_Shelter[[#This Row],['# of Temporary Shelter Under  Construction]]+Table_Shelter[[#This Row],['# of Permanent House Under Construction]]),0)</f>
        <v>5</v>
      </c>
      <c r="Q222" s="148"/>
      <c r="R222" s="148"/>
      <c r="S222" s="148" t="str">
        <f>IFERROR(VLOOKUP(Table_Shelter[[#This Row],[CampName]],CL,2,0),"")</f>
        <v>MMR001CMP032</v>
      </c>
      <c r="T222" s="148" t="str">
        <f>IFERROR(VLOOKUP(Table_Shelter[[#This Row],[CampName]],CL,3,0),"")</f>
        <v>Open</v>
      </c>
      <c r="U222" s="393">
        <f>IFERROR(Table_Shelter[[#This Row],[HH Covered]]/VLOOKUP(Table_Shelter[[#This Row],[CampName]],CL,4,0),"")</f>
        <v>5.3191489361702128E-2</v>
      </c>
      <c r="V222" s="731" t="s">
        <v>1369</v>
      </c>
      <c r="W222" s="397"/>
    </row>
    <row r="223" spans="1:23" x14ac:dyDescent="0.25">
      <c r="A223" s="396"/>
      <c r="B223" s="220" t="s">
        <v>853</v>
      </c>
      <c r="C223" s="220" t="s">
        <v>462</v>
      </c>
      <c r="D223" s="223" t="s">
        <v>380</v>
      </c>
      <c r="E223" s="530" t="s">
        <v>310</v>
      </c>
      <c r="F223" s="220" t="s">
        <v>342</v>
      </c>
      <c r="G223" s="145">
        <v>1</v>
      </c>
      <c r="H223" s="149"/>
      <c r="I223" s="149"/>
      <c r="J223" s="149">
        <v>8</v>
      </c>
      <c r="K223" s="149">
        <v>8</v>
      </c>
      <c r="L223" s="222"/>
      <c r="M223" s="222"/>
      <c r="N223" s="222"/>
      <c r="O223" s="222"/>
      <c r="P223" s="148">
        <f>IF(V223="NO",Table_Shelter[[#This Row],[HH per Shelter]]*(Table_Shelter[[#This Row],['# of Temporary Shelter Units Built]]+Table_Shelter[[#This Row],['# of Temporary Shelter Under  Construction]]+Table_Shelter[[#This Row],['# of Permanent House Under Construction]]),0)</f>
        <v>8</v>
      </c>
      <c r="Q223" s="148"/>
      <c r="R223" s="222"/>
      <c r="S223" s="222" t="str">
        <f>IFERROR(VLOOKUP(Table_Shelter[[#This Row],[CampName]],CL,2,0),"")</f>
        <v>MMR001CMP025</v>
      </c>
      <c r="T223" s="222" t="str">
        <f>IFERROR(VLOOKUP(Table_Shelter[[#This Row],[CampName]],CL,3,0),"")</f>
        <v>Open</v>
      </c>
      <c r="U223" s="393">
        <f>IFERROR(Table_Shelter[[#This Row],[HH Covered]]/VLOOKUP(Table_Shelter[[#This Row],[CampName]],CL,4,0),"")</f>
        <v>0.12307692307692308</v>
      </c>
      <c r="V223" s="731" t="s">
        <v>1369</v>
      </c>
      <c r="W223" s="394"/>
    </row>
    <row r="224" spans="1:23" x14ac:dyDescent="0.25">
      <c r="A224" s="396"/>
      <c r="B224" s="220" t="s">
        <v>454</v>
      </c>
      <c r="C224" s="220" t="s">
        <v>462</v>
      </c>
      <c r="D224" s="223" t="s">
        <v>380</v>
      </c>
      <c r="E224" s="225" t="s">
        <v>310</v>
      </c>
      <c r="F224" s="220" t="s">
        <v>342</v>
      </c>
      <c r="G224" s="145">
        <v>1</v>
      </c>
      <c r="H224" s="149"/>
      <c r="I224" s="149"/>
      <c r="J224" s="149">
        <v>10</v>
      </c>
      <c r="K224" s="149">
        <v>10</v>
      </c>
      <c r="L224" s="222"/>
      <c r="M224" s="222"/>
      <c r="N224" s="222"/>
      <c r="O224" s="222"/>
      <c r="P224" s="148">
        <f>IF(V224="NO",Table_Shelter[[#This Row],[HH per Shelter]]*(Table_Shelter[[#This Row],['# of Temporary Shelter Units Built]]+Table_Shelter[[#This Row],['# of Temporary Shelter Under  Construction]]+Table_Shelter[[#This Row],['# of Permanent House Under Construction]]),0)</f>
        <v>10</v>
      </c>
      <c r="Q224" s="148"/>
      <c r="R224" s="222"/>
      <c r="S224" s="222" t="str">
        <f>IFERROR(VLOOKUP(Table_Shelter[[#This Row],[CampName]],CL,2,0),"")</f>
        <v>MMR001CMP025</v>
      </c>
      <c r="T224" s="222" t="str">
        <f>IFERROR(VLOOKUP(Table_Shelter[[#This Row],[CampName]],CL,3,0),"")</f>
        <v>Open</v>
      </c>
      <c r="U224" s="393">
        <f>IFERROR(Table_Shelter[[#This Row],[HH Covered]]/VLOOKUP(Table_Shelter[[#This Row],[CampName]],CL,4,0),"")</f>
        <v>0.15384615384615385</v>
      </c>
      <c r="V224" s="731" t="s">
        <v>1369</v>
      </c>
      <c r="W224" s="394"/>
    </row>
    <row r="225" spans="1:23" x14ac:dyDescent="0.25">
      <c r="A225" s="396"/>
      <c r="B225" s="220" t="s">
        <v>454</v>
      </c>
      <c r="C225" s="220"/>
      <c r="D225" s="223" t="s">
        <v>380</v>
      </c>
      <c r="E225" s="530" t="s">
        <v>310</v>
      </c>
      <c r="F225" s="220" t="s">
        <v>342</v>
      </c>
      <c r="G225" s="145">
        <v>1</v>
      </c>
      <c r="H225" s="149"/>
      <c r="I225" s="149"/>
      <c r="J225" s="149">
        <v>20</v>
      </c>
      <c r="K225" s="149">
        <v>20</v>
      </c>
      <c r="L225" s="222"/>
      <c r="M225" s="222"/>
      <c r="N225" s="222"/>
      <c r="O225" s="222"/>
      <c r="P225" s="148">
        <f>IF(V225="NO",Table_Shelter[[#This Row],[HH per Shelter]]*(Table_Shelter[[#This Row],['# of Temporary Shelter Units Built]]+Table_Shelter[[#This Row],['# of Temporary Shelter Under  Construction]]+Table_Shelter[[#This Row],['# of Permanent House Under Construction]]),0)</f>
        <v>20</v>
      </c>
      <c r="Q225" s="148"/>
      <c r="R225" s="222"/>
      <c r="S225" s="222" t="str">
        <f>IFERROR(VLOOKUP(Table_Shelter[[#This Row],[CampName]],CL,2,0),"")</f>
        <v>MMR001CMP025</v>
      </c>
      <c r="T225" s="222" t="str">
        <f>IFERROR(VLOOKUP(Table_Shelter[[#This Row],[CampName]],CL,3,0),"")</f>
        <v>Open</v>
      </c>
      <c r="U225" s="393">
        <f>IFERROR(Table_Shelter[[#This Row],[HH Covered]]/VLOOKUP(Table_Shelter[[#This Row],[CampName]],CL,4,0),"")</f>
        <v>0.30769230769230771</v>
      </c>
      <c r="V225" s="731" t="s">
        <v>1369</v>
      </c>
      <c r="W225" s="394"/>
    </row>
    <row r="226" spans="1:23" x14ac:dyDescent="0.25">
      <c r="A226" s="396">
        <v>41791</v>
      </c>
      <c r="B226" s="145" t="s">
        <v>454</v>
      </c>
      <c r="C226" s="145" t="s">
        <v>507</v>
      </c>
      <c r="D226" s="228" t="s">
        <v>380</v>
      </c>
      <c r="E226" s="229" t="s">
        <v>310</v>
      </c>
      <c r="F226" s="145" t="s">
        <v>338</v>
      </c>
      <c r="G226" s="145">
        <v>1</v>
      </c>
      <c r="H226" s="149"/>
      <c r="I226" s="149"/>
      <c r="J226" s="149">
        <v>3</v>
      </c>
      <c r="K226" s="149">
        <v>3</v>
      </c>
      <c r="L226" s="149"/>
      <c r="M226" s="149"/>
      <c r="N226" s="149"/>
      <c r="O226" s="149"/>
      <c r="P226" s="148">
        <f>IF(V226="NO",Table_Shelter[[#This Row],[HH per Shelter]]*(Table_Shelter[[#This Row],['# of Temporary Shelter Units Built]]+Table_Shelter[[#This Row],['# of Temporary Shelter Under  Construction]]+Table_Shelter[[#This Row],['# of Permanent House Under Construction]]),0)</f>
        <v>3</v>
      </c>
      <c r="Q226" s="148"/>
      <c r="R226" s="148"/>
      <c r="S226" s="148" t="str">
        <f>IFERROR(VLOOKUP(Table_Shelter[[#This Row],[CampName]],CL,2,0),"")</f>
        <v>MMR001CMP030</v>
      </c>
      <c r="T226" s="148" t="str">
        <f>IFERROR(VLOOKUP(Table_Shelter[[#This Row],[CampName]],CL,3,0),"")</f>
        <v>Open</v>
      </c>
      <c r="U226" s="399">
        <f>IFERROR(Table_Shelter[[#This Row],[HH Covered]]/VLOOKUP(Table_Shelter[[#This Row],[CampName]],CL,4,0),"")</f>
        <v>9.6774193548387094E-2</v>
      </c>
      <c r="V226" s="731" t="s">
        <v>1369</v>
      </c>
      <c r="W226" s="397"/>
    </row>
    <row r="227" spans="1:23" x14ac:dyDescent="0.25">
      <c r="A227" s="396">
        <v>41609</v>
      </c>
      <c r="B227" s="220" t="s">
        <v>454</v>
      </c>
      <c r="C227" s="220" t="s">
        <v>507</v>
      </c>
      <c r="D227" s="223" t="s">
        <v>380</v>
      </c>
      <c r="E227" s="225" t="s">
        <v>310</v>
      </c>
      <c r="F227" s="220" t="s">
        <v>338</v>
      </c>
      <c r="G227" s="145">
        <v>1</v>
      </c>
      <c r="H227" s="149"/>
      <c r="I227" s="149"/>
      <c r="J227" s="149">
        <v>10</v>
      </c>
      <c r="K227" s="149">
        <v>10</v>
      </c>
      <c r="L227" s="222"/>
      <c r="M227" s="222"/>
      <c r="N227" s="222"/>
      <c r="O227" s="222"/>
      <c r="P227" s="148">
        <f>IF(V227="NO",Table_Shelter[[#This Row],[HH per Shelter]]*(Table_Shelter[[#This Row],['# of Temporary Shelter Units Built]]+Table_Shelter[[#This Row],['# of Temporary Shelter Under  Construction]]+Table_Shelter[[#This Row],['# of Permanent House Under Construction]]),0)</f>
        <v>10</v>
      </c>
      <c r="Q227" s="148"/>
      <c r="R227" s="148"/>
      <c r="S227" s="148" t="str">
        <f>IFERROR(VLOOKUP(Table_Shelter[[#This Row],[CampName]],CL,2,0),"")</f>
        <v>MMR001CMP030</v>
      </c>
      <c r="T227" s="148" t="str">
        <f>IFERROR(VLOOKUP(Table_Shelter[[#This Row],[CampName]],CL,3,0),"")</f>
        <v>Open</v>
      </c>
      <c r="U227" s="393">
        <f>IFERROR(Table_Shelter[[#This Row],[HH Covered]]/VLOOKUP(Table_Shelter[[#This Row],[CampName]],CL,4,0),"")</f>
        <v>0.32258064516129031</v>
      </c>
      <c r="V227" s="731" t="s">
        <v>1369</v>
      </c>
      <c r="W227" s="397"/>
    </row>
    <row r="228" spans="1:23" x14ac:dyDescent="0.25">
      <c r="A228" s="396"/>
      <c r="B228" s="220" t="s">
        <v>454</v>
      </c>
      <c r="C228" s="220" t="s">
        <v>507</v>
      </c>
      <c r="D228" s="223" t="s">
        <v>380</v>
      </c>
      <c r="E228" s="225" t="s">
        <v>310</v>
      </c>
      <c r="F228" s="220" t="s">
        <v>338</v>
      </c>
      <c r="G228" s="145">
        <v>1</v>
      </c>
      <c r="H228" s="149"/>
      <c r="I228" s="149"/>
      <c r="J228" s="149">
        <v>23</v>
      </c>
      <c r="K228" s="149">
        <v>23</v>
      </c>
      <c r="L228" s="222"/>
      <c r="M228" s="222"/>
      <c r="N228" s="222"/>
      <c r="O228" s="222"/>
      <c r="P228" s="148">
        <f>IF(V228="NO",Table_Shelter[[#This Row],[HH per Shelter]]*(Table_Shelter[[#This Row],['# of Temporary Shelter Units Built]]+Table_Shelter[[#This Row],['# of Temporary Shelter Under  Construction]]+Table_Shelter[[#This Row],['# of Permanent House Under Construction]]),0)</f>
        <v>23</v>
      </c>
      <c r="Q228" s="148"/>
      <c r="R228" s="222"/>
      <c r="S228" s="222" t="str">
        <f>IFERROR(VLOOKUP(Table_Shelter[[#This Row],[CampName]],CL,2,0),"")</f>
        <v>MMR001CMP030</v>
      </c>
      <c r="T228" s="222" t="str">
        <f>IFERROR(VLOOKUP(Table_Shelter[[#This Row],[CampName]],CL,3,0),"")</f>
        <v>Open</v>
      </c>
      <c r="U228" s="393">
        <f>IFERROR(Table_Shelter[[#This Row],[HH Covered]]/VLOOKUP(Table_Shelter[[#This Row],[CampName]],CL,4,0),"")</f>
        <v>0.74193548387096775</v>
      </c>
      <c r="V228" s="731" t="s">
        <v>1369</v>
      </c>
      <c r="W228" s="394"/>
    </row>
    <row r="229" spans="1:23" x14ac:dyDescent="0.25">
      <c r="A229" s="396"/>
      <c r="B229" s="145" t="s">
        <v>454</v>
      </c>
      <c r="C229" s="145" t="s">
        <v>507</v>
      </c>
      <c r="D229" s="228" t="s">
        <v>380</v>
      </c>
      <c r="E229" s="229" t="s">
        <v>310</v>
      </c>
      <c r="F229" s="145" t="s">
        <v>338</v>
      </c>
      <c r="G229" s="145">
        <v>1</v>
      </c>
      <c r="H229" s="149"/>
      <c r="I229" s="149"/>
      <c r="J229" s="149">
        <v>3</v>
      </c>
      <c r="K229" s="149">
        <v>3</v>
      </c>
      <c r="L229" s="149"/>
      <c r="M229" s="149"/>
      <c r="N229" s="149"/>
      <c r="O229" s="149"/>
      <c r="P229" s="148">
        <f>IF(V229="NO",Table_Shelter[[#This Row],[HH per Shelter]]*(Table_Shelter[[#This Row],['# of Temporary Shelter Units Built]]+Table_Shelter[[#This Row],['# of Temporary Shelter Under  Construction]]+Table_Shelter[[#This Row],['# of Permanent House Under Construction]]),0)</f>
        <v>3</v>
      </c>
      <c r="Q229" s="148"/>
      <c r="R229" s="148"/>
      <c r="S229" s="148" t="str">
        <f>IFERROR(VLOOKUP(Table_Shelter[[#This Row],[CampName]],CL,2,0),"")</f>
        <v>MMR001CMP030</v>
      </c>
      <c r="T229" s="148" t="str">
        <f>IFERROR(VLOOKUP(Table_Shelter[[#This Row],[CampName]],CL,3,0),"")</f>
        <v>Open</v>
      </c>
      <c r="U229" s="399">
        <f>IFERROR(Table_Shelter[[#This Row],[HH Covered]]/VLOOKUP(Table_Shelter[[#This Row],[CampName]],CL,4,0),"")</f>
        <v>9.6774193548387094E-2</v>
      </c>
      <c r="V229" s="731" t="s">
        <v>1369</v>
      </c>
      <c r="W229" s="397"/>
    </row>
    <row r="230" spans="1:23" x14ac:dyDescent="0.25">
      <c r="A230" s="396"/>
      <c r="B230" s="220" t="s">
        <v>454</v>
      </c>
      <c r="C230" s="220" t="s">
        <v>507</v>
      </c>
      <c r="D230" s="223" t="s">
        <v>380</v>
      </c>
      <c r="E230" s="225" t="s">
        <v>310</v>
      </c>
      <c r="F230" s="220" t="s">
        <v>351</v>
      </c>
      <c r="G230" s="145">
        <v>1</v>
      </c>
      <c r="H230" s="149"/>
      <c r="I230" s="149"/>
      <c r="J230" s="149">
        <v>100</v>
      </c>
      <c r="K230" s="149">
        <v>100</v>
      </c>
      <c r="L230" s="222"/>
      <c r="M230" s="222"/>
      <c r="N230" s="222"/>
      <c r="O230" s="222"/>
      <c r="P230" s="148">
        <f>IF(V230="NO",Table_Shelter[[#This Row],[HH per Shelter]]*(Table_Shelter[[#This Row],['# of Temporary Shelter Units Built]]+Table_Shelter[[#This Row],['# of Temporary Shelter Under  Construction]]+Table_Shelter[[#This Row],['# of Permanent House Under Construction]]),0)</f>
        <v>100</v>
      </c>
      <c r="Q230" s="148">
        <v>15</v>
      </c>
      <c r="R230" s="222"/>
      <c r="S230" s="222" t="str">
        <f>IFERROR(VLOOKUP(Table_Shelter[[#This Row],[CampName]],CL,2,0),"")</f>
        <v>MMR001CMP026</v>
      </c>
      <c r="T230" s="222" t="str">
        <f>IFERROR(VLOOKUP(Table_Shelter[[#This Row],[CampName]],CL,3,0),"")</f>
        <v>Open</v>
      </c>
      <c r="U230" s="393">
        <f>IFERROR(Table_Shelter[[#This Row],[HH Covered]]/VLOOKUP(Table_Shelter[[#This Row],[CampName]],CL,4,0),"")</f>
        <v>1.098901098901099</v>
      </c>
      <c r="V230" s="731" t="s">
        <v>1369</v>
      </c>
      <c r="W230" s="394"/>
    </row>
    <row r="231" spans="1:23" x14ac:dyDescent="0.25">
      <c r="A231" s="396">
        <v>41609</v>
      </c>
      <c r="B231" s="220" t="s">
        <v>454</v>
      </c>
      <c r="C231" s="220" t="s">
        <v>507</v>
      </c>
      <c r="D231" s="223" t="s">
        <v>380</v>
      </c>
      <c r="E231" s="225" t="s">
        <v>529</v>
      </c>
      <c r="F231" s="220" t="s">
        <v>118</v>
      </c>
      <c r="G231" s="145">
        <v>1</v>
      </c>
      <c r="H231" s="149"/>
      <c r="I231" s="149"/>
      <c r="J231" s="149">
        <v>10</v>
      </c>
      <c r="K231" s="149">
        <v>10</v>
      </c>
      <c r="L231" s="222"/>
      <c r="M231" s="222"/>
      <c r="N231" s="222"/>
      <c r="O231" s="222"/>
      <c r="P231" s="148">
        <f>IF(V231="NO",Table_Shelter[[#This Row],[HH per Shelter]]*(Table_Shelter[[#This Row],['# of Temporary Shelter Units Built]]+Table_Shelter[[#This Row],['# of Temporary Shelter Under  Construction]]+Table_Shelter[[#This Row],['# of Permanent House Under Construction]]),0)</f>
        <v>10</v>
      </c>
      <c r="Q231" s="148"/>
      <c r="R231" s="222"/>
      <c r="S231" s="222" t="str">
        <f>IFERROR(VLOOKUP(Table_Shelter[[#This Row],[CampName]],CL,2,0),"")</f>
        <v>MMR001CMP182</v>
      </c>
      <c r="T231" s="222" t="str">
        <f>IFERROR(VLOOKUP(Table_Shelter[[#This Row],[CampName]],CL,3,0),"")</f>
        <v>Open</v>
      </c>
      <c r="U231" s="393">
        <f>IFERROR(Table_Shelter[[#This Row],[HH Covered]]/VLOOKUP(Table_Shelter[[#This Row],[CampName]],CL,4,0),"")</f>
        <v>1</v>
      </c>
      <c r="V231" s="731" t="s">
        <v>1369</v>
      </c>
      <c r="W231" s="394"/>
    </row>
    <row r="232" spans="1:23" x14ac:dyDescent="0.25">
      <c r="A232" s="396"/>
      <c r="B232" s="220" t="s">
        <v>868</v>
      </c>
      <c r="C232" s="220"/>
      <c r="D232" s="223" t="s">
        <v>380</v>
      </c>
      <c r="E232" s="225" t="s">
        <v>529</v>
      </c>
      <c r="F232" s="220" t="s">
        <v>118</v>
      </c>
      <c r="G232" s="145">
        <v>1</v>
      </c>
      <c r="H232" s="149">
        <v>9</v>
      </c>
      <c r="I232" s="149">
        <v>9</v>
      </c>
      <c r="J232" s="149"/>
      <c r="K232" s="149"/>
      <c r="L232" s="222"/>
      <c r="M232" s="222"/>
      <c r="N232" s="222"/>
      <c r="O232" s="222"/>
      <c r="P232" s="148">
        <f>IF(V232="NO",Table_Shelter[[#This Row],[HH per Shelter]]*(Table_Shelter[[#This Row],['# of Temporary Shelter Units Built]]+Table_Shelter[[#This Row],['# of Temporary Shelter Under  Construction]]+Table_Shelter[[#This Row],['# of Permanent House Under Construction]]),0)</f>
        <v>0</v>
      </c>
      <c r="Q232" s="148"/>
      <c r="R232" s="222"/>
      <c r="S232" s="222" t="str">
        <f>IFERROR(VLOOKUP(Table_Shelter[[#This Row],[CampName]],CL,2,0),"")</f>
        <v>MMR001CMP182</v>
      </c>
      <c r="T232" s="222" t="str">
        <f>IFERROR(VLOOKUP(Table_Shelter[[#This Row],[CampName]],CL,3,0),"")</f>
        <v>Open</v>
      </c>
      <c r="U232" s="393">
        <f>IFERROR(Table_Shelter[[#This Row],[HH Covered]]/VLOOKUP(Table_Shelter[[#This Row],[CampName]],CL,4,0),"")</f>
        <v>0</v>
      </c>
      <c r="V232" s="731" t="s">
        <v>1369</v>
      </c>
      <c r="W232" s="394"/>
    </row>
    <row r="233" spans="1:23" x14ac:dyDescent="0.25">
      <c r="A233" s="396">
        <v>41609</v>
      </c>
      <c r="B233" s="220" t="s">
        <v>454</v>
      </c>
      <c r="C233" s="220" t="s">
        <v>462</v>
      </c>
      <c r="D233" s="223" t="s">
        <v>380</v>
      </c>
      <c r="E233" s="225" t="s">
        <v>5</v>
      </c>
      <c r="F233" s="220" t="s">
        <v>22</v>
      </c>
      <c r="G233" s="145">
        <v>1</v>
      </c>
      <c r="H233" s="149"/>
      <c r="I233" s="149"/>
      <c r="J233" s="149">
        <v>30</v>
      </c>
      <c r="K233" s="149">
        <v>30</v>
      </c>
      <c r="L233" s="222"/>
      <c r="M233" s="222"/>
      <c r="N233" s="222"/>
      <c r="O233" s="222"/>
      <c r="P233" s="148">
        <f>IF(V233="NO",Table_Shelter[[#This Row],[HH per Shelter]]*(Table_Shelter[[#This Row],['# of Temporary Shelter Units Built]]+Table_Shelter[[#This Row],['# of Temporary Shelter Under  Construction]]+Table_Shelter[[#This Row],['# of Permanent House Under Construction]]),0)</f>
        <v>30</v>
      </c>
      <c r="Q233" s="148"/>
      <c r="R233" s="222"/>
      <c r="S233" s="222" t="str">
        <f>IFERROR(VLOOKUP(Table_Shelter[[#This Row],[CampName]],CL,2,0),"")</f>
        <v>MMR001CMP047</v>
      </c>
      <c r="T233" s="222" t="str">
        <f>IFERROR(VLOOKUP(Table_Shelter[[#This Row],[CampName]],CL,3,0),"")</f>
        <v>Open</v>
      </c>
      <c r="U233" s="393">
        <f>IFERROR(Table_Shelter[[#This Row],[HH Covered]]/VLOOKUP(Table_Shelter[[#This Row],[CampName]],CL,4,0),"")</f>
        <v>4.6012269938650305E-2</v>
      </c>
      <c r="V233" s="731" t="s">
        <v>1369</v>
      </c>
      <c r="W233" s="394"/>
    </row>
    <row r="234" spans="1:23" x14ac:dyDescent="0.25">
      <c r="A234" s="396"/>
      <c r="B234" s="220" t="s">
        <v>853</v>
      </c>
      <c r="C234" s="220"/>
      <c r="D234" s="223" t="s">
        <v>380</v>
      </c>
      <c r="E234" s="225" t="s">
        <v>5</v>
      </c>
      <c r="F234" s="220" t="s">
        <v>22</v>
      </c>
      <c r="G234" s="145">
        <v>1</v>
      </c>
      <c r="H234" s="149"/>
      <c r="I234" s="149"/>
      <c r="J234" s="149">
        <v>162</v>
      </c>
      <c r="K234" s="149">
        <v>162</v>
      </c>
      <c r="L234" s="222"/>
      <c r="M234" s="222"/>
      <c r="N234" s="222"/>
      <c r="O234" s="222"/>
      <c r="P234" s="148">
        <f>IF(V234="NO",Table_Shelter[[#This Row],[HH per Shelter]]*(Table_Shelter[[#This Row],['# of Temporary Shelter Units Built]]+Table_Shelter[[#This Row],['# of Temporary Shelter Under  Construction]]+Table_Shelter[[#This Row],['# of Permanent House Under Construction]]),0)</f>
        <v>162</v>
      </c>
      <c r="Q234" s="148"/>
      <c r="R234" s="222"/>
      <c r="S234" s="222" t="str">
        <f>IFERROR(VLOOKUP(Table_Shelter[[#This Row],[CampName]],CL,2,0),"")</f>
        <v>MMR001CMP047</v>
      </c>
      <c r="T234" s="222" t="str">
        <f>IFERROR(VLOOKUP(Table_Shelter[[#This Row],[CampName]],CL,3,0),"")</f>
        <v>Open</v>
      </c>
      <c r="U234" s="393">
        <f>IFERROR(Table_Shelter[[#This Row],[HH Covered]]/VLOOKUP(Table_Shelter[[#This Row],[CampName]],CL,4,0),"")</f>
        <v>0.24846625766871167</v>
      </c>
      <c r="V234" s="731" t="s">
        <v>1369</v>
      </c>
      <c r="W234" s="394"/>
    </row>
    <row r="235" spans="1:23" x14ac:dyDescent="0.25">
      <c r="A235" s="396"/>
      <c r="B235" s="220" t="s">
        <v>852</v>
      </c>
      <c r="C235" s="220"/>
      <c r="D235" s="223" t="s">
        <v>380</v>
      </c>
      <c r="E235" s="225" t="s">
        <v>5</v>
      </c>
      <c r="F235" s="220" t="s">
        <v>22</v>
      </c>
      <c r="G235" s="145">
        <v>1</v>
      </c>
      <c r="H235" s="149"/>
      <c r="I235" s="149"/>
      <c r="J235" s="149">
        <v>163</v>
      </c>
      <c r="K235" s="149">
        <v>163</v>
      </c>
      <c r="L235" s="222"/>
      <c r="M235" s="222"/>
      <c r="N235" s="222"/>
      <c r="O235" s="222"/>
      <c r="P235" s="148">
        <f>IF(V235="NO",Table_Shelter[[#This Row],[HH per Shelter]]*(Table_Shelter[[#This Row],['# of Temporary Shelter Units Built]]+Table_Shelter[[#This Row],['# of Temporary Shelter Under  Construction]]+Table_Shelter[[#This Row],['# of Permanent House Under Construction]]),0)</f>
        <v>163</v>
      </c>
      <c r="Q235" s="148"/>
      <c r="R235" s="222"/>
      <c r="S235" s="222" t="str">
        <f>IFERROR(VLOOKUP(Table_Shelter[[#This Row],[CampName]],CL,2,0),"")</f>
        <v>MMR001CMP047</v>
      </c>
      <c r="T235" s="222" t="str">
        <f>IFERROR(VLOOKUP(Table_Shelter[[#This Row],[CampName]],CL,3,0),"")</f>
        <v>Open</v>
      </c>
      <c r="U235" s="393">
        <f>IFERROR(Table_Shelter[[#This Row],[HH Covered]]/VLOOKUP(Table_Shelter[[#This Row],[CampName]],CL,4,0),"")</f>
        <v>0.25</v>
      </c>
      <c r="V235" s="731" t="s">
        <v>1369</v>
      </c>
      <c r="W235" s="394"/>
    </row>
    <row r="236" spans="1:23" x14ac:dyDescent="0.25">
      <c r="A236" s="396"/>
      <c r="B236" s="220" t="s">
        <v>454</v>
      </c>
      <c r="C236" s="220"/>
      <c r="D236" s="223" t="s">
        <v>380</v>
      </c>
      <c r="E236" s="225" t="s">
        <v>5</v>
      </c>
      <c r="F236" s="220" t="s">
        <v>22</v>
      </c>
      <c r="G236" s="145">
        <v>1</v>
      </c>
      <c r="H236" s="149"/>
      <c r="I236" s="149"/>
      <c r="J236" s="149">
        <v>70</v>
      </c>
      <c r="K236" s="149">
        <v>70</v>
      </c>
      <c r="L236" s="222"/>
      <c r="M236" s="222"/>
      <c r="N236" s="222"/>
      <c r="O236" s="222"/>
      <c r="P236" s="148">
        <f>IF(V236="NO",Table_Shelter[[#This Row],[HH per Shelter]]*(Table_Shelter[[#This Row],['# of Temporary Shelter Units Built]]+Table_Shelter[[#This Row],['# of Temporary Shelter Under  Construction]]+Table_Shelter[[#This Row],['# of Permanent House Under Construction]]),0)</f>
        <v>70</v>
      </c>
      <c r="Q236" s="148"/>
      <c r="R236" s="222"/>
      <c r="S236" s="222" t="str">
        <f>IFERROR(VLOOKUP(Table_Shelter[[#This Row],[CampName]],CL,2,0),"")</f>
        <v>MMR001CMP047</v>
      </c>
      <c r="T236" s="222" t="str">
        <f>IFERROR(VLOOKUP(Table_Shelter[[#This Row],[CampName]],CL,3,0),"")</f>
        <v>Open</v>
      </c>
      <c r="U236" s="393">
        <f>IFERROR(Table_Shelter[[#This Row],[HH Covered]]/VLOOKUP(Table_Shelter[[#This Row],[CampName]],CL,4,0),"")</f>
        <v>0.10736196319018405</v>
      </c>
      <c r="V236" s="731" t="s">
        <v>1369</v>
      </c>
      <c r="W236" s="394"/>
    </row>
    <row r="237" spans="1:23" x14ac:dyDescent="0.25">
      <c r="A237" s="396"/>
      <c r="B237" s="220" t="s">
        <v>868</v>
      </c>
      <c r="C237" s="220"/>
      <c r="D237" s="223" t="s">
        <v>380</v>
      </c>
      <c r="E237" s="225" t="s">
        <v>237</v>
      </c>
      <c r="F237" s="220" t="s">
        <v>905</v>
      </c>
      <c r="G237" s="145">
        <v>1</v>
      </c>
      <c r="H237" s="149">
        <v>1</v>
      </c>
      <c r="I237" s="149">
        <v>1</v>
      </c>
      <c r="J237" s="149"/>
      <c r="K237" s="149"/>
      <c r="L237" s="222"/>
      <c r="M237" s="222"/>
      <c r="N237" s="222"/>
      <c r="O237" s="222"/>
      <c r="P237" s="148">
        <f>IF(V237="NO",Table_Shelter[[#This Row],[HH per Shelter]]*(Table_Shelter[[#This Row],['# of Temporary Shelter Units Built]]+Table_Shelter[[#This Row],['# of Temporary Shelter Under  Construction]]+Table_Shelter[[#This Row],['# of Permanent House Under Construction]]),0)</f>
        <v>0</v>
      </c>
      <c r="Q237" s="148"/>
      <c r="R237" s="222"/>
      <c r="S237" s="222" t="str">
        <f>IFERROR(VLOOKUP(Table_Shelter[[#This Row],[CampName]],CL,2,0),"")</f>
        <v/>
      </c>
      <c r="T237" s="222" t="str">
        <f>IFERROR(VLOOKUP(Table_Shelter[[#This Row],[CampName]],CL,3,0),"")</f>
        <v/>
      </c>
      <c r="U237" s="393" t="str">
        <f>IFERROR(Table_Shelter[[#This Row],[HH Covered]]/VLOOKUP(Table_Shelter[[#This Row],[CampName]],CL,4,0),"")</f>
        <v/>
      </c>
      <c r="V237" s="731" t="s">
        <v>1369</v>
      </c>
      <c r="W237" s="394"/>
    </row>
    <row r="238" spans="1:23" x14ac:dyDescent="0.25">
      <c r="A238" s="396">
        <v>41609</v>
      </c>
      <c r="B238" s="220" t="s">
        <v>454</v>
      </c>
      <c r="C238" s="220" t="s">
        <v>462</v>
      </c>
      <c r="D238" s="223" t="s">
        <v>380</v>
      </c>
      <c r="E238" s="225" t="s">
        <v>529</v>
      </c>
      <c r="F238" s="220" t="s">
        <v>124</v>
      </c>
      <c r="G238" s="145">
        <v>1</v>
      </c>
      <c r="H238" s="149"/>
      <c r="I238" s="149"/>
      <c r="J238" s="149">
        <v>5</v>
      </c>
      <c r="K238" s="149">
        <v>5</v>
      </c>
      <c r="L238" s="222"/>
      <c r="M238" s="222"/>
      <c r="N238" s="222"/>
      <c r="O238" s="222"/>
      <c r="P238" s="148">
        <f>IF(V238="NO",Table_Shelter[[#This Row],[HH per Shelter]]*(Table_Shelter[[#This Row],['# of Temporary Shelter Units Built]]+Table_Shelter[[#This Row],['# of Temporary Shelter Under  Construction]]+Table_Shelter[[#This Row],['# of Permanent House Under Construction]]),0)</f>
        <v>5</v>
      </c>
      <c r="Q238" s="148"/>
      <c r="R238" s="222"/>
      <c r="S238" s="222" t="str">
        <f>IFERROR(VLOOKUP(Table_Shelter[[#This Row],[CampName]],CL,2,0),"")</f>
        <v>MMR001CMP183</v>
      </c>
      <c r="T238" s="222" t="str">
        <f>IFERROR(VLOOKUP(Table_Shelter[[#This Row],[CampName]],CL,3,0),"")</f>
        <v>Open</v>
      </c>
      <c r="U238" s="393">
        <f>IFERROR(Table_Shelter[[#This Row],[HH Covered]]/VLOOKUP(Table_Shelter[[#This Row],[CampName]],CL,4,0),"")</f>
        <v>0.625</v>
      </c>
      <c r="V238" s="731" t="s">
        <v>1369</v>
      </c>
      <c r="W238" s="394"/>
    </row>
    <row r="239" spans="1:23" x14ac:dyDescent="0.25">
      <c r="A239" s="396"/>
      <c r="B239" s="220" t="s">
        <v>868</v>
      </c>
      <c r="C239" s="220"/>
      <c r="D239" s="223" t="s">
        <v>380</v>
      </c>
      <c r="E239" s="530" t="s">
        <v>529</v>
      </c>
      <c r="F239" s="220" t="s">
        <v>124</v>
      </c>
      <c r="G239" s="145">
        <v>1</v>
      </c>
      <c r="H239" s="149">
        <v>7</v>
      </c>
      <c r="I239" s="149">
        <v>7</v>
      </c>
      <c r="J239" s="149"/>
      <c r="K239" s="149"/>
      <c r="L239" s="222"/>
      <c r="M239" s="222"/>
      <c r="N239" s="222"/>
      <c r="O239" s="222"/>
      <c r="P239" s="148">
        <f>IF(V239="NO",Table_Shelter[[#This Row],[HH per Shelter]]*(Table_Shelter[[#This Row],['# of Temporary Shelter Units Built]]+Table_Shelter[[#This Row],['# of Temporary Shelter Under  Construction]]+Table_Shelter[[#This Row],['# of Permanent House Under Construction]]),0)</f>
        <v>0</v>
      </c>
      <c r="Q239" s="148"/>
      <c r="R239" s="222"/>
      <c r="S239" s="222" t="str">
        <f>IFERROR(VLOOKUP(Table_Shelter[[#This Row],[CampName]],CL,2,0),"")</f>
        <v>MMR001CMP183</v>
      </c>
      <c r="T239" s="222" t="str">
        <f>IFERROR(VLOOKUP(Table_Shelter[[#This Row],[CampName]],CL,3,0),"")</f>
        <v>Open</v>
      </c>
      <c r="U239" s="393">
        <f>IFERROR(Table_Shelter[[#This Row],[HH Covered]]/VLOOKUP(Table_Shelter[[#This Row],[CampName]],CL,4,0),"")</f>
        <v>0</v>
      </c>
      <c r="V239" s="731" t="s">
        <v>1369</v>
      </c>
      <c r="W239" s="394"/>
    </row>
    <row r="240" spans="1:23" x14ac:dyDescent="0.25">
      <c r="A240" s="396"/>
      <c r="B240" s="220" t="s">
        <v>454</v>
      </c>
      <c r="C240" s="220"/>
      <c r="D240" s="223" t="s">
        <v>380</v>
      </c>
      <c r="E240" s="225" t="s">
        <v>185</v>
      </c>
      <c r="F240" s="220" t="s">
        <v>225</v>
      </c>
      <c r="G240" s="145">
        <v>1</v>
      </c>
      <c r="H240" s="149"/>
      <c r="I240" s="149"/>
      <c r="J240" s="149">
        <v>40</v>
      </c>
      <c r="K240" s="149">
        <v>40</v>
      </c>
      <c r="L240" s="222"/>
      <c r="M240" s="222"/>
      <c r="N240" s="222"/>
      <c r="O240" s="222"/>
      <c r="P240" s="148">
        <f>IF(V240="NO",Table_Shelter[[#This Row],[HH per Shelter]]*(Table_Shelter[[#This Row],['# of Temporary Shelter Units Built]]+Table_Shelter[[#This Row],['# of Temporary Shelter Under  Construction]]+Table_Shelter[[#This Row],['# of Permanent House Under Construction]]),0)</f>
        <v>40</v>
      </c>
      <c r="Q240" s="148"/>
      <c r="R240" s="222"/>
      <c r="S240" s="222" t="str">
        <f>IFERROR(VLOOKUP(Table_Shelter[[#This Row],[CampName]],CL,2,0),"")</f>
        <v>MMR001CMP073</v>
      </c>
      <c r="T240" s="222" t="str">
        <f>IFERROR(VLOOKUP(Table_Shelter[[#This Row],[CampName]],CL,3,0),"")</f>
        <v>Open</v>
      </c>
      <c r="U240" s="393">
        <f>IFERROR(Table_Shelter[[#This Row],[HH Covered]]/VLOOKUP(Table_Shelter[[#This Row],[CampName]],CL,4,0),"")</f>
        <v>0.88888888888888884</v>
      </c>
      <c r="V240" s="731" t="s">
        <v>1369</v>
      </c>
      <c r="W240" s="394"/>
    </row>
    <row r="241" spans="1:23" x14ac:dyDescent="0.25">
      <c r="A241" s="396"/>
      <c r="B241" s="220" t="s">
        <v>853</v>
      </c>
      <c r="C241" s="220" t="s">
        <v>507</v>
      </c>
      <c r="D241" s="223" t="s">
        <v>380</v>
      </c>
      <c r="E241" s="530" t="s">
        <v>237</v>
      </c>
      <c r="F241" s="220" t="s">
        <v>277</v>
      </c>
      <c r="G241" s="145">
        <v>1</v>
      </c>
      <c r="H241" s="149"/>
      <c r="I241" s="149"/>
      <c r="J241" s="149">
        <v>14</v>
      </c>
      <c r="K241" s="149">
        <v>14</v>
      </c>
      <c r="L241" s="222"/>
      <c r="M241" s="222"/>
      <c r="N241" s="222"/>
      <c r="O241" s="222"/>
      <c r="P241" s="148">
        <f>IF(V241="NO",Table_Shelter[[#This Row],[HH per Shelter]]*(Table_Shelter[[#This Row],['# of Temporary Shelter Units Built]]+Table_Shelter[[#This Row],['# of Temporary Shelter Under  Construction]]+Table_Shelter[[#This Row],['# of Permanent House Under Construction]]),0)</f>
        <v>14</v>
      </c>
      <c r="Q241" s="148"/>
      <c r="R241" s="222"/>
      <c r="S241" s="222" t="str">
        <f>IFERROR(VLOOKUP(Table_Shelter[[#This Row],[CampName]],CL,2,0),"")</f>
        <v>MMR001CMP006</v>
      </c>
      <c r="T241" s="222" t="str">
        <f>IFERROR(VLOOKUP(Table_Shelter[[#This Row],[CampName]],CL,3,0),"")</f>
        <v>Open</v>
      </c>
      <c r="U241" s="393">
        <f>IFERROR(Table_Shelter[[#This Row],[HH Covered]]/VLOOKUP(Table_Shelter[[#This Row],[CampName]],CL,4,0),"")</f>
        <v>0.14736842105263157</v>
      </c>
      <c r="V241" s="731" t="s">
        <v>1369</v>
      </c>
      <c r="W241" s="394"/>
    </row>
    <row r="242" spans="1:23" x14ac:dyDescent="0.25">
      <c r="A242" s="396"/>
      <c r="B242" s="220" t="s">
        <v>454</v>
      </c>
      <c r="C242" s="220" t="s">
        <v>462</v>
      </c>
      <c r="D242" s="223" t="s">
        <v>380</v>
      </c>
      <c r="E242" s="225" t="s">
        <v>237</v>
      </c>
      <c r="F242" s="220" t="s">
        <v>277</v>
      </c>
      <c r="G242" s="145">
        <v>1</v>
      </c>
      <c r="H242" s="149"/>
      <c r="I242" s="149"/>
      <c r="J242" s="149">
        <v>10</v>
      </c>
      <c r="K242" s="149">
        <v>10</v>
      </c>
      <c r="L242" s="222"/>
      <c r="M242" s="222"/>
      <c r="N242" s="222"/>
      <c r="O242" s="222"/>
      <c r="P242" s="148">
        <f>IF(V242="NO",Table_Shelter[[#This Row],[HH per Shelter]]*(Table_Shelter[[#This Row],['# of Temporary Shelter Units Built]]+Table_Shelter[[#This Row],['# of Temporary Shelter Under  Construction]]+Table_Shelter[[#This Row],['# of Permanent House Under Construction]]),0)</f>
        <v>10</v>
      </c>
      <c r="Q242" s="148"/>
      <c r="R242" s="222"/>
      <c r="S242" s="222" t="str">
        <f>IFERROR(VLOOKUP(Table_Shelter[[#This Row],[CampName]],CL,2,0),"")</f>
        <v>MMR001CMP006</v>
      </c>
      <c r="T242" s="222" t="str">
        <f>IFERROR(VLOOKUP(Table_Shelter[[#This Row],[CampName]],CL,3,0),"")</f>
        <v>Open</v>
      </c>
      <c r="U242" s="393">
        <f>IFERROR(Table_Shelter[[#This Row],[HH Covered]]/VLOOKUP(Table_Shelter[[#This Row],[CampName]],CL,4,0),"")</f>
        <v>0.10526315789473684</v>
      </c>
      <c r="V242" s="731" t="s">
        <v>1369</v>
      </c>
      <c r="W242" s="394"/>
    </row>
    <row r="243" spans="1:23" x14ac:dyDescent="0.25">
      <c r="A243" s="396"/>
      <c r="B243" s="220" t="s">
        <v>454</v>
      </c>
      <c r="C243" s="220"/>
      <c r="D243" s="223" t="s">
        <v>380</v>
      </c>
      <c r="E243" s="225" t="s">
        <v>237</v>
      </c>
      <c r="F243" s="220" t="s">
        <v>277</v>
      </c>
      <c r="G243" s="145">
        <v>1</v>
      </c>
      <c r="H243" s="149"/>
      <c r="I243" s="149"/>
      <c r="J243" s="149">
        <v>40</v>
      </c>
      <c r="K243" s="149">
        <v>40</v>
      </c>
      <c r="L243" s="222"/>
      <c r="M243" s="222"/>
      <c r="N243" s="222"/>
      <c r="O243" s="222"/>
      <c r="P243" s="148">
        <f>IF(V243="NO",Table_Shelter[[#This Row],[HH per Shelter]]*(Table_Shelter[[#This Row],['# of Temporary Shelter Units Built]]+Table_Shelter[[#This Row],['# of Temporary Shelter Under  Construction]]+Table_Shelter[[#This Row],['# of Permanent House Under Construction]]),0)</f>
        <v>40</v>
      </c>
      <c r="Q243" s="148"/>
      <c r="R243" s="222"/>
      <c r="S243" s="222" t="str">
        <f>IFERROR(VLOOKUP(Table_Shelter[[#This Row],[CampName]],CL,2,0),"")</f>
        <v>MMR001CMP006</v>
      </c>
      <c r="T243" s="222" t="str">
        <f>IFERROR(VLOOKUP(Table_Shelter[[#This Row],[CampName]],CL,3,0),"")</f>
        <v>Open</v>
      </c>
      <c r="U243" s="393">
        <f>IFERROR(Table_Shelter[[#This Row],[HH Covered]]/VLOOKUP(Table_Shelter[[#This Row],[CampName]],CL,4,0),"")</f>
        <v>0.42105263157894735</v>
      </c>
      <c r="V243" s="731" t="s">
        <v>1369</v>
      </c>
      <c r="W243" s="394"/>
    </row>
    <row r="244" spans="1:23" x14ac:dyDescent="0.25">
      <c r="A244" s="396">
        <v>42003</v>
      </c>
      <c r="B244" s="220" t="s">
        <v>454</v>
      </c>
      <c r="C244" s="220" t="s">
        <v>462</v>
      </c>
      <c r="D244" s="223" t="s">
        <v>380</v>
      </c>
      <c r="E244" s="225" t="s">
        <v>310</v>
      </c>
      <c r="F244" s="220" t="s">
        <v>347</v>
      </c>
      <c r="G244" s="145">
        <v>1</v>
      </c>
      <c r="H244" s="149">
        <v>90</v>
      </c>
      <c r="I244" s="149"/>
      <c r="J244" s="149"/>
      <c r="K244" s="149"/>
      <c r="L244" s="222"/>
      <c r="M244" s="222"/>
      <c r="N244" s="222"/>
      <c r="O244" s="222"/>
      <c r="P244" s="148">
        <f>IF(V244="NO",Table_Shelter[[#This Row],[HH per Shelter]]*(Table_Shelter[[#This Row],['# of Temporary Shelter Units Built]]+Table_Shelter[[#This Row],['# of Temporary Shelter Under  Construction]]+Table_Shelter[[#This Row],['# of Permanent House Under Construction]]),0)</f>
        <v>0</v>
      </c>
      <c r="Q244" s="148"/>
      <c r="R244" s="222"/>
      <c r="S244" s="222" t="str">
        <f>IFERROR(VLOOKUP(Table_Shelter[[#This Row],[CampName]],CL,2,0),"")</f>
        <v>MMR001CMP041</v>
      </c>
      <c r="T244" s="222" t="str">
        <f>IFERROR(VLOOKUP(Table_Shelter[[#This Row],[CampName]],CL,3,0),"")</f>
        <v>Open</v>
      </c>
      <c r="U244" s="393">
        <f>IFERROR(Table_Shelter[[#This Row],[HH Covered]]/VLOOKUP(Table_Shelter[[#This Row],[CampName]],CL,4,0),"")</f>
        <v>0</v>
      </c>
      <c r="V244" s="731" t="s">
        <v>1369</v>
      </c>
      <c r="W244" s="394"/>
    </row>
    <row r="245" spans="1:23" x14ac:dyDescent="0.25">
      <c r="A245" s="396">
        <v>41609</v>
      </c>
      <c r="B245" s="220" t="s">
        <v>454</v>
      </c>
      <c r="C245" s="220" t="s">
        <v>462</v>
      </c>
      <c r="D245" s="223" t="s">
        <v>380</v>
      </c>
      <c r="E245" s="225" t="s">
        <v>310</v>
      </c>
      <c r="F245" s="220" t="s">
        <v>347</v>
      </c>
      <c r="G245" s="145">
        <v>1</v>
      </c>
      <c r="H245" s="149"/>
      <c r="I245" s="149"/>
      <c r="J245" s="149">
        <v>18</v>
      </c>
      <c r="K245" s="149">
        <v>18</v>
      </c>
      <c r="L245" s="222"/>
      <c r="M245" s="222"/>
      <c r="N245" s="222"/>
      <c r="O245" s="222"/>
      <c r="P245" s="148">
        <f>IF(V245="NO",Table_Shelter[[#This Row],[HH per Shelter]]*(Table_Shelter[[#This Row],['# of Temporary Shelter Units Built]]+Table_Shelter[[#This Row],['# of Temporary Shelter Under  Construction]]+Table_Shelter[[#This Row],['# of Permanent House Under Construction]]),0)</f>
        <v>18</v>
      </c>
      <c r="Q245" s="148"/>
      <c r="R245" s="148"/>
      <c r="S245" s="148" t="str">
        <f>IFERROR(VLOOKUP(Table_Shelter[[#This Row],[CampName]],CL,2,0),"")</f>
        <v>MMR001CMP041</v>
      </c>
      <c r="T245" s="148" t="str">
        <f>IFERROR(VLOOKUP(Table_Shelter[[#This Row],[CampName]],CL,3,0),"")</f>
        <v>Open</v>
      </c>
      <c r="U245" s="393">
        <f>IFERROR(Table_Shelter[[#This Row],[HH Covered]]/VLOOKUP(Table_Shelter[[#This Row],[CampName]],CL,4,0),"")</f>
        <v>0.10465116279069768</v>
      </c>
      <c r="V245" s="731" t="s">
        <v>1369</v>
      </c>
      <c r="W245" s="397"/>
    </row>
    <row r="246" spans="1:23" x14ac:dyDescent="0.25">
      <c r="A246" s="396"/>
      <c r="B246" s="220" t="s">
        <v>454</v>
      </c>
      <c r="C246" s="220" t="s">
        <v>462</v>
      </c>
      <c r="D246" s="223" t="s">
        <v>380</v>
      </c>
      <c r="E246" s="225" t="s">
        <v>310</v>
      </c>
      <c r="F246" s="220" t="s">
        <v>347</v>
      </c>
      <c r="G246" s="145">
        <v>1</v>
      </c>
      <c r="H246" s="149"/>
      <c r="I246" s="149"/>
      <c r="J246" s="149">
        <v>170</v>
      </c>
      <c r="K246" s="149">
        <v>170</v>
      </c>
      <c r="L246" s="222"/>
      <c r="M246" s="222"/>
      <c r="N246" s="222"/>
      <c r="O246" s="222"/>
      <c r="P246" s="148">
        <f>IF(V246="NO",Table_Shelter[[#This Row],[HH per Shelter]]*(Table_Shelter[[#This Row],['# of Temporary Shelter Units Built]]+Table_Shelter[[#This Row],['# of Temporary Shelter Under  Construction]]+Table_Shelter[[#This Row],['# of Permanent House Under Construction]]),0)</f>
        <v>170</v>
      </c>
      <c r="Q246" s="148"/>
      <c r="R246" s="222"/>
      <c r="S246" s="222" t="str">
        <f>IFERROR(VLOOKUP(Table_Shelter[[#This Row],[CampName]],CL,2,0),"")</f>
        <v>MMR001CMP041</v>
      </c>
      <c r="T246" s="222" t="str">
        <f>IFERROR(VLOOKUP(Table_Shelter[[#This Row],[CampName]],CL,3,0),"")</f>
        <v>Open</v>
      </c>
      <c r="U246" s="393">
        <f>IFERROR(Table_Shelter[[#This Row],[HH Covered]]/VLOOKUP(Table_Shelter[[#This Row],[CampName]],CL,4,0),"")</f>
        <v>0.98837209302325579</v>
      </c>
      <c r="V246" s="731" t="s">
        <v>1369</v>
      </c>
      <c r="W246" s="394"/>
    </row>
    <row r="247" spans="1:23" x14ac:dyDescent="0.25">
      <c r="A247" s="396"/>
      <c r="B247" s="220" t="s">
        <v>852</v>
      </c>
      <c r="C247" s="220"/>
      <c r="D247" s="223" t="s">
        <v>380</v>
      </c>
      <c r="E247" s="225" t="s">
        <v>302</v>
      </c>
      <c r="F247" s="220" t="s">
        <v>306</v>
      </c>
      <c r="G247" s="145">
        <v>1</v>
      </c>
      <c r="H247" s="149"/>
      <c r="I247" s="149"/>
      <c r="J247" s="149">
        <v>42</v>
      </c>
      <c r="K247" s="149">
        <v>42</v>
      </c>
      <c r="L247" s="222"/>
      <c r="M247" s="222"/>
      <c r="N247" s="222"/>
      <c r="O247" s="222"/>
      <c r="P247" s="148">
        <f>IF(V247="NO",Table_Shelter[[#This Row],[HH per Shelter]]*(Table_Shelter[[#This Row],['# of Temporary Shelter Units Built]]+Table_Shelter[[#This Row],['# of Temporary Shelter Under  Construction]]+Table_Shelter[[#This Row],['# of Permanent House Under Construction]]),0)</f>
        <v>42</v>
      </c>
      <c r="Q247" s="148"/>
      <c r="R247" s="222"/>
      <c r="S247" s="222" t="str">
        <f>IFERROR(VLOOKUP(Table_Shelter[[#This Row],[CampName]],CL,2,0),"")</f>
        <v>MMR001CMP067</v>
      </c>
      <c r="T247" s="222" t="str">
        <f>IFERROR(VLOOKUP(Table_Shelter[[#This Row],[CampName]],CL,3,0),"")</f>
        <v>Open</v>
      </c>
      <c r="U247" s="393">
        <f>IFERROR(Table_Shelter[[#This Row],[HH Covered]]/VLOOKUP(Table_Shelter[[#This Row],[CampName]],CL,4,0),"")</f>
        <v>0.50602409638554213</v>
      </c>
      <c r="V247" s="731" t="s">
        <v>1369</v>
      </c>
      <c r="W247" s="394"/>
    </row>
    <row r="248" spans="1:23" x14ac:dyDescent="0.25">
      <c r="A248" s="396"/>
      <c r="B248" s="220" t="s">
        <v>594</v>
      </c>
      <c r="C248" s="220" t="s">
        <v>461</v>
      </c>
      <c r="D248" s="223" t="s">
        <v>380</v>
      </c>
      <c r="E248" s="225" t="s">
        <v>302</v>
      </c>
      <c r="F248" s="220" t="s">
        <v>308</v>
      </c>
      <c r="G248" s="145">
        <v>1</v>
      </c>
      <c r="H248" s="149"/>
      <c r="I248" s="149"/>
      <c r="J248" s="149">
        <v>36</v>
      </c>
      <c r="K248" s="149">
        <v>36</v>
      </c>
      <c r="L248" s="222"/>
      <c r="M248" s="222"/>
      <c r="N248" s="222"/>
      <c r="O248" s="222"/>
      <c r="P248" s="148">
        <f>IF(V248="NO",Table_Shelter[[#This Row],[HH per Shelter]]*(Table_Shelter[[#This Row],['# of Temporary Shelter Units Built]]+Table_Shelter[[#This Row],['# of Temporary Shelter Under  Construction]]+Table_Shelter[[#This Row],['# of Permanent House Under Construction]]),0)</f>
        <v>36</v>
      </c>
      <c r="Q248" s="148"/>
      <c r="R248" s="222"/>
      <c r="S248" s="222" t="str">
        <f>IFERROR(VLOOKUP(Table_Shelter[[#This Row],[CampName]],CL,2,0),"")</f>
        <v>MMR001CMP068</v>
      </c>
      <c r="T248" s="222" t="str">
        <f>IFERROR(VLOOKUP(Table_Shelter[[#This Row],[CampName]],CL,3,0),"")</f>
        <v>Open</v>
      </c>
      <c r="U248" s="393">
        <f>IFERROR(Table_Shelter[[#This Row],[HH Covered]]/VLOOKUP(Table_Shelter[[#This Row],[CampName]],CL,4,0),"")</f>
        <v>0.9</v>
      </c>
      <c r="V248" s="731" t="s">
        <v>1369</v>
      </c>
      <c r="W248" s="394"/>
    </row>
    <row r="249" spans="1:23" x14ac:dyDescent="0.25">
      <c r="A249" s="396"/>
      <c r="B249" s="220" t="s">
        <v>454</v>
      </c>
      <c r="C249" s="220" t="s">
        <v>461</v>
      </c>
      <c r="D249" s="223" t="s">
        <v>380</v>
      </c>
      <c r="E249" s="225" t="s">
        <v>302</v>
      </c>
      <c r="F249" s="220" t="s">
        <v>308</v>
      </c>
      <c r="G249" s="145">
        <v>1</v>
      </c>
      <c r="H249" s="149"/>
      <c r="I249" s="149"/>
      <c r="J249" s="149">
        <v>10</v>
      </c>
      <c r="K249" s="149">
        <v>10</v>
      </c>
      <c r="L249" s="222"/>
      <c r="M249" s="222"/>
      <c r="N249" s="222"/>
      <c r="O249" s="222"/>
      <c r="P249" s="148">
        <f>IF(V249="NO",Table_Shelter[[#This Row],[HH per Shelter]]*(Table_Shelter[[#This Row],['# of Temporary Shelter Units Built]]+Table_Shelter[[#This Row],['# of Temporary Shelter Under  Construction]]+Table_Shelter[[#This Row],['# of Permanent House Under Construction]]),0)</f>
        <v>10</v>
      </c>
      <c r="Q249" s="148"/>
      <c r="R249" s="222"/>
      <c r="S249" s="222" t="str">
        <f>IFERROR(VLOOKUP(Table_Shelter[[#This Row],[CampName]],CL,2,0),"")</f>
        <v>MMR001CMP068</v>
      </c>
      <c r="T249" s="222" t="str">
        <f>IFERROR(VLOOKUP(Table_Shelter[[#This Row],[CampName]],CL,3,0),"")</f>
        <v>Open</v>
      </c>
      <c r="U249" s="393">
        <f>IFERROR(Table_Shelter[[#This Row],[HH Covered]]/VLOOKUP(Table_Shelter[[#This Row],[CampName]],CL,4,0),"")</f>
        <v>0.25</v>
      </c>
      <c r="V249" s="731" t="s">
        <v>1369</v>
      </c>
      <c r="W249" s="394"/>
    </row>
    <row r="250" spans="1:23" x14ac:dyDescent="0.25">
      <c r="A250" s="396"/>
      <c r="B250" s="220" t="s">
        <v>454</v>
      </c>
      <c r="C250" s="220" t="s">
        <v>462</v>
      </c>
      <c r="D250" s="223" t="s">
        <v>380</v>
      </c>
      <c r="E250" s="225" t="s">
        <v>237</v>
      </c>
      <c r="F250" s="220" t="s">
        <v>281</v>
      </c>
      <c r="G250" s="145">
        <v>1</v>
      </c>
      <c r="H250" s="149"/>
      <c r="I250" s="149"/>
      <c r="J250" s="149">
        <v>50</v>
      </c>
      <c r="K250" s="149">
        <v>50</v>
      </c>
      <c r="L250" s="222"/>
      <c r="M250" s="222"/>
      <c r="N250" s="222"/>
      <c r="O250" s="222"/>
      <c r="P250" s="148">
        <f>IF(V250="NO",Table_Shelter[[#This Row],[HH per Shelter]]*(Table_Shelter[[#This Row],['# of Temporary Shelter Units Built]]+Table_Shelter[[#This Row],['# of Temporary Shelter Under  Construction]]+Table_Shelter[[#This Row],['# of Permanent House Under Construction]]),0)</f>
        <v>50</v>
      </c>
      <c r="Q250" s="148"/>
      <c r="R250" s="222"/>
      <c r="S250" s="222" t="str">
        <f>IFERROR(VLOOKUP(Table_Shelter[[#This Row],[CampName]],CL,2,0),"")</f>
        <v>MMR001CMP009</v>
      </c>
      <c r="T250" s="222" t="str">
        <f>IFERROR(VLOOKUP(Table_Shelter[[#This Row],[CampName]],CL,3,0),"")</f>
        <v>Open</v>
      </c>
      <c r="U250" s="393">
        <f>IFERROR(Table_Shelter[[#This Row],[HH Covered]]/VLOOKUP(Table_Shelter[[#This Row],[CampName]],CL,4,0),"")</f>
        <v>0.55555555555555558</v>
      </c>
      <c r="V250" s="731" t="s">
        <v>1369</v>
      </c>
      <c r="W250" s="394"/>
    </row>
    <row r="251" spans="1:23" x14ac:dyDescent="0.25">
      <c r="A251" s="396"/>
      <c r="B251" s="220" t="s">
        <v>594</v>
      </c>
      <c r="C251" s="220" t="s">
        <v>508</v>
      </c>
      <c r="D251" s="223" t="s">
        <v>380</v>
      </c>
      <c r="E251" s="530" t="s">
        <v>180</v>
      </c>
      <c r="F251" s="220" t="s">
        <v>181</v>
      </c>
      <c r="G251" s="145">
        <v>1</v>
      </c>
      <c r="H251" s="149"/>
      <c r="I251" s="149"/>
      <c r="J251" s="149">
        <v>12</v>
      </c>
      <c r="K251" s="149">
        <v>12</v>
      </c>
      <c r="L251" s="222"/>
      <c r="M251" s="222"/>
      <c r="N251" s="222"/>
      <c r="O251" s="222"/>
      <c r="P251" s="148">
        <f>IF(V251="NO",Table_Shelter[[#This Row],[HH per Shelter]]*(Table_Shelter[[#This Row],['# of Temporary Shelter Units Built]]+Table_Shelter[[#This Row],['# of Temporary Shelter Under  Construction]]+Table_Shelter[[#This Row],['# of Permanent House Under Construction]]),0)</f>
        <v>12</v>
      </c>
      <c r="Q251" s="148"/>
      <c r="R251" s="222"/>
      <c r="S251" s="222" t="str">
        <f>IFERROR(VLOOKUP(Table_Shelter[[#This Row],[CampName]],CL,2,0),"")</f>
        <v>MMR001CMP080</v>
      </c>
      <c r="T251" s="222" t="str">
        <f>IFERROR(VLOOKUP(Table_Shelter[[#This Row],[CampName]],CL,3,0),"")</f>
        <v>Open</v>
      </c>
      <c r="U251" s="393">
        <f>IFERROR(Table_Shelter[[#This Row],[HH Covered]]/VLOOKUP(Table_Shelter[[#This Row],[CampName]],CL,4,0),"")</f>
        <v>1</v>
      </c>
      <c r="V251" s="731" t="s">
        <v>1369</v>
      </c>
      <c r="W251" s="394"/>
    </row>
    <row r="252" spans="1:23" x14ac:dyDescent="0.25">
      <c r="A252" s="396">
        <v>41609</v>
      </c>
      <c r="B252" s="220" t="s">
        <v>454</v>
      </c>
      <c r="C252" s="220" t="s">
        <v>507</v>
      </c>
      <c r="D252" s="223" t="s">
        <v>380</v>
      </c>
      <c r="E252" s="530" t="s">
        <v>5</v>
      </c>
      <c r="F252" s="220" t="s">
        <v>24</v>
      </c>
      <c r="G252" s="145">
        <v>1</v>
      </c>
      <c r="H252" s="149"/>
      <c r="I252" s="149"/>
      <c r="J252" s="149">
        <v>15</v>
      </c>
      <c r="K252" s="149">
        <v>15</v>
      </c>
      <c r="L252" s="222"/>
      <c r="M252" s="222"/>
      <c r="N252" s="222"/>
      <c r="O252" s="222"/>
      <c r="P252" s="148">
        <f>IF(V252="NO",Table_Shelter[[#This Row],[HH per Shelter]]*(Table_Shelter[[#This Row],['# of Temporary Shelter Units Built]]+Table_Shelter[[#This Row],['# of Temporary Shelter Under  Construction]]+Table_Shelter[[#This Row],['# of Permanent House Under Construction]]),0)</f>
        <v>15</v>
      </c>
      <c r="Q252" s="148">
        <v>10</v>
      </c>
      <c r="R252" s="222"/>
      <c r="S252" s="222" t="str">
        <f>IFERROR(VLOOKUP(Table_Shelter[[#This Row],[CampName]],CL,2,0),"")</f>
        <v>MMR001CMP055</v>
      </c>
      <c r="T252" s="222" t="str">
        <f>IFERROR(VLOOKUP(Table_Shelter[[#This Row],[CampName]],CL,3,0),"")</f>
        <v>Open</v>
      </c>
      <c r="U252" s="393">
        <f>IFERROR(Table_Shelter[[#This Row],[HH Covered]]/VLOOKUP(Table_Shelter[[#This Row],[CampName]],CL,4,0),"")</f>
        <v>0.6</v>
      </c>
      <c r="V252" s="731" t="s">
        <v>1369</v>
      </c>
      <c r="W252" s="394"/>
    </row>
    <row r="253" spans="1:23" x14ac:dyDescent="0.25">
      <c r="A253" s="396"/>
      <c r="B253" s="220" t="s">
        <v>454</v>
      </c>
      <c r="C253" s="220"/>
      <c r="D253" s="223" t="s">
        <v>380</v>
      </c>
      <c r="E253" s="225" t="s">
        <v>5</v>
      </c>
      <c r="F253" s="220" t="s">
        <v>24</v>
      </c>
      <c r="G253" s="145">
        <v>1</v>
      </c>
      <c r="H253" s="149"/>
      <c r="I253" s="149"/>
      <c r="J253" s="149">
        <v>40</v>
      </c>
      <c r="K253" s="149">
        <v>40</v>
      </c>
      <c r="L253" s="222"/>
      <c r="M253" s="222"/>
      <c r="N253" s="222"/>
      <c r="O253" s="222"/>
      <c r="P253" s="148">
        <f>IF(V253="NO",Table_Shelter[[#This Row],[HH per Shelter]]*(Table_Shelter[[#This Row],['# of Temporary Shelter Units Built]]+Table_Shelter[[#This Row],['# of Temporary Shelter Under  Construction]]+Table_Shelter[[#This Row],['# of Permanent House Under Construction]]),0)</f>
        <v>40</v>
      </c>
      <c r="Q253" s="148"/>
      <c r="R253" s="222"/>
      <c r="S253" s="222" t="str">
        <f>IFERROR(VLOOKUP(Table_Shelter[[#This Row],[CampName]],CL,2,0),"")</f>
        <v>MMR001CMP055</v>
      </c>
      <c r="T253" s="222" t="str">
        <f>IFERROR(VLOOKUP(Table_Shelter[[#This Row],[CampName]],CL,3,0),"")</f>
        <v>Open</v>
      </c>
      <c r="U253" s="393">
        <f>IFERROR(Table_Shelter[[#This Row],[HH Covered]]/VLOOKUP(Table_Shelter[[#This Row],[CampName]],CL,4,0),"")</f>
        <v>1.6</v>
      </c>
      <c r="V253" s="731" t="s">
        <v>1369</v>
      </c>
      <c r="W253" s="394"/>
    </row>
    <row r="254" spans="1:23" x14ac:dyDescent="0.25">
      <c r="A254" s="396"/>
      <c r="B254" s="220" t="s">
        <v>454</v>
      </c>
      <c r="C254" s="220" t="s">
        <v>462</v>
      </c>
      <c r="D254" s="223" t="s">
        <v>380</v>
      </c>
      <c r="E254" s="530" t="s">
        <v>237</v>
      </c>
      <c r="F254" s="220" t="s">
        <v>238</v>
      </c>
      <c r="G254" s="145">
        <v>1</v>
      </c>
      <c r="H254" s="149"/>
      <c r="I254" s="149"/>
      <c r="J254" s="149">
        <v>60</v>
      </c>
      <c r="K254" s="149">
        <v>60</v>
      </c>
      <c r="L254" s="222"/>
      <c r="M254" s="222"/>
      <c r="N254" s="222"/>
      <c r="O254" s="222"/>
      <c r="P254" s="148">
        <f>IF(V254="NO",Table_Shelter[[#This Row],[HH per Shelter]]*(Table_Shelter[[#This Row],['# of Temporary Shelter Units Built]]+Table_Shelter[[#This Row],['# of Temporary Shelter Under  Construction]]+Table_Shelter[[#This Row],['# of Permanent House Under Construction]]),0)</f>
        <v>60</v>
      </c>
      <c r="Q254" s="148"/>
      <c r="R254" s="222"/>
      <c r="S254" s="222" t="str">
        <f>IFERROR(VLOOKUP(Table_Shelter[[#This Row],[CampName]],CL,2,0),"")</f>
        <v>MMR001CMP001</v>
      </c>
      <c r="T254" s="222" t="str">
        <f>IFERROR(VLOOKUP(Table_Shelter[[#This Row],[CampName]],CL,3,0),"")</f>
        <v>Open</v>
      </c>
      <c r="U254" s="393">
        <f>IFERROR(Table_Shelter[[#This Row],[HH Covered]]/VLOOKUP(Table_Shelter[[#This Row],[CampName]],CL,4,0),"")</f>
        <v>0.8571428571428571</v>
      </c>
      <c r="V254" s="731" t="s">
        <v>1369</v>
      </c>
      <c r="W254" s="394"/>
    </row>
    <row r="255" spans="1:23" x14ac:dyDescent="0.25">
      <c r="A255" s="396">
        <v>41974</v>
      </c>
      <c r="B255" s="220" t="s">
        <v>454</v>
      </c>
      <c r="C255" s="220" t="s">
        <v>507</v>
      </c>
      <c r="D255" s="223" t="s">
        <v>380</v>
      </c>
      <c r="E255" s="530" t="s">
        <v>237</v>
      </c>
      <c r="F255" s="220" t="s">
        <v>1267</v>
      </c>
      <c r="G255" s="145">
        <v>1</v>
      </c>
      <c r="H255" s="149"/>
      <c r="I255" s="149"/>
      <c r="J255" s="149">
        <v>5</v>
      </c>
      <c r="K255" s="149">
        <v>5</v>
      </c>
      <c r="L255" s="222"/>
      <c r="M255" s="222"/>
      <c r="N255" s="222"/>
      <c r="O255" s="222"/>
      <c r="P255" s="148">
        <f>IF(V255="NO",Table_Shelter[[#This Row],[HH per Shelter]]*(Table_Shelter[[#This Row],['# of Temporary Shelter Units Built]]+Table_Shelter[[#This Row],['# of Temporary Shelter Under  Construction]]+Table_Shelter[[#This Row],['# of Permanent House Under Construction]]),0)</f>
        <v>5</v>
      </c>
      <c r="Q255" s="148"/>
      <c r="R255" s="148"/>
      <c r="S255" s="148" t="str">
        <f>IFERROR(VLOOKUP(Table_Shelter[[#This Row],[CampName]],CL,2,0),"")</f>
        <v>MMR001CMP023</v>
      </c>
      <c r="T255" s="148" t="str">
        <f>IFERROR(VLOOKUP(Table_Shelter[[#This Row],[CampName]],CL,3,0),"")</f>
        <v>Open</v>
      </c>
      <c r="U255" s="393">
        <f>IFERROR(Table_Shelter[[#This Row],[HH Covered]]/VLOOKUP(Table_Shelter[[#This Row],[CampName]],CL,4,0),"")</f>
        <v>7.3529411764705885E-2</v>
      </c>
      <c r="V255" s="731" t="s">
        <v>1369</v>
      </c>
      <c r="W255" s="397"/>
    </row>
    <row r="256" spans="1:23" x14ac:dyDescent="0.25">
      <c r="A256" s="396">
        <v>41791</v>
      </c>
      <c r="B256" s="145" t="s">
        <v>454</v>
      </c>
      <c r="C256" s="145" t="s">
        <v>507</v>
      </c>
      <c r="D256" s="228" t="s">
        <v>380</v>
      </c>
      <c r="E256" s="229" t="s">
        <v>237</v>
      </c>
      <c r="F256" s="145" t="s">
        <v>1267</v>
      </c>
      <c r="G256" s="145">
        <v>1</v>
      </c>
      <c r="H256" s="149"/>
      <c r="I256" s="149"/>
      <c r="J256" s="149">
        <v>10</v>
      </c>
      <c r="K256" s="149">
        <v>10</v>
      </c>
      <c r="L256" s="149"/>
      <c r="M256" s="149"/>
      <c r="N256" s="149"/>
      <c r="O256" s="149"/>
      <c r="P256" s="148">
        <f>IF(V256="NO",Table_Shelter[[#This Row],[HH per Shelter]]*(Table_Shelter[[#This Row],['# of Temporary Shelter Units Built]]+Table_Shelter[[#This Row],['# of Temporary Shelter Under  Construction]]+Table_Shelter[[#This Row],['# of Permanent House Under Construction]]),0)</f>
        <v>10</v>
      </c>
      <c r="Q256" s="148"/>
      <c r="R256" s="148"/>
      <c r="S256" s="148" t="str">
        <f>IFERROR(VLOOKUP(Table_Shelter[[#This Row],[CampName]],CL,2,0),"")</f>
        <v>MMR001CMP023</v>
      </c>
      <c r="T256" s="148" t="str">
        <f>IFERROR(VLOOKUP(Table_Shelter[[#This Row],[CampName]],CL,3,0),"")</f>
        <v>Open</v>
      </c>
      <c r="U256" s="399">
        <f>IFERROR(Table_Shelter[[#This Row],[HH Covered]]/VLOOKUP(Table_Shelter[[#This Row],[CampName]],CL,4,0),"")</f>
        <v>0.14705882352941177</v>
      </c>
      <c r="V256" s="731" t="s">
        <v>1369</v>
      </c>
      <c r="W256" s="397"/>
    </row>
    <row r="257" spans="1:23" x14ac:dyDescent="0.25">
      <c r="A257" s="396">
        <v>41609</v>
      </c>
      <c r="B257" s="220" t="s">
        <v>454</v>
      </c>
      <c r="C257" s="220" t="s">
        <v>507</v>
      </c>
      <c r="D257" s="223" t="s">
        <v>380</v>
      </c>
      <c r="E257" s="530" t="s">
        <v>237</v>
      </c>
      <c r="F257" s="220" t="s">
        <v>1267</v>
      </c>
      <c r="G257" s="145">
        <v>1</v>
      </c>
      <c r="H257" s="149"/>
      <c r="I257" s="149"/>
      <c r="J257" s="149">
        <v>30</v>
      </c>
      <c r="K257" s="149">
        <v>30</v>
      </c>
      <c r="L257" s="222"/>
      <c r="M257" s="222"/>
      <c r="N257" s="222"/>
      <c r="O257" s="222"/>
      <c r="P257" s="148">
        <f>IF(V257="NO",Table_Shelter[[#This Row],[HH per Shelter]]*(Table_Shelter[[#This Row],['# of Temporary Shelter Units Built]]+Table_Shelter[[#This Row],['# of Temporary Shelter Under  Construction]]+Table_Shelter[[#This Row],['# of Permanent House Under Construction]]),0)</f>
        <v>30</v>
      </c>
      <c r="Q257" s="148"/>
      <c r="R257" s="148"/>
      <c r="S257" s="148" t="str">
        <f>IFERROR(VLOOKUP(Table_Shelter[[#This Row],[CampName]],CL,2,0),"")</f>
        <v>MMR001CMP023</v>
      </c>
      <c r="T257" s="148" t="str">
        <f>IFERROR(VLOOKUP(Table_Shelter[[#This Row],[CampName]],CL,3,0),"")</f>
        <v>Open</v>
      </c>
      <c r="U257" s="393">
        <f>IFERROR(Table_Shelter[[#This Row],[HH Covered]]/VLOOKUP(Table_Shelter[[#This Row],[CampName]],CL,4,0),"")</f>
        <v>0.44117647058823528</v>
      </c>
      <c r="V257" s="731" t="s">
        <v>1369</v>
      </c>
      <c r="W257" s="397"/>
    </row>
    <row r="258" spans="1:23" x14ac:dyDescent="0.25">
      <c r="A258" s="396"/>
      <c r="B258" s="220" t="s">
        <v>855</v>
      </c>
      <c r="C258" s="220" t="s">
        <v>507</v>
      </c>
      <c r="D258" s="223" t="s">
        <v>380</v>
      </c>
      <c r="E258" s="530" t="s">
        <v>237</v>
      </c>
      <c r="F258" s="220" t="s">
        <v>1267</v>
      </c>
      <c r="G258" s="145">
        <v>1</v>
      </c>
      <c r="H258" s="149"/>
      <c r="I258" s="149"/>
      <c r="J258" s="149">
        <v>12</v>
      </c>
      <c r="K258" s="149">
        <v>12</v>
      </c>
      <c r="L258" s="222"/>
      <c r="M258" s="222"/>
      <c r="N258" s="222"/>
      <c r="O258" s="222"/>
      <c r="P258" s="148">
        <f>IF(V258="NO",Table_Shelter[[#This Row],[HH per Shelter]]*(Table_Shelter[[#This Row],['# of Temporary Shelter Units Built]]+Table_Shelter[[#This Row],['# of Temporary Shelter Under  Construction]]+Table_Shelter[[#This Row],['# of Permanent House Under Construction]]),0)</f>
        <v>12</v>
      </c>
      <c r="Q258" s="148"/>
      <c r="R258" s="222"/>
      <c r="S258" s="222" t="str">
        <f>IFERROR(VLOOKUP(Table_Shelter[[#This Row],[CampName]],CL,2,0),"")</f>
        <v>MMR001CMP023</v>
      </c>
      <c r="T258" s="222" t="str">
        <f>IFERROR(VLOOKUP(Table_Shelter[[#This Row],[CampName]],CL,3,0),"")</f>
        <v>Open</v>
      </c>
      <c r="U258" s="393">
        <f>IFERROR(Table_Shelter[[#This Row],[HH Covered]]/VLOOKUP(Table_Shelter[[#This Row],[CampName]],CL,4,0),"")</f>
        <v>0.17647058823529413</v>
      </c>
      <c r="V258" s="731" t="s">
        <v>1369</v>
      </c>
      <c r="W258" s="394"/>
    </row>
    <row r="259" spans="1:23" x14ac:dyDescent="0.25">
      <c r="A259" s="396"/>
      <c r="B259" s="220" t="s">
        <v>454</v>
      </c>
      <c r="C259" s="220" t="s">
        <v>507</v>
      </c>
      <c r="D259" s="223" t="s">
        <v>380</v>
      </c>
      <c r="E259" s="225" t="s">
        <v>237</v>
      </c>
      <c r="F259" s="220" t="s">
        <v>1267</v>
      </c>
      <c r="G259" s="145">
        <v>1</v>
      </c>
      <c r="H259" s="149"/>
      <c r="I259" s="149"/>
      <c r="J259" s="149">
        <v>40</v>
      </c>
      <c r="K259" s="149">
        <v>40</v>
      </c>
      <c r="L259" s="222"/>
      <c r="M259" s="222"/>
      <c r="N259" s="222"/>
      <c r="O259" s="222"/>
      <c r="P259" s="148">
        <f>IF(V259="NO",Table_Shelter[[#This Row],[HH per Shelter]]*(Table_Shelter[[#This Row],['# of Temporary Shelter Units Built]]+Table_Shelter[[#This Row],['# of Temporary Shelter Under  Construction]]+Table_Shelter[[#This Row],['# of Permanent House Under Construction]]),0)</f>
        <v>40</v>
      </c>
      <c r="Q259" s="148"/>
      <c r="R259" s="222"/>
      <c r="S259" s="222" t="str">
        <f>IFERROR(VLOOKUP(Table_Shelter[[#This Row],[CampName]],CL,2,0),"")</f>
        <v>MMR001CMP023</v>
      </c>
      <c r="T259" s="222" t="str">
        <f>IFERROR(VLOOKUP(Table_Shelter[[#This Row],[CampName]],CL,3,0),"")</f>
        <v>Open</v>
      </c>
      <c r="U259" s="393">
        <f>IFERROR(Table_Shelter[[#This Row],[HH Covered]]/VLOOKUP(Table_Shelter[[#This Row],[CampName]],CL,4,0),"")</f>
        <v>0.58823529411764708</v>
      </c>
      <c r="V259" s="731" t="s">
        <v>1369</v>
      </c>
      <c r="W259" s="394"/>
    </row>
    <row r="260" spans="1:23" x14ac:dyDescent="0.25">
      <c r="A260" s="396"/>
      <c r="B260" s="145" t="s">
        <v>454</v>
      </c>
      <c r="C260" s="145" t="s">
        <v>507</v>
      </c>
      <c r="D260" s="228" t="s">
        <v>380</v>
      </c>
      <c r="E260" s="229" t="s">
        <v>237</v>
      </c>
      <c r="F260" s="145" t="s">
        <v>1267</v>
      </c>
      <c r="G260" s="145">
        <v>1</v>
      </c>
      <c r="H260" s="149"/>
      <c r="I260" s="149"/>
      <c r="J260" s="149">
        <v>20</v>
      </c>
      <c r="K260" s="149">
        <v>20</v>
      </c>
      <c r="L260" s="149"/>
      <c r="M260" s="149"/>
      <c r="N260" s="149"/>
      <c r="O260" s="149"/>
      <c r="P260" s="148">
        <f>IF(V260="NO",Table_Shelter[[#This Row],[HH per Shelter]]*(Table_Shelter[[#This Row],['# of Temporary Shelter Units Built]]+Table_Shelter[[#This Row],['# of Temporary Shelter Under  Construction]]+Table_Shelter[[#This Row],['# of Permanent House Under Construction]]),0)</f>
        <v>20</v>
      </c>
      <c r="Q260" s="148"/>
      <c r="R260" s="148"/>
      <c r="S260" s="148" t="str">
        <f>IFERROR(VLOOKUP(Table_Shelter[[#This Row],[CampName]],CL,2,0),"")</f>
        <v>MMR001CMP023</v>
      </c>
      <c r="T260" s="148" t="str">
        <f>IFERROR(VLOOKUP(Table_Shelter[[#This Row],[CampName]],CL,3,0),"")</f>
        <v>Open</v>
      </c>
      <c r="U260" s="399">
        <f>IFERROR(Table_Shelter[[#This Row],[HH Covered]]/VLOOKUP(Table_Shelter[[#This Row],[CampName]],CL,4,0),"")</f>
        <v>0.29411764705882354</v>
      </c>
      <c r="V260" s="731" t="s">
        <v>1369</v>
      </c>
      <c r="W260" s="397"/>
    </row>
    <row r="261" spans="1:23" x14ac:dyDescent="0.25">
      <c r="A261" s="396"/>
      <c r="B261" s="220" t="s">
        <v>454</v>
      </c>
      <c r="C261" s="220" t="s">
        <v>507</v>
      </c>
      <c r="D261" s="223" t="s">
        <v>380</v>
      </c>
      <c r="E261" s="225" t="s">
        <v>237</v>
      </c>
      <c r="F261" s="220" t="s">
        <v>249</v>
      </c>
      <c r="G261" s="145">
        <v>1</v>
      </c>
      <c r="H261" s="149"/>
      <c r="I261" s="149"/>
      <c r="J261" s="149">
        <v>10</v>
      </c>
      <c r="K261" s="149">
        <v>10</v>
      </c>
      <c r="L261" s="222"/>
      <c r="M261" s="222"/>
      <c r="N261" s="222"/>
      <c r="O261" s="222"/>
      <c r="P261" s="148">
        <f>IF(V261="NO",Table_Shelter[[#This Row],[HH per Shelter]]*(Table_Shelter[[#This Row],['# of Temporary Shelter Units Built]]+Table_Shelter[[#This Row],['# of Temporary Shelter Under  Construction]]+Table_Shelter[[#This Row],['# of Permanent House Under Construction]]),0)</f>
        <v>10</v>
      </c>
      <c r="Q261" s="148"/>
      <c r="R261" s="222"/>
      <c r="S261" s="222" t="str">
        <f>IFERROR(VLOOKUP(Table_Shelter[[#This Row],[CampName]],CL,2,0),"")</f>
        <v>MMR001CMP004</v>
      </c>
      <c r="T261" s="222" t="str">
        <f>IFERROR(VLOOKUP(Table_Shelter[[#This Row],[CampName]],CL,3,0),"")</f>
        <v>Open</v>
      </c>
      <c r="U261" s="393">
        <f>IFERROR(Table_Shelter[[#This Row],[HH Covered]]/VLOOKUP(Table_Shelter[[#This Row],[CampName]],CL,4,0),"")</f>
        <v>0.83333333333333337</v>
      </c>
      <c r="V261" s="731" t="s">
        <v>1369</v>
      </c>
      <c r="W261" s="394"/>
    </row>
    <row r="262" spans="1:23" x14ac:dyDescent="0.25">
      <c r="A262" s="396"/>
      <c r="B262" s="220" t="s">
        <v>454</v>
      </c>
      <c r="C262" s="220"/>
      <c r="D262" s="223" t="s">
        <v>380</v>
      </c>
      <c r="E262" s="225" t="s">
        <v>237</v>
      </c>
      <c r="F262" s="220" t="s">
        <v>249</v>
      </c>
      <c r="G262" s="145">
        <v>1</v>
      </c>
      <c r="H262" s="149"/>
      <c r="I262" s="149"/>
      <c r="J262" s="149">
        <v>5</v>
      </c>
      <c r="K262" s="149">
        <v>5</v>
      </c>
      <c r="L262" s="222"/>
      <c r="M262" s="222"/>
      <c r="N262" s="222"/>
      <c r="O262" s="222"/>
      <c r="P262" s="148">
        <f>IF(V262="NO",Table_Shelter[[#This Row],[HH per Shelter]]*(Table_Shelter[[#This Row],['# of Temporary Shelter Units Built]]+Table_Shelter[[#This Row],['# of Temporary Shelter Under  Construction]]+Table_Shelter[[#This Row],['# of Permanent House Under Construction]]),0)</f>
        <v>5</v>
      </c>
      <c r="Q262" s="148"/>
      <c r="R262" s="222"/>
      <c r="S262" s="222" t="str">
        <f>IFERROR(VLOOKUP(Table_Shelter[[#This Row],[CampName]],CL,2,0),"")</f>
        <v>MMR001CMP004</v>
      </c>
      <c r="T262" s="222" t="str">
        <f>IFERROR(VLOOKUP(Table_Shelter[[#This Row],[CampName]],CL,3,0),"")</f>
        <v>Open</v>
      </c>
      <c r="U262" s="393">
        <f>IFERROR(Table_Shelter[[#This Row],[HH Covered]]/VLOOKUP(Table_Shelter[[#This Row],[CampName]],CL,4,0),"")</f>
        <v>0.41666666666666669</v>
      </c>
      <c r="V262" s="731" t="s">
        <v>1369</v>
      </c>
      <c r="W262" s="394"/>
    </row>
    <row r="263" spans="1:23" x14ac:dyDescent="0.25">
      <c r="A263" s="396"/>
      <c r="B263" s="220" t="s">
        <v>454</v>
      </c>
      <c r="C263" s="220" t="s">
        <v>462</v>
      </c>
      <c r="D263" s="223" t="s">
        <v>380</v>
      </c>
      <c r="E263" s="225" t="s">
        <v>237</v>
      </c>
      <c r="F263" s="220" t="s">
        <v>251</v>
      </c>
      <c r="G263" s="145">
        <v>1</v>
      </c>
      <c r="H263" s="149"/>
      <c r="I263" s="149"/>
      <c r="J263" s="149">
        <v>20</v>
      </c>
      <c r="K263" s="149">
        <v>20</v>
      </c>
      <c r="L263" s="222"/>
      <c r="M263" s="222"/>
      <c r="N263" s="222"/>
      <c r="O263" s="222"/>
      <c r="P263" s="148">
        <f>IF(V263="NO",Table_Shelter[[#This Row],[HH per Shelter]]*(Table_Shelter[[#This Row],['# of Temporary Shelter Units Built]]+Table_Shelter[[#This Row],['# of Temporary Shelter Under  Construction]]+Table_Shelter[[#This Row],['# of Permanent House Under Construction]]),0)</f>
        <v>20</v>
      </c>
      <c r="Q263" s="148"/>
      <c r="R263" s="222"/>
      <c r="S263" s="222" t="str">
        <f>IFERROR(VLOOKUP(Table_Shelter[[#This Row],[CampName]],CL,2,0),"")</f>
        <v>MMR001CMP003</v>
      </c>
      <c r="T263" s="222" t="str">
        <f>IFERROR(VLOOKUP(Table_Shelter[[#This Row],[CampName]],CL,3,0),"")</f>
        <v>Open</v>
      </c>
      <c r="U263" s="393">
        <f>IFERROR(Table_Shelter[[#This Row],[HH Covered]]/VLOOKUP(Table_Shelter[[#This Row],[CampName]],CL,4,0),"")</f>
        <v>0.625</v>
      </c>
      <c r="V263" s="731" t="s">
        <v>1369</v>
      </c>
      <c r="W263" s="394"/>
    </row>
    <row r="264" spans="1:23" x14ac:dyDescent="0.25">
      <c r="A264" s="396"/>
      <c r="B264" s="220" t="s">
        <v>853</v>
      </c>
      <c r="C264" s="220" t="s">
        <v>462</v>
      </c>
      <c r="D264" s="223" t="s">
        <v>380</v>
      </c>
      <c r="E264" s="225" t="s">
        <v>237</v>
      </c>
      <c r="F264" s="220" t="s">
        <v>275</v>
      </c>
      <c r="G264" s="145">
        <v>1</v>
      </c>
      <c r="H264" s="149"/>
      <c r="I264" s="149"/>
      <c r="J264" s="149">
        <v>14</v>
      </c>
      <c r="K264" s="149">
        <v>14</v>
      </c>
      <c r="L264" s="222"/>
      <c r="M264" s="222"/>
      <c r="N264" s="222"/>
      <c r="O264" s="222"/>
      <c r="P264" s="148">
        <f>IF(V264="NO",Table_Shelter[[#This Row],[HH per Shelter]]*(Table_Shelter[[#This Row],['# of Temporary Shelter Units Built]]+Table_Shelter[[#This Row],['# of Temporary Shelter Under  Construction]]+Table_Shelter[[#This Row],['# of Permanent House Under Construction]]),0)</f>
        <v>14</v>
      </c>
      <c r="Q264" s="148"/>
      <c r="R264" s="222"/>
      <c r="S264" s="222" t="str">
        <f>IFERROR(VLOOKUP(Table_Shelter[[#This Row],[CampName]],CL,2,0),"")</f>
        <v>MMR001CMP005</v>
      </c>
      <c r="T264" s="222" t="str">
        <f>IFERROR(VLOOKUP(Table_Shelter[[#This Row],[CampName]],CL,3,0),"")</f>
        <v>Open</v>
      </c>
      <c r="U264" s="393">
        <f>IFERROR(Table_Shelter[[#This Row],[HH Covered]]/VLOOKUP(Table_Shelter[[#This Row],[CampName]],CL,4,0),"")</f>
        <v>0.31818181818181818</v>
      </c>
      <c r="V264" s="731" t="s">
        <v>1369</v>
      </c>
      <c r="W264" s="394"/>
    </row>
    <row r="265" spans="1:23" x14ac:dyDescent="0.25">
      <c r="A265" s="396"/>
      <c r="B265" s="220" t="s">
        <v>454</v>
      </c>
      <c r="C265" s="220" t="s">
        <v>462</v>
      </c>
      <c r="D265" s="223" t="s">
        <v>380</v>
      </c>
      <c r="E265" s="530" t="s">
        <v>237</v>
      </c>
      <c r="F265" s="220" t="s">
        <v>275</v>
      </c>
      <c r="G265" s="145">
        <v>1</v>
      </c>
      <c r="H265" s="149"/>
      <c r="I265" s="149"/>
      <c r="J265" s="149">
        <v>10</v>
      </c>
      <c r="K265" s="149">
        <v>10</v>
      </c>
      <c r="L265" s="222"/>
      <c r="M265" s="222"/>
      <c r="N265" s="222"/>
      <c r="O265" s="222"/>
      <c r="P265" s="148">
        <f>IF(V265="NO",Table_Shelter[[#This Row],[HH per Shelter]]*(Table_Shelter[[#This Row],['# of Temporary Shelter Units Built]]+Table_Shelter[[#This Row],['# of Temporary Shelter Under  Construction]]+Table_Shelter[[#This Row],['# of Permanent House Under Construction]]),0)</f>
        <v>10</v>
      </c>
      <c r="Q265" s="148"/>
      <c r="R265" s="222"/>
      <c r="S265" s="222" t="str">
        <f>IFERROR(VLOOKUP(Table_Shelter[[#This Row],[CampName]],CL,2,0),"")</f>
        <v>MMR001CMP005</v>
      </c>
      <c r="T265" s="222" t="str">
        <f>IFERROR(VLOOKUP(Table_Shelter[[#This Row],[CampName]],CL,3,0),"")</f>
        <v>Open</v>
      </c>
      <c r="U265" s="393">
        <f>IFERROR(Table_Shelter[[#This Row],[HH Covered]]/VLOOKUP(Table_Shelter[[#This Row],[CampName]],CL,4,0),"")</f>
        <v>0.22727272727272727</v>
      </c>
      <c r="V265" s="731" t="s">
        <v>1369</v>
      </c>
      <c r="W265" s="394"/>
    </row>
    <row r="266" spans="1:23" x14ac:dyDescent="0.25">
      <c r="A266" s="396"/>
      <c r="B266" s="220" t="s">
        <v>454</v>
      </c>
      <c r="C266" s="220" t="s">
        <v>462</v>
      </c>
      <c r="D266" s="228" t="s">
        <v>380</v>
      </c>
      <c r="E266" s="229" t="s">
        <v>237</v>
      </c>
      <c r="F266" s="145" t="s">
        <v>275</v>
      </c>
      <c r="G266" s="145">
        <v>1</v>
      </c>
      <c r="H266" s="149"/>
      <c r="I266" s="149"/>
      <c r="J266" s="149">
        <v>8</v>
      </c>
      <c r="K266" s="149">
        <v>8</v>
      </c>
      <c r="L266" s="149"/>
      <c r="M266" s="149"/>
      <c r="N266" s="149"/>
      <c r="O266" s="149"/>
      <c r="P266" s="148">
        <f>IF(V266="NO",Table_Shelter[[#This Row],[HH per Shelter]]*(Table_Shelter[[#This Row],['# of Temporary Shelter Units Built]]+Table_Shelter[[#This Row],['# of Temporary Shelter Under  Construction]]+Table_Shelter[[#This Row],['# of Permanent House Under Construction]]),0)</f>
        <v>8</v>
      </c>
      <c r="Q266" s="148"/>
      <c r="R266" s="148"/>
      <c r="S266" s="148" t="str">
        <f>IFERROR(VLOOKUP(Table_Shelter[[#This Row],[CampName]],CL,2,0),"")</f>
        <v>MMR001CMP005</v>
      </c>
      <c r="T266" s="148" t="str">
        <f>IFERROR(VLOOKUP(Table_Shelter[[#This Row],[CampName]],CL,3,0),"")</f>
        <v>Open</v>
      </c>
      <c r="U266" s="399">
        <f>IFERROR(Table_Shelter[[#This Row],[HH Covered]]/VLOOKUP(Table_Shelter[[#This Row],[CampName]],CL,4,0),"")</f>
        <v>0.18181818181818182</v>
      </c>
      <c r="V266" s="731" t="s">
        <v>1369</v>
      </c>
      <c r="W266" s="397"/>
    </row>
    <row r="267" spans="1:23" x14ac:dyDescent="0.25">
      <c r="A267" s="396">
        <v>41974</v>
      </c>
      <c r="B267" s="220" t="s">
        <v>454</v>
      </c>
      <c r="C267" s="220" t="s">
        <v>507</v>
      </c>
      <c r="D267" s="223" t="s">
        <v>380</v>
      </c>
      <c r="E267" s="225" t="s">
        <v>310</v>
      </c>
      <c r="F267" s="220" t="s">
        <v>349</v>
      </c>
      <c r="G267" s="145">
        <v>1</v>
      </c>
      <c r="H267" s="149"/>
      <c r="I267" s="149"/>
      <c r="J267" s="149">
        <v>5</v>
      </c>
      <c r="K267" s="149">
        <v>5</v>
      </c>
      <c r="L267" s="222"/>
      <c r="M267" s="222"/>
      <c r="N267" s="222"/>
      <c r="O267" s="222"/>
      <c r="P267" s="148">
        <f>IF(V267="NO",Table_Shelter[[#This Row],[HH per Shelter]]*(Table_Shelter[[#This Row],['# of Temporary Shelter Units Built]]+Table_Shelter[[#This Row],['# of Temporary Shelter Under  Construction]]+Table_Shelter[[#This Row],['# of Permanent House Under Construction]]),0)</f>
        <v>5</v>
      </c>
      <c r="Q267" s="148"/>
      <c r="R267" s="148"/>
      <c r="S267" s="148" t="str">
        <f>IFERROR(VLOOKUP(Table_Shelter[[#This Row],[CampName]],CL,2,0),"")</f>
        <v>MMR001CMP037</v>
      </c>
      <c r="T267" s="148" t="str">
        <f>IFERROR(VLOOKUP(Table_Shelter[[#This Row],[CampName]],CL,3,0),"")</f>
        <v>Open</v>
      </c>
      <c r="U267" s="393">
        <f>IFERROR(Table_Shelter[[#This Row],[HH Covered]]/VLOOKUP(Table_Shelter[[#This Row],[CampName]],CL,4,0),"")</f>
        <v>0.11904761904761904</v>
      </c>
      <c r="V267" s="731" t="s">
        <v>1369</v>
      </c>
      <c r="W267" s="397"/>
    </row>
    <row r="268" spans="1:23" x14ac:dyDescent="0.25">
      <c r="A268" s="396">
        <v>41609</v>
      </c>
      <c r="B268" s="220" t="s">
        <v>454</v>
      </c>
      <c r="C268" s="220" t="s">
        <v>507</v>
      </c>
      <c r="D268" s="223" t="s">
        <v>380</v>
      </c>
      <c r="E268" s="530" t="s">
        <v>310</v>
      </c>
      <c r="F268" s="220" t="s">
        <v>349</v>
      </c>
      <c r="G268" s="145">
        <v>1</v>
      </c>
      <c r="H268" s="149"/>
      <c r="I268" s="149"/>
      <c r="J268" s="149">
        <v>5</v>
      </c>
      <c r="K268" s="149">
        <v>5</v>
      </c>
      <c r="L268" s="222"/>
      <c r="M268" s="222"/>
      <c r="N268" s="222"/>
      <c r="O268" s="222"/>
      <c r="P268" s="148">
        <f>IF(V268="NO",Table_Shelter[[#This Row],[HH per Shelter]]*(Table_Shelter[[#This Row],['# of Temporary Shelter Units Built]]+Table_Shelter[[#This Row],['# of Temporary Shelter Under  Construction]]+Table_Shelter[[#This Row],['# of Permanent House Under Construction]]),0)</f>
        <v>5</v>
      </c>
      <c r="Q268" s="148"/>
      <c r="R268" s="148"/>
      <c r="S268" s="148" t="str">
        <f>IFERROR(VLOOKUP(Table_Shelter[[#This Row],[CampName]],CL,2,0),"")</f>
        <v>MMR001CMP037</v>
      </c>
      <c r="T268" s="148" t="str">
        <f>IFERROR(VLOOKUP(Table_Shelter[[#This Row],[CampName]],CL,3,0),"")</f>
        <v>Open</v>
      </c>
      <c r="U268" s="393">
        <f>IFERROR(Table_Shelter[[#This Row],[HH Covered]]/VLOOKUP(Table_Shelter[[#This Row],[CampName]],CL,4,0),"")</f>
        <v>0.11904761904761904</v>
      </c>
      <c r="V268" s="731" t="s">
        <v>1369</v>
      </c>
      <c r="W268" s="397"/>
    </row>
    <row r="269" spans="1:23" x14ac:dyDescent="0.25">
      <c r="A269" s="396"/>
      <c r="B269" s="220" t="s">
        <v>454</v>
      </c>
      <c r="C269" s="220" t="s">
        <v>507</v>
      </c>
      <c r="D269" s="223" t="s">
        <v>380</v>
      </c>
      <c r="E269" s="530" t="s">
        <v>310</v>
      </c>
      <c r="F269" s="220" t="s">
        <v>349</v>
      </c>
      <c r="G269" s="145">
        <v>1</v>
      </c>
      <c r="H269" s="149"/>
      <c r="I269" s="149"/>
      <c r="J269" s="149">
        <v>45</v>
      </c>
      <c r="K269" s="149">
        <v>45</v>
      </c>
      <c r="L269" s="222"/>
      <c r="M269" s="222"/>
      <c r="N269" s="222"/>
      <c r="O269" s="222"/>
      <c r="P269" s="148">
        <f>IF(V269="NO",Table_Shelter[[#This Row],[HH per Shelter]]*(Table_Shelter[[#This Row],['# of Temporary Shelter Units Built]]+Table_Shelter[[#This Row],['# of Temporary Shelter Under  Construction]]+Table_Shelter[[#This Row],['# of Permanent House Under Construction]]),0)</f>
        <v>45</v>
      </c>
      <c r="Q269" s="148"/>
      <c r="R269" s="222"/>
      <c r="S269" s="222" t="str">
        <f>IFERROR(VLOOKUP(Table_Shelter[[#This Row],[CampName]],CL,2,0),"")</f>
        <v>MMR001CMP037</v>
      </c>
      <c r="T269" s="222" t="str">
        <f>IFERROR(VLOOKUP(Table_Shelter[[#This Row],[CampName]],CL,3,0),"")</f>
        <v>Open</v>
      </c>
      <c r="U269" s="393">
        <f>IFERROR(Table_Shelter[[#This Row],[HH Covered]]/VLOOKUP(Table_Shelter[[#This Row],[CampName]],CL,4,0),"")</f>
        <v>1.0714285714285714</v>
      </c>
      <c r="V269" s="731" t="s">
        <v>1369</v>
      </c>
      <c r="W269" s="394"/>
    </row>
    <row r="270" spans="1:23" x14ac:dyDescent="0.25">
      <c r="A270" s="396"/>
      <c r="B270" s="220" t="s">
        <v>571</v>
      </c>
      <c r="C270" s="220"/>
      <c r="D270" s="223" t="s">
        <v>380</v>
      </c>
      <c r="E270" s="530" t="s">
        <v>310</v>
      </c>
      <c r="F270" s="220" t="s">
        <v>349</v>
      </c>
      <c r="G270" s="145">
        <v>1</v>
      </c>
      <c r="H270" s="149"/>
      <c r="I270" s="149"/>
      <c r="J270" s="149">
        <v>24</v>
      </c>
      <c r="K270" s="149">
        <v>24</v>
      </c>
      <c r="L270" s="222"/>
      <c r="M270" s="222"/>
      <c r="N270" s="222"/>
      <c r="O270" s="222"/>
      <c r="P270" s="148">
        <f>IF(V270="NO",Table_Shelter[[#This Row],[HH per Shelter]]*(Table_Shelter[[#This Row],['# of Temporary Shelter Units Built]]+Table_Shelter[[#This Row],['# of Temporary Shelter Under  Construction]]+Table_Shelter[[#This Row],['# of Permanent House Under Construction]]),0)</f>
        <v>24</v>
      </c>
      <c r="Q270" s="148"/>
      <c r="R270" s="222"/>
      <c r="S270" s="222" t="str">
        <f>IFERROR(VLOOKUP(Table_Shelter[[#This Row],[CampName]],CL,2,0),"")</f>
        <v>MMR001CMP037</v>
      </c>
      <c r="T270" s="222" t="str">
        <f>IFERROR(VLOOKUP(Table_Shelter[[#This Row],[CampName]],CL,3,0),"")</f>
        <v>Open</v>
      </c>
      <c r="U270" s="393">
        <f>IFERROR(Table_Shelter[[#This Row],[HH Covered]]/VLOOKUP(Table_Shelter[[#This Row],[CampName]],CL,4,0),"")</f>
        <v>0.5714285714285714</v>
      </c>
      <c r="V270" s="731" t="s">
        <v>1369</v>
      </c>
      <c r="W270" s="394"/>
    </row>
    <row r="271" spans="1:23" x14ac:dyDescent="0.25">
      <c r="A271" s="396"/>
      <c r="B271" s="220" t="s">
        <v>454</v>
      </c>
      <c r="C271" s="220" t="s">
        <v>507</v>
      </c>
      <c r="D271" s="223" t="s">
        <v>380</v>
      </c>
      <c r="E271" s="530" t="s">
        <v>5</v>
      </c>
      <c r="F271" s="220" t="s">
        <v>1028</v>
      </c>
      <c r="G271" s="145">
        <v>1</v>
      </c>
      <c r="H271" s="149"/>
      <c r="I271" s="149"/>
      <c r="J271" s="149">
        <v>6</v>
      </c>
      <c r="K271" s="149"/>
      <c r="L271" s="222"/>
      <c r="M271" s="222"/>
      <c r="N271" s="222"/>
      <c r="O271" s="222"/>
      <c r="P271" s="148">
        <f>IF(V271="NO",Table_Shelter[[#This Row],[HH per Shelter]]*(Table_Shelter[[#This Row],['# of Temporary Shelter Units Built]]+Table_Shelter[[#This Row],['# of Temporary Shelter Under  Construction]]+Table_Shelter[[#This Row],['# of Permanent House Under Construction]]),0)</f>
        <v>0</v>
      </c>
      <c r="Q271" s="148"/>
      <c r="R271" s="222"/>
      <c r="S271" s="222" t="str">
        <f>IFERROR(VLOOKUP(Table_Shelter[[#This Row],[CampName]],CL,2,0),"")</f>
        <v>MMR001CMP224</v>
      </c>
      <c r="T271" s="222" t="str">
        <f>IFERROR(VLOOKUP(Table_Shelter[[#This Row],[CampName]],CL,3,0),"")</f>
        <v>Closed</v>
      </c>
      <c r="U271" s="393" t="str">
        <f>IFERROR(Table_Shelter[[#This Row],[HH Covered]]/VLOOKUP(Table_Shelter[[#This Row],[CampName]],CL,4,0),"")</f>
        <v/>
      </c>
      <c r="V271" s="731" t="s">
        <v>1369</v>
      </c>
      <c r="W271" s="394"/>
    </row>
    <row r="272" spans="1:23" x14ac:dyDescent="0.25">
      <c r="A272" s="396"/>
      <c r="B272" s="220" t="s">
        <v>454</v>
      </c>
      <c r="C272" s="220"/>
      <c r="D272" s="223" t="s">
        <v>380</v>
      </c>
      <c r="E272" s="530" t="s">
        <v>5</v>
      </c>
      <c r="F272" s="220" t="s">
        <v>1028</v>
      </c>
      <c r="G272" s="145">
        <v>1</v>
      </c>
      <c r="H272" s="149"/>
      <c r="I272" s="149"/>
      <c r="J272" s="149">
        <v>5</v>
      </c>
      <c r="K272" s="149"/>
      <c r="L272" s="222"/>
      <c r="M272" s="222"/>
      <c r="N272" s="222"/>
      <c r="O272" s="222"/>
      <c r="P272" s="148">
        <f>IF(V272="NO",Table_Shelter[[#This Row],[HH per Shelter]]*(Table_Shelter[[#This Row],['# of Temporary Shelter Units Built]]+Table_Shelter[[#This Row],['# of Temporary Shelter Under  Construction]]+Table_Shelter[[#This Row],['# of Permanent House Under Construction]]),0)</f>
        <v>0</v>
      </c>
      <c r="Q272" s="148"/>
      <c r="R272" s="222"/>
      <c r="S272" s="222" t="str">
        <f>IFERROR(VLOOKUP(Table_Shelter[[#This Row],[CampName]],CL,2,0),"")</f>
        <v>MMR001CMP224</v>
      </c>
      <c r="T272" s="222" t="str">
        <f>IFERROR(VLOOKUP(Table_Shelter[[#This Row],[CampName]],CL,3,0),"")</f>
        <v>Closed</v>
      </c>
      <c r="U272" s="393" t="str">
        <f>IFERROR(Table_Shelter[[#This Row],[HH Covered]]/VLOOKUP(Table_Shelter[[#This Row],[CampName]],CL,4,0),"")</f>
        <v/>
      </c>
      <c r="V272" s="731" t="s">
        <v>1369</v>
      </c>
      <c r="W272" s="394"/>
    </row>
    <row r="273" spans="1:23" x14ac:dyDescent="0.25">
      <c r="A273" s="396">
        <v>41609</v>
      </c>
      <c r="B273" s="220" t="s">
        <v>454</v>
      </c>
      <c r="C273" s="220" t="s">
        <v>507</v>
      </c>
      <c r="D273" s="223" t="s">
        <v>380</v>
      </c>
      <c r="E273" s="225" t="s">
        <v>310</v>
      </c>
      <c r="F273" s="220" t="s">
        <v>316</v>
      </c>
      <c r="G273" s="145">
        <v>1</v>
      </c>
      <c r="H273" s="149"/>
      <c r="I273" s="149"/>
      <c r="J273" s="149">
        <v>6</v>
      </c>
      <c r="K273" s="149">
        <v>6</v>
      </c>
      <c r="L273" s="222"/>
      <c r="M273" s="222"/>
      <c r="N273" s="222"/>
      <c r="O273" s="222"/>
      <c r="P273" s="148">
        <f>IF(V273="NO",Table_Shelter[[#This Row],[HH per Shelter]]*(Table_Shelter[[#This Row],['# of Temporary Shelter Units Built]]+Table_Shelter[[#This Row],['# of Temporary Shelter Under  Construction]]+Table_Shelter[[#This Row],['# of Permanent House Under Construction]]),0)</f>
        <v>6</v>
      </c>
      <c r="Q273" s="148"/>
      <c r="R273" s="148"/>
      <c r="S273" s="148" t="str">
        <f>IFERROR(VLOOKUP(Table_Shelter[[#This Row],[CampName]],CL,2,0),"")</f>
        <v>MMR001CMP038</v>
      </c>
      <c r="T273" s="148" t="str">
        <f>IFERROR(VLOOKUP(Table_Shelter[[#This Row],[CampName]],CL,3,0),"")</f>
        <v>Open</v>
      </c>
      <c r="U273" s="393">
        <f>IFERROR(Table_Shelter[[#This Row],[HH Covered]]/VLOOKUP(Table_Shelter[[#This Row],[CampName]],CL,4,0),"")</f>
        <v>6.5934065934065936E-2</v>
      </c>
      <c r="V273" s="731" t="s">
        <v>1369</v>
      </c>
      <c r="W273" s="397"/>
    </row>
    <row r="274" spans="1:23" x14ac:dyDescent="0.25">
      <c r="A274" s="396"/>
      <c r="B274" s="220" t="s">
        <v>454</v>
      </c>
      <c r="C274" s="220" t="s">
        <v>507</v>
      </c>
      <c r="D274" s="223" t="s">
        <v>380</v>
      </c>
      <c r="E274" s="225" t="s">
        <v>310</v>
      </c>
      <c r="F274" s="220" t="s">
        <v>316</v>
      </c>
      <c r="G274" s="145">
        <v>1</v>
      </c>
      <c r="H274" s="149"/>
      <c r="I274" s="149"/>
      <c r="J274" s="149">
        <v>34</v>
      </c>
      <c r="K274" s="149">
        <v>34</v>
      </c>
      <c r="L274" s="222"/>
      <c r="M274" s="222"/>
      <c r="N274" s="222"/>
      <c r="O274" s="222"/>
      <c r="P274" s="148">
        <f>IF(V274="NO",Table_Shelter[[#This Row],[HH per Shelter]]*(Table_Shelter[[#This Row],['# of Temporary Shelter Units Built]]+Table_Shelter[[#This Row],['# of Temporary Shelter Under  Construction]]+Table_Shelter[[#This Row],['# of Permanent House Under Construction]]),0)</f>
        <v>34</v>
      </c>
      <c r="Q274" s="148"/>
      <c r="R274" s="222"/>
      <c r="S274" s="222" t="str">
        <f>IFERROR(VLOOKUP(Table_Shelter[[#This Row],[CampName]],CL,2,0),"")</f>
        <v>MMR001CMP038</v>
      </c>
      <c r="T274" s="222" t="str">
        <f>IFERROR(VLOOKUP(Table_Shelter[[#This Row],[CampName]],CL,3,0),"")</f>
        <v>Open</v>
      </c>
      <c r="U274" s="393">
        <f>IFERROR(Table_Shelter[[#This Row],[HH Covered]]/VLOOKUP(Table_Shelter[[#This Row],[CampName]],CL,4,0),"")</f>
        <v>0.37362637362637363</v>
      </c>
      <c r="V274" s="731" t="s">
        <v>1369</v>
      </c>
      <c r="W274" s="394"/>
    </row>
    <row r="275" spans="1:23" x14ac:dyDescent="0.25">
      <c r="A275" s="396"/>
      <c r="B275" s="220" t="s">
        <v>571</v>
      </c>
      <c r="C275" s="220"/>
      <c r="D275" s="223" t="s">
        <v>380</v>
      </c>
      <c r="E275" s="530" t="s">
        <v>310</v>
      </c>
      <c r="F275" s="220" t="s">
        <v>316</v>
      </c>
      <c r="G275" s="145">
        <v>1</v>
      </c>
      <c r="H275" s="149"/>
      <c r="I275" s="149"/>
      <c r="J275" s="149">
        <v>15</v>
      </c>
      <c r="K275" s="149">
        <v>15</v>
      </c>
      <c r="L275" s="222"/>
      <c r="M275" s="222"/>
      <c r="N275" s="222"/>
      <c r="O275" s="222"/>
      <c r="P275" s="148">
        <f>IF(V275="NO",Table_Shelter[[#This Row],[HH per Shelter]]*(Table_Shelter[[#This Row],['# of Temporary Shelter Units Built]]+Table_Shelter[[#This Row],['# of Temporary Shelter Under  Construction]]+Table_Shelter[[#This Row],['# of Permanent House Under Construction]]),0)</f>
        <v>15</v>
      </c>
      <c r="Q275" s="148"/>
      <c r="R275" s="222"/>
      <c r="S275" s="222" t="str">
        <f>IFERROR(VLOOKUP(Table_Shelter[[#This Row],[CampName]],CL,2,0),"")</f>
        <v>MMR001CMP038</v>
      </c>
      <c r="T275" s="222" t="str">
        <f>IFERROR(VLOOKUP(Table_Shelter[[#This Row],[CampName]],CL,3,0),"")</f>
        <v>Open</v>
      </c>
      <c r="U275" s="393">
        <f>IFERROR(Table_Shelter[[#This Row],[HH Covered]]/VLOOKUP(Table_Shelter[[#This Row],[CampName]],CL,4,0),"")</f>
        <v>0.16483516483516483</v>
      </c>
      <c r="V275" s="731" t="s">
        <v>1369</v>
      </c>
      <c r="W275" s="394"/>
    </row>
    <row r="276" spans="1:23" x14ac:dyDescent="0.25">
      <c r="A276" s="396"/>
      <c r="B276" s="220" t="s">
        <v>454</v>
      </c>
      <c r="C276" s="220" t="s">
        <v>462</v>
      </c>
      <c r="D276" s="223" t="s">
        <v>380</v>
      </c>
      <c r="E276" s="530" t="s">
        <v>310</v>
      </c>
      <c r="F276" s="220" t="s">
        <v>311</v>
      </c>
      <c r="G276" s="145">
        <v>1</v>
      </c>
      <c r="H276" s="149"/>
      <c r="I276" s="149"/>
      <c r="J276" s="149">
        <v>10</v>
      </c>
      <c r="K276" s="149">
        <v>10</v>
      </c>
      <c r="L276" s="222"/>
      <c r="M276" s="222"/>
      <c r="N276" s="222"/>
      <c r="O276" s="222"/>
      <c r="P276" s="148">
        <f>IF(V276="NO",Table_Shelter[[#This Row],[HH per Shelter]]*(Table_Shelter[[#This Row],['# of Temporary Shelter Units Built]]+Table_Shelter[[#This Row],['# of Temporary Shelter Under  Construction]]+Table_Shelter[[#This Row],['# of Permanent House Under Construction]]),0)</f>
        <v>10</v>
      </c>
      <c r="Q276" s="148"/>
      <c r="R276" s="222"/>
      <c r="S276" s="222" t="str">
        <f>IFERROR(VLOOKUP(Table_Shelter[[#This Row],[CampName]],CL,2,0),"")</f>
        <v>MMR001CMP036</v>
      </c>
      <c r="T276" s="222" t="str">
        <f>IFERROR(VLOOKUP(Table_Shelter[[#This Row],[CampName]],CL,3,0),"")</f>
        <v>Open</v>
      </c>
      <c r="U276" s="393" t="str">
        <f>IFERROR(Table_Shelter[[#This Row],[HH Covered]]/VLOOKUP(Table_Shelter[[#This Row],[CampName]],CL,4,0),"")</f>
        <v/>
      </c>
      <c r="V276" s="731" t="s">
        <v>1369</v>
      </c>
      <c r="W276" s="394"/>
    </row>
    <row r="277" spans="1:23" x14ac:dyDescent="0.25">
      <c r="A277" s="396"/>
      <c r="B277" s="220" t="s">
        <v>454</v>
      </c>
      <c r="C277" s="220"/>
      <c r="D277" s="223" t="s">
        <v>380</v>
      </c>
      <c r="E277" s="225" t="s">
        <v>310</v>
      </c>
      <c r="F277" s="220" t="s">
        <v>311</v>
      </c>
      <c r="G277" s="145">
        <v>1</v>
      </c>
      <c r="H277" s="149"/>
      <c r="I277" s="149"/>
      <c r="J277" s="149">
        <v>5</v>
      </c>
      <c r="K277" s="149">
        <v>5</v>
      </c>
      <c r="L277" s="222"/>
      <c r="M277" s="222"/>
      <c r="N277" s="222"/>
      <c r="O277" s="222"/>
      <c r="P277" s="148">
        <f>IF(V277="NO",Table_Shelter[[#This Row],[HH per Shelter]]*(Table_Shelter[[#This Row],['# of Temporary Shelter Units Built]]+Table_Shelter[[#This Row],['# of Temporary Shelter Under  Construction]]+Table_Shelter[[#This Row],['# of Permanent House Under Construction]]),0)</f>
        <v>5</v>
      </c>
      <c r="Q277" s="148"/>
      <c r="R277" s="222"/>
      <c r="S277" s="222" t="str">
        <f>IFERROR(VLOOKUP(Table_Shelter[[#This Row],[CampName]],CL,2,0),"")</f>
        <v>MMR001CMP036</v>
      </c>
      <c r="T277" s="222" t="str">
        <f>IFERROR(VLOOKUP(Table_Shelter[[#This Row],[CampName]],CL,3,0),"")</f>
        <v>Open</v>
      </c>
      <c r="U277" s="393" t="str">
        <f>IFERROR(Table_Shelter[[#This Row],[HH Covered]]/VLOOKUP(Table_Shelter[[#This Row],[CampName]],CL,4,0),"")</f>
        <v/>
      </c>
      <c r="V277" s="731" t="s">
        <v>1369</v>
      </c>
      <c r="W277" s="394"/>
    </row>
    <row r="278" spans="1:23" x14ac:dyDescent="0.25">
      <c r="A278" s="396"/>
      <c r="B278" s="220" t="s">
        <v>571</v>
      </c>
      <c r="C278" s="220"/>
      <c r="D278" s="223" t="s">
        <v>380</v>
      </c>
      <c r="E278" s="225" t="s">
        <v>310</v>
      </c>
      <c r="F278" s="220" t="s">
        <v>311</v>
      </c>
      <c r="G278" s="145">
        <v>1</v>
      </c>
      <c r="H278" s="149"/>
      <c r="I278" s="149"/>
      <c r="J278" s="149">
        <v>10</v>
      </c>
      <c r="K278" s="149">
        <v>10</v>
      </c>
      <c r="L278" s="222"/>
      <c r="M278" s="222"/>
      <c r="N278" s="222"/>
      <c r="O278" s="222"/>
      <c r="P278" s="148">
        <f>IF(V278="NO",Table_Shelter[[#This Row],[HH per Shelter]]*(Table_Shelter[[#This Row],['# of Temporary Shelter Units Built]]+Table_Shelter[[#This Row],['# of Temporary Shelter Under  Construction]]+Table_Shelter[[#This Row],['# of Permanent House Under Construction]]),0)</f>
        <v>10</v>
      </c>
      <c r="Q278" s="148"/>
      <c r="R278" s="222"/>
      <c r="S278" s="222" t="str">
        <f>IFERROR(VLOOKUP(Table_Shelter[[#This Row],[CampName]],CL,2,0),"")</f>
        <v>MMR001CMP036</v>
      </c>
      <c r="T278" s="222" t="str">
        <f>IFERROR(VLOOKUP(Table_Shelter[[#This Row],[CampName]],CL,3,0),"")</f>
        <v>Open</v>
      </c>
      <c r="U278" s="393" t="str">
        <f>IFERROR(Table_Shelter[[#This Row],[HH Covered]]/VLOOKUP(Table_Shelter[[#This Row],[CampName]],CL,4,0),"")</f>
        <v/>
      </c>
      <c r="V278" s="731" t="s">
        <v>1369</v>
      </c>
      <c r="W278" s="394"/>
    </row>
    <row r="279" spans="1:23" x14ac:dyDescent="0.25">
      <c r="A279" s="396"/>
      <c r="B279" s="220" t="s">
        <v>454</v>
      </c>
      <c r="C279" s="220" t="s">
        <v>508</v>
      </c>
      <c r="D279" s="223" t="s">
        <v>380</v>
      </c>
      <c r="E279" s="225" t="s">
        <v>529</v>
      </c>
      <c r="F279" s="220" t="s">
        <v>64</v>
      </c>
      <c r="G279" s="145">
        <v>1</v>
      </c>
      <c r="H279" s="149"/>
      <c r="I279" s="149"/>
      <c r="J279" s="149"/>
      <c r="K279" s="149"/>
      <c r="L279" s="222"/>
      <c r="M279" s="222"/>
      <c r="N279" s="222"/>
      <c r="O279" s="222"/>
      <c r="P279" s="148">
        <f>IF(V279="NO",Table_Shelter[[#This Row],[HH per Shelter]]*(Table_Shelter[[#This Row],['# of Temporary Shelter Units Built]]+Table_Shelter[[#This Row],['# of Temporary Shelter Under  Construction]]+Table_Shelter[[#This Row],['# of Permanent House Under Construction]]),0)</f>
        <v>0</v>
      </c>
      <c r="Q279" s="148">
        <v>14</v>
      </c>
      <c r="R279" s="222"/>
      <c r="S279" s="222" t="str">
        <f>IFERROR(VLOOKUP(Table_Shelter[[#This Row],[CampName]],CL,2,0),"")</f>
        <v>MMR001CMP185</v>
      </c>
      <c r="T279" s="222" t="str">
        <f>IFERROR(VLOOKUP(Table_Shelter[[#This Row],[CampName]],CL,3,0),"")</f>
        <v>Closed</v>
      </c>
      <c r="U279" s="393" t="str">
        <f>IFERROR(Table_Shelter[[#This Row],[HH Covered]]/VLOOKUP(Table_Shelter[[#This Row],[CampName]],CL,4,0),"")</f>
        <v/>
      </c>
      <c r="V279" s="731" t="s">
        <v>1369</v>
      </c>
      <c r="W279" s="394"/>
    </row>
    <row r="280" spans="1:23" x14ac:dyDescent="0.25">
      <c r="A280" s="396">
        <v>41609</v>
      </c>
      <c r="B280" s="220" t="s">
        <v>454</v>
      </c>
      <c r="C280" s="220" t="s">
        <v>462</v>
      </c>
      <c r="D280" s="223" t="s">
        <v>380</v>
      </c>
      <c r="E280" s="225" t="s">
        <v>529</v>
      </c>
      <c r="F280" s="220" t="s">
        <v>126</v>
      </c>
      <c r="G280" s="145">
        <v>1</v>
      </c>
      <c r="H280" s="149"/>
      <c r="I280" s="149"/>
      <c r="J280" s="149">
        <v>15</v>
      </c>
      <c r="K280" s="149">
        <v>15</v>
      </c>
      <c r="L280" s="222"/>
      <c r="M280" s="222"/>
      <c r="N280" s="222"/>
      <c r="O280" s="222"/>
      <c r="P280" s="148">
        <f>IF(V280="NO",Table_Shelter[[#This Row],[HH per Shelter]]*(Table_Shelter[[#This Row],['# of Temporary Shelter Units Built]]+Table_Shelter[[#This Row],['# of Temporary Shelter Under  Construction]]+Table_Shelter[[#This Row],['# of Permanent House Under Construction]]),0)</f>
        <v>15</v>
      </c>
      <c r="Q280" s="148"/>
      <c r="R280" s="222"/>
      <c r="S280" s="222" t="str">
        <f>IFERROR(VLOOKUP(Table_Shelter[[#This Row],[CampName]],CL,2,0),"")</f>
        <v>MMR001CMP184</v>
      </c>
      <c r="T280" s="222" t="str">
        <f>IFERROR(VLOOKUP(Table_Shelter[[#This Row],[CampName]],CL,3,0),"")</f>
        <v>Open</v>
      </c>
      <c r="U280" s="393">
        <f>IFERROR(Table_Shelter[[#This Row],[HH Covered]]/VLOOKUP(Table_Shelter[[#This Row],[CampName]],CL,4,0),"")</f>
        <v>0.36585365853658536</v>
      </c>
      <c r="V280" s="731" t="s">
        <v>1369</v>
      </c>
      <c r="W280" s="394"/>
    </row>
    <row r="281" spans="1:23" x14ac:dyDescent="0.25">
      <c r="A281" s="396"/>
      <c r="B281" s="220" t="s">
        <v>868</v>
      </c>
      <c r="C281" s="220"/>
      <c r="D281" s="223" t="s">
        <v>380</v>
      </c>
      <c r="E281" s="225" t="s">
        <v>529</v>
      </c>
      <c r="F281" s="220" t="s">
        <v>126</v>
      </c>
      <c r="G281" s="145">
        <v>1</v>
      </c>
      <c r="H281" s="149">
        <v>7</v>
      </c>
      <c r="I281" s="149">
        <v>7</v>
      </c>
      <c r="J281" s="149"/>
      <c r="K281" s="149"/>
      <c r="L281" s="222"/>
      <c r="M281" s="222"/>
      <c r="N281" s="222"/>
      <c r="O281" s="222"/>
      <c r="P281" s="148">
        <f>IF(V281="NO",Table_Shelter[[#This Row],[HH per Shelter]]*(Table_Shelter[[#This Row],['# of Temporary Shelter Units Built]]+Table_Shelter[[#This Row],['# of Temporary Shelter Under  Construction]]+Table_Shelter[[#This Row],['# of Permanent House Under Construction]]),0)</f>
        <v>0</v>
      </c>
      <c r="Q281" s="148"/>
      <c r="R281" s="222"/>
      <c r="S281" s="222" t="str">
        <f>IFERROR(VLOOKUP(Table_Shelter[[#This Row],[CampName]],CL,2,0),"")</f>
        <v>MMR001CMP184</v>
      </c>
      <c r="T281" s="222" t="str">
        <f>IFERROR(VLOOKUP(Table_Shelter[[#This Row],[CampName]],CL,3,0),"")</f>
        <v>Open</v>
      </c>
      <c r="U281" s="393">
        <f>IFERROR(Table_Shelter[[#This Row],[HH Covered]]/VLOOKUP(Table_Shelter[[#This Row],[CampName]],CL,4,0),"")</f>
        <v>0</v>
      </c>
      <c r="V281" s="731" t="s">
        <v>1369</v>
      </c>
      <c r="W281" s="394"/>
    </row>
    <row r="282" spans="1:23" x14ac:dyDescent="0.25">
      <c r="A282" s="396"/>
      <c r="B282" s="220" t="s">
        <v>868</v>
      </c>
      <c r="C282" s="220"/>
      <c r="D282" s="223" t="s">
        <v>380</v>
      </c>
      <c r="E282" s="225" t="s">
        <v>529</v>
      </c>
      <c r="F282" s="220" t="s">
        <v>906</v>
      </c>
      <c r="G282" s="145">
        <v>1</v>
      </c>
      <c r="H282" s="149">
        <v>47</v>
      </c>
      <c r="I282" s="149">
        <v>47</v>
      </c>
      <c r="J282" s="149"/>
      <c r="K282" s="149"/>
      <c r="L282" s="222"/>
      <c r="M282" s="222"/>
      <c r="N282" s="222"/>
      <c r="O282" s="222"/>
      <c r="P282" s="148">
        <f>IF(V282="NO",Table_Shelter[[#This Row],[HH per Shelter]]*(Table_Shelter[[#This Row],['# of Temporary Shelter Units Built]]+Table_Shelter[[#This Row],['# of Temporary Shelter Under  Construction]]+Table_Shelter[[#This Row],['# of Permanent House Under Construction]]),0)</f>
        <v>0</v>
      </c>
      <c r="Q282" s="148"/>
      <c r="R282" s="222"/>
      <c r="S282" s="222" t="str">
        <f>IFERROR(VLOOKUP(Table_Shelter[[#This Row],[CampName]],CL,2,0),"")</f>
        <v/>
      </c>
      <c r="T282" s="222" t="str">
        <f>IFERROR(VLOOKUP(Table_Shelter[[#This Row],[CampName]],CL,3,0),"")</f>
        <v/>
      </c>
      <c r="U282" s="393" t="str">
        <f>IFERROR(Table_Shelter[[#This Row],[HH Covered]]/VLOOKUP(Table_Shelter[[#This Row],[CampName]],CL,4,0),"")</f>
        <v/>
      </c>
      <c r="V282" s="731" t="s">
        <v>1369</v>
      </c>
      <c r="W282" s="394"/>
    </row>
    <row r="283" spans="1:23" x14ac:dyDescent="0.25">
      <c r="A283" s="396">
        <v>41609</v>
      </c>
      <c r="B283" s="220" t="s">
        <v>454</v>
      </c>
      <c r="C283" s="220" t="s">
        <v>508</v>
      </c>
      <c r="D283" s="223" t="s">
        <v>380</v>
      </c>
      <c r="E283" s="530" t="s">
        <v>310</v>
      </c>
      <c r="F283" s="220" t="s">
        <v>353</v>
      </c>
      <c r="G283" s="145">
        <v>1</v>
      </c>
      <c r="H283" s="149"/>
      <c r="I283" s="149"/>
      <c r="J283" s="149">
        <v>160</v>
      </c>
      <c r="K283" s="149">
        <v>160</v>
      </c>
      <c r="L283" s="222"/>
      <c r="M283" s="222"/>
      <c r="N283" s="222"/>
      <c r="O283" s="222"/>
      <c r="P283" s="148">
        <f>IF(V283="NO",Table_Shelter[[#This Row],[HH per Shelter]]*(Table_Shelter[[#This Row],['# of Temporary Shelter Units Built]]+Table_Shelter[[#This Row],['# of Temporary Shelter Under  Construction]]+Table_Shelter[[#This Row],['# of Permanent House Under Construction]]),0)</f>
        <v>160</v>
      </c>
      <c r="Q283" s="148"/>
      <c r="R283" s="222"/>
      <c r="S283" s="222" t="str">
        <f>IFERROR(VLOOKUP(Table_Shelter[[#This Row],[CampName]],CL,2,0),"")</f>
        <v>MMR001CMP116</v>
      </c>
      <c r="T283" s="222" t="str">
        <f>IFERROR(VLOOKUP(Table_Shelter[[#This Row],[CampName]],CL,3,0),"")</f>
        <v>Open</v>
      </c>
      <c r="U283" s="393">
        <f>IFERROR(Table_Shelter[[#This Row],[HH Covered]]/VLOOKUP(Table_Shelter[[#This Row],[CampName]],CL,4,0),"")</f>
        <v>0.11895910780669144</v>
      </c>
      <c r="V283" s="731" t="s">
        <v>1369</v>
      </c>
      <c r="W283" s="394"/>
    </row>
    <row r="284" spans="1:23" x14ac:dyDescent="0.25">
      <c r="A284" s="396"/>
      <c r="B284" s="220" t="s">
        <v>852</v>
      </c>
      <c r="C284" s="220"/>
      <c r="D284" s="223" t="s">
        <v>380</v>
      </c>
      <c r="E284" s="225" t="s">
        <v>310</v>
      </c>
      <c r="F284" s="220" t="s">
        <v>353</v>
      </c>
      <c r="G284" s="145">
        <v>1</v>
      </c>
      <c r="H284" s="149"/>
      <c r="I284" s="149"/>
      <c r="J284" s="149">
        <v>300</v>
      </c>
      <c r="K284" s="149"/>
      <c r="L284" s="222"/>
      <c r="M284" s="222"/>
      <c r="N284" s="222"/>
      <c r="O284" s="222"/>
      <c r="P284" s="148">
        <f>IF(V284="NO",Table_Shelter[[#This Row],[HH per Shelter]]*(Table_Shelter[[#This Row],['# of Temporary Shelter Units Built]]+Table_Shelter[[#This Row],['# of Temporary Shelter Under  Construction]]+Table_Shelter[[#This Row],['# of Permanent House Under Construction]]),0)</f>
        <v>0</v>
      </c>
      <c r="Q284" s="148"/>
      <c r="R284" s="222"/>
      <c r="S284" s="222" t="str">
        <f>IFERROR(VLOOKUP(Table_Shelter[[#This Row],[CampName]],CL,2,0),"")</f>
        <v>MMR001CMP116</v>
      </c>
      <c r="T284" s="222" t="str">
        <f>IFERROR(VLOOKUP(Table_Shelter[[#This Row],[CampName]],CL,3,0),"")</f>
        <v>Open</v>
      </c>
      <c r="U284" s="393">
        <f>IFERROR(Table_Shelter[[#This Row],[HH Covered]]/VLOOKUP(Table_Shelter[[#This Row],[CampName]],CL,4,0),"")</f>
        <v>0</v>
      </c>
      <c r="V284" s="731" t="s">
        <v>1369</v>
      </c>
      <c r="W284" s="394"/>
    </row>
    <row r="285" spans="1:23" x14ac:dyDescent="0.25">
      <c r="A285" s="396"/>
      <c r="B285" s="220" t="s">
        <v>454</v>
      </c>
      <c r="C285" s="220" t="s">
        <v>507</v>
      </c>
      <c r="D285" s="223" t="s">
        <v>380</v>
      </c>
      <c r="E285" s="225" t="s">
        <v>237</v>
      </c>
      <c r="F285" s="220" t="s">
        <v>283</v>
      </c>
      <c r="G285" s="145">
        <v>1</v>
      </c>
      <c r="H285" s="149"/>
      <c r="I285" s="149"/>
      <c r="J285" s="149">
        <v>24</v>
      </c>
      <c r="K285" s="149">
        <v>24</v>
      </c>
      <c r="L285" s="222"/>
      <c r="M285" s="222"/>
      <c r="N285" s="222"/>
      <c r="O285" s="222"/>
      <c r="P285" s="148">
        <f>IF(V285="NO",Table_Shelter[[#This Row],[HH per Shelter]]*(Table_Shelter[[#This Row],['# of Temporary Shelter Units Built]]+Table_Shelter[[#This Row],['# of Temporary Shelter Under  Construction]]+Table_Shelter[[#This Row],['# of Permanent House Under Construction]]),0)</f>
        <v>24</v>
      </c>
      <c r="Q285" s="148"/>
      <c r="R285" s="222"/>
      <c r="S285" s="222" t="str">
        <f>IFERROR(VLOOKUP(Table_Shelter[[#This Row],[CampName]],CL,2,0),"")</f>
        <v>MMR001CMP022</v>
      </c>
      <c r="T285" s="222" t="str">
        <f>IFERROR(VLOOKUP(Table_Shelter[[#This Row],[CampName]],CL,3,0),"")</f>
        <v>Open</v>
      </c>
      <c r="U285" s="393">
        <f>IFERROR(Table_Shelter[[#This Row],[HH Covered]]/VLOOKUP(Table_Shelter[[#This Row],[CampName]],CL,4,0),"")</f>
        <v>3.4285714285714284</v>
      </c>
      <c r="V285" s="731" t="s">
        <v>1369</v>
      </c>
      <c r="W285" s="394"/>
    </row>
    <row r="286" spans="1:23" x14ac:dyDescent="0.25">
      <c r="A286" s="396">
        <v>41609</v>
      </c>
      <c r="B286" s="220" t="s">
        <v>454</v>
      </c>
      <c r="C286" s="220"/>
      <c r="D286" s="223" t="s">
        <v>380</v>
      </c>
      <c r="E286" s="225" t="s">
        <v>5</v>
      </c>
      <c r="F286" s="220" t="s">
        <v>26</v>
      </c>
      <c r="G286" s="145">
        <v>1</v>
      </c>
      <c r="H286" s="149"/>
      <c r="I286" s="149"/>
      <c r="J286" s="149">
        <v>5</v>
      </c>
      <c r="K286" s="149">
        <v>5</v>
      </c>
      <c r="L286" s="222"/>
      <c r="M286" s="222"/>
      <c r="N286" s="222"/>
      <c r="O286" s="222"/>
      <c r="P286" s="148">
        <f>IF(V286="NO",Table_Shelter[[#This Row],[HH per Shelter]]*(Table_Shelter[[#This Row],['# of Temporary Shelter Units Built]]+Table_Shelter[[#This Row],['# of Temporary Shelter Under  Construction]]+Table_Shelter[[#This Row],['# of Permanent House Under Construction]]),0)</f>
        <v>5</v>
      </c>
      <c r="Q286" s="148"/>
      <c r="R286" s="148"/>
      <c r="S286" s="148" t="str">
        <f>IFERROR(VLOOKUP(Table_Shelter[[#This Row],[CampName]],CL,2,0),"")</f>
        <v>MMR001CMP053</v>
      </c>
      <c r="T286" s="148" t="str">
        <f>IFERROR(VLOOKUP(Table_Shelter[[#This Row],[CampName]],CL,3,0),"")</f>
        <v>Open</v>
      </c>
      <c r="U286" s="393">
        <f>IFERROR(Table_Shelter[[#This Row],[HH Covered]]/VLOOKUP(Table_Shelter[[#This Row],[CampName]],CL,4,0),"")</f>
        <v>0.33333333333333331</v>
      </c>
      <c r="V286" s="731" t="s">
        <v>1369</v>
      </c>
      <c r="W286" s="397"/>
    </row>
    <row r="287" spans="1:23" x14ac:dyDescent="0.25">
      <c r="A287" s="396"/>
      <c r="B287" s="220" t="s">
        <v>852</v>
      </c>
      <c r="C287" s="220"/>
      <c r="D287" s="223" t="s">
        <v>380</v>
      </c>
      <c r="E287" s="225" t="s">
        <v>5</v>
      </c>
      <c r="F287" s="220" t="s">
        <v>26</v>
      </c>
      <c r="G287" s="145">
        <v>1</v>
      </c>
      <c r="H287" s="149"/>
      <c r="I287" s="149"/>
      <c r="J287" s="149">
        <v>30</v>
      </c>
      <c r="K287" s="149">
        <v>30</v>
      </c>
      <c r="L287" s="222"/>
      <c r="M287" s="222"/>
      <c r="N287" s="222"/>
      <c r="O287" s="222"/>
      <c r="P287" s="148">
        <f>IF(V287="NO",Table_Shelter[[#This Row],[HH per Shelter]]*(Table_Shelter[[#This Row],['# of Temporary Shelter Units Built]]+Table_Shelter[[#This Row],['# of Temporary Shelter Under  Construction]]+Table_Shelter[[#This Row],['# of Permanent House Under Construction]]),0)</f>
        <v>30</v>
      </c>
      <c r="Q287" s="148"/>
      <c r="R287" s="222"/>
      <c r="S287" s="222" t="str">
        <f>IFERROR(VLOOKUP(Table_Shelter[[#This Row],[CampName]],CL,2,0),"")</f>
        <v>MMR001CMP053</v>
      </c>
      <c r="T287" s="222" t="str">
        <f>IFERROR(VLOOKUP(Table_Shelter[[#This Row],[CampName]],CL,3,0),"")</f>
        <v>Open</v>
      </c>
      <c r="U287" s="393">
        <f>IFERROR(Table_Shelter[[#This Row],[HH Covered]]/VLOOKUP(Table_Shelter[[#This Row],[CampName]],CL,4,0),"")</f>
        <v>2</v>
      </c>
      <c r="V287" s="731" t="s">
        <v>1369</v>
      </c>
      <c r="W287" s="394"/>
    </row>
    <row r="288" spans="1:23" x14ac:dyDescent="0.25">
      <c r="A288" s="396"/>
      <c r="B288" s="220" t="s">
        <v>454</v>
      </c>
      <c r="C288" s="220" t="s">
        <v>852</v>
      </c>
      <c r="D288" s="223" t="s">
        <v>380</v>
      </c>
      <c r="E288" s="225" t="s">
        <v>5</v>
      </c>
      <c r="F288" s="220" t="s">
        <v>26</v>
      </c>
      <c r="G288" s="145">
        <v>1</v>
      </c>
      <c r="H288" s="149"/>
      <c r="I288" s="149"/>
      <c r="J288" s="149">
        <v>12</v>
      </c>
      <c r="K288" s="149">
        <v>12</v>
      </c>
      <c r="L288" s="222"/>
      <c r="M288" s="222"/>
      <c r="N288" s="222"/>
      <c r="O288" s="222"/>
      <c r="P288" s="148">
        <f>IF(V288="NO",Table_Shelter[[#This Row],[HH per Shelter]]*(Table_Shelter[[#This Row],['# of Temporary Shelter Units Built]]+Table_Shelter[[#This Row],['# of Temporary Shelter Under  Construction]]+Table_Shelter[[#This Row],['# of Permanent House Under Construction]]),0)</f>
        <v>12</v>
      </c>
      <c r="Q288" s="148"/>
      <c r="R288" s="222"/>
      <c r="S288" s="222" t="str">
        <f>IFERROR(VLOOKUP(Table_Shelter[[#This Row],[CampName]],CL,2,0),"")</f>
        <v>MMR001CMP053</v>
      </c>
      <c r="T288" s="222" t="str">
        <f>IFERROR(VLOOKUP(Table_Shelter[[#This Row],[CampName]],CL,3,0),"")</f>
        <v>Open</v>
      </c>
      <c r="U288" s="393">
        <f>IFERROR(Table_Shelter[[#This Row],[HH Covered]]/VLOOKUP(Table_Shelter[[#This Row],[CampName]],CL,4,0),"")</f>
        <v>0.8</v>
      </c>
      <c r="V288" s="731" t="s">
        <v>1369</v>
      </c>
      <c r="W288" s="394"/>
    </row>
    <row r="289" spans="1:23" x14ac:dyDescent="0.25">
      <c r="A289" s="396"/>
      <c r="B289" s="220" t="s">
        <v>454</v>
      </c>
      <c r="C289" s="220" t="s">
        <v>507</v>
      </c>
      <c r="D289" s="223" t="s">
        <v>380</v>
      </c>
      <c r="E289" s="225" t="s">
        <v>5</v>
      </c>
      <c r="F289" s="220" t="s">
        <v>26</v>
      </c>
      <c r="G289" s="145">
        <v>1</v>
      </c>
      <c r="H289" s="149"/>
      <c r="I289" s="149"/>
      <c r="J289" s="149">
        <v>10</v>
      </c>
      <c r="K289" s="149">
        <v>10</v>
      </c>
      <c r="L289" s="222"/>
      <c r="M289" s="222"/>
      <c r="N289" s="222"/>
      <c r="O289" s="222"/>
      <c r="P289" s="148">
        <f>IF(V289="NO",Table_Shelter[[#This Row],[HH per Shelter]]*(Table_Shelter[[#This Row],['# of Temporary Shelter Units Built]]+Table_Shelter[[#This Row],['# of Temporary Shelter Under  Construction]]+Table_Shelter[[#This Row],['# of Permanent House Under Construction]]),0)</f>
        <v>10</v>
      </c>
      <c r="Q289" s="148"/>
      <c r="R289" s="222"/>
      <c r="S289" s="222" t="str">
        <f>IFERROR(VLOOKUP(Table_Shelter[[#This Row],[CampName]],CL,2,0),"")</f>
        <v>MMR001CMP053</v>
      </c>
      <c r="T289" s="222" t="str">
        <f>IFERROR(VLOOKUP(Table_Shelter[[#This Row],[CampName]],CL,3,0),"")</f>
        <v>Open</v>
      </c>
      <c r="U289" s="393">
        <f>IFERROR(Table_Shelter[[#This Row],[HH Covered]]/VLOOKUP(Table_Shelter[[#This Row],[CampName]],CL,4,0),"")</f>
        <v>0.66666666666666663</v>
      </c>
      <c r="V289" s="731" t="s">
        <v>1369</v>
      </c>
      <c r="W289" s="394"/>
    </row>
    <row r="290" spans="1:23" x14ac:dyDescent="0.25">
      <c r="A290" s="396"/>
      <c r="B290" s="220" t="s">
        <v>454</v>
      </c>
      <c r="C290" s="220"/>
      <c r="D290" s="223" t="s">
        <v>380</v>
      </c>
      <c r="E290" s="225" t="s">
        <v>5</v>
      </c>
      <c r="F290" s="220" t="s">
        <v>26</v>
      </c>
      <c r="G290" s="145">
        <v>1</v>
      </c>
      <c r="H290" s="149"/>
      <c r="I290" s="149"/>
      <c r="J290" s="149">
        <v>6</v>
      </c>
      <c r="K290" s="149"/>
      <c r="L290" s="222"/>
      <c r="M290" s="222"/>
      <c r="N290" s="222"/>
      <c r="O290" s="222"/>
      <c r="P290" s="148">
        <f>IF(V290="NO",Table_Shelter[[#This Row],[HH per Shelter]]*(Table_Shelter[[#This Row],['# of Temporary Shelter Units Built]]+Table_Shelter[[#This Row],['# of Temporary Shelter Under  Construction]]+Table_Shelter[[#This Row],['# of Permanent House Under Construction]]),0)</f>
        <v>0</v>
      </c>
      <c r="Q290" s="148"/>
      <c r="R290" s="222"/>
      <c r="S290" s="222" t="str">
        <f>IFERROR(VLOOKUP(Table_Shelter[[#This Row],[CampName]],CL,2,0),"")</f>
        <v>MMR001CMP053</v>
      </c>
      <c r="T290" s="222" t="str">
        <f>IFERROR(VLOOKUP(Table_Shelter[[#This Row],[CampName]],CL,3,0),"")</f>
        <v>Open</v>
      </c>
      <c r="U290" s="393">
        <f>IFERROR(Table_Shelter[[#This Row],[HH Covered]]/VLOOKUP(Table_Shelter[[#This Row],[CampName]],CL,4,0),"")</f>
        <v>0</v>
      </c>
      <c r="V290" s="731" t="s">
        <v>1369</v>
      </c>
      <c r="W290" s="394"/>
    </row>
    <row r="291" spans="1:23" x14ac:dyDescent="0.25">
      <c r="A291" s="396"/>
      <c r="B291" s="220" t="s">
        <v>454</v>
      </c>
      <c r="C291" s="220" t="s">
        <v>507</v>
      </c>
      <c r="D291" s="223" t="s">
        <v>380</v>
      </c>
      <c r="E291" s="225" t="s">
        <v>529</v>
      </c>
      <c r="F291" s="220" t="s">
        <v>140</v>
      </c>
      <c r="G291" s="145">
        <v>1</v>
      </c>
      <c r="H291" s="149"/>
      <c r="I291" s="149"/>
      <c r="J291" s="149">
        <v>10</v>
      </c>
      <c r="K291" s="149">
        <v>10</v>
      </c>
      <c r="L291" s="222"/>
      <c r="M291" s="222"/>
      <c r="N291" s="222"/>
      <c r="O291" s="222"/>
      <c r="P291" s="148">
        <f>IF(V291="NO",Table_Shelter[[#This Row],[HH per Shelter]]*(Table_Shelter[[#This Row],['# of Temporary Shelter Units Built]]+Table_Shelter[[#This Row],['# of Temporary Shelter Under  Construction]]+Table_Shelter[[#This Row],['# of Permanent House Under Construction]]),0)</f>
        <v>10</v>
      </c>
      <c r="Q291" s="148"/>
      <c r="R291" s="222"/>
      <c r="S291" s="222" t="str">
        <f>IFERROR(VLOOKUP(Table_Shelter[[#This Row],[CampName]],CL,2,0),"")</f>
        <v>MMR001CMP105</v>
      </c>
      <c r="T291" s="222" t="str">
        <f>IFERROR(VLOOKUP(Table_Shelter[[#This Row],[CampName]],CL,3,0),"")</f>
        <v>Open</v>
      </c>
      <c r="U291" s="393">
        <f>IFERROR(Table_Shelter[[#This Row],[HH Covered]]/VLOOKUP(Table_Shelter[[#This Row],[CampName]],CL,4,0),"")</f>
        <v>0.5</v>
      </c>
      <c r="V291" s="731" t="s">
        <v>1369</v>
      </c>
      <c r="W291" s="394"/>
    </row>
    <row r="292" spans="1:23" x14ac:dyDescent="0.25">
      <c r="A292" s="396">
        <v>41609</v>
      </c>
      <c r="B292" s="220" t="s">
        <v>454</v>
      </c>
      <c r="C292" s="220" t="s">
        <v>462</v>
      </c>
      <c r="D292" s="223" t="s">
        <v>380</v>
      </c>
      <c r="E292" s="225" t="s">
        <v>310</v>
      </c>
      <c r="F292" s="220" t="s">
        <v>1268</v>
      </c>
      <c r="G292" s="145">
        <v>1</v>
      </c>
      <c r="H292" s="149"/>
      <c r="I292" s="149"/>
      <c r="J292" s="149">
        <v>76</v>
      </c>
      <c r="K292" s="149">
        <v>76</v>
      </c>
      <c r="L292" s="222"/>
      <c r="M292" s="222"/>
      <c r="N292" s="222"/>
      <c r="O292" s="222"/>
      <c r="P292" s="148">
        <f>IF(V292="NO",Table_Shelter[[#This Row],[HH per Shelter]]*(Table_Shelter[[#This Row],['# of Temporary Shelter Units Built]]+Table_Shelter[[#This Row],['# of Temporary Shelter Under  Construction]]+Table_Shelter[[#This Row],['# of Permanent House Under Construction]]),0)</f>
        <v>76</v>
      </c>
      <c r="Q292" s="148"/>
      <c r="R292" s="148"/>
      <c r="S292" s="148" t="str">
        <f>IFERROR(VLOOKUP(Table_Shelter[[#This Row],[CampName]],CL,2,0),"")</f>
        <v>MMR001CMP111</v>
      </c>
      <c r="T292" s="148" t="str">
        <f>IFERROR(VLOOKUP(Table_Shelter[[#This Row],[CampName]],CL,3,0),"")</f>
        <v>Open</v>
      </c>
      <c r="U292" s="393">
        <f>IFERROR(Table_Shelter[[#This Row],[HH Covered]]/VLOOKUP(Table_Shelter[[#This Row],[CampName]],CL,4,0),"")</f>
        <v>0.11176470588235295</v>
      </c>
      <c r="V292" s="731" t="s">
        <v>1369</v>
      </c>
      <c r="W292" s="397"/>
    </row>
    <row r="293" spans="1:23" x14ac:dyDescent="0.25">
      <c r="A293" s="396"/>
      <c r="B293" s="220" t="s">
        <v>572</v>
      </c>
      <c r="C293" s="220" t="s">
        <v>462</v>
      </c>
      <c r="D293" s="223" t="s">
        <v>380</v>
      </c>
      <c r="E293" s="225" t="s">
        <v>310</v>
      </c>
      <c r="F293" s="220" t="s">
        <v>1268</v>
      </c>
      <c r="G293" s="145">
        <v>1</v>
      </c>
      <c r="H293" s="149"/>
      <c r="I293" s="149"/>
      <c r="J293" s="149">
        <v>220</v>
      </c>
      <c r="K293" s="149">
        <v>220</v>
      </c>
      <c r="L293" s="222"/>
      <c r="M293" s="222"/>
      <c r="N293" s="222"/>
      <c r="O293" s="222"/>
      <c r="P293" s="148">
        <f>IF(V293="NO",Table_Shelter[[#This Row],[HH per Shelter]]*(Table_Shelter[[#This Row],['# of Temporary Shelter Units Built]]+Table_Shelter[[#This Row],['# of Temporary Shelter Under  Construction]]+Table_Shelter[[#This Row],['# of Permanent House Under Construction]]),0)</f>
        <v>220</v>
      </c>
      <c r="Q293" s="148"/>
      <c r="R293" s="222"/>
      <c r="S293" s="222" t="str">
        <f>IFERROR(VLOOKUP(Table_Shelter[[#This Row],[CampName]],CL,2,0),"")</f>
        <v>MMR001CMP111</v>
      </c>
      <c r="T293" s="222" t="str">
        <f>IFERROR(VLOOKUP(Table_Shelter[[#This Row],[CampName]],CL,3,0),"")</f>
        <v>Open</v>
      </c>
      <c r="U293" s="393">
        <f>IFERROR(Table_Shelter[[#This Row],[HH Covered]]/VLOOKUP(Table_Shelter[[#This Row],[CampName]],CL,4,0),"")</f>
        <v>0.3235294117647059</v>
      </c>
      <c r="V293" s="731" t="s">
        <v>1369</v>
      </c>
      <c r="W293" s="394"/>
    </row>
    <row r="294" spans="1:23" x14ac:dyDescent="0.25">
      <c r="A294" s="396"/>
      <c r="B294" s="220" t="s">
        <v>454</v>
      </c>
      <c r="C294" s="220" t="s">
        <v>462</v>
      </c>
      <c r="D294" s="223" t="s">
        <v>380</v>
      </c>
      <c r="E294" s="530" t="s">
        <v>310</v>
      </c>
      <c r="F294" s="220" t="s">
        <v>1268</v>
      </c>
      <c r="G294" s="145">
        <v>1</v>
      </c>
      <c r="H294" s="149"/>
      <c r="I294" s="149"/>
      <c r="J294" s="149">
        <v>325</v>
      </c>
      <c r="K294" s="149">
        <v>325</v>
      </c>
      <c r="L294" s="222"/>
      <c r="M294" s="222"/>
      <c r="N294" s="222"/>
      <c r="O294" s="222"/>
      <c r="P294" s="148">
        <f>IF(V294="NO",Table_Shelter[[#This Row],[HH per Shelter]]*(Table_Shelter[[#This Row],['# of Temporary Shelter Units Built]]+Table_Shelter[[#This Row],['# of Temporary Shelter Under  Construction]]+Table_Shelter[[#This Row],['# of Permanent House Under Construction]]),0)</f>
        <v>325</v>
      </c>
      <c r="Q294" s="148"/>
      <c r="R294" s="222"/>
      <c r="S294" s="222" t="str">
        <f>IFERROR(VLOOKUP(Table_Shelter[[#This Row],[CampName]],CL,2,0),"")</f>
        <v>MMR001CMP111</v>
      </c>
      <c r="T294" s="222" t="str">
        <f>IFERROR(VLOOKUP(Table_Shelter[[#This Row],[CampName]],CL,3,0),"")</f>
        <v>Open</v>
      </c>
      <c r="U294" s="393">
        <f>IFERROR(Table_Shelter[[#This Row],[HH Covered]]/VLOOKUP(Table_Shelter[[#This Row],[CampName]],CL,4,0),"")</f>
        <v>0.47794117647058826</v>
      </c>
      <c r="V294" s="731" t="s">
        <v>1369</v>
      </c>
      <c r="W294" s="394"/>
    </row>
    <row r="295" spans="1:23" x14ac:dyDescent="0.25">
      <c r="A295" s="400"/>
      <c r="B295" s="691" t="s">
        <v>1104</v>
      </c>
      <c r="C295" s="691" t="s">
        <v>951</v>
      </c>
      <c r="D295" s="692" t="s">
        <v>555</v>
      </c>
      <c r="E295" s="693" t="s">
        <v>146</v>
      </c>
      <c r="F295" s="691" t="s">
        <v>373</v>
      </c>
      <c r="G295" s="146">
        <v>1</v>
      </c>
      <c r="H295" s="150"/>
      <c r="I295" s="150"/>
      <c r="J295" s="150">
        <v>85</v>
      </c>
      <c r="K295" s="150">
        <v>85</v>
      </c>
      <c r="L295" s="694"/>
      <c r="M295" s="694"/>
      <c r="N295" s="694"/>
      <c r="O295" s="694"/>
      <c r="P295" s="147">
        <f>IF(V295="NO",Table_Shelter[[#This Row],[HH per Shelter]]*(Table_Shelter[[#This Row],['# of Temporary Shelter Units Built]]+Table_Shelter[[#This Row],['# of Temporary Shelter Under  Construction]]+Table_Shelter[[#This Row],['# of Permanent House Under Construction]]),0)</f>
        <v>85</v>
      </c>
      <c r="Q295" s="147"/>
      <c r="R295" s="694"/>
      <c r="S295" s="694" t="str">
        <f>IFERROR(VLOOKUP(Table_Shelter[[#This Row],[CampName]],CL,2,0),"")</f>
        <v>MMR015CMP020</v>
      </c>
      <c r="T295" s="694" t="str">
        <f>IFERROR(VLOOKUP(Table_Shelter[[#This Row],[CampName]],CL,3,0),"")</f>
        <v>Open</v>
      </c>
      <c r="U295" s="695">
        <f>IFERROR(Table_Shelter[[#This Row],[HH Covered]]/VLOOKUP(Table_Shelter[[#This Row],[CampName]],CL,4,0),"")</f>
        <v>0.47752808988764045</v>
      </c>
      <c r="V295" s="731" t="s">
        <v>1369</v>
      </c>
      <c r="W295" s="696"/>
    </row>
    <row r="296" spans="1:23" x14ac:dyDescent="0.25">
      <c r="A296" s="400"/>
      <c r="B296" s="691" t="s">
        <v>454</v>
      </c>
      <c r="C296" s="691"/>
      <c r="D296" s="692" t="s">
        <v>380</v>
      </c>
      <c r="E296" s="693" t="s">
        <v>529</v>
      </c>
      <c r="F296" s="691"/>
      <c r="G296" s="146">
        <v>1</v>
      </c>
      <c r="H296" s="150">
        <v>30</v>
      </c>
      <c r="I296" s="150">
        <v>30</v>
      </c>
      <c r="J296" s="150"/>
      <c r="K296" s="150"/>
      <c r="L296" s="694"/>
      <c r="M296" s="694"/>
      <c r="N296" s="694"/>
      <c r="O296" s="694"/>
      <c r="P296" s="147">
        <f>IF(V296="NO",Table_Shelter[[#This Row],[HH per Shelter]]*(Table_Shelter[[#This Row],['# of Temporary Shelter Units Built]]+Table_Shelter[[#This Row],['# of Temporary Shelter Under  Construction]]+Table_Shelter[[#This Row],['# of Permanent House Under Construction]]),0)</f>
        <v>0</v>
      </c>
      <c r="Q296" s="147"/>
      <c r="R296" s="694"/>
      <c r="S296" s="694" t="str">
        <f>IFERROR(VLOOKUP(Table_Shelter[[#This Row],[CampName]],CL,2,0),"")</f>
        <v/>
      </c>
      <c r="T296" s="694" t="str">
        <f>IFERROR(VLOOKUP(Table_Shelter[[#This Row],[CampName]],CL,3,0),"")</f>
        <v/>
      </c>
      <c r="U296" s="695" t="str">
        <f>IFERROR(Table_Shelter[[#This Row],[HH Covered]]/VLOOKUP(Table_Shelter[[#This Row],[CampName]],CL,4,0),"")</f>
        <v/>
      </c>
      <c r="V296" s="731" t="s">
        <v>1369</v>
      </c>
      <c r="W296" s="696"/>
    </row>
    <row r="297" spans="1:23" x14ac:dyDescent="0.25">
      <c r="A297" s="400"/>
      <c r="B297" s="691" t="s">
        <v>572</v>
      </c>
      <c r="C297" s="691" t="s">
        <v>462</v>
      </c>
      <c r="D297" s="692" t="s">
        <v>380</v>
      </c>
      <c r="E297" s="693" t="s">
        <v>237</v>
      </c>
      <c r="F297" s="691"/>
      <c r="G297" s="146">
        <v>1</v>
      </c>
      <c r="H297" s="150"/>
      <c r="I297" s="150"/>
      <c r="J297" s="150">
        <v>15</v>
      </c>
      <c r="K297" s="150">
        <v>15</v>
      </c>
      <c r="L297" s="694"/>
      <c r="M297" s="694"/>
      <c r="N297" s="694"/>
      <c r="O297" s="694"/>
      <c r="P297" s="147">
        <f>IF(V297="NO",Table_Shelter[[#This Row],[HH per Shelter]]*(Table_Shelter[[#This Row],['# of Temporary Shelter Units Built]]+Table_Shelter[[#This Row],['# of Temporary Shelter Under  Construction]]+Table_Shelter[[#This Row],['# of Permanent House Under Construction]]),0)</f>
        <v>15</v>
      </c>
      <c r="Q297" s="147"/>
      <c r="R297" s="694"/>
      <c r="S297" s="694" t="str">
        <f>IFERROR(VLOOKUP(Table_Shelter[[#This Row],[CampName]],CL,2,0),"")</f>
        <v/>
      </c>
      <c r="T297" s="694" t="str">
        <f>IFERROR(VLOOKUP(Table_Shelter[[#This Row],[CampName]],CL,3,0),"")</f>
        <v/>
      </c>
      <c r="U297" s="695" t="str">
        <f>IFERROR(Table_Shelter[[#This Row],[HH Covered]]/VLOOKUP(Table_Shelter[[#This Row],[CampName]],CL,4,0),"")</f>
        <v/>
      </c>
      <c r="V297" s="731" t="s">
        <v>1369</v>
      </c>
      <c r="W297" s="696"/>
    </row>
    <row r="298" spans="1:23" x14ac:dyDescent="0.25">
      <c r="A298" s="400"/>
      <c r="B298" s="691" t="s">
        <v>454</v>
      </c>
      <c r="C298" s="691"/>
      <c r="D298" s="692" t="s">
        <v>380</v>
      </c>
      <c r="E298" s="693" t="s">
        <v>300</v>
      </c>
      <c r="F298" s="691"/>
      <c r="G298" s="146">
        <v>1</v>
      </c>
      <c r="H298" s="150">
        <v>55</v>
      </c>
      <c r="I298" s="150">
        <v>55</v>
      </c>
      <c r="J298" s="150"/>
      <c r="K298" s="150"/>
      <c r="L298" s="694"/>
      <c r="M298" s="694"/>
      <c r="N298" s="694"/>
      <c r="O298" s="694"/>
      <c r="P298" s="147">
        <f>IF(V298="NO",Table_Shelter[[#This Row],[HH per Shelter]]*(Table_Shelter[[#This Row],['# of Temporary Shelter Units Built]]+Table_Shelter[[#This Row],['# of Temporary Shelter Under  Construction]]+Table_Shelter[[#This Row],['# of Permanent House Under Construction]]),0)</f>
        <v>0</v>
      </c>
      <c r="Q298" s="147"/>
      <c r="R298" s="694"/>
      <c r="S298" s="694" t="str">
        <f>IFERROR(VLOOKUP(Table_Shelter[[#This Row],[CampName]],CL,2,0),"")</f>
        <v/>
      </c>
      <c r="T298" s="694" t="str">
        <f>IFERROR(VLOOKUP(Table_Shelter[[#This Row],[CampName]],CL,3,0),"")</f>
        <v/>
      </c>
      <c r="U298" s="695" t="str">
        <f>IFERROR(Table_Shelter[[#This Row],[HH Covered]]/VLOOKUP(Table_Shelter[[#This Row],[CampName]],CL,4,0),"")</f>
        <v/>
      </c>
      <c r="V298" s="731" t="s">
        <v>1369</v>
      </c>
      <c r="W298" s="696"/>
    </row>
  </sheetData>
  <mergeCells count="2">
    <mergeCell ref="A2:C2"/>
    <mergeCell ref="A3:P3"/>
  </mergeCells>
  <conditionalFormatting sqref="R1:R3 R147:R1048576 T4:T298">
    <cfRule type="containsText" dxfId="852" priority="3" operator="containsText" text="close">
      <formula>NOT(ISERROR(SEARCH("close",R1)))</formula>
    </cfRule>
    <cfRule type="containsText" dxfId="851" priority="4" operator="containsText" text="open">
      <formula>NOT(ISERROR(SEARCH("open",R1)))</formula>
    </cfRule>
  </conditionalFormatting>
  <conditionalFormatting sqref="R16:R146">
    <cfRule type="containsText" dxfId="850" priority="1" operator="containsText" text="close">
      <formula>NOT(ISERROR(SEARCH("close",R16)))</formula>
    </cfRule>
    <cfRule type="containsText" dxfId="849" priority="2" operator="containsText" text="open">
      <formula>NOT(ISERROR(SEARCH("open",R16)))</formula>
    </cfRule>
  </conditionalFormatting>
  <dataValidations count="3">
    <dataValidation type="list" allowBlank="1" showInputMessage="1" showErrorMessage="1" sqref="D5:D298">
      <formula1>State</formula1>
    </dataValidation>
    <dataValidation type="list" allowBlank="1" showInputMessage="1" showErrorMessage="1" sqref="F5:F298">
      <formula1>OFFSET(TCL_T1,MATCH(E5,TCL_T,0)-1,1,COUNTIF(TCL_T,E5),1)</formula1>
    </dataValidation>
    <dataValidation type="list" showInputMessage="1" showErrorMessage="1" sqref="E5:E298">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V5:V298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0"/>
  <sheetViews>
    <sheetView showZeros="0" zoomScale="80" zoomScaleNormal="80" workbookViewId="0">
      <pane ySplit="2" topLeftCell="A3" activePane="bottomLeft" state="frozen"/>
      <selection pane="bottomLeft" activeCell="B86" sqref="B86"/>
    </sheetView>
  </sheetViews>
  <sheetFormatPr defaultRowHeight="15" x14ac:dyDescent="0.25"/>
  <cols>
    <col min="1" max="2" width="18.85546875" customWidth="1"/>
    <col min="3" max="3" width="17.85546875" customWidth="1"/>
    <col min="4" max="4" width="13.7109375" customWidth="1"/>
    <col min="5" max="6" width="12.140625" customWidth="1"/>
    <col min="7" max="7" width="11.5703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50" customWidth="1"/>
    <col min="16" max="16" width="11.85546875" hidden="1" customWidth="1"/>
    <col min="17" max="17" width="12.42578125" customWidth="1"/>
  </cols>
  <sheetData>
    <row r="1" spans="1:59" s="1" customFormat="1" ht="36" x14ac:dyDescent="0.25">
      <c r="A1" s="303"/>
      <c r="B1" s="304"/>
      <c r="C1" s="304"/>
      <c r="D1" s="304"/>
      <c r="E1" s="304"/>
      <c r="F1" s="304"/>
      <c r="G1" s="304"/>
      <c r="H1" s="304"/>
      <c r="I1" s="304"/>
      <c r="J1" s="304"/>
      <c r="K1" s="304"/>
      <c r="L1" s="304"/>
      <c r="M1" s="304"/>
      <c r="N1" s="304"/>
      <c r="O1" s="305"/>
      <c r="P1" s="58"/>
      <c r="Q1" s="50"/>
      <c r="R1" s="50"/>
      <c r="S1" s="50"/>
      <c r="T1" s="50"/>
      <c r="U1" s="50"/>
      <c r="BF1" s="59"/>
      <c r="BG1" s="59"/>
    </row>
    <row r="2" spans="1:59" s="1" customFormat="1" ht="36" x14ac:dyDescent="0.25">
      <c r="A2" s="842" t="s">
        <v>426</v>
      </c>
      <c r="B2" s="843"/>
      <c r="C2" s="843"/>
      <c r="D2" s="58"/>
      <c r="E2" s="58"/>
      <c r="F2" s="58"/>
      <c r="G2" s="58"/>
      <c r="H2" s="58"/>
      <c r="I2" s="58"/>
      <c r="J2" s="58"/>
      <c r="K2" s="58"/>
      <c r="L2" s="58"/>
      <c r="M2" s="58"/>
      <c r="N2" s="58"/>
      <c r="O2" s="318"/>
      <c r="P2" s="58"/>
      <c r="Q2" s="50"/>
      <c r="R2" s="50"/>
      <c r="S2" s="50"/>
      <c r="T2" s="50"/>
      <c r="U2" s="50"/>
      <c r="BF2" s="59"/>
      <c r="BG2" s="59"/>
    </row>
    <row r="3" spans="1:59" s="18" customFormat="1" ht="36" x14ac:dyDescent="0.25">
      <c r="A3" s="319">
        <f>Report_Date</f>
        <v>42309</v>
      </c>
      <c r="B3" s="320"/>
      <c r="C3" s="320"/>
      <c r="D3" s="321"/>
      <c r="E3" s="321"/>
      <c r="F3" s="321"/>
      <c r="G3" s="321"/>
      <c r="H3" s="321"/>
      <c r="I3" s="321"/>
      <c r="J3" s="321"/>
      <c r="K3" s="322"/>
      <c r="L3" s="321"/>
      <c r="M3" s="321"/>
      <c r="N3" s="321"/>
      <c r="O3" s="323"/>
      <c r="P3" s="45"/>
      <c r="Q3" s="45"/>
      <c r="R3" s="45"/>
      <c r="S3" s="60"/>
      <c r="T3" s="45"/>
      <c r="U3" s="45"/>
      <c r="BF3" s="60"/>
      <c r="BG3" s="60"/>
    </row>
    <row r="4" spans="1:59" x14ac:dyDescent="0.25">
      <c r="P4" s="35"/>
    </row>
    <row r="5" spans="1:59" ht="31.5" x14ac:dyDescent="0.5">
      <c r="A5" s="55" t="s">
        <v>380</v>
      </c>
      <c r="B5" s="56"/>
      <c r="C5" s="56"/>
      <c r="D5" s="56"/>
      <c r="E5" s="56"/>
      <c r="F5" s="56"/>
      <c r="G5" s="56"/>
      <c r="H5" s="56"/>
      <c r="I5" s="56"/>
      <c r="J5" s="56"/>
      <c r="K5" s="56"/>
      <c r="L5" s="56"/>
      <c r="M5" s="56"/>
      <c r="N5" s="56"/>
      <c r="O5" s="56"/>
      <c r="P5" s="35"/>
    </row>
    <row r="6" spans="1:59" ht="38.25" x14ac:dyDescent="0.25">
      <c r="A6" s="7" t="s">
        <v>0</v>
      </c>
      <c r="B6" s="7" t="s">
        <v>845</v>
      </c>
      <c r="C6" s="7" t="s">
        <v>846</v>
      </c>
      <c r="D6" s="7" t="s">
        <v>430</v>
      </c>
      <c r="E6" s="7" t="s">
        <v>424</v>
      </c>
      <c r="F6" s="7" t="s">
        <v>425</v>
      </c>
      <c r="G6" s="7" t="s">
        <v>423</v>
      </c>
      <c r="H6" s="7" t="s">
        <v>431</v>
      </c>
      <c r="I6" s="7" t="s">
        <v>432</v>
      </c>
      <c r="J6" s="7" t="s">
        <v>433</v>
      </c>
      <c r="K6" s="7" t="s">
        <v>434</v>
      </c>
      <c r="L6" s="7" t="s">
        <v>429</v>
      </c>
      <c r="M6" s="13" t="s">
        <v>505</v>
      </c>
      <c r="N6" s="13" t="s">
        <v>504</v>
      </c>
      <c r="O6" s="13" t="s">
        <v>506</v>
      </c>
      <c r="P6" s="35"/>
    </row>
    <row r="7" spans="1:59" x14ac:dyDescent="0.25">
      <c r="A7" s="26" t="s">
        <v>5</v>
      </c>
      <c r="B7" s="34">
        <f>SUMIFS(Camplist_HH,Camplist_Township,'Shelter Progress'!$A7,Camplist_Type_Of_Acc,"Camp")</f>
        <v>1367</v>
      </c>
      <c r="C7" s="34">
        <f>SUMIFS(Camplist_Popl,Camplist_Township,'Shelter Progress'!$A7,Camplist_Type_Of_Acc,"Camp")</f>
        <v>7196</v>
      </c>
      <c r="D7" s="53">
        <f t="shared" ref="D7:D27" si="0">SUMIF(Col_Shelter_Township,$A7,Col_Shelter_Tent_Dist)</f>
        <v>0</v>
      </c>
      <c r="E7" s="53">
        <f t="shared" ref="E7:E27" si="1">SUMIF(Col_Shelter_Township,$A7,Col_Shelter_Temp_B)</f>
        <v>1028</v>
      </c>
      <c r="F7" s="53">
        <f t="shared" ref="F7:F27" si="2">SUMIF(Col_Shelter_Township,$A7,Col_Shelter_Temp_U)</f>
        <v>0</v>
      </c>
      <c r="G7" s="53">
        <f>SUMIF(Col_Shelter_Township,$A7,Col_Shelter_Temp_P)</f>
        <v>1050</v>
      </c>
      <c r="H7" s="53">
        <f t="shared" ref="H7:H27" si="3">SUMIF(Col_Shelter_Township,$A7,Col_Shelter_Perm_B)</f>
        <v>0</v>
      </c>
      <c r="I7" s="53">
        <f t="shared" ref="I7:I27" si="4">SUMIF(Col_Shelter_Township,$A7,Col_Shelter_Perm_U)</f>
        <v>0</v>
      </c>
      <c r="J7" s="53">
        <f t="shared" ref="J7:J27" si="5">SUMIF(Col_Shelter_Township,$A7,Col_Shelter_Perm_P)</f>
        <v>0</v>
      </c>
      <c r="K7" s="53">
        <f t="shared" ref="K7:K27" si="6">SUMIF(Col_Shelter_Township,$A7,Shelter_HH_Covered)</f>
        <v>1028</v>
      </c>
      <c r="L7" s="730">
        <f>K7*P7</f>
        <v>5411.4762253108993</v>
      </c>
      <c r="M7" s="417">
        <f>B7-K7</f>
        <v>339</v>
      </c>
      <c r="N7" s="418">
        <f>IFERROR(K7/B7,0)</f>
        <v>0.75201170446232624</v>
      </c>
      <c r="O7" s="419">
        <f>MAX(0,C7-L7)</f>
        <v>1784.5237746891007</v>
      </c>
      <c r="P7" s="35">
        <f>IF(B7=0,5,C7/B7)</f>
        <v>5.2640819312362837</v>
      </c>
    </row>
    <row r="8" spans="1:59" x14ac:dyDescent="0.25">
      <c r="A8" s="26" t="s">
        <v>27</v>
      </c>
      <c r="B8" s="34">
        <f>SUMIFS(Camplist_HH,Camplist_Township,'Shelter Progress'!$A8,Camplist_Type_Of_Acc,"Camp")</f>
        <v>511</v>
      </c>
      <c r="C8" s="34">
        <f>SUMIFS(Camplist_Popl,Camplist_Township,'Shelter Progress'!$A8,Camplist_Type_Of_Acc,"Camp")</f>
        <v>2570</v>
      </c>
      <c r="D8" s="53">
        <f t="shared" si="0"/>
        <v>0</v>
      </c>
      <c r="E8" s="53">
        <f t="shared" si="1"/>
        <v>180</v>
      </c>
      <c r="F8" s="53">
        <f t="shared" si="2"/>
        <v>0</v>
      </c>
      <c r="G8" s="53">
        <f>SUMIF(Col_Shelter_Township,$A8,Col_Shelter_Temp_P)</f>
        <v>180</v>
      </c>
      <c r="H8" s="53">
        <f t="shared" si="3"/>
        <v>0</v>
      </c>
      <c r="I8" s="53">
        <f t="shared" si="4"/>
        <v>0</v>
      </c>
      <c r="J8" s="53">
        <f t="shared" si="5"/>
        <v>0</v>
      </c>
      <c r="K8" s="53">
        <f t="shared" si="6"/>
        <v>180</v>
      </c>
      <c r="L8" s="730">
        <f t="shared" ref="L8:L27" si="7">K8*P8</f>
        <v>905.28375733855182</v>
      </c>
      <c r="M8" s="417">
        <f t="shared" ref="M8:M13" si="8">B8-K8</f>
        <v>331</v>
      </c>
      <c r="N8" s="418">
        <f>IFERROR(K8/B8,0)</f>
        <v>0.35225048923679059</v>
      </c>
      <c r="O8" s="419">
        <f>MAX(0,C8-L8)</f>
        <v>1664.7162426614482</v>
      </c>
      <c r="P8" s="35">
        <f t="shared" ref="P8:P27" si="9">IF(B8=0,5,C8/B8)</f>
        <v>5.0293542074363993</v>
      </c>
    </row>
    <row r="9" spans="1:59" x14ac:dyDescent="0.25">
      <c r="A9" s="420" t="s">
        <v>529</v>
      </c>
      <c r="B9" s="34">
        <f>SUMIFS(Camplist_HH,Camplist_Township,'Shelter Progress'!$A9,Camplist_Type_Of_Acc,"Camp")</f>
        <v>724</v>
      </c>
      <c r="C9" s="34">
        <f>SUMIFS(Camplist_Popl,Camplist_Township,'Shelter Progress'!$A9,Camplist_Type_Of_Acc,"Camp")</f>
        <v>3574</v>
      </c>
      <c r="D9" s="53">
        <f t="shared" si="0"/>
        <v>228</v>
      </c>
      <c r="E9" s="53">
        <f t="shared" si="1"/>
        <v>521</v>
      </c>
      <c r="F9" s="53">
        <f t="shared" si="2"/>
        <v>0</v>
      </c>
      <c r="G9" s="53">
        <f>SUMIF(Col_Shelter_Township,$A9,Col_Shelter_Temp_P)</f>
        <v>521</v>
      </c>
      <c r="H9" s="53">
        <f t="shared" si="3"/>
        <v>0</v>
      </c>
      <c r="I9" s="53">
        <f t="shared" si="4"/>
        <v>0</v>
      </c>
      <c r="J9" s="53">
        <f t="shared" si="5"/>
        <v>0</v>
      </c>
      <c r="K9" s="53">
        <f t="shared" si="6"/>
        <v>521</v>
      </c>
      <c r="L9" s="730">
        <f t="shared" si="7"/>
        <v>2571.8977900552486</v>
      </c>
      <c r="M9" s="417">
        <f t="shared" si="8"/>
        <v>203</v>
      </c>
      <c r="N9" s="418">
        <f>IFERROR(K9/B9,0)</f>
        <v>0.71961325966850831</v>
      </c>
      <c r="O9" s="419">
        <f>MAX(0,C9-L9)</f>
        <v>1002.1022099447514</v>
      </c>
      <c r="P9" s="35">
        <f t="shared" si="9"/>
        <v>4.9364640883977904</v>
      </c>
    </row>
    <row r="10" spans="1:59" x14ac:dyDescent="0.25">
      <c r="A10" s="26" t="s">
        <v>784</v>
      </c>
      <c r="B10" s="34">
        <f>SUMIFS(Camplist_HH,Camplist_Township,'Shelter Progress'!$A10,Camplist_Type_Of_Acc,"Camp")</f>
        <v>44</v>
      </c>
      <c r="C10" s="34">
        <f>SUMIFS(Camplist_Popl,Camplist_Township,'Shelter Progress'!$A10,Camplist_Type_Of_Acc,"Camp")</f>
        <v>273</v>
      </c>
      <c r="D10" s="53">
        <f t="shared" si="0"/>
        <v>0</v>
      </c>
      <c r="E10" s="53">
        <f t="shared" si="1"/>
        <v>10</v>
      </c>
      <c r="F10" s="53">
        <f>SUMIF(Col_Shelter_Township,$A10,Col_Shelter_Temp_U)</f>
        <v>0</v>
      </c>
      <c r="G10" s="53">
        <f t="shared" ref="G10:G26" si="10">SUMIF(Col_Shelter_Township,$A10,Col_Shelter_Temp_P)</f>
        <v>10</v>
      </c>
      <c r="H10" s="53">
        <f t="shared" si="3"/>
        <v>0</v>
      </c>
      <c r="I10" s="53">
        <f t="shared" si="4"/>
        <v>0</v>
      </c>
      <c r="J10" s="53">
        <f t="shared" si="5"/>
        <v>0</v>
      </c>
      <c r="K10" s="53">
        <f t="shared" si="6"/>
        <v>10</v>
      </c>
      <c r="L10" s="730">
        <f t="shared" si="7"/>
        <v>62.04545454545454</v>
      </c>
      <c r="M10" s="417">
        <f t="shared" si="8"/>
        <v>34</v>
      </c>
      <c r="N10" s="418">
        <f t="shared" ref="N10:N26" si="11">IFERROR(K10/B10,0)</f>
        <v>0.22727272727272727</v>
      </c>
      <c r="O10" s="419">
        <f t="shared" ref="O10:O18" si="12">MAX(0,C10-L10)</f>
        <v>210.95454545454547</v>
      </c>
      <c r="P10" s="35">
        <f t="shared" si="9"/>
        <v>6.2045454545454541</v>
      </c>
    </row>
    <row r="11" spans="1:59" x14ac:dyDescent="0.25">
      <c r="A11" s="20" t="s">
        <v>363</v>
      </c>
      <c r="B11" s="34">
        <f>SUMIFS(Camplist_HH,Camplist_Township,'Shelter Progress'!$A11,Camplist_Type_Of_Acc,"Camp")</f>
        <v>0</v>
      </c>
      <c r="C11" s="34">
        <f>SUMIFS(Camplist_Popl,Camplist_Township,'Shelter Progress'!$A11,Camplist_Type_Of_Acc,"Camp")</f>
        <v>0</v>
      </c>
      <c r="D11" s="53">
        <f t="shared" si="0"/>
        <v>0</v>
      </c>
      <c r="E11" s="53">
        <f t="shared" si="1"/>
        <v>0</v>
      </c>
      <c r="F11" s="53">
        <f t="shared" si="2"/>
        <v>0</v>
      </c>
      <c r="G11" s="53">
        <f t="shared" si="10"/>
        <v>0</v>
      </c>
      <c r="H11" s="53">
        <f t="shared" si="3"/>
        <v>0</v>
      </c>
      <c r="I11" s="53">
        <f t="shared" si="4"/>
        <v>0</v>
      </c>
      <c r="J11" s="53">
        <f t="shared" si="5"/>
        <v>0</v>
      </c>
      <c r="K11" s="53">
        <f t="shared" si="6"/>
        <v>0</v>
      </c>
      <c r="L11" s="730">
        <f t="shared" si="7"/>
        <v>0</v>
      </c>
      <c r="M11" s="417">
        <f t="shared" si="8"/>
        <v>0</v>
      </c>
      <c r="N11" s="418">
        <f t="shared" si="11"/>
        <v>0</v>
      </c>
      <c r="O11" s="419">
        <f t="shared" si="12"/>
        <v>0</v>
      </c>
      <c r="P11" s="35">
        <f t="shared" si="9"/>
        <v>5</v>
      </c>
    </row>
    <row r="12" spans="1:59" x14ac:dyDescent="0.25">
      <c r="A12" s="26" t="s">
        <v>144</v>
      </c>
      <c r="B12" s="34">
        <f>SUMIFS(Camplist_HH,Camplist_Township,'Shelter Progress'!$A12,Camplist_Type_Of_Acc,"Camp")</f>
        <v>11</v>
      </c>
      <c r="C12" s="34">
        <f>SUMIFS(Camplist_Popl,Camplist_Township,'Shelter Progress'!$A12,Camplist_Type_Of_Acc,"Camp")</f>
        <v>17</v>
      </c>
      <c r="D12" s="53">
        <f t="shared" si="0"/>
        <v>0</v>
      </c>
      <c r="E12" s="53">
        <f t="shared" si="1"/>
        <v>0</v>
      </c>
      <c r="F12" s="53">
        <f t="shared" si="2"/>
        <v>0</v>
      </c>
      <c r="G12" s="53">
        <f t="shared" si="10"/>
        <v>0</v>
      </c>
      <c r="H12" s="53">
        <f t="shared" si="3"/>
        <v>0</v>
      </c>
      <c r="I12" s="53">
        <f t="shared" si="4"/>
        <v>0</v>
      </c>
      <c r="J12" s="53">
        <f t="shared" si="5"/>
        <v>0</v>
      </c>
      <c r="K12" s="53">
        <f t="shared" si="6"/>
        <v>0</v>
      </c>
      <c r="L12" s="730">
        <f t="shared" si="7"/>
        <v>0</v>
      </c>
      <c r="M12" s="417">
        <f t="shared" si="8"/>
        <v>11</v>
      </c>
      <c r="N12" s="418">
        <f>IFERROR(K12/B12,0)</f>
        <v>0</v>
      </c>
      <c r="O12" s="419">
        <f>MAX(0,C12-L12)</f>
        <v>17</v>
      </c>
      <c r="P12" s="35">
        <f t="shared" si="9"/>
        <v>1.5454545454545454</v>
      </c>
    </row>
    <row r="13" spans="1:59" x14ac:dyDescent="0.25">
      <c r="A13" s="26" t="s">
        <v>146</v>
      </c>
      <c r="B13" s="34">
        <f>SUMIFS(Camplist_HH,Camplist_Township,'Shelter Progress'!$A13,Camplist_Type_Of_Acc,"Camp")</f>
        <v>686</v>
      </c>
      <c r="C13" s="34">
        <f>SUMIFS(Camplist_Popl,Camplist_Township,'Shelter Progress'!$A13,Camplist_Type_Of_Acc,"Camp")</f>
        <v>3291</v>
      </c>
      <c r="D13" s="53">
        <f t="shared" si="0"/>
        <v>0</v>
      </c>
      <c r="E13" s="53">
        <f t="shared" si="1"/>
        <v>428</v>
      </c>
      <c r="F13" s="53">
        <f t="shared" si="2"/>
        <v>0</v>
      </c>
      <c r="G13" s="53">
        <f>SUMIF(Col_Shelter_Township,$A13,Col_Shelter_Temp_P)</f>
        <v>428</v>
      </c>
      <c r="H13" s="53">
        <f t="shared" si="3"/>
        <v>0</v>
      </c>
      <c r="I13" s="53">
        <f t="shared" si="4"/>
        <v>0</v>
      </c>
      <c r="J13" s="53">
        <f t="shared" si="5"/>
        <v>0</v>
      </c>
      <c r="K13" s="53">
        <f t="shared" si="6"/>
        <v>428</v>
      </c>
      <c r="L13" s="730">
        <f t="shared" si="7"/>
        <v>2053.2769679300291</v>
      </c>
      <c r="M13" s="417">
        <f t="shared" si="8"/>
        <v>258</v>
      </c>
      <c r="N13" s="418">
        <f>IFERROR(K13/B13,0)</f>
        <v>0.62390670553935856</v>
      </c>
      <c r="O13" s="419">
        <f>MAX(0,C13-L13)</f>
        <v>1237.7230320699709</v>
      </c>
      <c r="P13" s="35">
        <f t="shared" si="9"/>
        <v>4.7973760932944609</v>
      </c>
    </row>
    <row r="14" spans="1:59" x14ac:dyDescent="0.25">
      <c r="A14" s="26" t="s">
        <v>899</v>
      </c>
      <c r="B14" s="34">
        <f>SUMIFS(Camplist_HH,Camplist_Township,'Shelter Progress'!$A14,Camplist_Type_Of_Acc,"Camp")</f>
        <v>0</v>
      </c>
      <c r="C14" s="34">
        <f>SUMIFS(Camplist_Popl,Camplist_Township,'Shelter Progress'!$A14,Camplist_Type_Of_Acc,"Camp")</f>
        <v>0</v>
      </c>
      <c r="D14" s="53">
        <f t="shared" si="0"/>
        <v>0</v>
      </c>
      <c r="E14" s="53">
        <f t="shared" si="1"/>
        <v>0</v>
      </c>
      <c r="F14" s="53">
        <f t="shared" si="2"/>
        <v>0</v>
      </c>
      <c r="G14" s="53">
        <f t="shared" si="10"/>
        <v>0</v>
      </c>
      <c r="H14" s="53">
        <f t="shared" si="3"/>
        <v>0</v>
      </c>
      <c r="I14" s="53">
        <f t="shared" si="4"/>
        <v>0</v>
      </c>
      <c r="J14" s="53">
        <f t="shared" si="5"/>
        <v>0</v>
      </c>
      <c r="K14" s="53">
        <f t="shared" si="6"/>
        <v>0</v>
      </c>
      <c r="L14" s="730">
        <f t="shared" si="7"/>
        <v>0</v>
      </c>
      <c r="M14" s="417">
        <f t="shared" ref="M14:M27" si="13">B14-K14</f>
        <v>0</v>
      </c>
      <c r="N14" s="418">
        <f t="shared" si="11"/>
        <v>0</v>
      </c>
      <c r="O14" s="419">
        <f>MAX(0,C14-L14)</f>
        <v>0</v>
      </c>
      <c r="P14" s="35">
        <f t="shared" si="9"/>
        <v>5</v>
      </c>
    </row>
    <row r="15" spans="1:59" x14ac:dyDescent="0.25">
      <c r="A15" s="26" t="s">
        <v>151</v>
      </c>
      <c r="B15" s="34">
        <f>SUMIFS(Camplist_HH,Camplist_Township,'Shelter Progress'!$A15,Camplist_Type_Of_Acc,"Camp")</f>
        <v>2477</v>
      </c>
      <c r="C15" s="34">
        <f>SUMIFS(Camplist_Popl,Camplist_Township,'Shelter Progress'!$A15,Camplist_Type_Of_Acc,"Camp")</f>
        <v>11344</v>
      </c>
      <c r="D15" s="53">
        <f t="shared" si="0"/>
        <v>400</v>
      </c>
      <c r="E15" s="53">
        <f t="shared" si="1"/>
        <v>1777</v>
      </c>
      <c r="F15" s="53">
        <f t="shared" si="2"/>
        <v>0</v>
      </c>
      <c r="G15" s="53">
        <f>SUMIF(Col_Shelter_Township,$A15,Col_Shelter_Temp_P)</f>
        <v>2104</v>
      </c>
      <c r="H15" s="53">
        <f t="shared" si="3"/>
        <v>0</v>
      </c>
      <c r="I15" s="53">
        <f t="shared" si="4"/>
        <v>0</v>
      </c>
      <c r="J15" s="53">
        <f t="shared" si="5"/>
        <v>0</v>
      </c>
      <c r="K15" s="53">
        <f t="shared" si="6"/>
        <v>1777</v>
      </c>
      <c r="L15" s="730">
        <f t="shared" si="7"/>
        <v>8138.1865159467097</v>
      </c>
      <c r="M15" s="417">
        <f t="shared" si="13"/>
        <v>700</v>
      </c>
      <c r="N15" s="418">
        <f t="shared" ref="N15:N23" si="14">IFERROR(K15/B15,0)</f>
        <v>0.71740008074283412</v>
      </c>
      <c r="O15" s="419">
        <f>MAX(0,C15-L15)</f>
        <v>3205.8134840532903</v>
      </c>
      <c r="P15" s="35">
        <f>IF(B15=0,5,C15/B15)</f>
        <v>4.5797335486475577</v>
      </c>
    </row>
    <row r="16" spans="1:59" x14ac:dyDescent="0.25">
      <c r="A16" s="26" t="s">
        <v>166</v>
      </c>
      <c r="B16" s="34">
        <f>SUMIFS(Camplist_HH,Camplist_Township,'Shelter Progress'!$A16,Camplist_Type_Of_Acc,"Camp")</f>
        <v>69</v>
      </c>
      <c r="C16" s="34">
        <f>SUMIFS(Camplist_Popl,Camplist_Township,'Shelter Progress'!$A16,Camplist_Type_Of_Acc,"Camp")</f>
        <v>355</v>
      </c>
      <c r="D16" s="53">
        <f t="shared" si="0"/>
        <v>0</v>
      </c>
      <c r="E16" s="53">
        <f t="shared" si="1"/>
        <v>80</v>
      </c>
      <c r="F16" s="53">
        <f t="shared" si="2"/>
        <v>0</v>
      </c>
      <c r="G16" s="53">
        <f>SUMIF(Col_Shelter_Township,$A16,Col_Shelter_Temp_P)</f>
        <v>80</v>
      </c>
      <c r="H16" s="53">
        <f t="shared" si="3"/>
        <v>0</v>
      </c>
      <c r="I16" s="53">
        <f t="shared" si="4"/>
        <v>0</v>
      </c>
      <c r="J16" s="53">
        <f t="shared" si="5"/>
        <v>0</v>
      </c>
      <c r="K16" s="53">
        <f t="shared" si="6"/>
        <v>80</v>
      </c>
      <c r="L16" s="730">
        <f t="shared" si="7"/>
        <v>411.59420289855069</v>
      </c>
      <c r="M16" s="417">
        <f>B16-K16</f>
        <v>-11</v>
      </c>
      <c r="N16" s="418">
        <f>IFERROR(K16/B16,0)</f>
        <v>1.1594202898550725</v>
      </c>
      <c r="O16" s="419">
        <f>MAX(0,C16-L16)</f>
        <v>0</v>
      </c>
      <c r="P16" s="35">
        <f t="shared" si="9"/>
        <v>5.1449275362318838</v>
      </c>
    </row>
    <row r="17" spans="1:16" x14ac:dyDescent="0.25">
      <c r="A17" s="26" t="s">
        <v>173</v>
      </c>
      <c r="B17" s="34">
        <f>SUMIFS(Camplist_HH,Camplist_Township,'Shelter Progress'!$A17,Camplist_Type_Of_Acc,"Camp")</f>
        <v>57</v>
      </c>
      <c r="C17" s="34">
        <f>SUMIFS(Camplist_Popl,Camplist_Township,'Shelter Progress'!$A17,Camplist_Type_Of_Acc,"Camp")</f>
        <v>231</v>
      </c>
      <c r="D17" s="53">
        <f t="shared" si="0"/>
        <v>0</v>
      </c>
      <c r="E17" s="53">
        <f t="shared" si="1"/>
        <v>40</v>
      </c>
      <c r="F17" s="53">
        <f t="shared" si="2"/>
        <v>0</v>
      </c>
      <c r="G17" s="53">
        <f>SUMIF(Col_Shelter_Township,$A17,Col_Shelter_Temp_P)</f>
        <v>40</v>
      </c>
      <c r="H17" s="53">
        <f t="shared" si="3"/>
        <v>0</v>
      </c>
      <c r="I17" s="53">
        <f t="shared" si="4"/>
        <v>0</v>
      </c>
      <c r="J17" s="53">
        <f t="shared" si="5"/>
        <v>0</v>
      </c>
      <c r="K17" s="53">
        <f t="shared" si="6"/>
        <v>40</v>
      </c>
      <c r="L17" s="730">
        <f t="shared" si="7"/>
        <v>162.10526315789474</v>
      </c>
      <c r="M17" s="417">
        <f t="shared" si="13"/>
        <v>17</v>
      </c>
      <c r="N17" s="418">
        <f>IFERROR(K17/B17,0)</f>
        <v>0.70175438596491224</v>
      </c>
      <c r="O17" s="419">
        <f t="shared" si="12"/>
        <v>68.89473684210526</v>
      </c>
      <c r="P17" s="35">
        <f t="shared" si="9"/>
        <v>4.0526315789473681</v>
      </c>
    </row>
    <row r="18" spans="1:16" x14ac:dyDescent="0.25">
      <c r="A18" s="26" t="s">
        <v>180</v>
      </c>
      <c r="B18" s="34">
        <f>SUMIFS(Camplist_HH,Camplist_Township,'Shelter Progress'!$A18,Camplist_Type_Of_Acc,"Camp")</f>
        <v>30</v>
      </c>
      <c r="C18" s="34">
        <f>SUMIFS(Camplist_Popl,Camplist_Township,'Shelter Progress'!$A18,Camplist_Type_Of_Acc,"Camp")</f>
        <v>193</v>
      </c>
      <c r="D18" s="53">
        <f t="shared" si="0"/>
        <v>0</v>
      </c>
      <c r="E18" s="53">
        <f t="shared" si="1"/>
        <v>42</v>
      </c>
      <c r="F18" s="53">
        <f t="shared" si="2"/>
        <v>0</v>
      </c>
      <c r="G18" s="53">
        <f t="shared" si="10"/>
        <v>42</v>
      </c>
      <c r="H18" s="53">
        <f t="shared" si="3"/>
        <v>0</v>
      </c>
      <c r="I18" s="53">
        <f t="shared" si="4"/>
        <v>0</v>
      </c>
      <c r="J18" s="53">
        <f t="shared" si="5"/>
        <v>0</v>
      </c>
      <c r="K18" s="53">
        <f t="shared" si="6"/>
        <v>42</v>
      </c>
      <c r="L18" s="730">
        <f t="shared" si="7"/>
        <v>270.2</v>
      </c>
      <c r="M18" s="417">
        <f t="shared" si="13"/>
        <v>-12</v>
      </c>
      <c r="N18" s="418">
        <f>IFERROR(K18/B18,0)</f>
        <v>1.4</v>
      </c>
      <c r="O18" s="419">
        <f t="shared" si="12"/>
        <v>0</v>
      </c>
      <c r="P18" s="35">
        <f t="shared" si="9"/>
        <v>6.4333333333333336</v>
      </c>
    </row>
    <row r="19" spans="1:16" x14ac:dyDescent="0.25">
      <c r="A19" s="26" t="s">
        <v>185</v>
      </c>
      <c r="B19" s="34">
        <f>SUMIFS(Camplist_HH,Camplist_Township,'Shelter Progress'!$A19,Camplist_Type_Of_Acc,"Camp")</f>
        <v>4550</v>
      </c>
      <c r="C19" s="34">
        <f>SUMIFS(Camplist_Popl,Camplist_Township,'Shelter Progress'!$A19,Camplist_Type_Of_Acc,"Camp")</f>
        <v>22714</v>
      </c>
      <c r="D19" s="53">
        <f t="shared" si="0"/>
        <v>0</v>
      </c>
      <c r="E19" s="53">
        <f t="shared" si="1"/>
        <v>4026</v>
      </c>
      <c r="F19" s="53">
        <f t="shared" si="2"/>
        <v>0</v>
      </c>
      <c r="G19" s="53">
        <f>SUMIF(Col_Shelter_Township,$A19,Col_Shelter_Temp_P)</f>
        <v>4228</v>
      </c>
      <c r="H19" s="53">
        <f t="shared" si="3"/>
        <v>0</v>
      </c>
      <c r="I19" s="53">
        <f t="shared" si="4"/>
        <v>0</v>
      </c>
      <c r="J19" s="53">
        <f t="shared" si="5"/>
        <v>0</v>
      </c>
      <c r="K19" s="53">
        <f t="shared" si="6"/>
        <v>4026</v>
      </c>
      <c r="L19" s="730">
        <f t="shared" si="7"/>
        <v>20098.145934065935</v>
      </c>
      <c r="M19" s="417">
        <f>B19-K19</f>
        <v>524</v>
      </c>
      <c r="N19" s="418">
        <f t="shared" si="14"/>
        <v>0.88483516483516489</v>
      </c>
      <c r="O19" s="419">
        <f t="shared" ref="O19:O27" si="15">MAX(0,C19-L19)</f>
        <v>2615.8540659340651</v>
      </c>
      <c r="P19" s="35">
        <f t="shared" si="9"/>
        <v>4.9920879120879125</v>
      </c>
    </row>
    <row r="20" spans="1:16" x14ac:dyDescent="0.25">
      <c r="A20" s="26" t="s">
        <v>230</v>
      </c>
      <c r="B20" s="34">
        <f>SUMIFS(Camplist_HH,Camplist_Township,'Shelter Progress'!$A20,Camplist_Type_Of_Acc,"Camp")</f>
        <v>103</v>
      </c>
      <c r="C20" s="34">
        <f>SUMIFS(Camplist_Popl,Camplist_Township,'Shelter Progress'!$A20,Camplist_Type_Of_Acc,"Camp")</f>
        <v>521</v>
      </c>
      <c r="D20" s="53">
        <f t="shared" si="0"/>
        <v>110</v>
      </c>
      <c r="E20" s="53">
        <f t="shared" si="1"/>
        <v>84</v>
      </c>
      <c r="F20" s="53">
        <f t="shared" si="2"/>
        <v>0</v>
      </c>
      <c r="G20" s="53">
        <f t="shared" si="10"/>
        <v>84</v>
      </c>
      <c r="H20" s="53">
        <f t="shared" si="3"/>
        <v>0</v>
      </c>
      <c r="I20" s="53">
        <f t="shared" si="4"/>
        <v>0</v>
      </c>
      <c r="J20" s="53">
        <f t="shared" si="5"/>
        <v>0</v>
      </c>
      <c r="K20" s="53">
        <f t="shared" si="6"/>
        <v>84</v>
      </c>
      <c r="L20" s="730">
        <f t="shared" si="7"/>
        <v>424.89320388349512</v>
      </c>
      <c r="M20" s="417">
        <f t="shared" si="13"/>
        <v>19</v>
      </c>
      <c r="N20" s="418">
        <f t="shared" si="14"/>
        <v>0.81553398058252424</v>
      </c>
      <c r="O20" s="419">
        <f t="shared" si="15"/>
        <v>96.106796116504881</v>
      </c>
      <c r="P20" s="35">
        <f t="shared" si="9"/>
        <v>5.058252427184466</v>
      </c>
    </row>
    <row r="21" spans="1:16" x14ac:dyDescent="0.25">
      <c r="A21" s="26" t="s">
        <v>237</v>
      </c>
      <c r="B21" s="34">
        <f>SUMIFS(Camplist_HH,Camplist_Township,'Shelter Progress'!$A21,Camplist_Type_Of_Acc,"Camp")</f>
        <v>1524</v>
      </c>
      <c r="C21" s="34">
        <f>SUMIFS(Camplist_Popl,Camplist_Township,'Shelter Progress'!$A21,Camplist_Type_Of_Acc,"Camp")</f>
        <v>7446</v>
      </c>
      <c r="D21" s="53">
        <f t="shared" si="0"/>
        <v>2</v>
      </c>
      <c r="E21" s="53">
        <f t="shared" si="1"/>
        <v>1103</v>
      </c>
      <c r="F21" s="53">
        <f t="shared" si="2"/>
        <v>0</v>
      </c>
      <c r="G21" s="53">
        <f t="shared" si="10"/>
        <v>1103</v>
      </c>
      <c r="H21" s="53">
        <f t="shared" si="3"/>
        <v>0</v>
      </c>
      <c r="I21" s="53">
        <f t="shared" si="4"/>
        <v>0</v>
      </c>
      <c r="J21" s="53">
        <f t="shared" si="5"/>
        <v>0</v>
      </c>
      <c r="K21" s="53">
        <f t="shared" si="6"/>
        <v>1103</v>
      </c>
      <c r="L21" s="730">
        <f t="shared" si="7"/>
        <v>5389.0669291338581</v>
      </c>
      <c r="M21" s="417">
        <f t="shared" si="13"/>
        <v>421</v>
      </c>
      <c r="N21" s="418">
        <f t="shared" si="14"/>
        <v>0.72375328083989499</v>
      </c>
      <c r="O21" s="419">
        <f t="shared" si="15"/>
        <v>2056.9330708661419</v>
      </c>
      <c r="P21" s="35">
        <f>IF(B21=0,5,C21/B21)</f>
        <v>4.8858267716535435</v>
      </c>
    </row>
    <row r="22" spans="1:16" x14ac:dyDescent="0.25">
      <c r="A22" s="26" t="s">
        <v>289</v>
      </c>
      <c r="B22" s="34">
        <f>SUMIFS(Camplist_HH,Camplist_Township,'Shelter Progress'!$A22,Camplist_Type_Of_Acc,"Camp")</f>
        <v>382</v>
      </c>
      <c r="C22" s="34">
        <f>SUMIFS(Camplist_Popl,Camplist_Township,'Shelter Progress'!$A22,Camplist_Type_Of_Acc,"Camp")</f>
        <v>1896</v>
      </c>
      <c r="D22" s="53">
        <f t="shared" si="0"/>
        <v>0</v>
      </c>
      <c r="E22" s="53">
        <f t="shared" si="1"/>
        <v>176</v>
      </c>
      <c r="F22" s="53">
        <f t="shared" si="2"/>
        <v>0</v>
      </c>
      <c r="G22" s="53">
        <f>SUMIF(Col_Shelter_Township,$A22,Col_Shelter_Temp_P)</f>
        <v>202</v>
      </c>
      <c r="H22" s="53">
        <f t="shared" si="3"/>
        <v>0</v>
      </c>
      <c r="I22" s="53">
        <f t="shared" si="4"/>
        <v>0</v>
      </c>
      <c r="J22" s="53">
        <f t="shared" si="5"/>
        <v>0</v>
      </c>
      <c r="K22" s="53">
        <f t="shared" si="6"/>
        <v>176</v>
      </c>
      <c r="L22" s="730">
        <f t="shared" si="7"/>
        <v>873.54973821989529</v>
      </c>
      <c r="M22" s="417">
        <f t="shared" si="13"/>
        <v>206</v>
      </c>
      <c r="N22" s="418">
        <f t="shared" si="14"/>
        <v>0.4607329842931937</v>
      </c>
      <c r="O22" s="419">
        <f t="shared" si="15"/>
        <v>1022.4502617801047</v>
      </c>
      <c r="P22" s="35">
        <f t="shared" si="9"/>
        <v>4.9633507853403138</v>
      </c>
    </row>
    <row r="23" spans="1:16" x14ac:dyDescent="0.25">
      <c r="A23" s="26" t="s">
        <v>298</v>
      </c>
      <c r="B23" s="34">
        <f>SUMIFS(Camplist_HH,Camplist_Township,'Shelter Progress'!$A23,Camplist_Type_Of_Acc,"Camp")</f>
        <v>10</v>
      </c>
      <c r="C23" s="34">
        <f>SUMIFS(Camplist_Popl,Camplist_Township,'Shelter Progress'!$A23,Camplist_Type_Of_Acc,"Camp")</f>
        <v>41</v>
      </c>
      <c r="D23" s="53">
        <f t="shared" si="0"/>
        <v>0</v>
      </c>
      <c r="E23" s="53">
        <f t="shared" si="1"/>
        <v>10</v>
      </c>
      <c r="F23" s="53">
        <f t="shared" si="2"/>
        <v>0</v>
      </c>
      <c r="G23" s="53">
        <f t="shared" si="10"/>
        <v>10</v>
      </c>
      <c r="H23" s="53">
        <f t="shared" si="3"/>
        <v>0</v>
      </c>
      <c r="I23" s="53">
        <f t="shared" si="4"/>
        <v>0</v>
      </c>
      <c r="J23" s="53">
        <f t="shared" si="5"/>
        <v>0</v>
      </c>
      <c r="K23" s="53">
        <f t="shared" si="6"/>
        <v>10</v>
      </c>
      <c r="L23" s="730">
        <f t="shared" si="7"/>
        <v>41</v>
      </c>
      <c r="M23" s="417">
        <f t="shared" si="13"/>
        <v>0</v>
      </c>
      <c r="N23" s="418">
        <f t="shared" si="14"/>
        <v>1</v>
      </c>
      <c r="O23" s="419">
        <f t="shared" si="15"/>
        <v>0</v>
      </c>
      <c r="P23" s="35">
        <f t="shared" si="9"/>
        <v>4.0999999999999996</v>
      </c>
    </row>
    <row r="24" spans="1:16" s="82" customFormat="1" x14ac:dyDescent="0.25">
      <c r="A24" s="26" t="s">
        <v>300</v>
      </c>
      <c r="B24" s="34">
        <f>SUMIFS(Camplist_HH,Camplist_Township,'Shelter Progress'!$A24,Camplist_Type_Of_Acc,"Camp")</f>
        <v>59</v>
      </c>
      <c r="C24" s="34">
        <f>SUMIFS(Camplist_Popl,Camplist_Township,'Shelter Progress'!$A24,Camplist_Type_Of_Acc,"Camp")</f>
        <v>274</v>
      </c>
      <c r="D24" s="53">
        <f t="shared" si="0"/>
        <v>55</v>
      </c>
      <c r="E24" s="53">
        <f t="shared" si="1"/>
        <v>0</v>
      </c>
      <c r="F24" s="53">
        <f t="shared" si="2"/>
        <v>0</v>
      </c>
      <c r="G24" s="53">
        <f t="shared" si="10"/>
        <v>0</v>
      </c>
      <c r="H24" s="53">
        <f t="shared" si="3"/>
        <v>0</v>
      </c>
      <c r="I24" s="53">
        <f t="shared" si="4"/>
        <v>0</v>
      </c>
      <c r="J24" s="53">
        <f t="shared" si="5"/>
        <v>0</v>
      </c>
      <c r="K24" s="53">
        <f t="shared" si="6"/>
        <v>0</v>
      </c>
      <c r="L24" s="730">
        <f t="shared" si="7"/>
        <v>0</v>
      </c>
      <c r="M24" s="417">
        <f t="shared" si="13"/>
        <v>59</v>
      </c>
      <c r="N24" s="418">
        <f t="shared" si="11"/>
        <v>0</v>
      </c>
      <c r="O24" s="419">
        <f t="shared" si="15"/>
        <v>274</v>
      </c>
      <c r="P24" s="35">
        <f t="shared" si="9"/>
        <v>4.6440677966101696</v>
      </c>
    </row>
    <row r="25" spans="1:16" s="82" customFormat="1" x14ac:dyDescent="0.25">
      <c r="A25" s="26" t="s">
        <v>302</v>
      </c>
      <c r="B25" s="34">
        <f>SUMIFS(Camplist_HH,Camplist_Township,'Shelter Progress'!$A25,Camplist_Type_Of_Acc,"Camp")</f>
        <v>123</v>
      </c>
      <c r="C25" s="34">
        <f>SUMIFS(Camplist_Popl,Camplist_Township,'Shelter Progress'!$A25,Camplist_Type_Of_Acc,"Camp")</f>
        <v>501</v>
      </c>
      <c r="D25" s="53">
        <f t="shared" si="0"/>
        <v>0</v>
      </c>
      <c r="E25" s="53">
        <f t="shared" si="1"/>
        <v>88</v>
      </c>
      <c r="F25" s="53">
        <f t="shared" si="2"/>
        <v>0</v>
      </c>
      <c r="G25" s="53">
        <f>SUMIF(Col_Shelter_Township,$A25,Col_Shelter_Temp_P)</f>
        <v>88</v>
      </c>
      <c r="H25" s="53">
        <f t="shared" si="3"/>
        <v>0</v>
      </c>
      <c r="I25" s="53">
        <f t="shared" si="4"/>
        <v>0</v>
      </c>
      <c r="J25" s="53">
        <f t="shared" si="5"/>
        <v>0</v>
      </c>
      <c r="K25" s="53">
        <f t="shared" si="6"/>
        <v>88</v>
      </c>
      <c r="L25" s="730">
        <f t="shared" si="7"/>
        <v>358.4390243902439</v>
      </c>
      <c r="M25" s="417">
        <f t="shared" si="13"/>
        <v>35</v>
      </c>
      <c r="N25" s="418">
        <f>IFERROR(K25/B25,0)</f>
        <v>0.71544715447154472</v>
      </c>
      <c r="O25" s="419">
        <f t="shared" si="15"/>
        <v>142.5609756097561</v>
      </c>
      <c r="P25" s="35">
        <f t="shared" si="9"/>
        <v>4.0731707317073171</v>
      </c>
    </row>
    <row r="26" spans="1:16" x14ac:dyDescent="0.25">
      <c r="A26" s="26" t="s">
        <v>813</v>
      </c>
      <c r="B26" s="34">
        <f>SUMIFS(Camplist_HH,Camplist_Township,'Shelter Progress'!$A26,Camplist_Type_Of_Acc,"Camp")</f>
        <v>166</v>
      </c>
      <c r="C26" s="34">
        <f>SUMIFS(Camplist_Popl,Camplist_Township,'Shelter Progress'!$A26,Camplist_Type_Of_Acc,"Camp")</f>
        <v>1232</v>
      </c>
      <c r="D26" s="53">
        <f t="shared" si="0"/>
        <v>0</v>
      </c>
      <c r="E26" s="53">
        <f t="shared" si="1"/>
        <v>0</v>
      </c>
      <c r="F26" s="53">
        <f t="shared" si="2"/>
        <v>0</v>
      </c>
      <c r="G26" s="53">
        <f t="shared" si="10"/>
        <v>0</v>
      </c>
      <c r="H26" s="53">
        <f t="shared" si="3"/>
        <v>0</v>
      </c>
      <c r="I26" s="53">
        <f t="shared" si="4"/>
        <v>0</v>
      </c>
      <c r="J26" s="53">
        <f t="shared" si="5"/>
        <v>0</v>
      </c>
      <c r="K26" s="53">
        <f t="shared" si="6"/>
        <v>0</v>
      </c>
      <c r="L26" s="730">
        <f t="shared" si="7"/>
        <v>0</v>
      </c>
      <c r="M26" s="417">
        <f>B26-K26</f>
        <v>166</v>
      </c>
      <c r="N26" s="418">
        <f t="shared" si="11"/>
        <v>0</v>
      </c>
      <c r="O26" s="419">
        <f t="shared" si="15"/>
        <v>1232</v>
      </c>
      <c r="P26" s="35">
        <f t="shared" si="9"/>
        <v>7.4216867469879517</v>
      </c>
    </row>
    <row r="27" spans="1:16" s="50" customFormat="1" x14ac:dyDescent="0.25">
      <c r="A27" s="26" t="s">
        <v>310</v>
      </c>
      <c r="B27" s="34">
        <f>SUMIFS(Camplist_HH,Camplist_Township,'Shelter Progress'!$A27,Camplist_Type_Of_Acc,"Camp")</f>
        <v>4801</v>
      </c>
      <c r="C27" s="34">
        <f>SUMIFS(Camplist_Popl,Camplist_Township,'Shelter Progress'!$A27,Camplist_Type_Of_Acc,"Camp")</f>
        <v>23305</v>
      </c>
      <c r="D27" s="53">
        <f t="shared" si="0"/>
        <v>248</v>
      </c>
      <c r="E27" s="53">
        <f t="shared" si="1"/>
        <v>3343</v>
      </c>
      <c r="F27" s="53">
        <f t="shared" si="2"/>
        <v>0</v>
      </c>
      <c r="G27" s="53">
        <f>SUMIF(Col_Shelter_Township,$A27,Col_Shelter_Temp_P)</f>
        <v>3638</v>
      </c>
      <c r="H27" s="53">
        <f t="shared" si="3"/>
        <v>0</v>
      </c>
      <c r="I27" s="53">
        <f t="shared" si="4"/>
        <v>0</v>
      </c>
      <c r="J27" s="53">
        <f t="shared" si="5"/>
        <v>0</v>
      </c>
      <c r="K27" s="53">
        <f t="shared" si="6"/>
        <v>3343</v>
      </c>
      <c r="L27" s="730">
        <f t="shared" si="7"/>
        <v>16227.580712351592</v>
      </c>
      <c r="M27" s="417">
        <f t="shared" si="13"/>
        <v>1458</v>
      </c>
      <c r="N27" s="418">
        <f>IFERROR(K27/B27,0)</f>
        <v>0.69631326806915228</v>
      </c>
      <c r="O27" s="419">
        <f t="shared" si="15"/>
        <v>7077.4192876484085</v>
      </c>
      <c r="P27" s="35">
        <f t="shared" si="9"/>
        <v>4.8541970422828573</v>
      </c>
    </row>
    <row r="28" spans="1:16" s="50" customFormat="1" x14ac:dyDescent="0.25">
      <c r="A28" s="412" t="s">
        <v>3</v>
      </c>
      <c r="B28" s="413">
        <f t="shared" ref="B28:J28" si="16">SUM(B7:B27)</f>
        <v>17694</v>
      </c>
      <c r="C28" s="413">
        <f t="shared" si="16"/>
        <v>86974</v>
      </c>
      <c r="D28" s="413">
        <f t="shared" si="16"/>
        <v>1043</v>
      </c>
      <c r="E28" s="413">
        <f t="shared" si="16"/>
        <v>12936</v>
      </c>
      <c r="F28" s="413">
        <f t="shared" si="16"/>
        <v>0</v>
      </c>
      <c r="G28" s="413">
        <f t="shared" si="16"/>
        <v>13808</v>
      </c>
      <c r="H28" s="413">
        <f t="shared" si="16"/>
        <v>0</v>
      </c>
      <c r="I28" s="413">
        <f t="shared" si="16"/>
        <v>0</v>
      </c>
      <c r="J28" s="413">
        <f t="shared" si="16"/>
        <v>0</v>
      </c>
      <c r="K28" s="413">
        <f>SUM(K7:K27)</f>
        <v>12936</v>
      </c>
      <c r="L28" s="414">
        <f>SUM(L7:L27)</f>
        <v>63398.741719228361</v>
      </c>
      <c r="M28" s="415">
        <f>SUM(M7:M27)</f>
        <v>4758</v>
      </c>
      <c r="N28" s="52">
        <f>IFERROR(K28/B28,0)</f>
        <v>0.73109528653780942</v>
      </c>
      <c r="O28" s="416">
        <f>SUM(O7:O27)</f>
        <v>23709.052483670192</v>
      </c>
      <c r="P28" s="82"/>
    </row>
    <row r="29" spans="1:16" ht="271.5" hidden="1" customHeight="1" x14ac:dyDescent="0.25">
      <c r="A29" s="18" t="s">
        <v>510</v>
      </c>
      <c r="B29" s="1" t="s">
        <v>510</v>
      </c>
      <c r="C29" s="1"/>
      <c r="D29" s="1"/>
      <c r="E29" s="1"/>
      <c r="F29" s="1"/>
      <c r="G29" s="1"/>
      <c r="H29" s="1"/>
      <c r="I29" s="1"/>
      <c r="J29" s="1"/>
      <c r="K29" s="1"/>
      <c r="L29" s="1"/>
      <c r="M29" s="1"/>
      <c r="N29" s="1"/>
      <c r="O29" s="1"/>
    </row>
    <row r="30" spans="1:16" s="50" customFormat="1" hidden="1" x14ac:dyDescent="0.25">
      <c r="A30" s="18"/>
      <c r="P30" s="35"/>
    </row>
    <row r="31" spans="1:16" hidden="1" x14ac:dyDescent="0.25">
      <c r="A31" s="18" t="s">
        <v>509</v>
      </c>
      <c r="B31" t="s">
        <v>510</v>
      </c>
    </row>
    <row r="32" spans="1:16" ht="31.5" hidden="1" x14ac:dyDescent="0.5">
      <c r="A32" s="55" t="s">
        <v>381</v>
      </c>
      <c r="B32" s="56"/>
      <c r="C32" s="56"/>
      <c r="D32" s="56"/>
      <c r="E32" s="56"/>
      <c r="F32" s="56"/>
      <c r="G32" s="56"/>
      <c r="H32" s="56"/>
      <c r="I32" s="56"/>
      <c r="J32" s="56"/>
      <c r="K32" s="56"/>
      <c r="L32" s="56"/>
      <c r="M32" s="56"/>
      <c r="N32" s="56"/>
      <c r="O32" s="56"/>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6" s="50" customFormat="1" hidden="1" x14ac:dyDescent="0.25">
      <c r="A49"/>
      <c r="B49"/>
      <c r="C49"/>
      <c r="D49"/>
      <c r="E49"/>
      <c r="F49"/>
      <c r="G49"/>
      <c r="H49"/>
      <c r="I49"/>
      <c r="J49"/>
      <c r="K49"/>
      <c r="L49"/>
      <c r="M49"/>
      <c r="N49"/>
    </row>
    <row r="50" spans="1:16" hidden="1" x14ac:dyDescent="0.25"/>
    <row r="51" spans="1:16" hidden="1" x14ac:dyDescent="0.25">
      <c r="A51" s="50"/>
      <c r="B51" s="50"/>
      <c r="C51" s="50"/>
      <c r="D51" s="50"/>
      <c r="E51" s="50"/>
      <c r="F51" s="50"/>
      <c r="G51" s="50"/>
      <c r="H51" s="50"/>
      <c r="I51" s="50"/>
      <c r="J51" s="50"/>
      <c r="K51" s="50"/>
      <c r="L51" s="50"/>
      <c r="M51" s="50"/>
      <c r="N51" s="50"/>
    </row>
    <row r="52" spans="1:16" hidden="1" x14ac:dyDescent="0.25"/>
    <row r="53" spans="1:16" hidden="1" x14ac:dyDescent="0.25"/>
    <row r="54" spans="1:16" hidden="1" x14ac:dyDescent="0.25"/>
    <row r="55" spans="1:16" s="50" customFormat="1" x14ac:dyDescent="0.25">
      <c r="A55"/>
      <c r="B55"/>
      <c r="C55"/>
      <c r="D55"/>
      <c r="E55"/>
      <c r="F55"/>
      <c r="G55"/>
      <c r="H55"/>
      <c r="I55"/>
      <c r="J55"/>
      <c r="K55"/>
      <c r="L55"/>
      <c r="M55"/>
      <c r="N55"/>
      <c r="P55" s="35"/>
    </row>
    <row r="56" spans="1:16" hidden="1" x14ac:dyDescent="0.25"/>
    <row r="57" spans="1:16" ht="31.5" x14ac:dyDescent="0.5">
      <c r="A57" s="55" t="s">
        <v>380</v>
      </c>
      <c r="B57" s="56"/>
      <c r="C57" s="56"/>
      <c r="D57" s="56"/>
      <c r="E57" s="56"/>
      <c r="F57" s="56"/>
      <c r="G57" s="56"/>
      <c r="H57" s="56"/>
      <c r="I57" s="56"/>
      <c r="J57" s="56"/>
      <c r="K57" s="56"/>
      <c r="L57" s="56"/>
      <c r="M57" s="56"/>
      <c r="N57" s="56"/>
      <c r="O57" s="56"/>
    </row>
    <row r="77" hidden="1" x14ac:dyDescent="0.25"/>
    <row r="78" hidden="1" x14ac:dyDescent="0.25"/>
    <row r="79" hidden="1" x14ac:dyDescent="0.25"/>
    <row r="80" hidden="1" x14ac:dyDescent="0.25"/>
    <row r="81" spans="1:15" x14ac:dyDescent="0.25">
      <c r="A81" s="421" t="s">
        <v>396</v>
      </c>
      <c r="B81" s="26" t="s">
        <v>598</v>
      </c>
      <c r="H81" s="421" t="s">
        <v>396</v>
      </c>
      <c r="I81" s="26" t="s">
        <v>598</v>
      </c>
      <c r="J81" s="50"/>
      <c r="O81"/>
    </row>
    <row r="82" spans="1:15" x14ac:dyDescent="0.25">
      <c r="H82" s="50"/>
      <c r="I82" s="50"/>
      <c r="J82" s="50"/>
      <c r="O82"/>
    </row>
    <row r="83" spans="1:15" x14ac:dyDescent="0.25">
      <c r="A83" s="421" t="s">
        <v>415</v>
      </c>
      <c r="B83" s="26" t="s">
        <v>1356</v>
      </c>
      <c r="H83" s="26"/>
      <c r="I83" s="26" t="s">
        <v>1356</v>
      </c>
      <c r="O83"/>
    </row>
    <row r="84" spans="1:15" x14ac:dyDescent="0.25">
      <c r="A84" s="420" t="s">
        <v>455</v>
      </c>
      <c r="B84" s="422">
        <v>2368</v>
      </c>
      <c r="H84" s="420" t="s">
        <v>455</v>
      </c>
      <c r="I84" s="422">
        <v>2368</v>
      </c>
      <c r="O84"/>
    </row>
    <row r="85" spans="1:15" x14ac:dyDescent="0.25">
      <c r="A85" s="420" t="s">
        <v>454</v>
      </c>
      <c r="B85" s="422">
        <v>7052</v>
      </c>
      <c r="H85" s="420" t="s">
        <v>454</v>
      </c>
      <c r="I85" s="422">
        <v>7052</v>
      </c>
      <c r="O85"/>
    </row>
    <row r="86" spans="1:15" x14ac:dyDescent="0.25">
      <c r="A86" s="420" t="s">
        <v>571</v>
      </c>
      <c r="B86" s="422">
        <v>87</v>
      </c>
      <c r="H86" s="420" t="s">
        <v>571</v>
      </c>
      <c r="I86" s="422">
        <v>87</v>
      </c>
      <c r="O86"/>
    </row>
    <row r="87" spans="1:15" x14ac:dyDescent="0.25">
      <c r="A87" s="420" t="s">
        <v>572</v>
      </c>
      <c r="B87" s="422">
        <v>420</v>
      </c>
      <c r="H87" s="420" t="s">
        <v>572</v>
      </c>
      <c r="I87" s="422">
        <v>420</v>
      </c>
      <c r="O87"/>
    </row>
    <row r="88" spans="1:15" x14ac:dyDescent="0.25">
      <c r="A88" s="420" t="s">
        <v>574</v>
      </c>
      <c r="B88" s="422">
        <v>32</v>
      </c>
      <c r="H88" s="420" t="s">
        <v>574</v>
      </c>
      <c r="I88" s="422">
        <v>32</v>
      </c>
      <c r="O88"/>
    </row>
    <row r="89" spans="1:15" x14ac:dyDescent="0.25">
      <c r="A89" s="420" t="s">
        <v>594</v>
      </c>
      <c r="B89" s="422">
        <v>1041</v>
      </c>
      <c r="H89" s="420" t="s">
        <v>594</v>
      </c>
      <c r="I89" s="422">
        <v>1041</v>
      </c>
      <c r="O89"/>
    </row>
    <row r="90" spans="1:15" x14ac:dyDescent="0.25">
      <c r="A90" s="420" t="s">
        <v>852</v>
      </c>
      <c r="B90" s="422">
        <v>822</v>
      </c>
      <c r="H90" s="420" t="s">
        <v>852</v>
      </c>
      <c r="I90" s="422">
        <v>822</v>
      </c>
      <c r="O90"/>
    </row>
    <row r="91" spans="1:15" x14ac:dyDescent="0.25">
      <c r="A91" s="420" t="s">
        <v>853</v>
      </c>
      <c r="B91" s="422">
        <v>289</v>
      </c>
      <c r="H91" s="420" t="s">
        <v>853</v>
      </c>
      <c r="I91" s="422">
        <v>289</v>
      </c>
      <c r="O91"/>
    </row>
    <row r="92" spans="1:15" x14ac:dyDescent="0.25">
      <c r="A92" s="420" t="s">
        <v>854</v>
      </c>
      <c r="B92" s="422">
        <v>32</v>
      </c>
      <c r="H92" s="420" t="s">
        <v>854</v>
      </c>
      <c r="I92" s="422">
        <v>32</v>
      </c>
      <c r="O92"/>
    </row>
    <row r="93" spans="1:15" x14ac:dyDescent="0.25">
      <c r="A93" s="420" t="s">
        <v>855</v>
      </c>
      <c r="B93" s="422">
        <v>12</v>
      </c>
      <c r="H93" s="420" t="s">
        <v>855</v>
      </c>
      <c r="I93" s="422">
        <v>12</v>
      </c>
      <c r="O93"/>
    </row>
    <row r="94" spans="1:15" x14ac:dyDescent="0.25">
      <c r="A94" s="420" t="s">
        <v>856</v>
      </c>
      <c r="B94" s="422">
        <v>10</v>
      </c>
      <c r="H94" s="420" t="s">
        <v>856</v>
      </c>
      <c r="I94" s="422">
        <v>10</v>
      </c>
      <c r="O94"/>
    </row>
    <row r="95" spans="1:15" x14ac:dyDescent="0.25">
      <c r="A95" s="420" t="s">
        <v>868</v>
      </c>
      <c r="B95" s="422">
        <v>0</v>
      </c>
      <c r="H95" s="420" t="s">
        <v>868</v>
      </c>
      <c r="I95" s="422">
        <v>0</v>
      </c>
    </row>
    <row r="96" spans="1:15" x14ac:dyDescent="0.25">
      <c r="A96" s="420" t="s">
        <v>865</v>
      </c>
      <c r="B96" s="422">
        <v>132</v>
      </c>
      <c r="H96" s="420" t="s">
        <v>865</v>
      </c>
      <c r="I96" s="422">
        <v>132</v>
      </c>
    </row>
    <row r="97" spans="1:9" x14ac:dyDescent="0.25">
      <c r="A97" s="420" t="s">
        <v>1107</v>
      </c>
      <c r="B97" s="422">
        <v>350</v>
      </c>
      <c r="H97" s="420" t="s">
        <v>1107</v>
      </c>
      <c r="I97" s="422">
        <v>350</v>
      </c>
    </row>
    <row r="98" spans="1:9" x14ac:dyDescent="0.25">
      <c r="A98" s="420" t="s">
        <v>1108</v>
      </c>
      <c r="B98" s="422">
        <v>20</v>
      </c>
      <c r="H98" s="420" t="s">
        <v>1108</v>
      </c>
      <c r="I98" s="422">
        <v>20</v>
      </c>
    </row>
    <row r="99" spans="1:9" x14ac:dyDescent="0.25">
      <c r="A99" s="420" t="s">
        <v>1104</v>
      </c>
      <c r="B99" s="422">
        <v>269</v>
      </c>
      <c r="H99" s="420" t="s">
        <v>1104</v>
      </c>
      <c r="I99" s="422">
        <v>269</v>
      </c>
    </row>
    <row r="100" spans="1:9" x14ac:dyDescent="0.25">
      <c r="A100" s="420" t="s">
        <v>416</v>
      </c>
      <c r="B100" s="422">
        <v>12936</v>
      </c>
      <c r="H100" s="420" t="s">
        <v>416</v>
      </c>
      <c r="I100" s="422">
        <v>12936</v>
      </c>
    </row>
  </sheetData>
  <sortState ref="A23:O41">
    <sortCondition ref="A22"/>
  </sortState>
  <mergeCells count="1">
    <mergeCell ref="A2:C2"/>
  </mergeCells>
  <conditionalFormatting sqref="N7:N28">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7" max="16383" man="1"/>
    <brk id="28" max="16383"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zoomScale="80" zoomScaleNormal="80" workbookViewId="0">
      <selection activeCell="B64" sqref="B64"/>
    </sheetView>
  </sheetViews>
  <sheetFormatPr defaultColWidth="23.85546875" defaultRowHeight="15" x14ac:dyDescent="0.25"/>
  <cols>
    <col min="1" max="1" width="20.85546875" style="40" customWidth="1"/>
    <col min="2" max="2" width="22.42578125" style="40" customWidth="1"/>
    <col min="3" max="5" width="25.140625" style="40" customWidth="1"/>
    <col min="6" max="16384" width="23.85546875" style="40"/>
  </cols>
  <sheetData>
    <row r="1" spans="1:59" s="1" customFormat="1" ht="36" x14ac:dyDescent="0.25">
      <c r="A1" s="303"/>
      <c r="B1" s="304"/>
      <c r="C1" s="304"/>
      <c r="D1" s="304"/>
      <c r="E1" s="304"/>
      <c r="F1" s="305"/>
      <c r="BF1" s="59"/>
      <c r="BG1" s="59"/>
    </row>
    <row r="2" spans="1:59" s="1" customFormat="1" ht="67.5" customHeight="1" x14ac:dyDescent="0.25">
      <c r="A2" s="842" t="s">
        <v>463</v>
      </c>
      <c r="B2" s="843"/>
      <c r="C2" s="843"/>
      <c r="D2" s="58"/>
      <c r="E2" s="58"/>
      <c r="F2" s="318"/>
      <c r="BF2" s="59"/>
      <c r="BG2" s="59"/>
    </row>
    <row r="3" spans="1:59" s="18" customFormat="1" ht="18" customHeight="1" x14ac:dyDescent="0.25">
      <c r="A3" s="844">
        <f>Report_Date</f>
        <v>42309</v>
      </c>
      <c r="B3" s="845"/>
      <c r="C3" s="845"/>
      <c r="D3" s="845"/>
      <c r="E3" s="845"/>
      <c r="F3" s="846"/>
      <c r="G3" s="45"/>
      <c r="H3" s="45"/>
      <c r="I3" s="45"/>
      <c r="J3" s="45"/>
      <c r="L3" s="45"/>
      <c r="M3" s="45"/>
      <c r="N3" s="45"/>
      <c r="O3" s="45"/>
      <c r="P3" s="45"/>
      <c r="Q3" s="45"/>
      <c r="R3" s="45"/>
      <c r="S3" s="60"/>
      <c r="T3" s="45"/>
      <c r="U3" s="45"/>
      <c r="BF3" s="60"/>
      <c r="BG3" s="60"/>
    </row>
    <row r="4" spans="1:59" ht="15" customHeight="1" x14ac:dyDescent="0.25"/>
    <row r="5" spans="1:59" x14ac:dyDescent="0.25">
      <c r="A5" s="675" t="s">
        <v>396</v>
      </c>
      <c r="B5" s="675" t="s">
        <v>598</v>
      </c>
      <c r="C5" s="383" t="s">
        <v>422</v>
      </c>
      <c r="E5" s="621" t="s">
        <v>396</v>
      </c>
      <c r="F5" s="622" t="s">
        <v>598</v>
      </c>
      <c r="G5"/>
    </row>
    <row r="6" spans="1:59" x14ac:dyDescent="0.25">
      <c r="E6" s="51"/>
      <c r="F6" s="51"/>
    </row>
    <row r="7" spans="1:59" x14ac:dyDescent="0.25">
      <c r="A7" s="621" t="s">
        <v>415</v>
      </c>
      <c r="B7" s="610" t="s">
        <v>1357</v>
      </c>
      <c r="C7" s="611" t="s">
        <v>1358</v>
      </c>
      <c r="D7"/>
      <c r="E7" s="621" t="s">
        <v>415</v>
      </c>
      <c r="F7" s="622" t="s">
        <v>1356</v>
      </c>
      <c r="H7"/>
      <c r="I7"/>
    </row>
    <row r="8" spans="1:59" x14ac:dyDescent="0.25">
      <c r="A8" s="649" t="s">
        <v>594</v>
      </c>
      <c r="B8" s="651">
        <v>1041</v>
      </c>
      <c r="C8" s="671"/>
      <c r="D8"/>
      <c r="E8" s="649" t="s">
        <v>594</v>
      </c>
      <c r="F8" s="651">
        <v>1041</v>
      </c>
      <c r="H8"/>
      <c r="I8"/>
    </row>
    <row r="9" spans="1:59" x14ac:dyDescent="0.25">
      <c r="A9" s="680" t="s">
        <v>853</v>
      </c>
      <c r="B9" s="706">
        <v>289</v>
      </c>
      <c r="C9" s="660"/>
      <c r="D9"/>
      <c r="E9" s="680" t="s">
        <v>853</v>
      </c>
      <c r="F9" s="706">
        <v>289</v>
      </c>
      <c r="G9"/>
      <c r="H9"/>
      <c r="I9"/>
      <c r="J9"/>
      <c r="K9"/>
      <c r="L9"/>
      <c r="M9"/>
      <c r="N9"/>
      <c r="O9"/>
      <c r="P9"/>
      <c r="Q9"/>
    </row>
    <row r="10" spans="1:59" x14ac:dyDescent="0.25">
      <c r="A10" s="680" t="s">
        <v>455</v>
      </c>
      <c r="B10" s="706">
        <v>2368</v>
      </c>
      <c r="C10" s="660"/>
      <c r="D10"/>
      <c r="E10" s="680" t="s">
        <v>455</v>
      </c>
      <c r="F10" s="706">
        <v>2368</v>
      </c>
      <c r="G10"/>
      <c r="H10"/>
      <c r="I10"/>
      <c r="J10"/>
      <c r="K10"/>
      <c r="L10"/>
      <c r="M10"/>
      <c r="N10"/>
      <c r="O10"/>
      <c r="P10"/>
      <c r="Q10"/>
    </row>
    <row r="11" spans="1:59" x14ac:dyDescent="0.25">
      <c r="A11" s="680" t="s">
        <v>574</v>
      </c>
      <c r="B11" s="706">
        <v>32</v>
      </c>
      <c r="C11" s="660"/>
      <c r="D11"/>
      <c r="E11" s="680" t="s">
        <v>574</v>
      </c>
      <c r="F11" s="706">
        <v>32</v>
      </c>
      <c r="G11"/>
      <c r="H11"/>
      <c r="I11"/>
      <c r="J11"/>
      <c r="K11"/>
      <c r="L11"/>
      <c r="M11"/>
      <c r="N11"/>
      <c r="O11"/>
      <c r="P11"/>
      <c r="Q11"/>
    </row>
    <row r="12" spans="1:59" x14ac:dyDescent="0.25">
      <c r="A12" s="680" t="s">
        <v>854</v>
      </c>
      <c r="B12" s="706">
        <v>32</v>
      </c>
      <c r="C12" s="660"/>
      <c r="D12"/>
      <c r="E12" s="680" t="s">
        <v>854</v>
      </c>
      <c r="F12" s="706">
        <v>32</v>
      </c>
      <c r="H12"/>
      <c r="I12"/>
    </row>
    <row r="13" spans="1:59" s="50" customFormat="1" x14ac:dyDescent="0.25">
      <c r="A13" s="680" t="s">
        <v>852</v>
      </c>
      <c r="B13" s="706">
        <v>822</v>
      </c>
      <c r="C13" s="660"/>
      <c r="D13"/>
      <c r="E13" s="680" t="s">
        <v>852</v>
      </c>
      <c r="F13" s="706">
        <v>822</v>
      </c>
    </row>
    <row r="14" spans="1:59" x14ac:dyDescent="0.25">
      <c r="A14" s="680" t="s">
        <v>855</v>
      </c>
      <c r="B14" s="706">
        <v>12</v>
      </c>
      <c r="C14" s="660"/>
      <c r="D14"/>
      <c r="E14" s="680" t="s">
        <v>855</v>
      </c>
      <c r="F14" s="706">
        <v>12</v>
      </c>
      <c r="H14"/>
      <c r="I14"/>
    </row>
    <row r="15" spans="1:59" x14ac:dyDescent="0.25">
      <c r="A15" s="680" t="s">
        <v>572</v>
      </c>
      <c r="B15" s="706">
        <v>420</v>
      </c>
      <c r="C15" s="660"/>
      <c r="D15"/>
      <c r="E15" s="680" t="s">
        <v>572</v>
      </c>
      <c r="F15" s="706">
        <v>420</v>
      </c>
      <c r="H15"/>
      <c r="I15"/>
    </row>
    <row r="16" spans="1:59" x14ac:dyDescent="0.25">
      <c r="A16" s="680" t="s">
        <v>454</v>
      </c>
      <c r="B16" s="706">
        <v>7052</v>
      </c>
      <c r="C16" s="660"/>
      <c r="D16"/>
      <c r="E16" s="680" t="s">
        <v>454</v>
      </c>
      <c r="F16" s="706">
        <v>7052</v>
      </c>
      <c r="H16"/>
      <c r="I16"/>
    </row>
    <row r="17" spans="1:9" x14ac:dyDescent="0.25">
      <c r="A17" s="680" t="s">
        <v>571</v>
      </c>
      <c r="B17" s="706">
        <v>87</v>
      </c>
      <c r="C17" s="660"/>
      <c r="D17"/>
      <c r="E17" s="680" t="s">
        <v>571</v>
      </c>
      <c r="F17" s="706">
        <v>87</v>
      </c>
      <c r="H17"/>
      <c r="I17"/>
    </row>
    <row r="18" spans="1:9" x14ac:dyDescent="0.25">
      <c r="A18" s="680" t="s">
        <v>856</v>
      </c>
      <c r="B18" s="706">
        <v>10</v>
      </c>
      <c r="C18" s="660"/>
      <c r="D18"/>
      <c r="E18" s="680" t="s">
        <v>856</v>
      </c>
      <c r="F18" s="706">
        <v>10</v>
      </c>
      <c r="H18"/>
      <c r="I18"/>
    </row>
    <row r="19" spans="1:9" x14ac:dyDescent="0.25">
      <c r="A19" s="649" t="s">
        <v>416</v>
      </c>
      <c r="B19" s="651">
        <v>12165</v>
      </c>
      <c r="C19" s="671"/>
      <c r="D19"/>
      <c r="E19" s="649" t="s">
        <v>416</v>
      </c>
      <c r="F19" s="651">
        <v>12165</v>
      </c>
    </row>
    <row r="20" spans="1:9" x14ac:dyDescent="0.25">
      <c r="A20"/>
      <c r="B20"/>
      <c r="C20"/>
      <c r="D20"/>
    </row>
    <row r="21" spans="1:9" hidden="1" x14ac:dyDescent="0.25">
      <c r="A21"/>
      <c r="B21"/>
      <c r="C21"/>
      <c r="D21"/>
    </row>
    <row r="22" spans="1:9" hidden="1" x14ac:dyDescent="0.25">
      <c r="A22"/>
      <c r="B22"/>
      <c r="C22"/>
      <c r="D22"/>
      <c r="E22"/>
      <c r="F22"/>
    </row>
    <row r="23" spans="1:9" hidden="1" x14ac:dyDescent="0.25">
      <c r="A23"/>
      <c r="B23"/>
      <c r="C23"/>
      <c r="D23"/>
      <c r="E23"/>
      <c r="F23"/>
      <c r="G23"/>
    </row>
    <row r="24" spans="1:9" hidden="1" x14ac:dyDescent="0.25">
      <c r="A24"/>
      <c r="B24"/>
      <c r="C24"/>
      <c r="D24"/>
      <c r="E24"/>
      <c r="F24"/>
      <c r="G24"/>
    </row>
    <row r="25" spans="1:9" hidden="1"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51"/>
      <c r="F31"/>
      <c r="G31"/>
    </row>
    <row r="32" spans="1:9" x14ac:dyDescent="0.25">
      <c r="A32"/>
      <c r="B32"/>
      <c r="C32"/>
      <c r="D32"/>
      <c r="E32" s="51"/>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675" t="s">
        <v>396</v>
      </c>
      <c r="B59" s="675" t="s">
        <v>598</v>
      </c>
      <c r="C59" s="254"/>
      <c r="D59"/>
      <c r="E59"/>
      <c r="F59"/>
    </row>
    <row r="60" spans="1:6" x14ac:dyDescent="0.25">
      <c r="A60" s="697" t="s">
        <v>0</v>
      </c>
      <c r="B60" s="675" t="s">
        <v>5</v>
      </c>
      <c r="C60" s="255"/>
      <c r="D60"/>
      <c r="E60"/>
      <c r="F60"/>
    </row>
    <row r="61" spans="1:6" x14ac:dyDescent="0.25">
      <c r="A61" s="675" t="s">
        <v>500</v>
      </c>
      <c r="B61" s="675" t="s">
        <v>1132</v>
      </c>
      <c r="C61" s="258" t="s">
        <v>422</v>
      </c>
      <c r="D61"/>
      <c r="E61"/>
    </row>
    <row r="62" spans="1:6" x14ac:dyDescent="0.25">
      <c r="A62" s="129"/>
      <c r="B62" s="129"/>
      <c r="C62" s="129"/>
      <c r="D62"/>
      <c r="E62"/>
    </row>
    <row r="63" spans="1:6" x14ac:dyDescent="0.25">
      <c r="A63" s="421" t="s">
        <v>415</v>
      </c>
      <c r="B63" s="26" t="s">
        <v>1265</v>
      </c>
      <c r="C63"/>
      <c r="D63"/>
      <c r="E63"/>
    </row>
    <row r="64" spans="1:6" x14ac:dyDescent="0.25">
      <c r="A64" s="420" t="s">
        <v>6</v>
      </c>
      <c r="B64" s="707">
        <v>0.18826135105204875</v>
      </c>
      <c r="C64"/>
      <c r="D64"/>
      <c r="E64"/>
    </row>
    <row r="65" spans="1:5" x14ac:dyDescent="0.25">
      <c r="A65" s="420" t="s">
        <v>514</v>
      </c>
      <c r="B65" s="707">
        <v>1.75</v>
      </c>
      <c r="C65"/>
      <c r="D65"/>
      <c r="E65"/>
    </row>
    <row r="66" spans="1:5" x14ac:dyDescent="0.25">
      <c r="A66" s="420" t="s">
        <v>14</v>
      </c>
      <c r="B66" s="707">
        <v>0.44186046511627908</v>
      </c>
      <c r="C66"/>
      <c r="D66"/>
      <c r="E66"/>
    </row>
    <row r="67" spans="1:5" x14ac:dyDescent="0.25">
      <c r="A67" s="420" t="s">
        <v>18</v>
      </c>
      <c r="B67" s="707">
        <v>0.12500000000000003</v>
      </c>
      <c r="C67"/>
      <c r="D67"/>
      <c r="E67"/>
    </row>
    <row r="68" spans="1:5" x14ac:dyDescent="0.25">
      <c r="A68" s="420" t="s">
        <v>8</v>
      </c>
      <c r="B68" s="707">
        <v>0.39130434782608692</v>
      </c>
      <c r="C68"/>
      <c r="D68"/>
      <c r="E68"/>
    </row>
    <row r="69" spans="1:5" x14ac:dyDescent="0.25">
      <c r="A69" s="420" t="s">
        <v>20</v>
      </c>
      <c r="B69" s="707">
        <v>0.43478260869565216</v>
      </c>
      <c r="C69"/>
      <c r="D69"/>
      <c r="E69"/>
    </row>
    <row r="70" spans="1:5" x14ac:dyDescent="0.25">
      <c r="A70" s="420" t="s">
        <v>366</v>
      </c>
      <c r="B70" s="707">
        <v>0.20063694267515925</v>
      </c>
      <c r="C70"/>
      <c r="D70"/>
      <c r="E70"/>
    </row>
    <row r="71" spans="1:5" x14ac:dyDescent="0.25">
      <c r="A71" s="420" t="s">
        <v>22</v>
      </c>
      <c r="B71" s="707">
        <v>0.16296012269938648</v>
      </c>
      <c r="C71"/>
      <c r="D71"/>
      <c r="E71"/>
    </row>
    <row r="72" spans="1:5" x14ac:dyDescent="0.25">
      <c r="A72" s="420" t="s">
        <v>24</v>
      </c>
      <c r="B72" s="707">
        <v>1.1000000000000001</v>
      </c>
      <c r="C72"/>
      <c r="D72"/>
      <c r="E72"/>
    </row>
    <row r="73" spans="1:5" x14ac:dyDescent="0.25">
      <c r="A73" s="420" t="s">
        <v>26</v>
      </c>
      <c r="B73" s="707">
        <v>0.76</v>
      </c>
      <c r="C73"/>
      <c r="D73"/>
      <c r="E73"/>
    </row>
    <row r="74" spans="1:5" x14ac:dyDescent="0.25">
      <c r="A74" s="420" t="s">
        <v>416</v>
      </c>
      <c r="B74" s="707">
        <v>0.46355756610434562</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E4" zoomScale="90" zoomScaleNormal="90" workbookViewId="0">
      <selection activeCell="H6" sqref="H6 H18 H25 H47 H50 H54 H59 H62 H64 H67 H71 H74 H76 H79 H89 H101 H117 H143 H150"/>
      <pivotSelection pane="bottomRight" showHeader="1" axis="axisRow" dimension="1" activeRow="5" activeCol="7" previousRow="5" previousCol="7" click="1" r:id="rId1">
        <pivotArea dataOnly="0" labelOnly="1" fieldPosition="0">
          <references count="1">
            <reference field="5" count="0"/>
          </references>
        </pivotArea>
      </pivotSelection>
    </sheetView>
  </sheetViews>
  <sheetFormatPr defaultRowHeight="15" x14ac:dyDescent="0.25"/>
  <cols>
    <col min="1" max="1" width="14.28515625" customWidth="1"/>
    <col min="2" max="2" width="25.28515625" style="103" customWidth="1"/>
    <col min="3" max="3" width="47.28515625" customWidth="1"/>
    <col min="4" max="4" width="16" bestFit="1" customWidth="1"/>
    <col min="6" max="7" width="0" hidden="1" customWidth="1"/>
    <col min="8" max="8" width="52.7109375" customWidth="1"/>
    <col min="9" max="9" width="10.140625" customWidth="1"/>
    <col min="10" max="10" width="18.28515625" customWidth="1"/>
    <col min="11" max="11" width="22.28515625" customWidth="1"/>
    <col min="12" max="12" width="7.7109375" customWidth="1"/>
    <col min="13" max="13" width="13.7109375" customWidth="1"/>
  </cols>
  <sheetData>
    <row r="1" spans="1:13" x14ac:dyDescent="0.25">
      <c r="A1" s="421" t="s">
        <v>500</v>
      </c>
      <c r="B1" s="26" t="s">
        <v>1132</v>
      </c>
      <c r="H1" s="621" t="s">
        <v>500</v>
      </c>
      <c r="I1" s="622" t="s">
        <v>502</v>
      </c>
    </row>
    <row r="2" spans="1:13" x14ac:dyDescent="0.25">
      <c r="H2" s="621" t="s">
        <v>402</v>
      </c>
      <c r="I2" s="622" t="s">
        <v>556</v>
      </c>
    </row>
    <row r="3" spans="1:13" x14ac:dyDescent="0.25">
      <c r="A3" s="644" t="s">
        <v>0</v>
      </c>
      <c r="B3" s="645" t="s">
        <v>560</v>
      </c>
      <c r="C3" s="430" t="s">
        <v>512</v>
      </c>
      <c r="D3" s="428" t="s">
        <v>1013</v>
      </c>
    </row>
    <row r="4" spans="1:13" x14ac:dyDescent="0.25">
      <c r="A4" s="661" t="s">
        <v>5</v>
      </c>
      <c r="B4" s="661" t="s">
        <v>21</v>
      </c>
      <c r="C4" s="26" t="s">
        <v>22</v>
      </c>
      <c r="D4" s="698">
        <v>0.65184049079754613</v>
      </c>
      <c r="H4" s="644" t="s">
        <v>415</v>
      </c>
      <c r="I4" s="661" t="s">
        <v>874</v>
      </c>
      <c r="J4" s="610" t="s">
        <v>1137</v>
      </c>
      <c r="K4" s="661" t="s">
        <v>1135</v>
      </c>
      <c r="L4" s="610" t="s">
        <v>1138</v>
      </c>
      <c r="M4" s="661" t="s">
        <v>1139</v>
      </c>
    </row>
    <row r="5" spans="1:13" x14ac:dyDescent="0.25">
      <c r="A5" s="426"/>
      <c r="B5" s="426" t="s">
        <v>17</v>
      </c>
      <c r="C5" s="26" t="s">
        <v>18</v>
      </c>
      <c r="D5" s="699">
        <v>0.75000000000000011</v>
      </c>
      <c r="H5" s="680" t="s">
        <v>5</v>
      </c>
      <c r="I5" s="660"/>
      <c r="J5" s="677"/>
      <c r="K5" s="660"/>
      <c r="L5" s="678"/>
      <c r="M5" s="684"/>
    </row>
    <row r="6" spans="1:13" x14ac:dyDescent="0.25">
      <c r="A6" s="426"/>
      <c r="B6" s="426" t="s">
        <v>4</v>
      </c>
      <c r="C6" s="26" t="s">
        <v>6</v>
      </c>
      <c r="D6" s="699">
        <v>0.56478405315614622</v>
      </c>
      <c r="H6" s="681" t="s">
        <v>5</v>
      </c>
      <c r="I6" s="660">
        <v>1367</v>
      </c>
      <c r="J6" s="677">
        <v>441</v>
      </c>
      <c r="K6" s="660">
        <v>330</v>
      </c>
      <c r="L6" s="678">
        <v>0.32260424286759326</v>
      </c>
      <c r="M6" s="684">
        <v>0.24140453547915142</v>
      </c>
    </row>
    <row r="7" spans="1:13" x14ac:dyDescent="0.25">
      <c r="A7" s="426"/>
      <c r="B7" s="426" t="s">
        <v>13</v>
      </c>
      <c r="C7" s="26" t="s">
        <v>14</v>
      </c>
      <c r="D7" s="699">
        <v>0.88372093023255816</v>
      </c>
      <c r="H7" s="682" t="s">
        <v>22</v>
      </c>
      <c r="I7" s="669">
        <v>652</v>
      </c>
      <c r="J7" s="679">
        <v>227</v>
      </c>
      <c r="K7" s="669">
        <v>227</v>
      </c>
      <c r="L7" s="667">
        <v>0.34815950920245398</v>
      </c>
      <c r="M7" s="672">
        <v>0.34815950920245398</v>
      </c>
    </row>
    <row r="8" spans="1:13" x14ac:dyDescent="0.25">
      <c r="A8" s="426"/>
      <c r="B8" s="426" t="s">
        <v>25</v>
      </c>
      <c r="C8" s="26" t="s">
        <v>26</v>
      </c>
      <c r="D8" s="699">
        <v>3.8000000000000003</v>
      </c>
      <c r="H8" s="663" t="s">
        <v>6</v>
      </c>
      <c r="I8" s="670">
        <v>301</v>
      </c>
      <c r="J8" s="664">
        <v>131</v>
      </c>
      <c r="K8" s="670">
        <v>20</v>
      </c>
      <c r="L8" s="662">
        <v>0.43521594684385384</v>
      </c>
      <c r="M8" s="673">
        <v>6.6445182724252497E-2</v>
      </c>
    </row>
    <row r="9" spans="1:13" x14ac:dyDescent="0.25">
      <c r="A9" s="426"/>
      <c r="B9" s="426" t="s">
        <v>19</v>
      </c>
      <c r="C9" s="26" t="s">
        <v>20</v>
      </c>
      <c r="D9" s="699">
        <v>0.43478260869565216</v>
      </c>
      <c r="H9" s="665" t="s">
        <v>366</v>
      </c>
      <c r="I9" s="670">
        <v>157</v>
      </c>
      <c r="J9" s="539">
        <v>31</v>
      </c>
      <c r="K9" s="670">
        <v>31</v>
      </c>
      <c r="L9" s="662">
        <v>0.19745222929936307</v>
      </c>
      <c r="M9" s="673">
        <v>0.19745222929936307</v>
      </c>
    </row>
    <row r="10" spans="1:13" x14ac:dyDescent="0.25">
      <c r="A10" s="426"/>
      <c r="B10" s="426" t="s">
        <v>23</v>
      </c>
      <c r="C10" s="26" t="s">
        <v>24</v>
      </c>
      <c r="D10" s="699">
        <v>2.2000000000000002</v>
      </c>
      <c r="H10" s="665" t="s">
        <v>18</v>
      </c>
      <c r="I10" s="670">
        <v>116</v>
      </c>
      <c r="J10" s="539">
        <v>29</v>
      </c>
      <c r="K10" s="670">
        <v>29</v>
      </c>
      <c r="L10" s="662">
        <v>0.25</v>
      </c>
      <c r="M10" s="673">
        <v>0.25</v>
      </c>
    </row>
    <row r="11" spans="1:13" x14ac:dyDescent="0.25">
      <c r="A11" s="426"/>
      <c r="B11" s="426" t="s">
        <v>376</v>
      </c>
      <c r="C11" s="26" t="s">
        <v>366</v>
      </c>
      <c r="D11" s="699">
        <v>0.80254777070063699</v>
      </c>
      <c r="H11" s="665" t="s">
        <v>20</v>
      </c>
      <c r="I11" s="670">
        <v>23</v>
      </c>
      <c r="J11" s="539">
        <v>13</v>
      </c>
      <c r="K11" s="670">
        <v>13</v>
      </c>
      <c r="L11" s="662">
        <v>0.56521739130434778</v>
      </c>
      <c r="M11" s="673">
        <v>0.56521739130434778</v>
      </c>
    </row>
    <row r="12" spans="1:13" x14ac:dyDescent="0.25">
      <c r="A12" s="426"/>
      <c r="B12" s="426" t="s">
        <v>7</v>
      </c>
      <c r="C12" s="26" t="s">
        <v>8</v>
      </c>
      <c r="D12" s="699">
        <v>0.78260869565217384</v>
      </c>
      <c r="H12" s="665" t="s">
        <v>14</v>
      </c>
      <c r="I12" s="670">
        <v>43</v>
      </c>
      <c r="J12" s="539">
        <v>5</v>
      </c>
      <c r="K12" s="670">
        <v>5</v>
      </c>
      <c r="L12" s="662">
        <v>0.11627906976744186</v>
      </c>
      <c r="M12" s="673">
        <v>0.11627906976744186</v>
      </c>
    </row>
    <row r="13" spans="1:13" x14ac:dyDescent="0.25">
      <c r="A13" s="427"/>
      <c r="B13" s="427" t="s">
        <v>377</v>
      </c>
      <c r="C13" s="26" t="s">
        <v>514</v>
      </c>
      <c r="D13" s="700">
        <v>3.5</v>
      </c>
      <c r="H13" s="665" t="s">
        <v>8</v>
      </c>
      <c r="I13" s="670">
        <v>23</v>
      </c>
      <c r="J13" s="539">
        <v>5</v>
      </c>
      <c r="K13" s="670">
        <v>5</v>
      </c>
      <c r="L13" s="662">
        <v>0.21739130434782608</v>
      </c>
      <c r="M13" s="673">
        <v>0.21739130434782608</v>
      </c>
    </row>
    <row r="14" spans="1:13" x14ac:dyDescent="0.25">
      <c r="A14" s="426" t="s">
        <v>27</v>
      </c>
      <c r="B14" s="426" t="s">
        <v>30</v>
      </c>
      <c r="C14" s="427" t="s">
        <v>1112</v>
      </c>
      <c r="D14" s="699">
        <v>0.90677966101694918</v>
      </c>
      <c r="H14" s="665" t="s">
        <v>514</v>
      </c>
      <c r="I14" s="670">
        <v>12</v>
      </c>
      <c r="J14" s="539">
        <v>0</v>
      </c>
      <c r="K14" s="670">
        <v>0</v>
      </c>
      <c r="L14" s="662">
        <v>0</v>
      </c>
      <c r="M14" s="673">
        <v>0</v>
      </c>
    </row>
    <row r="15" spans="1:13" x14ac:dyDescent="0.25">
      <c r="A15" s="426"/>
      <c r="B15" s="426" t="s">
        <v>378</v>
      </c>
      <c r="C15" s="427" t="s">
        <v>365</v>
      </c>
      <c r="D15" s="699">
        <v>0.50694444444444442</v>
      </c>
      <c r="H15" s="665" t="s">
        <v>26</v>
      </c>
      <c r="I15" s="670">
        <v>15</v>
      </c>
      <c r="J15" s="539">
        <v>0</v>
      </c>
      <c r="K15" s="670">
        <v>0</v>
      </c>
      <c r="L15" s="662">
        <v>0</v>
      </c>
      <c r="M15" s="673">
        <v>0</v>
      </c>
    </row>
    <row r="16" spans="1:13" x14ac:dyDescent="0.25">
      <c r="A16" s="427"/>
      <c r="B16" s="427" t="s">
        <v>869</v>
      </c>
      <c r="C16" s="427" t="s">
        <v>870</v>
      </c>
      <c r="D16" s="700">
        <v>0</v>
      </c>
      <c r="H16" s="668" t="s">
        <v>24</v>
      </c>
      <c r="I16" s="671">
        <v>25</v>
      </c>
      <c r="J16" s="650">
        <v>0</v>
      </c>
      <c r="K16" s="671">
        <v>0</v>
      </c>
      <c r="L16" s="666">
        <v>0</v>
      </c>
      <c r="M16" s="674">
        <v>0</v>
      </c>
    </row>
    <row r="17" spans="1:13" x14ac:dyDescent="0.25">
      <c r="A17" s="426" t="s">
        <v>529</v>
      </c>
      <c r="B17" s="426" t="s">
        <v>1014</v>
      </c>
      <c r="C17" s="426" t="s">
        <v>906</v>
      </c>
      <c r="D17" s="699">
        <v>0</v>
      </c>
      <c r="H17" s="649" t="s">
        <v>27</v>
      </c>
      <c r="I17" s="671"/>
      <c r="J17" s="650"/>
      <c r="K17" s="671"/>
      <c r="L17" s="666"/>
      <c r="M17" s="674"/>
    </row>
    <row r="18" spans="1:13" x14ac:dyDescent="0.25">
      <c r="A18" s="426"/>
      <c r="B18" s="426"/>
      <c r="C18" s="427" t="s">
        <v>865</v>
      </c>
      <c r="D18" s="699">
        <v>0</v>
      </c>
      <c r="H18" s="683" t="s">
        <v>27</v>
      </c>
      <c r="I18" s="671">
        <v>511</v>
      </c>
      <c r="J18" s="650">
        <v>331</v>
      </c>
      <c r="K18" s="671">
        <v>331</v>
      </c>
      <c r="L18" s="666">
        <v>0.64774951076320941</v>
      </c>
      <c r="M18" s="674">
        <v>0.64774951076320941</v>
      </c>
    </row>
    <row r="19" spans="1:13" x14ac:dyDescent="0.25">
      <c r="A19" s="426"/>
      <c r="B19" s="426" t="s">
        <v>99</v>
      </c>
      <c r="C19" s="427" t="s">
        <v>100</v>
      </c>
      <c r="D19" s="699">
        <v>2</v>
      </c>
      <c r="H19" s="663" t="s">
        <v>364</v>
      </c>
      <c r="I19" s="670">
        <v>154</v>
      </c>
      <c r="J19" s="664">
        <v>154</v>
      </c>
      <c r="K19" s="670">
        <v>154</v>
      </c>
      <c r="L19" s="662">
        <v>1</v>
      </c>
      <c r="M19" s="673">
        <v>1</v>
      </c>
    </row>
    <row r="20" spans="1:13" x14ac:dyDescent="0.25">
      <c r="A20" s="426"/>
      <c r="B20" s="426" t="s">
        <v>107</v>
      </c>
      <c r="C20" s="427" t="s">
        <v>108</v>
      </c>
      <c r="D20" s="699">
        <v>1.0185185185185186</v>
      </c>
      <c r="H20" s="665" t="s">
        <v>365</v>
      </c>
      <c r="I20" s="670">
        <v>144</v>
      </c>
      <c r="J20" s="539">
        <v>71</v>
      </c>
      <c r="K20" s="670">
        <v>71</v>
      </c>
      <c r="L20" s="662">
        <v>0.49305555555555558</v>
      </c>
      <c r="M20" s="673">
        <v>0.49305555555555558</v>
      </c>
    </row>
    <row r="21" spans="1:13" x14ac:dyDescent="0.25">
      <c r="A21" s="426"/>
      <c r="B21" s="426" t="s">
        <v>139</v>
      </c>
      <c r="C21" s="427" t="s">
        <v>140</v>
      </c>
      <c r="D21" s="699">
        <v>0.5</v>
      </c>
      <c r="H21" s="665" t="s">
        <v>870</v>
      </c>
      <c r="I21" s="670">
        <v>65</v>
      </c>
      <c r="J21" s="539">
        <v>65</v>
      </c>
      <c r="K21" s="670">
        <v>65</v>
      </c>
      <c r="L21" s="662">
        <v>1</v>
      </c>
      <c r="M21" s="673">
        <v>1</v>
      </c>
    </row>
    <row r="22" spans="1:13" x14ac:dyDescent="0.25">
      <c r="A22" s="426"/>
      <c r="B22" s="426" t="s">
        <v>71</v>
      </c>
      <c r="C22" s="427" t="s">
        <v>72</v>
      </c>
      <c r="D22" s="699">
        <v>1</v>
      </c>
      <c r="H22" s="665" t="s">
        <v>1026</v>
      </c>
      <c r="I22" s="670">
        <v>30</v>
      </c>
      <c r="J22" s="539">
        <v>30</v>
      </c>
      <c r="K22" s="670">
        <v>30</v>
      </c>
      <c r="L22" s="662">
        <v>1</v>
      </c>
      <c r="M22" s="673">
        <v>1</v>
      </c>
    </row>
    <row r="23" spans="1:13" x14ac:dyDescent="0.25">
      <c r="A23" s="426"/>
      <c r="B23" s="426" t="s">
        <v>51</v>
      </c>
      <c r="C23" s="427" t="s">
        <v>52</v>
      </c>
      <c r="D23" s="699">
        <v>0.5714285714285714</v>
      </c>
      <c r="H23" s="668" t="s">
        <v>28</v>
      </c>
      <c r="I23" s="671">
        <v>118</v>
      </c>
      <c r="J23" s="650">
        <v>11</v>
      </c>
      <c r="K23" s="671">
        <v>11</v>
      </c>
      <c r="L23" s="666">
        <v>9.3220338983050849E-2</v>
      </c>
      <c r="M23" s="674">
        <v>9.3220338983050849E-2</v>
      </c>
    </row>
    <row r="24" spans="1:13" x14ac:dyDescent="0.25">
      <c r="A24" s="426"/>
      <c r="B24" s="426" t="s">
        <v>75</v>
      </c>
      <c r="C24" s="427" t="s">
        <v>76</v>
      </c>
      <c r="D24" s="699">
        <v>1.1538461538461537</v>
      </c>
      <c r="H24" s="649" t="s">
        <v>529</v>
      </c>
      <c r="I24" s="671"/>
      <c r="J24" s="650"/>
      <c r="K24" s="671"/>
      <c r="L24" s="666"/>
      <c r="M24" s="674"/>
    </row>
    <row r="25" spans="1:13" x14ac:dyDescent="0.25">
      <c r="A25" s="426"/>
      <c r="B25" s="426" t="s">
        <v>40</v>
      </c>
      <c r="C25" s="427" t="s">
        <v>41</v>
      </c>
      <c r="D25" s="699">
        <v>0.67164179104477617</v>
      </c>
      <c r="H25" s="683" t="s">
        <v>529</v>
      </c>
      <c r="I25" s="671">
        <v>724</v>
      </c>
      <c r="J25" s="650">
        <v>341</v>
      </c>
      <c r="K25" s="671">
        <v>341</v>
      </c>
      <c r="L25" s="666">
        <v>0.47099447513812154</v>
      </c>
      <c r="M25" s="674">
        <v>0.47099447513812154</v>
      </c>
    </row>
    <row r="26" spans="1:13" x14ac:dyDescent="0.25">
      <c r="A26" s="426"/>
      <c r="B26" s="426" t="s">
        <v>61</v>
      </c>
      <c r="C26" s="427" t="s">
        <v>62</v>
      </c>
      <c r="D26" s="699">
        <v>0.26315789473684209</v>
      </c>
      <c r="H26" s="665" t="s">
        <v>1072</v>
      </c>
      <c r="I26" s="670">
        <v>116</v>
      </c>
      <c r="J26" s="539">
        <v>116</v>
      </c>
      <c r="K26" s="670">
        <v>116</v>
      </c>
      <c r="L26" s="662">
        <v>1</v>
      </c>
      <c r="M26" s="673">
        <v>1</v>
      </c>
    </row>
    <row r="27" spans="1:13" x14ac:dyDescent="0.25">
      <c r="A27" s="426"/>
      <c r="B27" s="426" t="s">
        <v>89</v>
      </c>
      <c r="C27" s="427" t="s">
        <v>90</v>
      </c>
      <c r="D27" s="699">
        <v>1</v>
      </c>
      <c r="H27" s="665" t="s">
        <v>120</v>
      </c>
      <c r="I27" s="670">
        <v>75</v>
      </c>
      <c r="J27" s="539">
        <v>75</v>
      </c>
      <c r="K27" s="670">
        <v>75</v>
      </c>
      <c r="L27" s="662">
        <v>1</v>
      </c>
      <c r="M27" s="673">
        <v>1</v>
      </c>
    </row>
    <row r="28" spans="1:13" x14ac:dyDescent="0.25">
      <c r="A28" s="426"/>
      <c r="B28" s="426" t="s">
        <v>117</v>
      </c>
      <c r="C28" s="427" t="s">
        <v>118</v>
      </c>
      <c r="D28" s="699">
        <v>1</v>
      </c>
      <c r="H28" s="665" t="s">
        <v>62</v>
      </c>
      <c r="I28" s="670">
        <v>76</v>
      </c>
      <c r="J28" s="539">
        <v>56</v>
      </c>
      <c r="K28" s="670">
        <v>56</v>
      </c>
      <c r="L28" s="662">
        <v>0.73684210526315785</v>
      </c>
      <c r="M28" s="673">
        <v>0.73684210526315785</v>
      </c>
    </row>
    <row r="29" spans="1:13" x14ac:dyDescent="0.25">
      <c r="A29" s="426"/>
      <c r="B29" s="426" t="s">
        <v>123</v>
      </c>
      <c r="C29" s="427" t="s">
        <v>124</v>
      </c>
      <c r="D29" s="699">
        <v>0.625</v>
      </c>
      <c r="H29" s="663" t="s">
        <v>126</v>
      </c>
      <c r="I29" s="670">
        <v>41</v>
      </c>
      <c r="J29" s="664">
        <v>26</v>
      </c>
      <c r="K29" s="670">
        <v>26</v>
      </c>
      <c r="L29" s="662">
        <v>0.63414634146341464</v>
      </c>
      <c r="M29" s="673">
        <v>0.63414634146341464</v>
      </c>
    </row>
    <row r="30" spans="1:13" x14ac:dyDescent="0.25">
      <c r="A30" s="426"/>
      <c r="B30" s="426" t="s">
        <v>125</v>
      </c>
      <c r="C30" s="427" t="s">
        <v>126</v>
      </c>
      <c r="D30" s="699">
        <v>0.36585365853658536</v>
      </c>
      <c r="H30" s="665" t="s">
        <v>41</v>
      </c>
      <c r="I30" s="670">
        <v>67</v>
      </c>
      <c r="J30" s="539">
        <v>22</v>
      </c>
      <c r="K30" s="670">
        <v>22</v>
      </c>
      <c r="L30" s="662">
        <v>0.32835820895522388</v>
      </c>
      <c r="M30" s="673">
        <v>0.32835820895522388</v>
      </c>
    </row>
    <row r="31" spans="1:13" x14ac:dyDescent="0.25">
      <c r="A31" s="426"/>
      <c r="B31" s="426" t="s">
        <v>45</v>
      </c>
      <c r="C31" s="427" t="s">
        <v>44</v>
      </c>
      <c r="D31" s="699">
        <v>1.153846153846154</v>
      </c>
      <c r="H31" s="665" t="s">
        <v>52</v>
      </c>
      <c r="I31" s="670">
        <v>35</v>
      </c>
      <c r="J31" s="539">
        <v>15</v>
      </c>
      <c r="K31" s="670">
        <v>15</v>
      </c>
      <c r="L31" s="662">
        <v>0.42857142857142855</v>
      </c>
      <c r="M31" s="673">
        <v>0.42857142857142855</v>
      </c>
    </row>
    <row r="32" spans="1:13" x14ac:dyDescent="0.25">
      <c r="A32" s="426"/>
      <c r="B32" s="426" t="s">
        <v>46</v>
      </c>
      <c r="C32" s="427" t="s">
        <v>613</v>
      </c>
      <c r="D32" s="699">
        <v>0.88235294117647056</v>
      </c>
      <c r="H32" s="665" t="s">
        <v>88</v>
      </c>
      <c r="I32" s="670">
        <v>12</v>
      </c>
      <c r="J32" s="539">
        <v>12</v>
      </c>
      <c r="K32" s="670">
        <v>12</v>
      </c>
      <c r="L32" s="662">
        <v>1</v>
      </c>
      <c r="M32" s="673">
        <v>1</v>
      </c>
    </row>
    <row r="33" spans="1:13" x14ac:dyDescent="0.25">
      <c r="A33" s="426"/>
      <c r="B33" s="426" t="s">
        <v>42</v>
      </c>
      <c r="C33" s="427" t="s">
        <v>43</v>
      </c>
      <c r="D33" s="699">
        <v>0.7142857142857143</v>
      </c>
      <c r="H33" s="665" t="s">
        <v>140</v>
      </c>
      <c r="I33" s="670">
        <v>20</v>
      </c>
      <c r="J33" s="539">
        <v>10</v>
      </c>
      <c r="K33" s="670">
        <v>10</v>
      </c>
      <c r="L33" s="662">
        <v>0.5</v>
      </c>
      <c r="M33" s="673">
        <v>0.5</v>
      </c>
    </row>
    <row r="34" spans="1:13" x14ac:dyDescent="0.25">
      <c r="A34" s="426"/>
      <c r="B34" s="427" t="s">
        <v>91</v>
      </c>
      <c r="C34" s="427" t="s">
        <v>92</v>
      </c>
      <c r="D34" s="700">
        <v>1</v>
      </c>
      <c r="H34" s="665" t="s">
        <v>43</v>
      </c>
      <c r="I34" s="670">
        <v>14</v>
      </c>
      <c r="J34" s="539">
        <v>4</v>
      </c>
      <c r="K34" s="670">
        <v>4</v>
      </c>
      <c r="L34" s="662">
        <v>0.2857142857142857</v>
      </c>
      <c r="M34" s="673">
        <v>0.2857142857142857</v>
      </c>
    </row>
    <row r="35" spans="1:13" x14ac:dyDescent="0.25">
      <c r="A35" s="427"/>
      <c r="B35" s="498" t="s">
        <v>1130</v>
      </c>
      <c r="C35" s="498" t="s">
        <v>1129</v>
      </c>
      <c r="D35" s="429">
        <v>1</v>
      </c>
      <c r="H35" s="665" t="s">
        <v>124</v>
      </c>
      <c r="I35" s="670">
        <v>8</v>
      </c>
      <c r="J35" s="539">
        <v>3</v>
      </c>
      <c r="K35" s="670">
        <v>3</v>
      </c>
      <c r="L35" s="662">
        <v>0.375</v>
      </c>
      <c r="M35" s="673">
        <v>0.375</v>
      </c>
    </row>
    <row r="36" spans="1:13" x14ac:dyDescent="0.25">
      <c r="A36" s="426" t="s">
        <v>146</v>
      </c>
      <c r="B36" s="426" t="s">
        <v>148</v>
      </c>
      <c r="C36" s="427" t="s">
        <v>149</v>
      </c>
      <c r="D36" s="699">
        <v>0.36619718309859156</v>
      </c>
      <c r="H36" s="665" t="s">
        <v>613</v>
      </c>
      <c r="I36" s="670">
        <v>17</v>
      </c>
      <c r="J36" s="539">
        <v>2</v>
      </c>
      <c r="K36" s="670">
        <v>2</v>
      </c>
      <c r="L36" s="662">
        <v>0.11764705882352941</v>
      </c>
      <c r="M36" s="673">
        <v>0.11764705882352941</v>
      </c>
    </row>
    <row r="37" spans="1:13" x14ac:dyDescent="0.25">
      <c r="A37" s="426"/>
      <c r="B37" s="426" t="s">
        <v>383</v>
      </c>
      <c r="C37" s="427" t="s">
        <v>369</v>
      </c>
      <c r="D37" s="699">
        <v>1.25</v>
      </c>
      <c r="H37" s="665" t="s">
        <v>118</v>
      </c>
      <c r="I37" s="670">
        <v>10</v>
      </c>
      <c r="J37" s="539">
        <v>0</v>
      </c>
      <c r="K37" s="670">
        <v>0</v>
      </c>
      <c r="L37" s="662">
        <v>0</v>
      </c>
      <c r="M37" s="673">
        <v>0</v>
      </c>
    </row>
    <row r="38" spans="1:13" x14ac:dyDescent="0.25">
      <c r="A38" s="426"/>
      <c r="B38" s="426" t="s">
        <v>384</v>
      </c>
      <c r="C38" s="427" t="s">
        <v>370</v>
      </c>
      <c r="D38" s="699">
        <v>1.6</v>
      </c>
      <c r="H38" s="665" t="s">
        <v>100</v>
      </c>
      <c r="I38" s="670">
        <v>5</v>
      </c>
      <c r="J38" s="539">
        <v>0</v>
      </c>
      <c r="K38" s="670">
        <v>0</v>
      </c>
      <c r="L38" s="662">
        <v>0</v>
      </c>
      <c r="M38" s="673">
        <v>0</v>
      </c>
    </row>
    <row r="39" spans="1:13" x14ac:dyDescent="0.25">
      <c r="A39" s="426"/>
      <c r="B39" s="426" t="s">
        <v>382</v>
      </c>
      <c r="C39" s="427" t="s">
        <v>372</v>
      </c>
      <c r="D39" s="699">
        <v>1.3908045977011494</v>
      </c>
      <c r="H39" s="665" t="s">
        <v>108</v>
      </c>
      <c r="I39" s="670">
        <v>54</v>
      </c>
      <c r="J39" s="539">
        <v>0</v>
      </c>
      <c r="K39" s="670">
        <v>0</v>
      </c>
      <c r="L39" s="662">
        <v>0</v>
      </c>
      <c r="M39" s="673">
        <v>0</v>
      </c>
    </row>
    <row r="40" spans="1:13" x14ac:dyDescent="0.25">
      <c r="A40" s="426"/>
      <c r="B40" s="426" t="s">
        <v>385</v>
      </c>
      <c r="C40" s="427" t="s">
        <v>368</v>
      </c>
      <c r="D40" s="699">
        <v>0.79746835443037978</v>
      </c>
      <c r="H40" s="665" t="s">
        <v>44</v>
      </c>
      <c r="I40" s="670">
        <v>13</v>
      </c>
      <c r="J40" s="539">
        <v>0</v>
      </c>
      <c r="K40" s="670">
        <v>0</v>
      </c>
      <c r="L40" s="662">
        <v>0</v>
      </c>
      <c r="M40" s="673">
        <v>0</v>
      </c>
    </row>
    <row r="41" spans="1:13" x14ac:dyDescent="0.25">
      <c r="A41" s="426"/>
      <c r="B41" s="426" t="s">
        <v>387</v>
      </c>
      <c r="C41" s="427" t="s">
        <v>373</v>
      </c>
      <c r="D41" s="699">
        <v>0.47752808988764045</v>
      </c>
      <c r="H41" s="665" t="s">
        <v>76</v>
      </c>
      <c r="I41" s="670">
        <v>65</v>
      </c>
      <c r="J41" s="539">
        <v>0</v>
      </c>
      <c r="K41" s="670">
        <v>0</v>
      </c>
      <c r="L41" s="662">
        <v>0</v>
      </c>
      <c r="M41" s="673">
        <v>0</v>
      </c>
    </row>
    <row r="42" spans="1:13" x14ac:dyDescent="0.25">
      <c r="A42" s="427"/>
      <c r="B42" s="427" t="s">
        <v>147</v>
      </c>
      <c r="C42" s="427" t="s">
        <v>371</v>
      </c>
      <c r="D42" s="700">
        <v>9.8039215686274508E-2</v>
      </c>
      <c r="H42" s="665" t="s">
        <v>92</v>
      </c>
      <c r="I42" s="670">
        <v>15</v>
      </c>
      <c r="J42" s="539">
        <v>0</v>
      </c>
      <c r="K42" s="670">
        <v>0</v>
      </c>
      <c r="L42" s="662">
        <v>0</v>
      </c>
      <c r="M42" s="673">
        <v>0</v>
      </c>
    </row>
    <row r="43" spans="1:13" x14ac:dyDescent="0.25">
      <c r="A43" s="426" t="s">
        <v>151</v>
      </c>
      <c r="B43" s="426" t="s">
        <v>150</v>
      </c>
      <c r="C43" s="427" t="s">
        <v>152</v>
      </c>
      <c r="D43" s="699">
        <v>0.47511312217194568</v>
      </c>
      <c r="H43" s="665" t="s">
        <v>72</v>
      </c>
      <c r="I43" s="670">
        <v>6</v>
      </c>
      <c r="J43" s="539">
        <v>0</v>
      </c>
      <c r="K43" s="670">
        <v>0</v>
      </c>
      <c r="L43" s="662">
        <v>0</v>
      </c>
      <c r="M43" s="673">
        <v>0</v>
      </c>
    </row>
    <row r="44" spans="1:13" x14ac:dyDescent="0.25">
      <c r="A44" s="426"/>
      <c r="B44" s="426" t="s">
        <v>197</v>
      </c>
      <c r="C44" s="427" t="s">
        <v>198</v>
      </c>
      <c r="D44" s="699">
        <v>0.91312384473197783</v>
      </c>
      <c r="H44" s="665" t="s">
        <v>90</v>
      </c>
      <c r="I44" s="670">
        <v>25</v>
      </c>
      <c r="J44" s="539">
        <v>0</v>
      </c>
      <c r="K44" s="670">
        <v>0</v>
      </c>
      <c r="L44" s="662">
        <v>0</v>
      </c>
      <c r="M44" s="673">
        <v>0</v>
      </c>
    </row>
    <row r="45" spans="1:13" x14ac:dyDescent="0.25">
      <c r="A45" s="426"/>
      <c r="B45" s="426" t="s">
        <v>153</v>
      </c>
      <c r="C45" s="427" t="s">
        <v>154</v>
      </c>
      <c r="D45" s="699">
        <v>0.41152263374485598</v>
      </c>
      <c r="H45" s="668" t="s">
        <v>1129</v>
      </c>
      <c r="I45" s="671">
        <v>50</v>
      </c>
      <c r="J45" s="650">
        <v>0</v>
      </c>
      <c r="K45" s="671">
        <v>0</v>
      </c>
      <c r="L45" s="666">
        <v>0</v>
      </c>
      <c r="M45" s="674">
        <v>0</v>
      </c>
    </row>
    <row r="46" spans="1:13" x14ac:dyDescent="0.25">
      <c r="A46" s="426"/>
      <c r="B46" s="426" t="s">
        <v>159</v>
      </c>
      <c r="C46" s="427" t="s">
        <v>160</v>
      </c>
      <c r="D46" s="699">
        <v>0.64912280701754388</v>
      </c>
      <c r="H46" s="649" t="s">
        <v>784</v>
      </c>
      <c r="I46" s="671"/>
      <c r="J46" s="650"/>
      <c r="K46" s="671"/>
      <c r="L46" s="666"/>
      <c r="M46" s="674"/>
    </row>
    <row r="47" spans="1:13" x14ac:dyDescent="0.25">
      <c r="A47" s="426"/>
      <c r="B47" s="426" t="s">
        <v>892</v>
      </c>
      <c r="C47" s="427" t="s">
        <v>891</v>
      </c>
      <c r="D47" s="699">
        <v>0.60215053763440862</v>
      </c>
      <c r="H47" s="683" t="s">
        <v>784</v>
      </c>
      <c r="I47" s="671">
        <v>44</v>
      </c>
      <c r="J47" s="650">
        <v>34</v>
      </c>
      <c r="K47" s="671">
        <v>34</v>
      </c>
      <c r="L47" s="666">
        <v>0.77272727272727271</v>
      </c>
      <c r="M47" s="674">
        <v>0.77272727272727271</v>
      </c>
    </row>
    <row r="48" spans="1:13" x14ac:dyDescent="0.25">
      <c r="A48" s="426"/>
      <c r="B48" s="426" t="s">
        <v>187</v>
      </c>
      <c r="C48" s="427" t="s">
        <v>188</v>
      </c>
      <c r="D48" s="699">
        <v>1.0919540229885056</v>
      </c>
      <c r="H48" s="668" t="s">
        <v>1309</v>
      </c>
      <c r="I48" s="671">
        <v>44</v>
      </c>
      <c r="J48" s="650">
        <v>34</v>
      </c>
      <c r="K48" s="671">
        <v>34</v>
      </c>
      <c r="L48" s="666">
        <v>0.77272727272727271</v>
      </c>
      <c r="M48" s="674">
        <v>0.77272727272727271</v>
      </c>
    </row>
    <row r="49" spans="1:13" x14ac:dyDescent="0.25">
      <c r="A49" s="426"/>
      <c r="B49" s="426" t="s">
        <v>948</v>
      </c>
      <c r="C49" s="427" t="s">
        <v>949</v>
      </c>
      <c r="D49" s="699">
        <v>0.41322314049586778</v>
      </c>
      <c r="H49" s="649" t="s">
        <v>1204</v>
      </c>
      <c r="I49" s="671"/>
      <c r="J49" s="650"/>
      <c r="K49" s="671"/>
      <c r="L49" s="666"/>
      <c r="M49" s="674"/>
    </row>
    <row r="50" spans="1:13" x14ac:dyDescent="0.25">
      <c r="A50" s="427"/>
      <c r="B50" s="427" t="s">
        <v>1042</v>
      </c>
      <c r="C50" s="427" t="s">
        <v>1041</v>
      </c>
      <c r="D50" s="700">
        <v>0.54794520547945202</v>
      </c>
      <c r="H50" s="683" t="s">
        <v>813</v>
      </c>
      <c r="I50" s="671">
        <v>166</v>
      </c>
      <c r="J50" s="650">
        <v>166</v>
      </c>
      <c r="K50" s="671">
        <v>166</v>
      </c>
      <c r="L50" s="666">
        <v>1</v>
      </c>
      <c r="M50" s="674">
        <v>1</v>
      </c>
    </row>
    <row r="51" spans="1:13" x14ac:dyDescent="0.25">
      <c r="A51" s="426" t="s">
        <v>166</v>
      </c>
      <c r="B51" s="426" t="s">
        <v>165</v>
      </c>
      <c r="C51" s="427" t="s">
        <v>167</v>
      </c>
      <c r="D51" s="699">
        <v>1.0526315789473684</v>
      </c>
      <c r="H51" s="665" t="s">
        <v>1361</v>
      </c>
      <c r="I51" s="670">
        <v>161</v>
      </c>
      <c r="J51" s="539">
        <v>161</v>
      </c>
      <c r="K51" s="670">
        <v>161</v>
      </c>
      <c r="L51" s="662">
        <v>1</v>
      </c>
      <c r="M51" s="673">
        <v>1</v>
      </c>
    </row>
    <row r="52" spans="1:13" x14ac:dyDescent="0.25">
      <c r="A52" s="426"/>
      <c r="B52" s="426" t="s">
        <v>168</v>
      </c>
      <c r="C52" s="427" t="s">
        <v>169</v>
      </c>
      <c r="D52" s="699">
        <v>0.3125</v>
      </c>
      <c r="H52" s="665" t="s">
        <v>813</v>
      </c>
      <c r="I52" s="671">
        <v>5</v>
      </c>
      <c r="J52" s="650">
        <v>5</v>
      </c>
      <c r="K52" s="671">
        <v>5</v>
      </c>
      <c r="L52" s="666">
        <v>1</v>
      </c>
      <c r="M52" s="674">
        <v>1</v>
      </c>
    </row>
    <row r="53" spans="1:13" x14ac:dyDescent="0.25">
      <c r="A53" s="427"/>
      <c r="B53" s="427" t="s">
        <v>829</v>
      </c>
      <c r="C53" s="427" t="s">
        <v>828</v>
      </c>
      <c r="D53" s="700">
        <v>0.967741935483871</v>
      </c>
      <c r="H53" s="665" t="s">
        <v>1364</v>
      </c>
      <c r="I53" s="670"/>
      <c r="J53" s="539">
        <v>0</v>
      </c>
      <c r="K53" s="670">
        <v>0</v>
      </c>
      <c r="L53" s="662" t="e">
        <v>#DIV/0!</v>
      </c>
      <c r="M53" s="673" t="e">
        <v>#DIV/0!</v>
      </c>
    </row>
    <row r="54" spans="1:13" x14ac:dyDescent="0.25">
      <c r="A54" s="426" t="s">
        <v>173</v>
      </c>
      <c r="B54" s="426" t="s">
        <v>175</v>
      </c>
      <c r="C54" s="427" t="s">
        <v>176</v>
      </c>
      <c r="D54" s="699">
        <v>0.55555555555555558</v>
      </c>
      <c r="H54" s="683" t="s">
        <v>302</v>
      </c>
      <c r="I54" s="671">
        <v>123</v>
      </c>
      <c r="J54" s="650">
        <v>41</v>
      </c>
      <c r="K54" s="671">
        <v>41</v>
      </c>
      <c r="L54" s="666">
        <v>0.33333333333333331</v>
      </c>
      <c r="M54" s="674">
        <v>0.33333333333333331</v>
      </c>
    </row>
    <row r="55" spans="1:13" x14ac:dyDescent="0.25">
      <c r="A55" s="426"/>
      <c r="B55" s="426" t="s">
        <v>172</v>
      </c>
      <c r="C55" s="427" t="s">
        <v>174</v>
      </c>
      <c r="D55" s="699">
        <v>0.9375</v>
      </c>
      <c r="H55" s="665" t="s">
        <v>306</v>
      </c>
      <c r="I55" s="670">
        <v>83</v>
      </c>
      <c r="J55" s="539">
        <v>41</v>
      </c>
      <c r="K55" s="670">
        <v>41</v>
      </c>
      <c r="L55" s="662">
        <v>0.49397590361445781</v>
      </c>
      <c r="M55" s="673">
        <v>0.49397590361445781</v>
      </c>
    </row>
    <row r="56" spans="1:13" x14ac:dyDescent="0.25">
      <c r="A56" s="427"/>
      <c r="B56" s="427" t="s">
        <v>177</v>
      </c>
      <c r="C56" s="427" t="s">
        <v>178</v>
      </c>
      <c r="D56" s="700">
        <v>1.0714285714285714</v>
      </c>
      <c r="H56" s="665" t="s">
        <v>308</v>
      </c>
      <c r="I56" s="671">
        <v>40</v>
      </c>
      <c r="J56" s="650">
        <v>0</v>
      </c>
      <c r="K56" s="671">
        <v>0</v>
      </c>
      <c r="L56" s="666">
        <v>0</v>
      </c>
      <c r="M56" s="674">
        <v>0</v>
      </c>
    </row>
    <row r="57" spans="1:13" x14ac:dyDescent="0.25">
      <c r="A57" s="426" t="s">
        <v>180</v>
      </c>
      <c r="B57" s="426" t="s">
        <v>179</v>
      </c>
      <c r="C57" s="427" t="s">
        <v>181</v>
      </c>
      <c r="D57" s="699">
        <v>1</v>
      </c>
      <c r="H57" s="683" t="s">
        <v>230</v>
      </c>
      <c r="I57" s="671">
        <v>103</v>
      </c>
      <c r="J57" s="650">
        <v>29</v>
      </c>
      <c r="K57" s="671">
        <v>29</v>
      </c>
      <c r="L57" s="666">
        <v>0.28155339805825241</v>
      </c>
      <c r="M57" s="674">
        <v>0.28155339805825241</v>
      </c>
    </row>
    <row r="58" spans="1:13" x14ac:dyDescent="0.25">
      <c r="A58" s="427"/>
      <c r="B58" s="427" t="s">
        <v>286</v>
      </c>
      <c r="C58" s="427" t="s">
        <v>287</v>
      </c>
      <c r="D58" s="700">
        <v>1.6666666666666667</v>
      </c>
      <c r="H58" s="665" t="s">
        <v>1060</v>
      </c>
      <c r="I58" s="670">
        <v>55</v>
      </c>
      <c r="J58" s="539">
        <v>11</v>
      </c>
      <c r="K58" s="670">
        <v>11</v>
      </c>
      <c r="L58" s="662">
        <v>0.2</v>
      </c>
      <c r="M58" s="673">
        <v>0.2</v>
      </c>
    </row>
    <row r="59" spans="1:13" x14ac:dyDescent="0.25">
      <c r="A59" s="426" t="s">
        <v>185</v>
      </c>
      <c r="B59" s="426" t="s">
        <v>208</v>
      </c>
      <c r="C59" s="427" t="s">
        <v>209</v>
      </c>
      <c r="D59" s="699">
        <v>1.3333333333333333</v>
      </c>
      <c r="H59" s="665" t="s">
        <v>233</v>
      </c>
      <c r="I59" s="670">
        <v>9</v>
      </c>
      <c r="J59" s="539">
        <v>9</v>
      </c>
      <c r="K59" s="670">
        <v>9</v>
      </c>
      <c r="L59" s="662">
        <v>1</v>
      </c>
      <c r="M59" s="673">
        <v>1</v>
      </c>
    </row>
    <row r="60" spans="1:13" x14ac:dyDescent="0.25">
      <c r="A60" s="426"/>
      <c r="B60" s="426" t="s">
        <v>216</v>
      </c>
      <c r="C60" s="427" t="s">
        <v>217</v>
      </c>
      <c r="D60" s="699">
        <v>1.2916666666666665</v>
      </c>
      <c r="H60" s="665" t="s">
        <v>361</v>
      </c>
      <c r="I60" s="670">
        <v>9</v>
      </c>
      <c r="J60" s="539">
        <v>9</v>
      </c>
      <c r="K60" s="670">
        <v>9</v>
      </c>
      <c r="L60" s="662">
        <v>1</v>
      </c>
      <c r="M60" s="673">
        <v>1</v>
      </c>
    </row>
    <row r="61" spans="1:13" x14ac:dyDescent="0.25">
      <c r="A61" s="426"/>
      <c r="B61" s="426" t="s">
        <v>201</v>
      </c>
      <c r="C61" s="427" t="s">
        <v>202</v>
      </c>
      <c r="D61" s="699">
        <v>0.57735849056603772</v>
      </c>
      <c r="H61" s="668" t="s">
        <v>1070</v>
      </c>
      <c r="I61" s="671">
        <v>30</v>
      </c>
      <c r="J61" s="650">
        <v>0</v>
      </c>
      <c r="K61" s="671">
        <v>0</v>
      </c>
      <c r="L61" s="666">
        <v>0</v>
      </c>
      <c r="M61" s="674">
        <v>0</v>
      </c>
    </row>
    <row r="62" spans="1:13" x14ac:dyDescent="0.25">
      <c r="A62" s="426"/>
      <c r="B62" s="426" t="s">
        <v>222</v>
      </c>
      <c r="C62" s="427" t="s">
        <v>223</v>
      </c>
      <c r="D62" s="699">
        <v>0.95714285714285718</v>
      </c>
      <c r="H62" s="683" t="s">
        <v>166</v>
      </c>
      <c r="I62" s="671">
        <v>69</v>
      </c>
      <c r="J62" s="650">
        <v>1</v>
      </c>
      <c r="K62" s="671">
        <v>1</v>
      </c>
      <c r="L62" s="666">
        <v>1.4492753623188406E-2</v>
      </c>
      <c r="M62" s="674">
        <v>1.4492753623188406E-2</v>
      </c>
    </row>
    <row r="63" spans="1:13" x14ac:dyDescent="0.25">
      <c r="A63" s="426"/>
      <c r="B63" s="426" t="s">
        <v>189</v>
      </c>
      <c r="C63" s="427" t="s">
        <v>190</v>
      </c>
      <c r="D63" s="699">
        <v>0.43617021276595747</v>
      </c>
      <c r="H63" s="665" t="s">
        <v>828</v>
      </c>
      <c r="I63" s="670">
        <v>31</v>
      </c>
      <c r="J63" s="539">
        <v>1</v>
      </c>
      <c r="K63" s="670">
        <v>1</v>
      </c>
      <c r="L63" s="662">
        <v>3.2258064516129031E-2</v>
      </c>
      <c r="M63" s="673">
        <v>3.2258064516129031E-2</v>
      </c>
    </row>
    <row r="64" spans="1:13" x14ac:dyDescent="0.25">
      <c r="A64" s="426"/>
      <c r="B64" s="426" t="s">
        <v>184</v>
      </c>
      <c r="C64" s="427" t="s">
        <v>186</v>
      </c>
      <c r="D64" s="699">
        <v>1.3448275862068966</v>
      </c>
      <c r="H64" s="665" t="s">
        <v>167</v>
      </c>
      <c r="I64" s="671">
        <v>38</v>
      </c>
      <c r="J64" s="650">
        <v>0</v>
      </c>
      <c r="K64" s="671">
        <v>0</v>
      </c>
      <c r="L64" s="666">
        <v>0</v>
      </c>
      <c r="M64" s="674">
        <v>0</v>
      </c>
    </row>
    <row r="65" spans="1:13" x14ac:dyDescent="0.25">
      <c r="A65" s="426"/>
      <c r="B65" s="426" t="s">
        <v>228</v>
      </c>
      <c r="C65" s="427" t="s">
        <v>229</v>
      </c>
      <c r="D65" s="699">
        <v>0.9</v>
      </c>
      <c r="H65" s="683" t="s">
        <v>300</v>
      </c>
      <c r="I65" s="671">
        <v>59</v>
      </c>
      <c r="J65" s="650">
        <v>59</v>
      </c>
      <c r="K65" s="671">
        <v>59</v>
      </c>
      <c r="L65" s="666">
        <v>1</v>
      </c>
      <c r="M65" s="674">
        <v>1</v>
      </c>
    </row>
    <row r="66" spans="1:13" x14ac:dyDescent="0.25">
      <c r="A66" s="426"/>
      <c r="B66" s="426" t="s">
        <v>224</v>
      </c>
      <c r="C66" s="427" t="s">
        <v>225</v>
      </c>
      <c r="D66" s="699">
        <v>0.88888888888888884</v>
      </c>
      <c r="H66" s="665" t="s">
        <v>1292</v>
      </c>
      <c r="I66" s="671">
        <v>59</v>
      </c>
      <c r="J66" s="650">
        <v>59</v>
      </c>
      <c r="K66" s="671">
        <v>59</v>
      </c>
      <c r="L66" s="666">
        <v>1</v>
      </c>
      <c r="M66" s="674">
        <v>1</v>
      </c>
    </row>
    <row r="67" spans="1:13" x14ac:dyDescent="0.25">
      <c r="A67" s="426"/>
      <c r="B67" s="426" t="s">
        <v>195</v>
      </c>
      <c r="C67" s="427" t="s">
        <v>196</v>
      </c>
      <c r="D67" s="699">
        <v>0.70626477541371158</v>
      </c>
      <c r="H67" s="683" t="s">
        <v>173</v>
      </c>
      <c r="I67" s="671">
        <v>57</v>
      </c>
      <c r="J67" s="650">
        <v>18</v>
      </c>
      <c r="K67" s="671">
        <v>18</v>
      </c>
      <c r="L67" s="666">
        <v>0.31578947368421051</v>
      </c>
      <c r="M67" s="674">
        <v>0.31578947368421051</v>
      </c>
    </row>
    <row r="68" spans="1:13" x14ac:dyDescent="0.25">
      <c r="A68" s="426"/>
      <c r="B68" s="426" t="s">
        <v>193</v>
      </c>
      <c r="C68" s="427" t="s">
        <v>194</v>
      </c>
      <c r="D68" s="699">
        <v>1.0081566068515497</v>
      </c>
      <c r="H68" s="665" t="s">
        <v>1302</v>
      </c>
      <c r="I68" s="670">
        <v>9</v>
      </c>
      <c r="J68" s="539">
        <v>9</v>
      </c>
      <c r="K68" s="670">
        <v>9</v>
      </c>
      <c r="L68" s="662">
        <v>1</v>
      </c>
      <c r="M68" s="673">
        <v>1</v>
      </c>
    </row>
    <row r="69" spans="1:13" x14ac:dyDescent="0.25">
      <c r="A69" s="426"/>
      <c r="B69" s="426" t="s">
        <v>191</v>
      </c>
      <c r="C69" s="427" t="s">
        <v>192</v>
      </c>
      <c r="D69" s="699">
        <v>1.0695652173913044</v>
      </c>
      <c r="H69" s="665" t="s">
        <v>176</v>
      </c>
      <c r="I69" s="670">
        <v>18</v>
      </c>
      <c r="J69" s="539">
        <v>8</v>
      </c>
      <c r="K69" s="670">
        <v>8</v>
      </c>
      <c r="L69" s="662">
        <v>0.44444444444444442</v>
      </c>
      <c r="M69" s="673">
        <v>0.44444444444444442</v>
      </c>
    </row>
    <row r="70" spans="1:13" x14ac:dyDescent="0.25">
      <c r="A70" s="426"/>
      <c r="B70" s="426" t="s">
        <v>218</v>
      </c>
      <c r="C70" s="427" t="s">
        <v>219</v>
      </c>
      <c r="D70" s="699">
        <v>0.85357142857142854</v>
      </c>
      <c r="H70" s="665" t="s">
        <v>174</v>
      </c>
      <c r="I70" s="670">
        <v>16</v>
      </c>
      <c r="J70" s="539">
        <v>1</v>
      </c>
      <c r="K70" s="670">
        <v>1</v>
      </c>
      <c r="L70" s="662">
        <v>6.25E-2</v>
      </c>
      <c r="M70" s="673">
        <v>6.25E-2</v>
      </c>
    </row>
    <row r="71" spans="1:13" x14ac:dyDescent="0.25">
      <c r="A71" s="426"/>
      <c r="B71" s="426" t="s">
        <v>214</v>
      </c>
      <c r="C71" s="427" t="s">
        <v>215</v>
      </c>
      <c r="D71" s="699">
        <v>1.0922330097087378</v>
      </c>
      <c r="H71" s="665" t="s">
        <v>178</v>
      </c>
      <c r="I71" s="671">
        <v>14</v>
      </c>
      <c r="J71" s="650">
        <v>0</v>
      </c>
      <c r="K71" s="671">
        <v>0</v>
      </c>
      <c r="L71" s="666">
        <v>0</v>
      </c>
      <c r="M71" s="674">
        <v>0</v>
      </c>
    </row>
    <row r="72" spans="1:13" x14ac:dyDescent="0.25">
      <c r="A72" s="427"/>
      <c r="B72" s="427" t="s">
        <v>199</v>
      </c>
      <c r="C72" s="427" t="s">
        <v>200</v>
      </c>
      <c r="D72" s="700">
        <v>46</v>
      </c>
      <c r="H72" s="683" t="s">
        <v>180</v>
      </c>
      <c r="I72" s="671">
        <v>30</v>
      </c>
      <c r="J72" s="650">
        <v>0</v>
      </c>
      <c r="K72" s="671">
        <v>0</v>
      </c>
      <c r="L72" s="666">
        <v>0</v>
      </c>
      <c r="M72" s="674">
        <v>0</v>
      </c>
    </row>
    <row r="73" spans="1:13" x14ac:dyDescent="0.25">
      <c r="A73" s="426" t="s">
        <v>230</v>
      </c>
      <c r="B73" s="426" t="s">
        <v>234</v>
      </c>
      <c r="C73" s="427" t="s">
        <v>235</v>
      </c>
      <c r="D73" s="699">
        <v>8.1300813008130079E-2</v>
      </c>
      <c r="H73" s="665" t="s">
        <v>181</v>
      </c>
      <c r="I73" s="670">
        <v>12</v>
      </c>
      <c r="J73" s="539">
        <v>0</v>
      </c>
      <c r="K73" s="670">
        <v>0</v>
      </c>
      <c r="L73" s="662">
        <v>0</v>
      </c>
      <c r="M73" s="673">
        <v>0</v>
      </c>
    </row>
    <row r="74" spans="1:13" x14ac:dyDescent="0.25">
      <c r="A74" s="426"/>
      <c r="B74" s="426" t="s">
        <v>1061</v>
      </c>
      <c r="C74" s="427" t="s">
        <v>1060</v>
      </c>
      <c r="D74" s="699">
        <v>0.8</v>
      </c>
      <c r="H74" s="665" t="s">
        <v>287</v>
      </c>
      <c r="I74" s="671">
        <v>18</v>
      </c>
      <c r="J74" s="650">
        <v>0</v>
      </c>
      <c r="K74" s="671">
        <v>0</v>
      </c>
      <c r="L74" s="666">
        <v>0</v>
      </c>
      <c r="M74" s="674">
        <v>0</v>
      </c>
    </row>
    <row r="75" spans="1:13" x14ac:dyDescent="0.25">
      <c r="A75" s="427"/>
      <c r="B75" s="427" t="s">
        <v>1071</v>
      </c>
      <c r="C75" s="427" t="s">
        <v>1070</v>
      </c>
      <c r="D75" s="700">
        <v>1</v>
      </c>
      <c r="H75" s="683" t="s">
        <v>144</v>
      </c>
      <c r="I75" s="671">
        <v>11</v>
      </c>
      <c r="J75" s="650">
        <v>11</v>
      </c>
      <c r="K75" s="671">
        <v>11</v>
      </c>
      <c r="L75" s="666">
        <v>1</v>
      </c>
      <c r="M75" s="674">
        <v>1</v>
      </c>
    </row>
    <row r="76" spans="1:13" x14ac:dyDescent="0.25">
      <c r="A76" s="426" t="s">
        <v>237</v>
      </c>
      <c r="B76" s="426" t="s">
        <v>1014</v>
      </c>
      <c r="C76" s="426" t="s">
        <v>905</v>
      </c>
      <c r="D76" s="699">
        <v>0</v>
      </c>
      <c r="H76" s="665" t="s">
        <v>145</v>
      </c>
      <c r="I76" s="671">
        <v>11</v>
      </c>
      <c r="J76" s="650">
        <v>11</v>
      </c>
      <c r="K76" s="671">
        <v>11</v>
      </c>
      <c r="L76" s="666">
        <v>1</v>
      </c>
      <c r="M76" s="674">
        <v>1</v>
      </c>
    </row>
    <row r="77" spans="1:13" x14ac:dyDescent="0.25">
      <c r="A77" s="426"/>
      <c r="B77" s="426"/>
      <c r="C77" s="427" t="s">
        <v>865</v>
      </c>
      <c r="D77" s="699">
        <v>0</v>
      </c>
      <c r="H77" s="683" t="s">
        <v>298</v>
      </c>
      <c r="I77" s="671">
        <v>10</v>
      </c>
      <c r="J77" s="650">
        <v>0</v>
      </c>
      <c r="K77" s="671">
        <v>0</v>
      </c>
      <c r="L77" s="666">
        <v>0</v>
      </c>
      <c r="M77" s="674">
        <v>0</v>
      </c>
    </row>
    <row r="78" spans="1:13" x14ac:dyDescent="0.25">
      <c r="A78" s="426"/>
      <c r="B78" s="426" t="s">
        <v>236</v>
      </c>
      <c r="C78" s="427" t="s">
        <v>238</v>
      </c>
      <c r="D78" s="699">
        <v>0.8571428571428571</v>
      </c>
      <c r="H78" s="665" t="s">
        <v>827</v>
      </c>
      <c r="I78" s="671">
        <v>10</v>
      </c>
      <c r="J78" s="650">
        <v>0</v>
      </c>
      <c r="K78" s="671">
        <v>0</v>
      </c>
      <c r="L78" s="666">
        <v>0</v>
      </c>
      <c r="M78" s="674">
        <v>0</v>
      </c>
    </row>
    <row r="79" spans="1:13" x14ac:dyDescent="0.25">
      <c r="A79" s="426"/>
      <c r="B79" s="426" t="s">
        <v>268</v>
      </c>
      <c r="C79" s="427" t="s">
        <v>269</v>
      </c>
      <c r="D79" s="699">
        <v>0.91228070175438591</v>
      </c>
      <c r="H79" s="649" t="s">
        <v>146</v>
      </c>
      <c r="I79" s="671"/>
      <c r="J79" s="650"/>
      <c r="K79" s="671"/>
      <c r="L79" s="666"/>
      <c r="M79" s="674"/>
    </row>
    <row r="80" spans="1:13" x14ac:dyDescent="0.25">
      <c r="A80" s="426"/>
      <c r="B80" s="426" t="s">
        <v>250</v>
      </c>
      <c r="C80" s="427" t="s">
        <v>251</v>
      </c>
      <c r="D80" s="699">
        <v>0.625</v>
      </c>
      <c r="H80" s="683" t="s">
        <v>146</v>
      </c>
      <c r="I80" s="671">
        <v>686</v>
      </c>
      <c r="J80" s="650">
        <v>326</v>
      </c>
      <c r="K80" s="671">
        <v>326</v>
      </c>
      <c r="L80" s="666">
        <v>0.47521865889212828</v>
      </c>
      <c r="M80" s="674">
        <v>0.47521865889212828</v>
      </c>
    </row>
    <row r="81" spans="1:13" x14ac:dyDescent="0.25">
      <c r="A81" s="426"/>
      <c r="B81" s="426" t="s">
        <v>248</v>
      </c>
      <c r="C81" s="427" t="s">
        <v>249</v>
      </c>
      <c r="D81" s="699">
        <v>1.25</v>
      </c>
      <c r="H81" s="665" t="s">
        <v>1408</v>
      </c>
      <c r="I81" s="670">
        <v>105</v>
      </c>
      <c r="J81" s="539">
        <v>105</v>
      </c>
      <c r="K81" s="670">
        <v>105</v>
      </c>
      <c r="L81" s="662">
        <v>1</v>
      </c>
      <c r="M81" s="673">
        <v>1</v>
      </c>
    </row>
    <row r="82" spans="1:13" x14ac:dyDescent="0.25">
      <c r="A82" s="426"/>
      <c r="B82" s="426" t="s">
        <v>274</v>
      </c>
      <c r="C82" s="427" t="s">
        <v>275</v>
      </c>
      <c r="D82" s="699">
        <v>0.72727272727272729</v>
      </c>
      <c r="H82" s="665" t="s">
        <v>373</v>
      </c>
      <c r="I82" s="670">
        <v>178</v>
      </c>
      <c r="J82" s="539">
        <v>93</v>
      </c>
      <c r="K82" s="670">
        <v>93</v>
      </c>
      <c r="L82" s="662">
        <v>0.52247191011235961</v>
      </c>
      <c r="M82" s="673">
        <v>0.52247191011235961</v>
      </c>
    </row>
    <row r="83" spans="1:13" x14ac:dyDescent="0.25">
      <c r="A83" s="426"/>
      <c r="B83" s="426" t="s">
        <v>276</v>
      </c>
      <c r="C83" s="427" t="s">
        <v>277</v>
      </c>
      <c r="D83" s="699">
        <v>0.67368421052631577</v>
      </c>
      <c r="H83" s="665" t="s">
        <v>371</v>
      </c>
      <c r="I83" s="670">
        <v>51</v>
      </c>
      <c r="J83" s="539">
        <v>46</v>
      </c>
      <c r="K83" s="670">
        <v>46</v>
      </c>
      <c r="L83" s="662">
        <v>0.90196078431372551</v>
      </c>
      <c r="M83" s="673">
        <v>0.90196078431372551</v>
      </c>
    </row>
    <row r="84" spans="1:13" x14ac:dyDescent="0.25">
      <c r="A84" s="426"/>
      <c r="B84" s="426" t="s">
        <v>260</v>
      </c>
      <c r="C84" s="427" t="s">
        <v>261</v>
      </c>
      <c r="D84" s="699">
        <v>0.83333333333333337</v>
      </c>
      <c r="H84" s="665" t="s">
        <v>149</v>
      </c>
      <c r="I84" s="670">
        <v>71</v>
      </c>
      <c r="J84" s="539">
        <v>45</v>
      </c>
      <c r="K84" s="670">
        <v>45</v>
      </c>
      <c r="L84" s="662">
        <v>0.63380281690140849</v>
      </c>
      <c r="M84" s="673">
        <v>0.63380281690140849</v>
      </c>
    </row>
    <row r="85" spans="1:13" x14ac:dyDescent="0.25">
      <c r="A85" s="426"/>
      <c r="B85" s="426" t="s">
        <v>280</v>
      </c>
      <c r="C85" s="427" t="s">
        <v>281</v>
      </c>
      <c r="D85" s="699">
        <v>0.55555555555555558</v>
      </c>
      <c r="H85" s="665" t="s">
        <v>1111</v>
      </c>
      <c r="I85" s="670">
        <v>21</v>
      </c>
      <c r="J85" s="539">
        <v>21</v>
      </c>
      <c r="K85" s="670">
        <v>21</v>
      </c>
      <c r="L85" s="662">
        <v>1</v>
      </c>
      <c r="M85" s="673">
        <v>1</v>
      </c>
    </row>
    <row r="86" spans="1:13" x14ac:dyDescent="0.25">
      <c r="A86" s="426"/>
      <c r="B86" s="426" t="s">
        <v>244</v>
      </c>
      <c r="C86" s="427" t="s">
        <v>245</v>
      </c>
      <c r="D86" s="699">
        <v>1</v>
      </c>
      <c r="H86" s="665" t="s">
        <v>368</v>
      </c>
      <c r="I86" s="670">
        <v>79</v>
      </c>
      <c r="J86" s="539">
        <v>16</v>
      </c>
      <c r="K86" s="670">
        <v>16</v>
      </c>
      <c r="L86" s="662">
        <v>0.20253164556962025</v>
      </c>
      <c r="M86" s="673">
        <v>0.20253164556962025</v>
      </c>
    </row>
    <row r="87" spans="1:13" x14ac:dyDescent="0.25">
      <c r="A87" s="426"/>
      <c r="B87" s="426" t="s">
        <v>246</v>
      </c>
      <c r="C87" s="427" t="s">
        <v>247</v>
      </c>
      <c r="D87" s="699">
        <v>0.06</v>
      </c>
      <c r="H87" s="665" t="s">
        <v>369</v>
      </c>
      <c r="I87" s="670">
        <v>64</v>
      </c>
      <c r="J87" s="539">
        <v>0</v>
      </c>
      <c r="K87" s="670">
        <v>0</v>
      </c>
      <c r="L87" s="662">
        <v>0</v>
      </c>
      <c r="M87" s="673">
        <v>0</v>
      </c>
    </row>
    <row r="88" spans="1:13" x14ac:dyDescent="0.25">
      <c r="A88" s="426"/>
      <c r="B88" s="426" t="s">
        <v>242</v>
      </c>
      <c r="C88" s="427" t="s">
        <v>243</v>
      </c>
      <c r="D88" s="699">
        <v>0.5</v>
      </c>
      <c r="H88" s="665" t="s">
        <v>370</v>
      </c>
      <c r="I88" s="670">
        <v>30</v>
      </c>
      <c r="J88" s="539">
        <v>0</v>
      </c>
      <c r="K88" s="670">
        <v>0</v>
      </c>
      <c r="L88" s="662">
        <v>0</v>
      </c>
      <c r="M88" s="673">
        <v>0</v>
      </c>
    </row>
    <row r="89" spans="1:13" x14ac:dyDescent="0.25">
      <c r="A89" s="426"/>
      <c r="B89" s="426" t="s">
        <v>256</v>
      </c>
      <c r="C89" s="427" t="s">
        <v>257</v>
      </c>
      <c r="D89" s="699">
        <v>0.1111111111111111</v>
      </c>
      <c r="H89" s="668" t="s">
        <v>372</v>
      </c>
      <c r="I89" s="671">
        <v>87</v>
      </c>
      <c r="J89" s="650">
        <v>0</v>
      </c>
      <c r="K89" s="671">
        <v>0</v>
      </c>
      <c r="L89" s="666">
        <v>0</v>
      </c>
      <c r="M89" s="674">
        <v>0</v>
      </c>
    </row>
    <row r="90" spans="1:13" x14ac:dyDescent="0.25">
      <c r="A90" s="426"/>
      <c r="B90" s="426" t="s">
        <v>284</v>
      </c>
      <c r="C90" s="427" t="s">
        <v>285</v>
      </c>
      <c r="D90" s="699">
        <v>0.76687116564417179</v>
      </c>
      <c r="H90" s="649" t="s">
        <v>151</v>
      </c>
      <c r="I90" s="671"/>
      <c r="J90" s="650"/>
      <c r="K90" s="671"/>
      <c r="L90" s="666"/>
      <c r="M90" s="674"/>
    </row>
    <row r="91" spans="1:13" x14ac:dyDescent="0.25">
      <c r="A91" s="426"/>
      <c r="B91" s="426" t="s">
        <v>239</v>
      </c>
      <c r="C91" s="427" t="s">
        <v>240</v>
      </c>
      <c r="D91" s="699">
        <v>0.22222222222222221</v>
      </c>
      <c r="H91" s="683" t="s">
        <v>151</v>
      </c>
      <c r="I91" s="671">
        <v>2477</v>
      </c>
      <c r="J91" s="650">
        <v>1036</v>
      </c>
      <c r="K91" s="671">
        <v>1036</v>
      </c>
      <c r="L91" s="666">
        <v>0.41824788050060557</v>
      </c>
      <c r="M91" s="674">
        <v>0.41824788050060557</v>
      </c>
    </row>
    <row r="92" spans="1:13" x14ac:dyDescent="0.25">
      <c r="A92" s="426"/>
      <c r="B92" s="426" t="s">
        <v>258</v>
      </c>
      <c r="C92" s="427" t="s">
        <v>259</v>
      </c>
      <c r="D92" s="699">
        <v>0.27777777777777779</v>
      </c>
      <c r="H92" s="663" t="s">
        <v>154</v>
      </c>
      <c r="I92" s="670">
        <v>486</v>
      </c>
      <c r="J92" s="664">
        <v>286</v>
      </c>
      <c r="K92" s="670">
        <v>286</v>
      </c>
      <c r="L92" s="662">
        <v>0.58847736625514402</v>
      </c>
      <c r="M92" s="673">
        <v>0.58847736625514402</v>
      </c>
    </row>
    <row r="93" spans="1:13" x14ac:dyDescent="0.25">
      <c r="A93" s="426"/>
      <c r="B93" s="426" t="s">
        <v>252</v>
      </c>
      <c r="C93" s="427" t="s">
        <v>253</v>
      </c>
      <c r="D93" s="699">
        <v>0.78817733990147787</v>
      </c>
      <c r="H93" s="665" t="s">
        <v>891</v>
      </c>
      <c r="I93" s="670">
        <v>372</v>
      </c>
      <c r="J93" s="539">
        <v>148</v>
      </c>
      <c r="K93" s="670">
        <v>148</v>
      </c>
      <c r="L93" s="662">
        <v>0.39784946236559138</v>
      </c>
      <c r="M93" s="673">
        <v>0.39784946236559138</v>
      </c>
    </row>
    <row r="94" spans="1:13" x14ac:dyDescent="0.25">
      <c r="A94" s="426"/>
      <c r="B94" s="426" t="s">
        <v>254</v>
      </c>
      <c r="C94" s="427" t="s">
        <v>255</v>
      </c>
      <c r="D94" s="699">
        <v>0.73394495412844041</v>
      </c>
      <c r="H94" s="665" t="s">
        <v>152</v>
      </c>
      <c r="I94" s="670">
        <v>221</v>
      </c>
      <c r="J94" s="539">
        <v>116</v>
      </c>
      <c r="K94" s="670">
        <v>116</v>
      </c>
      <c r="L94" s="662">
        <v>0.52488687782805432</v>
      </c>
      <c r="M94" s="673">
        <v>0.52488687782805432</v>
      </c>
    </row>
    <row r="95" spans="1:13" x14ac:dyDescent="0.25">
      <c r="A95" s="426"/>
      <c r="B95" s="426" t="s">
        <v>262</v>
      </c>
      <c r="C95" s="427" t="s">
        <v>263</v>
      </c>
      <c r="D95" s="699">
        <v>1.4545454545454546</v>
      </c>
      <c r="H95" s="663" t="s">
        <v>1068</v>
      </c>
      <c r="I95" s="670">
        <v>115</v>
      </c>
      <c r="J95" s="664">
        <v>115</v>
      </c>
      <c r="K95" s="670">
        <v>115</v>
      </c>
      <c r="L95" s="662">
        <v>1</v>
      </c>
      <c r="M95" s="673">
        <v>1</v>
      </c>
    </row>
    <row r="96" spans="1:13" x14ac:dyDescent="0.25">
      <c r="A96" s="426"/>
      <c r="B96" s="426" t="s">
        <v>264</v>
      </c>
      <c r="C96" s="427" t="s">
        <v>265</v>
      </c>
      <c r="D96" s="699">
        <v>1.3571428571428572</v>
      </c>
      <c r="H96" s="663" t="s">
        <v>1102</v>
      </c>
      <c r="I96" s="670">
        <v>114</v>
      </c>
      <c r="J96" s="664">
        <v>114</v>
      </c>
      <c r="K96" s="670">
        <v>114</v>
      </c>
      <c r="L96" s="662">
        <v>1</v>
      </c>
      <c r="M96" s="673">
        <v>1</v>
      </c>
    </row>
    <row r="97" spans="1:13" x14ac:dyDescent="0.25">
      <c r="A97" s="426"/>
      <c r="B97" s="426" t="s">
        <v>282</v>
      </c>
      <c r="C97" s="427" t="s">
        <v>283</v>
      </c>
      <c r="D97" s="699">
        <v>3.4285714285714284</v>
      </c>
      <c r="H97" s="665" t="s">
        <v>1041</v>
      </c>
      <c r="I97" s="670">
        <v>219</v>
      </c>
      <c r="J97" s="539">
        <v>99</v>
      </c>
      <c r="K97" s="670">
        <v>99</v>
      </c>
      <c r="L97" s="662">
        <v>0.45205479452054792</v>
      </c>
      <c r="M97" s="673">
        <v>0.45205479452054792</v>
      </c>
    </row>
    <row r="98" spans="1:13" x14ac:dyDescent="0.25">
      <c r="A98" s="426"/>
      <c r="B98" s="426" t="s">
        <v>270</v>
      </c>
      <c r="C98" s="427" t="s">
        <v>271</v>
      </c>
      <c r="D98" s="699">
        <v>0.95714285714285707</v>
      </c>
      <c r="H98" s="665" t="s">
        <v>949</v>
      </c>
      <c r="I98" s="670">
        <v>121</v>
      </c>
      <c r="J98" s="539">
        <v>71</v>
      </c>
      <c r="K98" s="670">
        <v>71</v>
      </c>
      <c r="L98" s="662">
        <v>0.58677685950413228</v>
      </c>
      <c r="M98" s="673">
        <v>0.58677685950413228</v>
      </c>
    </row>
    <row r="99" spans="1:13" x14ac:dyDescent="0.25">
      <c r="A99" s="426"/>
      <c r="B99" s="426" t="s">
        <v>272</v>
      </c>
      <c r="C99" s="427" t="s">
        <v>273</v>
      </c>
      <c r="D99" s="699">
        <v>0.52631578947368418</v>
      </c>
      <c r="H99" s="663" t="s">
        <v>198</v>
      </c>
      <c r="I99" s="670">
        <v>541</v>
      </c>
      <c r="J99" s="664">
        <v>47</v>
      </c>
      <c r="K99" s="670">
        <v>47</v>
      </c>
      <c r="L99" s="662">
        <v>8.6876155268022184E-2</v>
      </c>
      <c r="M99" s="673">
        <v>8.6876155268022184E-2</v>
      </c>
    </row>
    <row r="100" spans="1:13" x14ac:dyDescent="0.25">
      <c r="A100" s="427"/>
      <c r="B100" s="427" t="s">
        <v>241</v>
      </c>
      <c r="C100" s="427" t="s">
        <v>1267</v>
      </c>
      <c r="D100" s="700">
        <v>1.7205882352941178</v>
      </c>
      <c r="H100" s="665" t="s">
        <v>160</v>
      </c>
      <c r="I100" s="670">
        <v>114</v>
      </c>
      <c r="J100" s="539">
        <v>40</v>
      </c>
      <c r="K100" s="670">
        <v>40</v>
      </c>
      <c r="L100" s="662">
        <v>0.35087719298245612</v>
      </c>
      <c r="M100" s="673">
        <v>0.35087719298245612</v>
      </c>
    </row>
    <row r="101" spans="1:13" x14ac:dyDescent="0.25">
      <c r="A101" s="426" t="s">
        <v>289</v>
      </c>
      <c r="B101" s="426" t="s">
        <v>288</v>
      </c>
      <c r="C101" s="427" t="s">
        <v>290</v>
      </c>
      <c r="D101" s="699">
        <v>0.44117647058823528</v>
      </c>
      <c r="H101" s="668" t="s">
        <v>188</v>
      </c>
      <c r="I101" s="671">
        <v>174</v>
      </c>
      <c r="J101" s="650">
        <v>0</v>
      </c>
      <c r="K101" s="671">
        <v>0</v>
      </c>
      <c r="L101" s="666">
        <v>0</v>
      </c>
      <c r="M101" s="674">
        <v>0</v>
      </c>
    </row>
    <row r="102" spans="1:13" x14ac:dyDescent="0.25">
      <c r="A102" s="426"/>
      <c r="B102" s="426" t="s">
        <v>291</v>
      </c>
      <c r="C102" s="427" t="s">
        <v>292</v>
      </c>
      <c r="D102" s="699">
        <v>1.1951219512195121</v>
      </c>
      <c r="H102" s="649" t="s">
        <v>185</v>
      </c>
      <c r="I102" s="671"/>
      <c r="J102" s="650"/>
      <c r="K102" s="671"/>
      <c r="L102" s="666"/>
      <c r="M102" s="674"/>
    </row>
    <row r="103" spans="1:13" x14ac:dyDescent="0.25">
      <c r="A103" s="426"/>
      <c r="B103" s="426" t="s">
        <v>1063</v>
      </c>
      <c r="C103" s="427" t="s">
        <v>1062</v>
      </c>
      <c r="D103" s="699">
        <v>0.29268292682926828</v>
      </c>
      <c r="H103" s="683" t="s">
        <v>185</v>
      </c>
      <c r="I103" s="671">
        <v>4550</v>
      </c>
      <c r="J103" s="650">
        <v>851</v>
      </c>
      <c r="K103" s="671">
        <v>851</v>
      </c>
      <c r="L103" s="666">
        <v>0.18703296703296704</v>
      </c>
      <c r="M103" s="674">
        <v>0.18703296703296704</v>
      </c>
    </row>
    <row r="104" spans="1:13" x14ac:dyDescent="0.25">
      <c r="A104" s="427"/>
      <c r="B104" s="427" t="s">
        <v>1067</v>
      </c>
      <c r="C104" s="427" t="s">
        <v>1074</v>
      </c>
      <c r="D104" s="700">
        <v>0.25531914893617019</v>
      </c>
      <c r="H104" s="663" t="s">
        <v>196</v>
      </c>
      <c r="I104" s="670">
        <v>1692</v>
      </c>
      <c r="J104" s="664">
        <v>497</v>
      </c>
      <c r="K104" s="670">
        <v>497</v>
      </c>
      <c r="L104" s="662">
        <v>0.29373522458628842</v>
      </c>
      <c r="M104" s="673">
        <v>0.29373522458628842</v>
      </c>
    </row>
    <row r="105" spans="1:13" x14ac:dyDescent="0.25">
      <c r="A105" s="427" t="s">
        <v>298</v>
      </c>
      <c r="B105" s="427" t="s">
        <v>297</v>
      </c>
      <c r="C105" s="427" t="s">
        <v>827</v>
      </c>
      <c r="D105" s="700">
        <v>1</v>
      </c>
      <c r="H105" s="663" t="s">
        <v>219</v>
      </c>
      <c r="I105" s="670">
        <v>840</v>
      </c>
      <c r="J105" s="664">
        <v>123</v>
      </c>
      <c r="K105" s="670">
        <v>123</v>
      </c>
      <c r="L105" s="662">
        <v>0.14642857142857144</v>
      </c>
      <c r="M105" s="673">
        <v>0.14642857142857144</v>
      </c>
    </row>
    <row r="106" spans="1:13" x14ac:dyDescent="0.25">
      <c r="A106" s="426" t="s">
        <v>302</v>
      </c>
      <c r="B106" s="426" t="s">
        <v>305</v>
      </c>
      <c r="C106" s="427" t="s">
        <v>306</v>
      </c>
      <c r="D106" s="699">
        <v>0.50602409638554213</v>
      </c>
      <c r="H106" s="663" t="s">
        <v>202</v>
      </c>
      <c r="I106" s="670">
        <v>265</v>
      </c>
      <c r="J106" s="664">
        <v>112</v>
      </c>
      <c r="K106" s="670">
        <v>112</v>
      </c>
      <c r="L106" s="662">
        <v>0.42264150943396228</v>
      </c>
      <c r="M106" s="673">
        <v>0.42264150943396228</v>
      </c>
    </row>
    <row r="107" spans="1:13" x14ac:dyDescent="0.25">
      <c r="A107" s="427"/>
      <c r="B107" s="427" t="s">
        <v>307</v>
      </c>
      <c r="C107" s="427" t="s">
        <v>308</v>
      </c>
      <c r="D107" s="700">
        <v>1.1499999999999999</v>
      </c>
      <c r="H107" s="665" t="s">
        <v>190</v>
      </c>
      <c r="I107" s="670">
        <v>188</v>
      </c>
      <c r="J107" s="539">
        <v>106</v>
      </c>
      <c r="K107" s="670">
        <v>106</v>
      </c>
      <c r="L107" s="662">
        <v>0.56382978723404253</v>
      </c>
      <c r="M107" s="673">
        <v>0.56382978723404253</v>
      </c>
    </row>
    <row r="108" spans="1:13" x14ac:dyDescent="0.25">
      <c r="A108" s="426" t="s">
        <v>310</v>
      </c>
      <c r="B108" s="426" t="s">
        <v>341</v>
      </c>
      <c r="C108" s="427" t="s">
        <v>342</v>
      </c>
      <c r="D108" s="699">
        <v>0.58461538461538465</v>
      </c>
      <c r="H108" s="665" t="s">
        <v>225</v>
      </c>
      <c r="I108" s="670">
        <v>45</v>
      </c>
      <c r="J108" s="539">
        <v>5</v>
      </c>
      <c r="K108" s="670">
        <v>5</v>
      </c>
      <c r="L108" s="662">
        <v>0.1111111111111111</v>
      </c>
      <c r="M108" s="673">
        <v>0.1111111111111111</v>
      </c>
    </row>
    <row r="109" spans="1:13" x14ac:dyDescent="0.25">
      <c r="A109" s="426"/>
      <c r="B109" s="426" t="s">
        <v>350</v>
      </c>
      <c r="C109" s="427" t="s">
        <v>351</v>
      </c>
      <c r="D109" s="699">
        <v>1.098901098901099</v>
      </c>
      <c r="H109" s="665" t="s">
        <v>229</v>
      </c>
      <c r="I109" s="670">
        <v>50</v>
      </c>
      <c r="J109" s="539">
        <v>5</v>
      </c>
      <c r="K109" s="670">
        <v>5</v>
      </c>
      <c r="L109" s="662">
        <v>0.1</v>
      </c>
      <c r="M109" s="673">
        <v>0.1</v>
      </c>
    </row>
    <row r="110" spans="1:13" x14ac:dyDescent="0.25">
      <c r="A110" s="426"/>
      <c r="B110" s="426" t="s">
        <v>319</v>
      </c>
      <c r="C110" s="427" t="s">
        <v>320</v>
      </c>
      <c r="D110" s="699">
        <v>1</v>
      </c>
      <c r="H110" s="665" t="s">
        <v>223</v>
      </c>
      <c r="I110" s="670">
        <v>70</v>
      </c>
      <c r="J110" s="539">
        <v>3</v>
      </c>
      <c r="K110" s="670">
        <v>3</v>
      </c>
      <c r="L110" s="662">
        <v>4.2857142857142858E-2</v>
      </c>
      <c r="M110" s="673">
        <v>4.2857142857142858E-2</v>
      </c>
    </row>
    <row r="111" spans="1:13" x14ac:dyDescent="0.25">
      <c r="A111" s="426"/>
      <c r="B111" s="426" t="s">
        <v>312</v>
      </c>
      <c r="C111" s="427" t="s">
        <v>313</v>
      </c>
      <c r="D111" s="699">
        <v>0.95454545454545459</v>
      </c>
      <c r="H111" s="665" t="s">
        <v>215</v>
      </c>
      <c r="I111" s="670">
        <v>412</v>
      </c>
      <c r="J111" s="539">
        <v>0</v>
      </c>
      <c r="K111" s="670">
        <v>0</v>
      </c>
      <c r="L111" s="662">
        <v>0</v>
      </c>
      <c r="M111" s="673">
        <v>0</v>
      </c>
    </row>
    <row r="112" spans="1:13" x14ac:dyDescent="0.25">
      <c r="A112" s="426"/>
      <c r="B112" s="426" t="s">
        <v>329</v>
      </c>
      <c r="C112" s="427" t="s">
        <v>330</v>
      </c>
      <c r="D112" s="699">
        <v>0.92511013215859039</v>
      </c>
      <c r="H112" s="665" t="s">
        <v>217</v>
      </c>
      <c r="I112" s="670">
        <v>24</v>
      </c>
      <c r="J112" s="539">
        <v>0</v>
      </c>
      <c r="K112" s="670">
        <v>0</v>
      </c>
      <c r="L112" s="662">
        <v>0</v>
      </c>
      <c r="M112" s="673">
        <v>0</v>
      </c>
    </row>
    <row r="113" spans="1:13" x14ac:dyDescent="0.25">
      <c r="A113" s="426"/>
      <c r="B113" s="426" t="s">
        <v>337</v>
      </c>
      <c r="C113" s="427" t="s">
        <v>338</v>
      </c>
      <c r="D113" s="699">
        <v>1.258064516129032</v>
      </c>
      <c r="H113" s="665" t="s">
        <v>194</v>
      </c>
      <c r="I113" s="670">
        <v>613</v>
      </c>
      <c r="J113" s="539">
        <v>0</v>
      </c>
      <c r="K113" s="670">
        <v>0</v>
      </c>
      <c r="L113" s="662">
        <v>0</v>
      </c>
      <c r="M113" s="673">
        <v>0</v>
      </c>
    </row>
    <row r="114" spans="1:13" x14ac:dyDescent="0.25">
      <c r="A114" s="426"/>
      <c r="B114" s="426" t="s">
        <v>327</v>
      </c>
      <c r="C114" s="427" t="s">
        <v>328</v>
      </c>
      <c r="D114" s="699">
        <v>0.79259259259259252</v>
      </c>
      <c r="H114" s="665" t="s">
        <v>192</v>
      </c>
      <c r="I114" s="670">
        <v>115</v>
      </c>
      <c r="J114" s="539">
        <v>0</v>
      </c>
      <c r="K114" s="670">
        <v>0</v>
      </c>
      <c r="L114" s="662">
        <v>0</v>
      </c>
      <c r="M114" s="673">
        <v>0</v>
      </c>
    </row>
    <row r="115" spans="1:13" x14ac:dyDescent="0.25">
      <c r="A115" s="426"/>
      <c r="B115" s="426" t="s">
        <v>317</v>
      </c>
      <c r="C115" s="427" t="s">
        <v>318</v>
      </c>
      <c r="D115" s="699">
        <v>1.021276595744681</v>
      </c>
      <c r="H115" s="665" t="s">
        <v>186</v>
      </c>
      <c r="I115" s="670">
        <v>29</v>
      </c>
      <c r="J115" s="539">
        <v>0</v>
      </c>
      <c r="K115" s="670">
        <v>0</v>
      </c>
      <c r="L115" s="662">
        <v>0</v>
      </c>
      <c r="M115" s="673">
        <v>0</v>
      </c>
    </row>
    <row r="116" spans="1:13" x14ac:dyDescent="0.25">
      <c r="A116" s="426"/>
      <c r="B116" s="426" t="s">
        <v>309</v>
      </c>
      <c r="C116" s="427" t="s">
        <v>311</v>
      </c>
      <c r="D116" s="699">
        <v>0</v>
      </c>
      <c r="H116" s="820" t="s">
        <v>209</v>
      </c>
      <c r="I116" s="671">
        <v>207</v>
      </c>
      <c r="J116" s="819">
        <v>0</v>
      </c>
      <c r="K116" s="671">
        <v>0</v>
      </c>
      <c r="L116" s="666">
        <v>0</v>
      </c>
      <c r="M116" s="674">
        <v>0</v>
      </c>
    </row>
    <row r="117" spans="1:13" x14ac:dyDescent="0.25">
      <c r="A117" s="426"/>
      <c r="B117" s="426" t="s">
        <v>348</v>
      </c>
      <c r="C117" s="427" t="s">
        <v>349</v>
      </c>
      <c r="D117" s="699">
        <v>1.8809523809523809</v>
      </c>
      <c r="H117" s="649" t="s">
        <v>237</v>
      </c>
      <c r="I117" s="671"/>
      <c r="J117" s="650"/>
      <c r="K117" s="671"/>
      <c r="L117" s="666"/>
      <c r="M117" s="674"/>
    </row>
    <row r="118" spans="1:13" x14ac:dyDescent="0.25">
      <c r="A118" s="426"/>
      <c r="B118" s="426" t="s">
        <v>315</v>
      </c>
      <c r="C118" s="427" t="s">
        <v>316</v>
      </c>
      <c r="D118" s="699">
        <v>0.60439560439560436</v>
      </c>
      <c r="H118" s="683" t="s">
        <v>237</v>
      </c>
      <c r="I118" s="671">
        <v>1524</v>
      </c>
      <c r="J118" s="650">
        <v>520</v>
      </c>
      <c r="K118" s="671">
        <v>520</v>
      </c>
      <c r="L118" s="666">
        <v>0.34120734908136485</v>
      </c>
      <c r="M118" s="674">
        <v>0.34120734908136485</v>
      </c>
    </row>
    <row r="119" spans="1:13" x14ac:dyDescent="0.25">
      <c r="A119" s="426"/>
      <c r="B119" s="426" t="s">
        <v>325</v>
      </c>
      <c r="C119" s="427" t="s">
        <v>326</v>
      </c>
      <c r="D119" s="699">
        <v>0.83333333333333337</v>
      </c>
      <c r="H119" s="665" t="s">
        <v>240</v>
      </c>
      <c r="I119" s="670">
        <v>108</v>
      </c>
      <c r="J119" s="539">
        <v>84</v>
      </c>
      <c r="K119" s="670">
        <v>84</v>
      </c>
      <c r="L119" s="662">
        <v>0.77777777777777779</v>
      </c>
      <c r="M119" s="673">
        <v>0.77777777777777779</v>
      </c>
    </row>
    <row r="120" spans="1:13" x14ac:dyDescent="0.25">
      <c r="A120" s="426"/>
      <c r="B120" s="426" t="s">
        <v>323</v>
      </c>
      <c r="C120" s="427" t="s">
        <v>324</v>
      </c>
      <c r="D120" s="699">
        <v>1.0747663551401869</v>
      </c>
      <c r="H120" s="665" t="s">
        <v>259</v>
      </c>
      <c r="I120" s="670">
        <v>72</v>
      </c>
      <c r="J120" s="539">
        <v>52</v>
      </c>
      <c r="K120" s="670">
        <v>52</v>
      </c>
      <c r="L120" s="662">
        <v>0.72222222222222221</v>
      </c>
      <c r="M120" s="673">
        <v>0.72222222222222221</v>
      </c>
    </row>
    <row r="121" spans="1:13" x14ac:dyDescent="0.25">
      <c r="A121" s="426"/>
      <c r="B121" s="426" t="s">
        <v>346</v>
      </c>
      <c r="C121" s="427" t="s">
        <v>347</v>
      </c>
      <c r="D121" s="699">
        <v>1.0930232558139534</v>
      </c>
      <c r="H121" s="665" t="s">
        <v>247</v>
      </c>
      <c r="I121" s="670">
        <v>50</v>
      </c>
      <c r="J121" s="539">
        <v>47</v>
      </c>
      <c r="K121" s="670">
        <v>47</v>
      </c>
      <c r="L121" s="662">
        <v>0.94</v>
      </c>
      <c r="M121" s="673">
        <v>0.94</v>
      </c>
    </row>
    <row r="122" spans="1:13" x14ac:dyDescent="0.25">
      <c r="A122" s="426"/>
      <c r="B122" s="426" t="s">
        <v>333</v>
      </c>
      <c r="C122" s="427" t="s">
        <v>334</v>
      </c>
      <c r="D122" s="699">
        <v>1.5290322580645161</v>
      </c>
      <c r="H122" s="665" t="s">
        <v>253</v>
      </c>
      <c r="I122" s="670">
        <v>203</v>
      </c>
      <c r="J122" s="539">
        <v>43</v>
      </c>
      <c r="K122" s="670">
        <v>43</v>
      </c>
      <c r="L122" s="662">
        <v>0.21182266009852216</v>
      </c>
      <c r="M122" s="673">
        <v>0.21182266009852216</v>
      </c>
    </row>
    <row r="123" spans="1:13" x14ac:dyDescent="0.25">
      <c r="A123" s="426"/>
      <c r="B123" s="426" t="s">
        <v>335</v>
      </c>
      <c r="C123" s="427" t="s">
        <v>336</v>
      </c>
      <c r="D123" s="699">
        <v>0.73529411764705888</v>
      </c>
      <c r="H123" s="665" t="s">
        <v>257</v>
      </c>
      <c r="I123" s="670">
        <v>45</v>
      </c>
      <c r="J123" s="539">
        <v>40</v>
      </c>
      <c r="K123" s="670">
        <v>40</v>
      </c>
      <c r="L123" s="662">
        <v>0.88888888888888884</v>
      </c>
      <c r="M123" s="673">
        <v>0.88888888888888884</v>
      </c>
    </row>
    <row r="124" spans="1:13" x14ac:dyDescent="0.25">
      <c r="A124" s="426"/>
      <c r="B124" s="426" t="s">
        <v>352</v>
      </c>
      <c r="C124" s="427" t="s">
        <v>353</v>
      </c>
      <c r="D124" s="699">
        <v>0.11895910780669144</v>
      </c>
      <c r="H124" s="665" t="s">
        <v>281</v>
      </c>
      <c r="I124" s="670">
        <v>90</v>
      </c>
      <c r="J124" s="539">
        <v>40</v>
      </c>
      <c r="K124" s="670">
        <v>40</v>
      </c>
      <c r="L124" s="662">
        <v>0.44444444444444442</v>
      </c>
      <c r="M124" s="673">
        <v>0.44444444444444442</v>
      </c>
    </row>
    <row r="125" spans="1:13" x14ac:dyDescent="0.25">
      <c r="A125" s="426"/>
      <c r="B125" s="426" t="s">
        <v>321</v>
      </c>
      <c r="C125" s="427" t="s">
        <v>322</v>
      </c>
      <c r="D125" s="699">
        <v>0.99178981937602628</v>
      </c>
      <c r="H125" s="665" t="s">
        <v>285</v>
      </c>
      <c r="I125" s="670">
        <v>163</v>
      </c>
      <c r="J125" s="539">
        <v>38</v>
      </c>
      <c r="K125" s="670">
        <v>38</v>
      </c>
      <c r="L125" s="662">
        <v>0.23312883435582821</v>
      </c>
      <c r="M125" s="673">
        <v>0.23312883435582821</v>
      </c>
    </row>
    <row r="126" spans="1:13" x14ac:dyDescent="0.25">
      <c r="A126" s="426"/>
      <c r="B126" s="426" t="s">
        <v>354</v>
      </c>
      <c r="C126" s="427" t="s">
        <v>355</v>
      </c>
      <c r="D126" s="699">
        <v>0</v>
      </c>
      <c r="H126" s="665" t="s">
        <v>277</v>
      </c>
      <c r="I126" s="670">
        <v>95</v>
      </c>
      <c r="J126" s="539">
        <v>31</v>
      </c>
      <c r="K126" s="670">
        <v>31</v>
      </c>
      <c r="L126" s="662">
        <v>0.32631578947368423</v>
      </c>
      <c r="M126" s="673">
        <v>0.32631578947368423</v>
      </c>
    </row>
    <row r="127" spans="1:13" x14ac:dyDescent="0.25">
      <c r="A127" s="426"/>
      <c r="B127" s="426" t="s">
        <v>343</v>
      </c>
      <c r="C127" s="427" t="s">
        <v>344</v>
      </c>
      <c r="D127" s="699">
        <v>1.0555555555555556</v>
      </c>
      <c r="H127" s="665" t="s">
        <v>255</v>
      </c>
      <c r="I127" s="670">
        <v>109</v>
      </c>
      <c r="J127" s="539">
        <v>29</v>
      </c>
      <c r="K127" s="670">
        <v>29</v>
      </c>
      <c r="L127" s="662">
        <v>0.26605504587155965</v>
      </c>
      <c r="M127" s="673">
        <v>0.26605504587155965</v>
      </c>
    </row>
    <row r="128" spans="1:13" x14ac:dyDescent="0.25">
      <c r="A128" s="426"/>
      <c r="B128" s="426" t="s">
        <v>345</v>
      </c>
      <c r="C128" s="427" t="s">
        <v>1266</v>
      </c>
      <c r="D128" s="699">
        <v>0.18324607329842932</v>
      </c>
      <c r="H128" s="665" t="s">
        <v>279</v>
      </c>
      <c r="I128" s="670">
        <v>28</v>
      </c>
      <c r="J128" s="539">
        <v>28</v>
      </c>
      <c r="K128" s="670">
        <v>28</v>
      </c>
      <c r="L128" s="662">
        <v>1</v>
      </c>
      <c r="M128" s="673">
        <v>1</v>
      </c>
    </row>
    <row r="129" spans="1:13" x14ac:dyDescent="0.25">
      <c r="A129" s="427"/>
      <c r="B129" s="427" t="s">
        <v>356</v>
      </c>
      <c r="C129" s="427" t="s">
        <v>1268</v>
      </c>
      <c r="D129" s="700">
        <v>0.91323529411764715</v>
      </c>
      <c r="H129" s="665" t="s">
        <v>273</v>
      </c>
      <c r="I129" s="670">
        <v>57</v>
      </c>
      <c r="J129" s="539">
        <v>27</v>
      </c>
      <c r="K129" s="670">
        <v>27</v>
      </c>
      <c r="L129" s="662">
        <v>0.47368421052631576</v>
      </c>
      <c r="M129" s="673">
        <v>0.47368421052631576</v>
      </c>
    </row>
    <row r="130" spans="1:13" x14ac:dyDescent="0.25">
      <c r="A130" s="427" t="s">
        <v>300</v>
      </c>
      <c r="B130" s="427" t="s">
        <v>1014</v>
      </c>
      <c r="C130" s="427" t="s">
        <v>865</v>
      </c>
      <c r="D130" s="700">
        <v>0</v>
      </c>
      <c r="H130" s="665" t="s">
        <v>261</v>
      </c>
      <c r="I130" s="670">
        <v>96</v>
      </c>
      <c r="J130" s="539">
        <v>16</v>
      </c>
      <c r="K130" s="670">
        <v>16</v>
      </c>
      <c r="L130" s="662">
        <v>0.16666666666666666</v>
      </c>
      <c r="M130" s="673">
        <v>0.16666666666666666</v>
      </c>
    </row>
    <row r="131" spans="1:13" x14ac:dyDescent="0.25">
      <c r="A131" s="426" t="s">
        <v>784</v>
      </c>
      <c r="B131" s="498" t="s">
        <v>1290</v>
      </c>
      <c r="C131" s="498" t="s">
        <v>1309</v>
      </c>
      <c r="D131" s="429">
        <v>0.22727272727272727</v>
      </c>
      <c r="H131" s="665" t="s">
        <v>251</v>
      </c>
      <c r="I131" s="670">
        <v>32</v>
      </c>
      <c r="J131" s="539">
        <v>12</v>
      </c>
      <c r="K131" s="670">
        <v>12</v>
      </c>
      <c r="L131" s="662">
        <v>0.375</v>
      </c>
      <c r="M131" s="673">
        <v>0.375</v>
      </c>
    </row>
    <row r="132" spans="1:13" x14ac:dyDescent="0.25">
      <c r="A132" s="427" t="s">
        <v>416</v>
      </c>
      <c r="B132" s="427"/>
      <c r="C132" s="427"/>
      <c r="D132" s="700">
        <v>153.74760383174245</v>
      </c>
      <c r="H132" s="665" t="s">
        <v>275</v>
      </c>
      <c r="I132" s="670">
        <v>44</v>
      </c>
      <c r="J132" s="539">
        <v>12</v>
      </c>
      <c r="K132" s="670">
        <v>12</v>
      </c>
      <c r="L132" s="662">
        <v>0.27272727272727271</v>
      </c>
      <c r="M132" s="673">
        <v>0.27272727272727271</v>
      </c>
    </row>
    <row r="133" spans="1:13" x14ac:dyDescent="0.25">
      <c r="B133"/>
      <c r="H133" s="665" t="s">
        <v>238</v>
      </c>
      <c r="I133" s="670">
        <v>70</v>
      </c>
      <c r="J133" s="539">
        <v>10</v>
      </c>
      <c r="K133" s="670">
        <v>10</v>
      </c>
      <c r="L133" s="662">
        <v>0.14285714285714285</v>
      </c>
      <c r="M133" s="673">
        <v>0.14285714285714285</v>
      </c>
    </row>
    <row r="134" spans="1:13" x14ac:dyDescent="0.25">
      <c r="B134"/>
      <c r="H134" s="665" t="s">
        <v>269</v>
      </c>
      <c r="I134" s="670">
        <v>57</v>
      </c>
      <c r="J134" s="539">
        <v>5</v>
      </c>
      <c r="K134" s="670">
        <v>5</v>
      </c>
      <c r="L134" s="662">
        <v>8.771929824561403E-2</v>
      </c>
      <c r="M134" s="673">
        <v>8.771929824561403E-2</v>
      </c>
    </row>
    <row r="135" spans="1:13" x14ac:dyDescent="0.25">
      <c r="B135"/>
      <c r="H135" s="665" t="s">
        <v>271</v>
      </c>
      <c r="I135" s="670">
        <v>70</v>
      </c>
      <c r="J135" s="539">
        <v>3</v>
      </c>
      <c r="K135" s="670">
        <v>3</v>
      </c>
      <c r="L135" s="662">
        <v>4.2857142857142858E-2</v>
      </c>
      <c r="M135" s="673">
        <v>4.2857142857142858E-2</v>
      </c>
    </row>
    <row r="136" spans="1:13" x14ac:dyDescent="0.25">
      <c r="B136"/>
      <c r="H136" s="665" t="s">
        <v>243</v>
      </c>
      <c r="I136" s="670">
        <v>6</v>
      </c>
      <c r="J136" s="539">
        <v>3</v>
      </c>
      <c r="K136" s="670">
        <v>3</v>
      </c>
      <c r="L136" s="662">
        <v>0.5</v>
      </c>
      <c r="M136" s="673">
        <v>0.5</v>
      </c>
    </row>
    <row r="137" spans="1:13" x14ac:dyDescent="0.25">
      <c r="B137"/>
      <c r="H137" s="665" t="s">
        <v>1267</v>
      </c>
      <c r="I137" s="670">
        <v>68</v>
      </c>
      <c r="J137" s="539">
        <v>0</v>
      </c>
      <c r="K137" s="670">
        <v>0</v>
      </c>
      <c r="L137" s="662">
        <v>0</v>
      </c>
      <c r="M137" s="673">
        <v>0</v>
      </c>
    </row>
    <row r="138" spans="1:13" x14ac:dyDescent="0.25">
      <c r="B138"/>
      <c r="H138" s="665" t="s">
        <v>245</v>
      </c>
      <c r="I138" s="670">
        <v>6</v>
      </c>
      <c r="J138" s="539">
        <v>0</v>
      </c>
      <c r="K138" s="670">
        <v>0</v>
      </c>
      <c r="L138" s="662">
        <v>0</v>
      </c>
      <c r="M138" s="673">
        <v>0</v>
      </c>
    </row>
    <row r="139" spans="1:13" x14ac:dyDescent="0.25">
      <c r="B139"/>
      <c r="H139" s="665" t="s">
        <v>283</v>
      </c>
      <c r="I139" s="670">
        <v>7</v>
      </c>
      <c r="J139" s="539">
        <v>0</v>
      </c>
      <c r="K139" s="670">
        <v>0</v>
      </c>
      <c r="L139" s="662">
        <v>0</v>
      </c>
      <c r="M139" s="673">
        <v>0</v>
      </c>
    </row>
    <row r="140" spans="1:13" x14ac:dyDescent="0.25">
      <c r="B140"/>
      <c r="H140" s="665" t="s">
        <v>249</v>
      </c>
      <c r="I140" s="670">
        <v>12</v>
      </c>
      <c r="J140" s="539">
        <v>0</v>
      </c>
      <c r="K140" s="670">
        <v>0</v>
      </c>
      <c r="L140" s="662">
        <v>0</v>
      </c>
      <c r="M140" s="673">
        <v>0</v>
      </c>
    </row>
    <row r="141" spans="1:13" x14ac:dyDescent="0.25">
      <c r="B141"/>
      <c r="H141" s="665" t="s">
        <v>263</v>
      </c>
      <c r="I141" s="670">
        <v>22</v>
      </c>
      <c r="J141" s="539">
        <v>0</v>
      </c>
      <c r="K141" s="670">
        <v>0</v>
      </c>
      <c r="L141" s="662">
        <v>0</v>
      </c>
      <c r="M141" s="673">
        <v>0</v>
      </c>
    </row>
    <row r="142" spans="1:13" x14ac:dyDescent="0.25">
      <c r="B142"/>
      <c r="H142" s="668" t="s">
        <v>265</v>
      </c>
      <c r="I142" s="671">
        <v>14</v>
      </c>
      <c r="J142" s="650">
        <v>0</v>
      </c>
      <c r="K142" s="671">
        <v>0</v>
      </c>
      <c r="L142" s="666">
        <v>0</v>
      </c>
      <c r="M142" s="674">
        <v>0</v>
      </c>
    </row>
    <row r="143" spans="1:13" x14ac:dyDescent="0.25">
      <c r="B143"/>
      <c r="H143" s="649" t="s">
        <v>289</v>
      </c>
      <c r="I143" s="671"/>
      <c r="J143" s="650"/>
      <c r="K143" s="671"/>
      <c r="L143" s="666"/>
      <c r="M143" s="674"/>
    </row>
    <row r="144" spans="1:13" x14ac:dyDescent="0.25">
      <c r="B144"/>
      <c r="H144" s="683" t="s">
        <v>289</v>
      </c>
      <c r="I144" s="671">
        <v>382</v>
      </c>
      <c r="J144" s="650">
        <v>222</v>
      </c>
      <c r="K144" s="671">
        <v>222</v>
      </c>
      <c r="L144" s="666">
        <v>0.58115183246073299</v>
      </c>
      <c r="M144" s="674">
        <v>0.58115183246073299</v>
      </c>
    </row>
    <row r="145" spans="2:13" x14ac:dyDescent="0.25">
      <c r="B145"/>
      <c r="H145" s="663" t="s">
        <v>1074</v>
      </c>
      <c r="I145" s="670">
        <v>141</v>
      </c>
      <c r="J145" s="664">
        <v>105</v>
      </c>
      <c r="K145" s="670">
        <v>105</v>
      </c>
      <c r="L145" s="662">
        <v>0.74468085106382975</v>
      </c>
      <c r="M145" s="673">
        <v>0.74468085106382975</v>
      </c>
    </row>
    <row r="146" spans="2:13" x14ac:dyDescent="0.25">
      <c r="B146"/>
      <c r="H146" s="665" t="s">
        <v>374</v>
      </c>
      <c r="I146" s="670">
        <v>50</v>
      </c>
      <c r="J146" s="539">
        <v>50</v>
      </c>
      <c r="K146" s="670">
        <v>50</v>
      </c>
      <c r="L146" s="662">
        <v>1</v>
      </c>
      <c r="M146" s="673">
        <v>1</v>
      </c>
    </row>
    <row r="147" spans="2:13" x14ac:dyDescent="0.25">
      <c r="B147"/>
      <c r="H147" s="665" t="s">
        <v>290</v>
      </c>
      <c r="I147" s="670">
        <v>68</v>
      </c>
      <c r="J147" s="539">
        <v>38</v>
      </c>
      <c r="K147" s="670">
        <v>38</v>
      </c>
      <c r="L147" s="662">
        <v>0.55882352941176472</v>
      </c>
      <c r="M147" s="673">
        <v>0.55882352941176472</v>
      </c>
    </row>
    <row r="148" spans="2:13" x14ac:dyDescent="0.25">
      <c r="B148"/>
      <c r="H148" s="665" t="s">
        <v>1062</v>
      </c>
      <c r="I148" s="670">
        <v>41</v>
      </c>
      <c r="J148" s="539">
        <v>29</v>
      </c>
      <c r="K148" s="670">
        <v>29</v>
      </c>
      <c r="L148" s="662">
        <v>0.70731707317073167</v>
      </c>
      <c r="M148" s="673">
        <v>0.70731707317073167</v>
      </c>
    </row>
    <row r="149" spans="2:13" x14ac:dyDescent="0.25">
      <c r="B149"/>
      <c r="H149" s="668" t="s">
        <v>292</v>
      </c>
      <c r="I149" s="671">
        <v>82</v>
      </c>
      <c r="J149" s="650">
        <v>0</v>
      </c>
      <c r="K149" s="671">
        <v>0</v>
      </c>
      <c r="L149" s="666">
        <v>0</v>
      </c>
      <c r="M149" s="674">
        <v>0</v>
      </c>
    </row>
    <row r="150" spans="2:13" x14ac:dyDescent="0.25">
      <c r="B150"/>
      <c r="H150" s="649" t="s">
        <v>310</v>
      </c>
      <c r="I150" s="671"/>
      <c r="J150" s="650"/>
      <c r="K150" s="671"/>
      <c r="L150" s="666"/>
      <c r="M150" s="674"/>
    </row>
    <row r="151" spans="2:13" x14ac:dyDescent="0.25">
      <c r="B151"/>
      <c r="H151" s="683" t="s">
        <v>310</v>
      </c>
      <c r="I151" s="671">
        <v>4801</v>
      </c>
      <c r="J151" s="650">
        <v>1670</v>
      </c>
      <c r="K151" s="671">
        <v>1670</v>
      </c>
      <c r="L151" s="666">
        <v>0.34784419912518227</v>
      </c>
      <c r="M151" s="674">
        <v>0.34784419912518227</v>
      </c>
    </row>
    <row r="152" spans="2:13" x14ac:dyDescent="0.25">
      <c r="B152"/>
      <c r="H152" s="663" t="s">
        <v>353</v>
      </c>
      <c r="I152" s="670">
        <v>1345</v>
      </c>
      <c r="J152" s="664">
        <v>1185</v>
      </c>
      <c r="K152" s="670">
        <v>1185</v>
      </c>
      <c r="L152" s="662">
        <v>0.8810408921933085</v>
      </c>
      <c r="M152" s="673">
        <v>0.8810408921933085</v>
      </c>
    </row>
    <row r="153" spans="2:13" x14ac:dyDescent="0.25">
      <c r="B153"/>
      <c r="H153" s="665" t="s">
        <v>1266</v>
      </c>
      <c r="I153" s="670">
        <v>191</v>
      </c>
      <c r="J153" s="539">
        <v>156</v>
      </c>
      <c r="K153" s="670">
        <v>156</v>
      </c>
      <c r="L153" s="662">
        <v>0.81675392670157065</v>
      </c>
      <c r="M153" s="673">
        <v>0.81675392670157065</v>
      </c>
    </row>
    <row r="154" spans="2:13" x14ac:dyDescent="0.25">
      <c r="B154"/>
      <c r="H154" s="663" t="s">
        <v>355</v>
      </c>
      <c r="I154" s="670">
        <v>108</v>
      </c>
      <c r="J154" s="664">
        <v>108</v>
      </c>
      <c r="K154" s="670">
        <v>108</v>
      </c>
      <c r="L154" s="662">
        <v>1</v>
      </c>
      <c r="M154" s="673">
        <v>1</v>
      </c>
    </row>
    <row r="155" spans="2:13" x14ac:dyDescent="0.25">
      <c r="B155"/>
      <c r="H155" s="665" t="s">
        <v>1268</v>
      </c>
      <c r="I155" s="670">
        <v>680</v>
      </c>
      <c r="J155" s="539">
        <v>59</v>
      </c>
      <c r="K155" s="670">
        <v>59</v>
      </c>
      <c r="L155" s="662">
        <v>8.6764705882352938E-2</v>
      </c>
      <c r="M155" s="673">
        <v>8.6764705882352938E-2</v>
      </c>
    </row>
    <row r="156" spans="2:13" x14ac:dyDescent="0.25">
      <c r="B156"/>
      <c r="H156" s="665" t="s">
        <v>316</v>
      </c>
      <c r="I156" s="670">
        <v>91</v>
      </c>
      <c r="J156" s="539">
        <v>36</v>
      </c>
      <c r="K156" s="670">
        <v>36</v>
      </c>
      <c r="L156" s="662">
        <v>0.39560439560439559</v>
      </c>
      <c r="M156" s="673">
        <v>0.39560439560439559</v>
      </c>
    </row>
    <row r="157" spans="2:13" x14ac:dyDescent="0.25">
      <c r="B157"/>
      <c r="H157" s="665" t="s">
        <v>336</v>
      </c>
      <c r="I157" s="670">
        <v>136</v>
      </c>
      <c r="J157" s="539">
        <v>36</v>
      </c>
      <c r="K157" s="670">
        <v>36</v>
      </c>
      <c r="L157" s="662">
        <v>0.26470588235294118</v>
      </c>
      <c r="M157" s="673">
        <v>0.26470588235294118</v>
      </c>
    </row>
    <row r="158" spans="2:13" x14ac:dyDescent="0.25">
      <c r="B158"/>
      <c r="H158" s="665" t="s">
        <v>328</v>
      </c>
      <c r="I158" s="670">
        <v>135</v>
      </c>
      <c r="J158" s="539">
        <v>28</v>
      </c>
      <c r="K158" s="670">
        <v>28</v>
      </c>
      <c r="L158" s="662">
        <v>0.2074074074074074</v>
      </c>
      <c r="M158" s="673">
        <v>0.2074074074074074</v>
      </c>
    </row>
    <row r="159" spans="2:13" x14ac:dyDescent="0.25">
      <c r="B159"/>
      <c r="H159" s="665" t="s">
        <v>342</v>
      </c>
      <c r="I159" s="670">
        <v>65</v>
      </c>
      <c r="J159" s="539">
        <v>27</v>
      </c>
      <c r="K159" s="670">
        <v>27</v>
      </c>
      <c r="L159" s="662">
        <v>0.41538461538461541</v>
      </c>
      <c r="M159" s="673">
        <v>0.41538461538461541</v>
      </c>
    </row>
    <row r="160" spans="2:13" x14ac:dyDescent="0.25">
      <c r="B160"/>
      <c r="H160" s="665" t="s">
        <v>330</v>
      </c>
      <c r="I160" s="670">
        <v>227</v>
      </c>
      <c r="J160" s="539">
        <v>17</v>
      </c>
      <c r="K160" s="670">
        <v>17</v>
      </c>
      <c r="L160" s="662">
        <v>7.4889867841409691E-2</v>
      </c>
      <c r="M160" s="673">
        <v>7.4889867841409691E-2</v>
      </c>
    </row>
    <row r="161" spans="2:13" x14ac:dyDescent="0.25">
      <c r="B161"/>
      <c r="H161" s="665" t="s">
        <v>326</v>
      </c>
      <c r="I161" s="670">
        <v>48</v>
      </c>
      <c r="J161" s="539">
        <v>8</v>
      </c>
      <c r="K161" s="670">
        <v>8</v>
      </c>
      <c r="L161" s="662">
        <v>0.16666666666666666</v>
      </c>
      <c r="M161" s="673">
        <v>0.16666666666666666</v>
      </c>
    </row>
    <row r="162" spans="2:13" x14ac:dyDescent="0.25">
      <c r="B162"/>
      <c r="H162" s="665" t="s">
        <v>313</v>
      </c>
      <c r="I162" s="670">
        <v>110</v>
      </c>
      <c r="J162" s="539">
        <v>5</v>
      </c>
      <c r="K162" s="670">
        <v>5</v>
      </c>
      <c r="L162" s="662">
        <v>4.5454545454545456E-2</v>
      </c>
      <c r="M162" s="673">
        <v>4.5454545454545456E-2</v>
      </c>
    </row>
    <row r="163" spans="2:13" x14ac:dyDescent="0.25">
      <c r="B163"/>
      <c r="H163" s="665" t="s">
        <v>322</v>
      </c>
      <c r="I163" s="670">
        <v>609</v>
      </c>
      <c r="J163" s="539">
        <v>5</v>
      </c>
      <c r="K163" s="670">
        <v>5</v>
      </c>
      <c r="L163" s="662">
        <v>8.2101806239737278E-3</v>
      </c>
      <c r="M163" s="673">
        <v>8.2101806239737278E-3</v>
      </c>
    </row>
    <row r="164" spans="2:13" x14ac:dyDescent="0.25">
      <c r="B164"/>
      <c r="H164" s="665" t="s">
        <v>347</v>
      </c>
      <c r="I164" s="670">
        <v>172</v>
      </c>
      <c r="J164" s="539">
        <v>0</v>
      </c>
      <c r="K164" s="670">
        <v>0</v>
      </c>
      <c r="L164" s="662">
        <v>0</v>
      </c>
      <c r="M164" s="673">
        <v>0</v>
      </c>
    </row>
    <row r="165" spans="2:13" x14ac:dyDescent="0.25">
      <c r="B165"/>
      <c r="H165" s="665" t="s">
        <v>344</v>
      </c>
      <c r="I165" s="670">
        <v>18</v>
      </c>
      <c r="J165" s="539">
        <v>0</v>
      </c>
      <c r="K165" s="670">
        <v>0</v>
      </c>
      <c r="L165" s="662">
        <v>0</v>
      </c>
      <c r="M165" s="673">
        <v>0</v>
      </c>
    </row>
    <row r="166" spans="2:13" x14ac:dyDescent="0.25">
      <c r="B166"/>
      <c r="H166" s="665" t="s">
        <v>349</v>
      </c>
      <c r="I166" s="670">
        <v>42</v>
      </c>
      <c r="J166" s="539">
        <v>0</v>
      </c>
      <c r="K166" s="670">
        <v>0</v>
      </c>
      <c r="L166" s="662">
        <v>0</v>
      </c>
      <c r="M166" s="673">
        <v>0</v>
      </c>
    </row>
    <row r="167" spans="2:13" x14ac:dyDescent="0.25">
      <c r="B167"/>
      <c r="H167" s="665" t="s">
        <v>338</v>
      </c>
      <c r="I167" s="670">
        <v>31</v>
      </c>
      <c r="J167" s="539">
        <v>0</v>
      </c>
      <c r="K167" s="670">
        <v>0</v>
      </c>
      <c r="L167" s="662">
        <v>0</v>
      </c>
      <c r="M167" s="673">
        <v>0</v>
      </c>
    </row>
    <row r="168" spans="2:13" x14ac:dyDescent="0.25">
      <c r="B168"/>
      <c r="H168" s="665" t="s">
        <v>324</v>
      </c>
      <c r="I168" s="670">
        <v>428</v>
      </c>
      <c r="J168" s="539">
        <v>0</v>
      </c>
      <c r="K168" s="670">
        <v>0</v>
      </c>
      <c r="L168" s="662">
        <v>0</v>
      </c>
      <c r="M168" s="673">
        <v>0</v>
      </c>
    </row>
    <row r="169" spans="2:13" x14ac:dyDescent="0.25">
      <c r="B169"/>
      <c r="H169" s="665" t="s">
        <v>351</v>
      </c>
      <c r="I169" s="670">
        <v>91</v>
      </c>
      <c r="J169" s="539">
        <v>0</v>
      </c>
      <c r="K169" s="670">
        <v>0</v>
      </c>
      <c r="L169" s="662">
        <v>0</v>
      </c>
      <c r="M169" s="673">
        <v>0</v>
      </c>
    </row>
    <row r="170" spans="2:13" x14ac:dyDescent="0.25">
      <c r="B170"/>
      <c r="H170" s="665" t="s">
        <v>334</v>
      </c>
      <c r="I170" s="670">
        <v>155</v>
      </c>
      <c r="J170" s="539">
        <v>0</v>
      </c>
      <c r="K170" s="670">
        <v>0</v>
      </c>
      <c r="L170" s="662">
        <v>0</v>
      </c>
      <c r="M170" s="673">
        <v>0</v>
      </c>
    </row>
    <row r="171" spans="2:13" x14ac:dyDescent="0.25">
      <c r="B171"/>
      <c r="H171" s="665" t="s">
        <v>320</v>
      </c>
      <c r="I171" s="670">
        <v>25</v>
      </c>
      <c r="J171" s="539">
        <v>0</v>
      </c>
      <c r="K171" s="670">
        <v>0</v>
      </c>
      <c r="L171" s="662">
        <v>0</v>
      </c>
      <c r="M171" s="673">
        <v>0</v>
      </c>
    </row>
    <row r="172" spans="2:13" x14ac:dyDescent="0.25">
      <c r="B172"/>
      <c r="H172" s="668" t="s">
        <v>318</v>
      </c>
      <c r="I172" s="671">
        <v>94</v>
      </c>
      <c r="J172" s="650">
        <v>0</v>
      </c>
      <c r="K172" s="671">
        <v>0</v>
      </c>
      <c r="L172" s="666">
        <v>0</v>
      </c>
      <c r="M172" s="674">
        <v>0</v>
      </c>
    </row>
    <row r="173" spans="2:13" x14ac:dyDescent="0.25">
      <c r="B173"/>
      <c r="H173" s="649" t="s">
        <v>416</v>
      </c>
      <c r="I173" s="671">
        <v>17694</v>
      </c>
      <c r="J173" s="650">
        <v>6097</v>
      </c>
      <c r="K173" s="671">
        <v>5986</v>
      </c>
      <c r="L173" s="666">
        <v>0.34458008364417314</v>
      </c>
      <c r="M173" s="674">
        <v>0.33830677065671977</v>
      </c>
    </row>
    <row r="174" spans="2:13" x14ac:dyDescent="0.25">
      <c r="B174"/>
    </row>
    <row r="175" spans="2:13" x14ac:dyDescent="0.25">
      <c r="B175"/>
    </row>
    <row r="176" spans="2:13"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AQ106"/>
  <sheetViews>
    <sheetView showZeros="0" topLeftCell="A3" zoomScaleNormal="100" zoomScaleSheetLayoutView="100" zoomScalePageLayoutView="80" workbookViewId="0">
      <selection activeCell="S38" sqref="S38"/>
    </sheetView>
  </sheetViews>
  <sheetFormatPr defaultColWidth="9.140625" defaultRowHeight="15" x14ac:dyDescent="0.25"/>
  <cols>
    <col min="1" max="1" width="2.42578125" style="129" customWidth="1"/>
    <col min="2" max="2" width="1.85546875" style="129" customWidth="1"/>
    <col min="3" max="3" width="21" style="50" customWidth="1"/>
    <col min="4" max="4" width="8.28515625" style="50" customWidth="1"/>
    <col min="5" max="5" width="6.5703125" style="50" customWidth="1"/>
    <col min="6" max="6" width="4.7109375" style="50" customWidth="1"/>
    <col min="7" max="8" width="7" style="50" customWidth="1"/>
    <col min="9" max="9" width="15" style="50" customWidth="1"/>
    <col min="10" max="11" width="16" style="50" customWidth="1"/>
    <col min="12" max="12" width="9.140625" style="50"/>
    <col min="13" max="13" width="8.7109375" style="50" customWidth="1"/>
    <col min="14" max="14" width="5.85546875" style="50" customWidth="1"/>
    <col min="15" max="15" width="3.140625" style="50" customWidth="1"/>
    <col min="16" max="16" width="11" style="50" customWidth="1"/>
    <col min="17" max="17" width="11" style="50" hidden="1" customWidth="1"/>
    <col min="18" max="18" width="10.5703125" style="50" hidden="1" customWidth="1"/>
    <col min="19" max="19" width="13.7109375" style="67" customWidth="1"/>
    <col min="20" max="20" width="13.85546875" style="67" customWidth="1"/>
    <col min="21" max="24" width="9.140625" style="67"/>
    <col min="25" max="25" width="21.140625" style="67" customWidth="1"/>
    <col min="26" max="32" width="9.140625" style="67"/>
    <col min="33" max="16384" width="9.140625" style="50"/>
  </cols>
  <sheetData>
    <row r="1" spans="2:43" s="129" customFormat="1" ht="9.75" customHeight="1" thickBot="1" x14ac:dyDescent="0.3"/>
    <row r="2" spans="2:43" s="129" customFormat="1" ht="9.75" customHeight="1" x14ac:dyDescent="0.25">
      <c r="B2" s="259"/>
      <c r="C2" s="260"/>
      <c r="D2" s="260"/>
      <c r="E2" s="260"/>
      <c r="F2" s="260"/>
      <c r="G2" s="260"/>
      <c r="H2" s="260"/>
      <c r="I2" s="260"/>
      <c r="J2" s="260"/>
      <c r="K2" s="260"/>
      <c r="L2" s="260"/>
      <c r="M2" s="260"/>
      <c r="N2" s="260"/>
      <c r="O2" s="261"/>
    </row>
    <row r="3" spans="2:43" s="1" customFormat="1" ht="36" x14ac:dyDescent="0.25">
      <c r="B3" s="262"/>
      <c r="C3" s="276"/>
      <c r="D3" s="276"/>
      <c r="E3" s="276"/>
      <c r="F3" s="276"/>
      <c r="G3" s="276"/>
      <c r="H3" s="276"/>
      <c r="I3" s="276"/>
      <c r="J3" s="276"/>
      <c r="K3" s="276"/>
      <c r="L3" s="276"/>
      <c r="M3" s="276"/>
      <c r="N3" s="276"/>
      <c r="O3" s="263"/>
      <c r="P3" s="129"/>
      <c r="Q3" s="129"/>
      <c r="AO3" s="59"/>
      <c r="AP3" s="59"/>
    </row>
    <row r="4" spans="2:43" s="1" customFormat="1" ht="33" customHeight="1" x14ac:dyDescent="0.25">
      <c r="B4" s="262"/>
      <c r="C4" s="847" t="s">
        <v>592</v>
      </c>
      <c r="D4" s="847"/>
      <c r="E4" s="847"/>
      <c r="F4" s="847"/>
      <c r="G4" s="847"/>
      <c r="H4" s="847"/>
      <c r="I4" s="847"/>
      <c r="J4" s="847"/>
      <c r="K4" s="847"/>
      <c r="L4" s="252"/>
      <c r="M4" s="252"/>
      <c r="N4" s="252"/>
      <c r="O4" s="263"/>
      <c r="P4" s="129"/>
      <c r="Q4" s="129"/>
      <c r="S4" s="26" t="s">
        <v>1167</v>
      </c>
      <c r="T4" s="53">
        <f>GETPIVOTDATA("# HH",$C$21)</f>
        <v>17694</v>
      </c>
      <c r="U4" s="82"/>
      <c r="V4" s="82"/>
      <c r="W4" s="82"/>
      <c r="X4" s="82"/>
      <c r="Y4" s="82"/>
      <c r="Z4" s="82"/>
      <c r="AA4" s="82"/>
      <c r="AB4" s="82"/>
      <c r="AC4" s="82"/>
      <c r="AD4" s="82"/>
      <c r="AE4" s="82"/>
      <c r="AF4" s="82"/>
      <c r="AP4" s="59"/>
      <c r="AQ4" s="59"/>
    </row>
    <row r="5" spans="2:43" s="18" customFormat="1" ht="18" customHeight="1" x14ac:dyDescent="0.25">
      <c r="B5" s="264"/>
      <c r="C5" s="833">
        <f>Report_Date</f>
        <v>42309</v>
      </c>
      <c r="D5" s="833"/>
      <c r="E5" s="833"/>
      <c r="F5" s="833"/>
      <c r="G5" s="833"/>
      <c r="H5" s="833"/>
      <c r="I5" s="833"/>
      <c r="J5" s="833"/>
      <c r="K5" s="256"/>
      <c r="L5" s="256"/>
      <c r="M5" s="256"/>
      <c r="N5" s="256"/>
      <c r="O5" s="265"/>
      <c r="P5" s="129"/>
      <c r="Q5" s="129"/>
      <c r="S5" s="26" t="s">
        <v>1256</v>
      </c>
      <c r="T5" s="53">
        <f>GETPIVOTDATA("# Camps",$C$21)</f>
        <v>138</v>
      </c>
      <c r="U5" s="82"/>
      <c r="V5" s="82"/>
      <c r="W5" s="82"/>
      <c r="X5" s="82"/>
      <c r="Y5" s="82"/>
      <c r="Z5" s="82"/>
      <c r="AA5" s="82"/>
      <c r="AB5" s="82"/>
      <c r="AC5" s="82"/>
      <c r="AD5" s="82"/>
      <c r="AE5" s="82"/>
      <c r="AF5" s="82"/>
      <c r="AP5" s="60"/>
      <c r="AQ5" s="60"/>
    </row>
    <row r="6" spans="2:43" s="18" customFormat="1" ht="8.25" customHeight="1" x14ac:dyDescent="0.25">
      <c r="B6" s="283"/>
      <c r="C6" s="289"/>
      <c r="D6" s="289"/>
      <c r="E6" s="289"/>
      <c r="F6" s="289"/>
      <c r="G6" s="289"/>
      <c r="H6" s="289"/>
      <c r="I6" s="289"/>
      <c r="J6" s="289"/>
      <c r="K6" s="290"/>
      <c r="L6" s="290"/>
      <c r="M6" s="290"/>
      <c r="N6" s="290"/>
      <c r="O6" s="277"/>
      <c r="P6" s="129"/>
      <c r="Q6" s="129"/>
      <c r="S6" s="26"/>
      <c r="T6" s="53"/>
      <c r="U6" s="129"/>
      <c r="V6" s="129"/>
      <c r="W6" s="129"/>
      <c r="X6" s="129"/>
      <c r="Y6" s="129"/>
      <c r="Z6" s="129"/>
      <c r="AA6" s="129"/>
      <c r="AB6" s="129"/>
      <c r="AC6" s="129"/>
      <c r="AD6" s="129"/>
      <c r="AE6" s="129"/>
      <c r="AF6" s="129"/>
      <c r="AP6" s="60"/>
      <c r="AQ6" s="60"/>
    </row>
    <row r="7" spans="2:43" x14ac:dyDescent="0.25">
      <c r="B7" s="283"/>
      <c r="C7" s="39"/>
      <c r="D7" s="39"/>
      <c r="E7" s="39"/>
      <c r="F7" s="39"/>
      <c r="G7" s="39"/>
      <c r="H7" s="39"/>
      <c r="I7" s="39"/>
      <c r="J7" s="39"/>
      <c r="K7" s="39"/>
      <c r="L7" s="39"/>
      <c r="M7" s="39"/>
      <c r="N7" s="39"/>
      <c r="O7" s="277"/>
      <c r="S7" s="26" t="s">
        <v>1169</v>
      </c>
      <c r="T7" s="424">
        <f>GETPIVOTDATA("# HH",$C$21)-GETPIVOTDATA("# Shelter Gap",$C$21)</f>
        <v>11597</v>
      </c>
    </row>
    <row r="8" spans="2:43" x14ac:dyDescent="0.25">
      <c r="B8" s="283"/>
      <c r="C8" s="39"/>
      <c r="D8" s="39"/>
      <c r="E8" s="39"/>
      <c r="F8" s="39"/>
      <c r="G8" s="39"/>
      <c r="H8" s="39"/>
      <c r="I8" s="39"/>
      <c r="J8" s="39"/>
      <c r="K8" s="39"/>
      <c r="L8" s="39"/>
      <c r="M8" s="39"/>
      <c r="N8" s="39"/>
      <c r="O8" s="277"/>
      <c r="R8" s="18"/>
      <c r="S8" s="26" t="s">
        <v>1168</v>
      </c>
      <c r="T8" s="53">
        <f>GETPIVOTDATA("# Shelter Gap",$C$21)</f>
        <v>6097</v>
      </c>
    </row>
    <row r="9" spans="2:43" x14ac:dyDescent="0.25">
      <c r="B9" s="283"/>
      <c r="C9" s="39"/>
      <c r="D9" s="39"/>
      <c r="E9" s="39"/>
      <c r="F9" s="39"/>
      <c r="G9" s="39"/>
      <c r="H9" s="39"/>
      <c r="I9" s="39"/>
      <c r="J9" s="39"/>
      <c r="K9" s="39"/>
      <c r="L9" s="39"/>
      <c r="M9" s="39"/>
      <c r="N9" s="39"/>
      <c r="O9" s="277"/>
      <c r="S9" s="26" t="s">
        <v>1171</v>
      </c>
      <c r="T9" s="53">
        <f>GETPIVOTDATA("# Const. Shelter",$C$21)</f>
        <v>5986</v>
      </c>
    </row>
    <row r="10" spans="2:43" ht="12.75" customHeight="1" x14ac:dyDescent="0.25">
      <c r="B10" s="283"/>
      <c r="C10" s="39"/>
      <c r="D10" s="39"/>
      <c r="E10" s="39"/>
      <c r="F10" s="39"/>
      <c r="G10" s="39"/>
      <c r="H10" s="39"/>
      <c r="I10" s="39"/>
      <c r="J10" s="39"/>
      <c r="K10" s="39"/>
      <c r="L10" s="39"/>
      <c r="M10" s="39"/>
      <c r="N10" s="39"/>
      <c r="O10" s="277"/>
      <c r="S10" s="26" t="s">
        <v>1170</v>
      </c>
      <c r="T10" s="424">
        <f>GETPIVOTDATA("# Shelter Gap",$C$21)-GETPIVOTDATA("# Const. Shelter",$C$21)</f>
        <v>111</v>
      </c>
    </row>
    <row r="11" spans="2:43" ht="12.75" customHeight="1" x14ac:dyDescent="0.25">
      <c r="B11" s="283"/>
      <c r="C11" s="39"/>
      <c r="D11" s="39"/>
      <c r="E11" s="39"/>
      <c r="F11" s="39"/>
      <c r="G11" s="39"/>
      <c r="H11" s="39"/>
      <c r="I11" s="39"/>
      <c r="J11" s="39"/>
      <c r="K11" s="39"/>
      <c r="L11" s="39"/>
      <c r="M11" s="39"/>
      <c r="N11" s="39"/>
      <c r="O11" s="277"/>
    </row>
    <row r="12" spans="2:43" ht="12.75" customHeight="1" x14ac:dyDescent="0.25">
      <c r="B12" s="283"/>
      <c r="C12" s="39"/>
      <c r="D12" s="39"/>
      <c r="E12" s="39"/>
      <c r="F12" s="39"/>
      <c r="G12" s="39"/>
      <c r="H12" s="39"/>
      <c r="I12" s="39"/>
      <c r="J12" s="39"/>
      <c r="K12" s="39"/>
      <c r="L12" s="39"/>
      <c r="M12" s="39"/>
      <c r="N12" s="39"/>
      <c r="O12" s="277"/>
    </row>
    <row r="13" spans="2:43" ht="12.75" customHeight="1" x14ac:dyDescent="0.25">
      <c r="B13" s="283"/>
      <c r="C13" s="39"/>
      <c r="D13" s="39"/>
      <c r="E13" s="39"/>
      <c r="F13" s="39"/>
      <c r="G13" s="39"/>
      <c r="H13" s="39"/>
      <c r="I13" s="39"/>
      <c r="J13" s="39"/>
      <c r="K13" s="39"/>
      <c r="L13" s="39"/>
      <c r="M13" s="39"/>
      <c r="N13" s="39"/>
      <c r="O13" s="277"/>
      <c r="S13" s="26" t="s">
        <v>1210</v>
      </c>
      <c r="T13" s="26">
        <v>0.5</v>
      </c>
    </row>
    <row r="14" spans="2:43" s="129" customFormat="1" ht="12.75" customHeight="1" x14ac:dyDescent="0.25">
      <c r="B14" s="283"/>
      <c r="C14" s="39"/>
      <c r="D14" s="39"/>
      <c r="E14" s="39"/>
      <c r="F14" s="39"/>
      <c r="G14" s="39"/>
      <c r="H14" s="39"/>
      <c r="I14" s="39"/>
      <c r="J14" s="39"/>
      <c r="K14" s="39"/>
      <c r="L14" s="39"/>
      <c r="M14" s="39"/>
      <c r="N14" s="39"/>
      <c r="O14" s="277"/>
    </row>
    <row r="15" spans="2:43" ht="12.75" customHeight="1" thickBot="1" x14ac:dyDescent="0.3">
      <c r="B15" s="283"/>
      <c r="C15" s="39"/>
      <c r="D15" s="39"/>
      <c r="E15" s="39"/>
      <c r="F15" s="39"/>
      <c r="G15" s="39"/>
      <c r="H15" s="39"/>
      <c r="I15" s="39"/>
      <c r="J15" s="278"/>
      <c r="K15" s="278"/>
      <c r="L15" s="39"/>
      <c r="M15" s="39"/>
      <c r="N15" s="39"/>
      <c r="O15" s="277"/>
    </row>
    <row r="16" spans="2:43" ht="15.75" hidden="1" x14ac:dyDescent="0.25">
      <c r="B16" s="48"/>
      <c r="C16" s="1"/>
      <c r="D16" s="1"/>
      <c r="E16" s="1"/>
      <c r="F16" s="1"/>
      <c r="G16" s="1"/>
      <c r="H16" s="1"/>
      <c r="I16" s="39"/>
      <c r="J16" s="279"/>
      <c r="K16" s="279"/>
      <c r="L16" s="39"/>
      <c r="M16" s="39"/>
      <c r="N16" s="39"/>
      <c r="O16" s="277"/>
    </row>
    <row r="17" spans="2:32" ht="15.75" hidden="1" x14ac:dyDescent="0.25">
      <c r="B17" s="48"/>
      <c r="C17" s="1"/>
      <c r="D17" s="1"/>
      <c r="E17" s="1"/>
      <c r="F17" s="1"/>
      <c r="G17" s="1"/>
      <c r="H17" s="1"/>
      <c r="I17" s="39"/>
      <c r="J17" s="279"/>
      <c r="K17" s="279"/>
      <c r="L17" s="39"/>
      <c r="M17" s="39"/>
      <c r="N17" s="39"/>
      <c r="O17" s="277"/>
    </row>
    <row r="18" spans="2:32" ht="16.5" hidden="1" thickBot="1" x14ac:dyDescent="0.3">
      <c r="B18" s="48"/>
      <c r="C18" s="541" t="s">
        <v>500</v>
      </c>
      <c r="D18" s="542" t="s">
        <v>502</v>
      </c>
      <c r="E18" s="1"/>
      <c r="F18" s="1"/>
      <c r="G18" s="1"/>
      <c r="H18" s="1"/>
      <c r="I18" s="39"/>
      <c r="J18" s="39"/>
      <c r="K18" s="279"/>
      <c r="L18" s="39"/>
      <c r="M18" s="39"/>
      <c r="N18" s="39"/>
      <c r="O18" s="277"/>
    </row>
    <row r="19" spans="2:32" ht="16.5" hidden="1" thickBot="1" x14ac:dyDescent="0.3">
      <c r="B19" s="48"/>
      <c r="C19" s="541" t="s">
        <v>402</v>
      </c>
      <c r="D19" s="542" t="s">
        <v>556</v>
      </c>
      <c r="E19" s="1"/>
      <c r="F19" s="1"/>
      <c r="G19" s="1"/>
      <c r="H19" s="1"/>
      <c r="I19" s="39"/>
      <c r="J19" s="39"/>
      <c r="K19" s="279"/>
      <c r="L19" s="39"/>
      <c r="M19" s="39"/>
      <c r="N19" s="39"/>
      <c r="O19" s="277"/>
    </row>
    <row r="20" spans="2:32" ht="16.5" hidden="1" thickBot="1" x14ac:dyDescent="0.3">
      <c r="B20" s="48"/>
      <c r="C20" s="1"/>
      <c r="D20" s="1"/>
      <c r="E20" s="1"/>
      <c r="F20" s="1"/>
      <c r="G20" s="1"/>
      <c r="H20" s="1"/>
      <c r="I20" s="39"/>
      <c r="J20" s="39"/>
      <c r="K20" s="279"/>
      <c r="L20" s="39"/>
      <c r="M20" s="39"/>
      <c r="N20" s="39"/>
      <c r="O20" s="277"/>
    </row>
    <row r="21" spans="2:32" ht="60" x14ac:dyDescent="0.25">
      <c r="B21" s="283"/>
      <c r="C21" s="543" t="s">
        <v>0</v>
      </c>
      <c r="D21" s="544" t="s">
        <v>1199</v>
      </c>
      <c r="E21" s="544" t="s">
        <v>1200</v>
      </c>
      <c r="F21" s="544" t="s">
        <v>1201</v>
      </c>
      <c r="G21" s="544" t="s">
        <v>1202</v>
      </c>
      <c r="H21" s="545" t="s">
        <v>1203</v>
      </c>
      <c r="I21" s="39"/>
      <c r="J21" s="39"/>
      <c r="K21" s="279"/>
      <c r="L21" s="39"/>
      <c r="M21" s="39"/>
      <c r="N21" s="39"/>
      <c r="O21" s="277"/>
      <c r="S21" s="331" t="s">
        <v>0</v>
      </c>
      <c r="T21" s="427" t="s">
        <v>1207</v>
      </c>
      <c r="U21" s="427" t="s">
        <v>1208</v>
      </c>
      <c r="V21" s="330" t="s">
        <v>1209</v>
      </c>
      <c r="AF21" s="50"/>
    </row>
    <row r="22" spans="2:32" ht="12.75" customHeight="1" x14ac:dyDescent="0.25">
      <c r="B22" s="283"/>
      <c r="C22" s="546" t="s">
        <v>5</v>
      </c>
      <c r="D22" s="539">
        <v>1367</v>
      </c>
      <c r="E22" s="540">
        <v>7196</v>
      </c>
      <c r="F22" s="506">
        <v>10</v>
      </c>
      <c r="G22" s="539">
        <v>441</v>
      </c>
      <c r="H22" s="547">
        <v>330</v>
      </c>
      <c r="I22" s="39"/>
      <c r="J22" s="39"/>
      <c r="K22" s="279"/>
      <c r="L22" s="39"/>
      <c r="M22" s="39"/>
      <c r="N22" s="39"/>
      <c r="O22" s="277"/>
      <c r="S22" s="381" t="str">
        <f>C22</f>
        <v>Bhamo</v>
      </c>
      <c r="T22" s="424">
        <f>D22-Shelter_Draw[[#This Row],[V2]]-Shelter_Draw[[#This Row],[V3]]</f>
        <v>926</v>
      </c>
      <c r="U22" s="424">
        <f t="shared" ref="U22:U31" si="0">H22</f>
        <v>330</v>
      </c>
      <c r="V22" s="486">
        <f>G22-H22</f>
        <v>111</v>
      </c>
      <c r="AF22" s="50"/>
    </row>
    <row r="23" spans="2:32" ht="12.75" customHeight="1" x14ac:dyDescent="0.25">
      <c r="B23" s="283"/>
      <c r="C23" s="546" t="s">
        <v>27</v>
      </c>
      <c r="D23" s="539">
        <v>511</v>
      </c>
      <c r="E23" s="540">
        <v>2570</v>
      </c>
      <c r="F23" s="506">
        <v>5</v>
      </c>
      <c r="G23" s="539">
        <v>331</v>
      </c>
      <c r="H23" s="547">
        <v>331</v>
      </c>
      <c r="I23" s="39"/>
      <c r="J23" s="39"/>
      <c r="K23" s="279"/>
      <c r="L23" s="39"/>
      <c r="M23" s="39"/>
      <c r="N23" s="39"/>
      <c r="O23" s="277"/>
      <c r="S23" s="381" t="str">
        <f t="shared" ref="S23:S30" si="1">C23</f>
        <v>Chipwi</v>
      </c>
      <c r="T23" s="424">
        <f>D23-Shelter_Draw[[#This Row],[V2]]-Shelter_Draw[[#This Row],[V3]]</f>
        <v>180</v>
      </c>
      <c r="U23" s="424">
        <f t="shared" si="0"/>
        <v>331</v>
      </c>
      <c r="V23" s="486">
        <f t="shared" ref="V23:V31" si="2">G23-H23</f>
        <v>0</v>
      </c>
      <c r="AF23" s="50"/>
    </row>
    <row r="24" spans="2:32" ht="12.75" customHeight="1" x14ac:dyDescent="0.25">
      <c r="B24" s="283"/>
      <c r="C24" s="546" t="s">
        <v>529</v>
      </c>
      <c r="D24" s="539">
        <v>724</v>
      </c>
      <c r="E24" s="540">
        <v>3574</v>
      </c>
      <c r="F24" s="506">
        <v>20</v>
      </c>
      <c r="G24" s="539">
        <v>341</v>
      </c>
      <c r="H24" s="547">
        <v>341</v>
      </c>
      <c r="I24" s="39"/>
      <c r="J24" s="39"/>
      <c r="K24" s="280"/>
      <c r="L24" s="39"/>
      <c r="M24" s="39"/>
      <c r="N24" s="39"/>
      <c r="O24" s="277"/>
      <c r="S24" s="381" t="str">
        <f t="shared" si="1"/>
        <v>Hpakant</v>
      </c>
      <c r="T24" s="424">
        <f>D24-Shelter_Draw[[#This Row],[V2]]-Shelter_Draw[[#This Row],[V3]]</f>
        <v>383</v>
      </c>
      <c r="U24" s="424">
        <f t="shared" si="0"/>
        <v>341</v>
      </c>
      <c r="V24" s="486">
        <f t="shared" si="2"/>
        <v>0</v>
      </c>
      <c r="AF24" s="50"/>
    </row>
    <row r="25" spans="2:32" ht="12.75" customHeight="1" x14ac:dyDescent="0.25">
      <c r="B25" s="283"/>
      <c r="C25" s="546" t="s">
        <v>784</v>
      </c>
      <c r="D25" s="539">
        <v>44</v>
      </c>
      <c r="E25" s="540">
        <v>273</v>
      </c>
      <c r="F25" s="506">
        <v>1</v>
      </c>
      <c r="G25" s="539">
        <v>34</v>
      </c>
      <c r="H25" s="547">
        <v>34</v>
      </c>
      <c r="I25" s="39"/>
      <c r="J25" s="39"/>
      <c r="K25" s="39"/>
      <c r="L25" s="39"/>
      <c r="M25" s="39"/>
      <c r="N25" s="39"/>
      <c r="O25" s="277"/>
      <c r="S25" s="381" t="str">
        <f t="shared" si="1"/>
        <v>Hseni</v>
      </c>
      <c r="T25" s="424">
        <f>D25-Shelter_Draw[[#This Row],[V2]]-Shelter_Draw[[#This Row],[V3]]</f>
        <v>10</v>
      </c>
      <c r="U25" s="424">
        <f t="shared" si="0"/>
        <v>34</v>
      </c>
      <c r="V25" s="486">
        <f t="shared" si="2"/>
        <v>0</v>
      </c>
      <c r="AF25" s="50"/>
    </row>
    <row r="26" spans="2:32" ht="12.75" customHeight="1" x14ac:dyDescent="0.25">
      <c r="B26" s="283"/>
      <c r="C26" s="546" t="s">
        <v>146</v>
      </c>
      <c r="D26" s="539">
        <v>686</v>
      </c>
      <c r="E26" s="540">
        <v>3291</v>
      </c>
      <c r="F26" s="506">
        <v>9</v>
      </c>
      <c r="G26" s="539">
        <v>326</v>
      </c>
      <c r="H26" s="547">
        <v>326</v>
      </c>
      <c r="I26" s="39"/>
      <c r="J26" s="39"/>
      <c r="K26" s="39"/>
      <c r="L26" s="39"/>
      <c r="M26" s="39"/>
      <c r="N26" s="39"/>
      <c r="O26" s="277"/>
      <c r="S26" s="381" t="str">
        <f t="shared" si="1"/>
        <v>Kutkai</v>
      </c>
      <c r="T26" s="424">
        <f>D26-Shelter_Draw[[#This Row],[V2]]-Shelter_Draw[[#This Row],[V3]]</f>
        <v>360</v>
      </c>
      <c r="U26" s="424">
        <f t="shared" si="0"/>
        <v>326</v>
      </c>
      <c r="V26" s="486">
        <f t="shared" si="2"/>
        <v>0</v>
      </c>
      <c r="AF26" s="50"/>
    </row>
    <row r="27" spans="2:32" ht="12.75" customHeight="1" x14ac:dyDescent="0.25">
      <c r="B27" s="283"/>
      <c r="C27" s="546" t="s">
        <v>151</v>
      </c>
      <c r="D27" s="539">
        <v>2477</v>
      </c>
      <c r="E27" s="540">
        <v>11344</v>
      </c>
      <c r="F27" s="506">
        <v>10</v>
      </c>
      <c r="G27" s="539">
        <v>1036</v>
      </c>
      <c r="H27" s="547">
        <v>1036</v>
      </c>
      <c r="I27" s="39"/>
      <c r="J27" s="39"/>
      <c r="K27" s="39"/>
      <c r="L27" s="39"/>
      <c r="M27" s="39"/>
      <c r="N27" s="39"/>
      <c r="O27" s="277"/>
      <c r="S27" s="381" t="str">
        <f t="shared" si="1"/>
        <v>Mansi</v>
      </c>
      <c r="T27" s="424">
        <f>D27-Shelter_Draw[[#This Row],[V2]]-Shelter_Draw[[#This Row],[V3]]</f>
        <v>1441</v>
      </c>
      <c r="U27" s="424">
        <f t="shared" si="0"/>
        <v>1036</v>
      </c>
      <c r="V27" s="486">
        <f t="shared" si="2"/>
        <v>0</v>
      </c>
      <c r="AF27" s="50"/>
    </row>
    <row r="28" spans="2:32" ht="12.75" customHeight="1" x14ac:dyDescent="0.25">
      <c r="B28" s="283"/>
      <c r="C28" s="546" t="s">
        <v>185</v>
      </c>
      <c r="D28" s="539">
        <v>4550</v>
      </c>
      <c r="E28" s="540">
        <v>22714</v>
      </c>
      <c r="F28" s="506">
        <v>13</v>
      </c>
      <c r="G28" s="539">
        <v>851</v>
      </c>
      <c r="H28" s="547">
        <v>851</v>
      </c>
      <c r="I28" s="39"/>
      <c r="J28" s="39"/>
      <c r="K28" s="39"/>
      <c r="L28" s="39"/>
      <c r="M28" s="39"/>
      <c r="N28" s="39"/>
      <c r="O28" s="277"/>
      <c r="S28" s="381" t="str">
        <f t="shared" si="1"/>
        <v>Momauk</v>
      </c>
      <c r="T28" s="424">
        <f>D28-Shelter_Draw[[#This Row],[V2]]-Shelter_Draw[[#This Row],[V3]]</f>
        <v>3699</v>
      </c>
      <c r="U28" s="424">
        <f t="shared" si="0"/>
        <v>851</v>
      </c>
      <c r="V28" s="486">
        <f t="shared" si="2"/>
        <v>0</v>
      </c>
      <c r="AF28" s="50"/>
    </row>
    <row r="29" spans="2:32" ht="12.75" customHeight="1" x14ac:dyDescent="0.25">
      <c r="B29" s="283"/>
      <c r="C29" s="546" t="s">
        <v>237</v>
      </c>
      <c r="D29" s="539">
        <v>1524</v>
      </c>
      <c r="E29" s="540">
        <v>7446</v>
      </c>
      <c r="F29" s="506">
        <v>24</v>
      </c>
      <c r="G29" s="539">
        <v>520</v>
      </c>
      <c r="H29" s="547">
        <v>520</v>
      </c>
      <c r="I29" s="39"/>
      <c r="J29" s="39"/>
      <c r="K29" s="39"/>
      <c r="L29" s="39"/>
      <c r="M29" s="39"/>
      <c r="N29" s="39"/>
      <c r="O29" s="277"/>
      <c r="S29" s="381" t="str">
        <f t="shared" si="1"/>
        <v>Myitkyina</v>
      </c>
      <c r="T29" s="424">
        <f>D29-Shelter_Draw[[#This Row],[V2]]-Shelter_Draw[[#This Row],[V3]]</f>
        <v>1004</v>
      </c>
      <c r="U29" s="424">
        <f t="shared" si="0"/>
        <v>520</v>
      </c>
      <c r="V29" s="486">
        <f t="shared" si="2"/>
        <v>0</v>
      </c>
      <c r="AF29" s="50"/>
    </row>
    <row r="30" spans="2:32" x14ac:dyDescent="0.25">
      <c r="B30" s="283"/>
      <c r="C30" s="546" t="s">
        <v>289</v>
      </c>
      <c r="D30" s="539">
        <v>382</v>
      </c>
      <c r="E30" s="540">
        <v>1896</v>
      </c>
      <c r="F30" s="506">
        <v>5</v>
      </c>
      <c r="G30" s="539">
        <v>222</v>
      </c>
      <c r="H30" s="547">
        <v>222</v>
      </c>
      <c r="I30" s="39"/>
      <c r="J30" s="39"/>
      <c r="K30" s="281"/>
      <c r="L30" s="39"/>
      <c r="M30" s="39"/>
      <c r="N30" s="39"/>
      <c r="O30" s="277"/>
      <c r="S30" s="381" t="str">
        <f t="shared" si="1"/>
        <v>Namhkan</v>
      </c>
      <c r="T30" s="424">
        <f>D30-Shelter_Draw[[#This Row],[V2]]-Shelter_Draw[[#This Row],[V3]]</f>
        <v>160</v>
      </c>
      <c r="U30" s="424">
        <f t="shared" si="0"/>
        <v>222</v>
      </c>
      <c r="V30" s="486">
        <f t="shared" si="2"/>
        <v>0</v>
      </c>
      <c r="AF30" s="50"/>
    </row>
    <row r="31" spans="2:32" x14ac:dyDescent="0.25">
      <c r="B31" s="283"/>
      <c r="C31" s="546" t="s">
        <v>310</v>
      </c>
      <c r="D31" s="539">
        <v>4801</v>
      </c>
      <c r="E31" s="540">
        <v>23305</v>
      </c>
      <c r="F31" s="506">
        <v>21</v>
      </c>
      <c r="G31" s="539">
        <v>1670</v>
      </c>
      <c r="H31" s="547">
        <v>1670</v>
      </c>
      <c r="I31" s="39"/>
      <c r="J31" s="39"/>
      <c r="K31" s="281"/>
      <c r="L31" s="39"/>
      <c r="M31" s="39"/>
      <c r="N31" s="39"/>
      <c r="O31" s="277"/>
      <c r="S31" s="342" t="str">
        <f>C31</f>
        <v>Waingmaw</v>
      </c>
      <c r="T31" s="431">
        <f>D31-Shelter_Draw[[#This Row],[V2]]-Shelter_Draw[[#This Row],[V3]]</f>
        <v>3131</v>
      </c>
      <c r="U31" s="431">
        <f t="shared" si="0"/>
        <v>1670</v>
      </c>
      <c r="V31" s="487">
        <f t="shared" si="2"/>
        <v>0</v>
      </c>
      <c r="AF31" s="50"/>
    </row>
    <row r="32" spans="2:32" x14ac:dyDescent="0.25">
      <c r="B32" s="283"/>
      <c r="C32" s="546" t="s">
        <v>1206</v>
      </c>
      <c r="D32" s="539">
        <v>628</v>
      </c>
      <c r="E32" s="540">
        <v>3365</v>
      </c>
      <c r="F32" s="506">
        <v>20</v>
      </c>
      <c r="G32" s="539">
        <v>325</v>
      </c>
      <c r="H32" s="547">
        <v>325</v>
      </c>
      <c r="I32" s="39"/>
      <c r="J32" s="39"/>
      <c r="K32" s="281"/>
      <c r="L32" s="39"/>
      <c r="M32" s="39"/>
      <c r="N32" s="39"/>
      <c r="O32" s="277"/>
      <c r="AF32" s="50"/>
    </row>
    <row r="33" spans="2:32" ht="15.75" thickBot="1" x14ac:dyDescent="0.3">
      <c r="B33" s="283"/>
      <c r="C33" s="548" t="s">
        <v>3</v>
      </c>
      <c r="D33" s="549">
        <v>17694</v>
      </c>
      <c r="E33" s="550">
        <v>86974</v>
      </c>
      <c r="F33" s="551">
        <v>138</v>
      </c>
      <c r="G33" s="549">
        <v>6097</v>
      </c>
      <c r="H33" s="552">
        <v>5986</v>
      </c>
      <c r="I33" s="39"/>
      <c r="J33" s="39"/>
      <c r="K33" s="281"/>
      <c r="L33" s="39"/>
      <c r="M33" s="39"/>
      <c r="N33" s="39"/>
      <c r="O33" s="277"/>
      <c r="AF33" s="50"/>
    </row>
    <row r="34" spans="2:32" x14ac:dyDescent="0.25">
      <c r="B34" s="283"/>
      <c r="C34" s="251"/>
      <c r="D34" s="251"/>
      <c r="E34" s="251"/>
      <c r="F34" s="251"/>
      <c r="G34" s="251"/>
      <c r="H34" s="251"/>
      <c r="I34" s="39"/>
      <c r="J34" s="39"/>
      <c r="K34" s="39"/>
      <c r="L34" s="39"/>
      <c r="M34" s="39"/>
      <c r="N34" s="39"/>
      <c r="O34" s="277"/>
      <c r="AF34" s="50"/>
    </row>
    <row r="35" spans="2:32" x14ac:dyDescent="0.25">
      <c r="B35" s="283"/>
      <c r="C35" s="251"/>
      <c r="D35" s="251"/>
      <c r="E35" s="251"/>
      <c r="F35" s="251"/>
      <c r="G35" s="251"/>
      <c r="H35" s="251"/>
      <c r="I35" s="39"/>
      <c r="J35" s="39"/>
      <c r="K35" s="39"/>
      <c r="L35" s="39"/>
      <c r="M35" s="39"/>
      <c r="N35" s="39"/>
      <c r="O35" s="277"/>
      <c r="AF35" s="50"/>
    </row>
    <row r="36" spans="2:32" x14ac:dyDescent="0.25">
      <c r="B36" s="283"/>
      <c r="C36" s="251"/>
      <c r="D36" s="251"/>
      <c r="E36" s="251"/>
      <c r="F36" s="251"/>
      <c r="G36" s="251"/>
      <c r="H36" s="251"/>
      <c r="I36" s="39"/>
      <c r="J36" s="39"/>
      <c r="K36" s="39"/>
      <c r="L36" s="39"/>
      <c r="M36" s="39"/>
      <c r="N36" s="39"/>
      <c r="O36" s="277"/>
      <c r="AF36" s="50"/>
    </row>
    <row r="37" spans="2:32" x14ac:dyDescent="0.25">
      <c r="B37" s="283"/>
      <c r="C37" s="251"/>
      <c r="D37" s="251"/>
      <c r="E37" s="251"/>
      <c r="F37" s="251"/>
      <c r="G37" s="251"/>
      <c r="H37" s="251"/>
      <c r="I37" s="39"/>
      <c r="J37" s="39"/>
      <c r="K37" s="39"/>
      <c r="L37" s="39"/>
      <c r="M37" s="39"/>
      <c r="N37" s="39"/>
      <c r="O37" s="277"/>
      <c r="AF37" s="50"/>
    </row>
    <row r="38" spans="2:32" x14ac:dyDescent="0.25">
      <c r="B38" s="283"/>
      <c r="C38" s="251"/>
      <c r="D38" s="251"/>
      <c r="E38" s="251"/>
      <c r="F38" s="251"/>
      <c r="G38" s="251"/>
      <c r="H38" s="251"/>
      <c r="I38" s="39"/>
      <c r="J38" s="39"/>
      <c r="K38" s="39"/>
      <c r="L38" s="39"/>
      <c r="M38" s="39"/>
      <c r="N38" s="39"/>
      <c r="O38" s="277"/>
      <c r="AF38" s="50"/>
    </row>
    <row r="39" spans="2:32" x14ac:dyDescent="0.25">
      <c r="B39" s="283"/>
      <c r="C39" s="251"/>
      <c r="D39" s="251"/>
      <c r="E39" s="251"/>
      <c r="F39" s="251"/>
      <c r="G39" s="251"/>
      <c r="H39" s="251"/>
      <c r="I39" s="39"/>
      <c r="J39" s="39"/>
      <c r="K39" s="39"/>
      <c r="L39" s="39"/>
      <c r="M39" s="39"/>
      <c r="N39" s="39"/>
      <c r="O39" s="277"/>
      <c r="AF39" s="50"/>
    </row>
    <row r="40" spans="2:32" x14ac:dyDescent="0.25">
      <c r="B40" s="283"/>
      <c r="C40" s="251"/>
      <c r="D40" s="251"/>
      <c r="E40" s="251"/>
      <c r="F40" s="251"/>
      <c r="G40" s="251"/>
      <c r="H40" s="251"/>
      <c r="I40" s="39"/>
      <c r="J40" s="39"/>
      <c r="K40" s="39"/>
      <c r="L40" s="39"/>
      <c r="M40" s="39"/>
      <c r="N40" s="39"/>
      <c r="O40" s="277"/>
    </row>
    <row r="41" spans="2:32" x14ac:dyDescent="0.25">
      <c r="B41" s="283"/>
      <c r="C41" s="251"/>
      <c r="D41" s="251"/>
      <c r="E41" s="251"/>
      <c r="F41" s="251"/>
      <c r="G41" s="251"/>
      <c r="H41" s="251"/>
      <c r="I41" s="39"/>
      <c r="J41" s="39"/>
      <c r="K41" s="39"/>
      <c r="L41" s="39"/>
      <c r="M41" s="39"/>
      <c r="N41" s="39"/>
      <c r="O41" s="277"/>
      <c r="R41" s="129"/>
    </row>
    <row r="42" spans="2:32" s="129" customFormat="1" x14ac:dyDescent="0.25">
      <c r="B42" s="283"/>
      <c r="C42" s="251"/>
      <c r="D42" s="251"/>
      <c r="E42" s="251"/>
      <c r="F42" s="251"/>
      <c r="G42" s="251"/>
      <c r="H42" s="251"/>
      <c r="I42" s="39"/>
      <c r="J42" s="39"/>
      <c r="K42" s="39"/>
      <c r="L42" s="39"/>
      <c r="M42" s="39"/>
      <c r="N42" s="39"/>
      <c r="O42" s="277"/>
    </row>
    <row r="43" spans="2:32" s="129" customFormat="1" x14ac:dyDescent="0.25">
      <c r="B43" s="283"/>
      <c r="C43" s="251"/>
      <c r="D43" s="251"/>
      <c r="E43" s="251"/>
      <c r="F43" s="251"/>
      <c r="G43" s="251"/>
      <c r="H43" s="251"/>
      <c r="I43" s="39"/>
      <c r="J43" s="39"/>
      <c r="K43" s="39"/>
      <c r="L43" s="39"/>
      <c r="M43" s="39"/>
      <c r="N43" s="39"/>
      <c r="O43" s="277"/>
    </row>
    <row r="44" spans="2:32" s="129" customFormat="1" x14ac:dyDescent="0.25">
      <c r="B44" s="283"/>
      <c r="C44" s="251"/>
      <c r="D44" s="251"/>
      <c r="E44" s="251"/>
      <c r="F44" s="251"/>
      <c r="G44" s="251"/>
      <c r="H44" s="251"/>
      <c r="I44" s="39"/>
      <c r="J44" s="39"/>
      <c r="K44" s="39"/>
      <c r="L44" s="39"/>
      <c r="M44" s="39"/>
      <c r="N44" s="39"/>
      <c r="O44" s="277"/>
    </row>
    <row r="45" spans="2:32" s="129" customFormat="1" x14ac:dyDescent="0.25">
      <c r="B45" s="283"/>
      <c r="C45" s="251"/>
      <c r="D45" s="251"/>
      <c r="E45" s="251"/>
      <c r="F45" s="251"/>
      <c r="G45" s="251"/>
      <c r="H45" s="251"/>
      <c r="I45" s="39"/>
      <c r="J45" s="39"/>
      <c r="K45" s="39"/>
      <c r="L45" s="39"/>
      <c r="M45" s="39"/>
      <c r="N45" s="39"/>
      <c r="O45" s="277"/>
    </row>
    <row r="46" spans="2:32" s="129" customFormat="1" x14ac:dyDescent="0.25">
      <c r="B46" s="283"/>
      <c r="C46" s="251"/>
      <c r="D46" s="251"/>
      <c r="E46" s="251"/>
      <c r="F46" s="251"/>
      <c r="G46" s="251"/>
      <c r="H46" s="251"/>
      <c r="I46" s="39"/>
      <c r="J46" s="39"/>
      <c r="K46" s="39"/>
      <c r="L46" s="39"/>
      <c r="M46" s="39"/>
      <c r="N46" s="39"/>
      <c r="O46" s="277"/>
    </row>
    <row r="47" spans="2:32" s="129" customFormat="1" x14ac:dyDescent="0.25">
      <c r="B47" s="283"/>
      <c r="C47" s="251"/>
      <c r="D47" s="251"/>
      <c r="E47" s="251"/>
      <c r="F47" s="251"/>
      <c r="G47" s="251"/>
      <c r="H47" s="251"/>
      <c r="I47" s="39"/>
      <c r="J47" s="39"/>
      <c r="K47" s="39"/>
      <c r="L47" s="39"/>
      <c r="M47" s="39"/>
      <c r="N47" s="39"/>
      <c r="O47" s="277"/>
    </row>
    <row r="48" spans="2:32" s="129" customFormat="1" x14ac:dyDescent="0.25">
      <c r="B48" s="283"/>
      <c r="C48" s="39"/>
      <c r="D48" s="39"/>
      <c r="E48" s="39"/>
      <c r="F48" s="39"/>
      <c r="G48" s="39"/>
      <c r="H48" s="39"/>
      <c r="I48" s="39"/>
      <c r="J48" s="39"/>
      <c r="K48" s="39"/>
      <c r="L48" s="39"/>
      <c r="M48" s="39"/>
      <c r="N48" s="39"/>
      <c r="O48" s="277"/>
    </row>
    <row r="49" spans="2:18" s="129" customFormat="1" x14ac:dyDescent="0.25">
      <c r="B49" s="283"/>
      <c r="C49" s="39"/>
      <c r="D49" s="39"/>
      <c r="E49" s="39"/>
      <c r="F49" s="39"/>
      <c r="G49" s="39"/>
      <c r="H49" s="39"/>
      <c r="I49" s="39"/>
      <c r="J49" s="39"/>
      <c r="K49" s="39"/>
      <c r="L49" s="39"/>
      <c r="M49" s="39"/>
      <c r="N49" s="39"/>
      <c r="O49" s="277"/>
    </row>
    <row r="50" spans="2:18" s="129" customFormat="1" x14ac:dyDescent="0.25">
      <c r="B50" s="283"/>
      <c r="C50" s="39"/>
      <c r="D50" s="39"/>
      <c r="E50" s="39"/>
      <c r="F50" s="39"/>
      <c r="G50" s="39"/>
      <c r="H50" s="39"/>
      <c r="I50" s="39"/>
      <c r="J50" s="39"/>
      <c r="K50" s="39"/>
      <c r="L50" s="39"/>
      <c r="M50" s="39"/>
      <c r="N50" s="39"/>
      <c r="O50" s="277"/>
    </row>
    <row r="51" spans="2:18" s="497" customFormat="1" x14ac:dyDescent="0.25">
      <c r="B51" s="283"/>
      <c r="C51" s="39"/>
      <c r="D51" s="39"/>
      <c r="E51" s="39"/>
      <c r="F51" s="39"/>
      <c r="G51" s="39"/>
      <c r="H51" s="39"/>
      <c r="I51" s="39"/>
      <c r="J51" s="39"/>
      <c r="K51" s="39"/>
      <c r="L51" s="39"/>
      <c r="M51" s="39"/>
      <c r="N51" s="39"/>
      <c r="O51" s="277"/>
    </row>
    <row r="52" spans="2:18" s="497" customFormat="1" x14ac:dyDescent="0.25">
      <c r="B52" s="283"/>
      <c r="C52" s="39"/>
      <c r="D52" s="39"/>
      <c r="E52" s="39"/>
      <c r="F52" s="39"/>
      <c r="G52" s="39"/>
      <c r="H52" s="39"/>
      <c r="I52" s="39"/>
      <c r="J52" s="39"/>
      <c r="K52" s="39"/>
      <c r="L52" s="39"/>
      <c r="M52" s="39"/>
      <c r="N52" s="39"/>
      <c r="O52" s="277"/>
    </row>
    <row r="53" spans="2:18" s="129" customFormat="1" ht="15.75" thickBot="1" x14ac:dyDescent="0.3">
      <c r="B53" s="284"/>
      <c r="C53" s="285"/>
      <c r="D53" s="286"/>
      <c r="E53" s="287"/>
      <c r="F53" s="288"/>
      <c r="G53" s="286"/>
      <c r="H53" s="286"/>
      <c r="I53" s="269"/>
      <c r="J53" s="269"/>
      <c r="K53" s="269"/>
      <c r="L53" s="269"/>
      <c r="M53" s="269"/>
      <c r="N53" s="269"/>
      <c r="O53" s="282"/>
    </row>
    <row r="54" spans="2:18" s="129" customFormat="1" x14ac:dyDescent="0.25">
      <c r="C54" s="22"/>
      <c r="D54" s="54"/>
      <c r="E54" s="134"/>
      <c r="F54" s="3"/>
      <c r="G54" s="54"/>
      <c r="H54" s="54"/>
    </row>
    <row r="55" spans="2:18" s="129" customFormat="1" x14ac:dyDescent="0.25">
      <c r="C55" s="22"/>
      <c r="D55" s="54"/>
      <c r="E55" s="134"/>
      <c r="F55" s="3"/>
      <c r="G55" s="54"/>
      <c r="H55" s="54"/>
    </row>
    <row r="56" spans="2:18" s="129" customFormat="1" x14ac:dyDescent="0.25">
      <c r="C56" s="22"/>
      <c r="D56" s="54"/>
      <c r="E56" s="134"/>
      <c r="F56" s="3"/>
      <c r="G56" s="54"/>
      <c r="H56" s="54"/>
    </row>
    <row r="57" spans="2:18" s="129" customFormat="1" x14ac:dyDescent="0.25">
      <c r="C57" s="22"/>
      <c r="D57" s="54"/>
      <c r="E57" s="134"/>
      <c r="F57" s="3"/>
      <c r="G57" s="54"/>
      <c r="H57" s="54"/>
    </row>
    <row r="58" spans="2:18" s="129" customFormat="1" x14ac:dyDescent="0.25">
      <c r="C58" s="22"/>
      <c r="D58" s="54"/>
      <c r="E58" s="134"/>
      <c r="F58" s="3"/>
      <c r="G58" s="54"/>
      <c r="H58" s="54"/>
    </row>
    <row r="59" spans="2:18" s="129" customFormat="1" x14ac:dyDescent="0.25">
      <c r="C59" s="22"/>
      <c r="D59" s="54"/>
      <c r="E59" s="134"/>
      <c r="F59" s="3"/>
      <c r="G59" s="54"/>
      <c r="H59" s="54"/>
    </row>
    <row r="60" spans="2:18" s="129" customFormat="1" x14ac:dyDescent="0.25">
      <c r="C60" s="22"/>
      <c r="D60" s="54"/>
      <c r="E60" s="134"/>
      <c r="F60" s="3"/>
      <c r="G60" s="54"/>
      <c r="H60" s="54"/>
    </row>
    <row r="61" spans="2:18" s="129" customFormat="1" x14ac:dyDescent="0.25">
      <c r="C61" s="22"/>
      <c r="D61" s="54"/>
      <c r="E61" s="134"/>
      <c r="F61" s="3"/>
      <c r="G61" s="54"/>
      <c r="H61" s="54"/>
    </row>
    <row r="62" spans="2:18" s="129" customFormat="1" x14ac:dyDescent="0.25">
      <c r="C62" s="22"/>
      <c r="D62" s="54"/>
      <c r="E62" s="134"/>
      <c r="F62" s="3"/>
      <c r="G62" s="54"/>
      <c r="H62" s="54"/>
    </row>
    <row r="63" spans="2:18" x14ac:dyDescent="0.25">
      <c r="R63" s="129"/>
    </row>
    <row r="64" spans="2:18" x14ac:dyDescent="0.25">
      <c r="R64" s="129"/>
    </row>
    <row r="65" spans="3:18" x14ac:dyDescent="0.25">
      <c r="R65" s="129"/>
    </row>
    <row r="66" spans="3:18" x14ac:dyDescent="0.25">
      <c r="R66" s="129"/>
    </row>
    <row r="67" spans="3:18" x14ac:dyDescent="0.25">
      <c r="R67" s="129"/>
    </row>
    <row r="68" spans="3:18" x14ac:dyDescent="0.25">
      <c r="R68" s="129"/>
    </row>
    <row r="69" spans="3:18" x14ac:dyDescent="0.25">
      <c r="R69" s="129"/>
    </row>
    <row r="70" spans="3:18" x14ac:dyDescent="0.25">
      <c r="R70" s="129"/>
    </row>
    <row r="71" spans="3:18" x14ac:dyDescent="0.25">
      <c r="C71" s="129"/>
      <c r="D71" s="129"/>
      <c r="E71" s="129"/>
      <c r="F71" s="129"/>
      <c r="G71" s="129"/>
      <c r="H71" s="129"/>
      <c r="R71" s="129"/>
    </row>
    <row r="72" spans="3:18" x14ac:dyDescent="0.25">
      <c r="C72" s="129"/>
      <c r="D72" s="129"/>
      <c r="E72" s="129"/>
      <c r="F72" s="129"/>
      <c r="G72" s="129"/>
      <c r="H72" s="129"/>
      <c r="R72" s="129"/>
    </row>
    <row r="73" spans="3:18" x14ac:dyDescent="0.25">
      <c r="C73" s="129"/>
      <c r="D73" s="129"/>
      <c r="E73" s="129"/>
      <c r="F73" s="129"/>
      <c r="G73" s="129"/>
      <c r="H73" s="129"/>
      <c r="R73" s="129"/>
    </row>
    <row r="74" spans="3:18" x14ac:dyDescent="0.25">
      <c r="C74" s="129"/>
      <c r="D74" s="129"/>
      <c r="E74" s="129"/>
      <c r="F74" s="129"/>
      <c r="G74" s="129"/>
      <c r="H74" s="129"/>
      <c r="R74" s="129"/>
    </row>
    <row r="75" spans="3:18" x14ac:dyDescent="0.25">
      <c r="G75" s="129"/>
      <c r="H75" s="129"/>
      <c r="R75" s="129"/>
    </row>
    <row r="76" spans="3:18" x14ac:dyDescent="0.25">
      <c r="G76" s="129"/>
      <c r="H76" s="129"/>
      <c r="R76" s="129"/>
    </row>
    <row r="77" spans="3:18" x14ac:dyDescent="0.25">
      <c r="G77" s="129"/>
      <c r="H77" s="129"/>
      <c r="R77" s="129"/>
    </row>
    <row r="78" spans="3:18" x14ac:dyDescent="0.25">
      <c r="G78"/>
      <c r="H78"/>
      <c r="I78"/>
      <c r="J78"/>
      <c r="K78"/>
      <c r="R78" s="129"/>
    </row>
    <row r="79" spans="3:18" x14ac:dyDescent="0.25">
      <c r="G79"/>
      <c r="H79"/>
      <c r="I79"/>
      <c r="J79" s="129"/>
      <c r="K79" s="129"/>
      <c r="L79" s="129"/>
      <c r="R79" s="129"/>
    </row>
    <row r="80" spans="3:18" x14ac:dyDescent="0.25">
      <c r="G80"/>
      <c r="H80"/>
      <c r="I80" s="129"/>
      <c r="J80" s="129"/>
      <c r="K80" s="129"/>
      <c r="L80" s="129"/>
      <c r="R80" s="129"/>
    </row>
    <row r="81" spans="3:18" x14ac:dyDescent="0.25">
      <c r="G81"/>
      <c r="H81"/>
      <c r="I81" s="129"/>
      <c r="J81" s="129"/>
      <c r="K81" s="129"/>
      <c r="L81" s="129"/>
      <c r="R81" s="129"/>
    </row>
    <row r="82" spans="3:18" x14ac:dyDescent="0.25">
      <c r="G82"/>
      <c r="H82"/>
      <c r="I82" s="129"/>
      <c r="J82" s="129"/>
      <c r="K82" s="129"/>
      <c r="L82" s="129"/>
      <c r="R82" s="129"/>
    </row>
    <row r="83" spans="3:18" x14ac:dyDescent="0.25">
      <c r="G83"/>
      <c r="H83"/>
      <c r="I83" s="129"/>
      <c r="J83" s="129"/>
      <c r="K83" s="129"/>
      <c r="L83" s="129"/>
      <c r="R83" s="129"/>
    </row>
    <row r="84" spans="3:18" x14ac:dyDescent="0.25">
      <c r="G84"/>
      <c r="H84"/>
      <c r="I84" s="129"/>
      <c r="J84" s="129"/>
      <c r="K84" s="129"/>
      <c r="L84" s="129"/>
      <c r="R84" s="129"/>
    </row>
    <row r="85" spans="3:18" x14ac:dyDescent="0.25">
      <c r="G85"/>
      <c r="H85"/>
      <c r="I85" s="129"/>
      <c r="J85" s="129"/>
      <c r="K85" s="129"/>
      <c r="L85" s="129"/>
      <c r="R85" s="129"/>
    </row>
    <row r="86" spans="3:18" x14ac:dyDescent="0.25">
      <c r="G86"/>
      <c r="H86"/>
      <c r="I86" s="129"/>
      <c r="J86" s="129"/>
      <c r="K86" s="129"/>
      <c r="L86" s="129"/>
      <c r="R86" s="129"/>
    </row>
    <row r="87" spans="3:18" x14ac:dyDescent="0.25">
      <c r="G87"/>
      <c r="H87"/>
      <c r="I87" s="129"/>
      <c r="J87" s="129"/>
      <c r="K87" s="129"/>
      <c r="L87" s="129"/>
      <c r="R87" s="129"/>
    </row>
    <row r="88" spans="3:18" x14ac:dyDescent="0.25">
      <c r="G88"/>
      <c r="H88"/>
      <c r="I88" s="129"/>
      <c r="J88" s="129"/>
      <c r="K88" s="129"/>
      <c r="L88" s="129"/>
      <c r="R88" s="129"/>
    </row>
    <row r="89" spans="3:18" x14ac:dyDescent="0.25">
      <c r="G89"/>
      <c r="H89"/>
      <c r="I89"/>
      <c r="J89"/>
      <c r="K89"/>
    </row>
    <row r="90" spans="3:18" x14ac:dyDescent="0.25">
      <c r="C90"/>
      <c r="D90"/>
      <c r="E90"/>
      <c r="F90"/>
      <c r="G90"/>
    </row>
    <row r="91" spans="3:18" x14ac:dyDescent="0.25">
      <c r="C91"/>
      <c r="D91"/>
      <c r="E91"/>
      <c r="F91"/>
      <c r="G91"/>
    </row>
    <row r="92" spans="3:18" x14ac:dyDescent="0.25">
      <c r="C92"/>
      <c r="D92"/>
      <c r="E92"/>
      <c r="F92"/>
      <c r="G92"/>
    </row>
    <row r="93" spans="3:18" x14ac:dyDescent="0.25">
      <c r="C93"/>
      <c r="D93"/>
      <c r="E93"/>
      <c r="F93"/>
      <c r="G93"/>
    </row>
    <row r="94" spans="3:18" x14ac:dyDescent="0.25">
      <c r="C94"/>
      <c r="D94"/>
      <c r="E94"/>
      <c r="F94"/>
      <c r="G94"/>
    </row>
    <row r="95" spans="3:18" x14ac:dyDescent="0.25">
      <c r="C95"/>
      <c r="D95"/>
      <c r="E95"/>
      <c r="F95"/>
      <c r="G95"/>
    </row>
    <row r="96" spans="3:18"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row r="104" spans="3:7" x14ac:dyDescent="0.25">
      <c r="C104"/>
      <c r="D104"/>
      <c r="E104"/>
      <c r="F104"/>
      <c r="G104"/>
    </row>
    <row r="105" spans="3:7" x14ac:dyDescent="0.25">
      <c r="C105"/>
      <c r="D105"/>
      <c r="E105"/>
      <c r="F105"/>
      <c r="G105"/>
    </row>
    <row r="106" spans="3:7" x14ac:dyDescent="0.25">
      <c r="C106"/>
      <c r="D106"/>
      <c r="E106"/>
      <c r="F106"/>
      <c r="G106"/>
    </row>
  </sheetData>
  <dataConsolidate/>
  <mergeCells count="2">
    <mergeCell ref="C5:J5"/>
    <mergeCell ref="C4:K4"/>
  </mergeCells>
  <printOptions horizontalCentered="1" verticalCentered="1"/>
  <pageMargins left="0.23622047244094491" right="0.23622047244094491" top="0.19685039370078741" bottom="0.19685039370078741" header="0" footer="0"/>
  <pageSetup paperSize="9" orientation="landscape" horizontalDpi="1200" verticalDpi="1200" r:id="rId2"/>
  <rowBreaks count="1" manualBreakCount="1">
    <brk id="64"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18</xdr:col>
                <xdr:colOff>19050</xdr:colOff>
                <xdr:row>32</xdr:row>
                <xdr:rowOff>38100</xdr:rowOff>
              </from>
              <to>
                <xdr:col>19</xdr:col>
                <xdr:colOff>238125</xdr:colOff>
                <xdr:row>33</xdr:row>
                <xdr:rowOff>123825</xdr:rowOff>
              </to>
            </anchor>
          </controlPr>
        </control>
      </mc:Choice>
      <mc:Fallback>
        <control shapeId="9217" r:id="rId5" name="CommandButton1"/>
      </mc:Fallback>
    </mc:AlternateContent>
  </controls>
  <tableParts count="1">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AX916"/>
  <sheetViews>
    <sheetView showZeros="0" zoomScale="90" zoomScaleNormal="90" workbookViewId="0">
      <pane xSplit="1" ySplit="5" topLeftCell="J6" activePane="bottomRight" state="frozen"/>
      <selection activeCell="B11" sqref="B11"/>
      <selection pane="topRight" activeCell="B11" sqref="B11"/>
      <selection pane="bottomLeft" activeCell="B11" sqref="B11"/>
      <selection pane="bottomRight" activeCell="AS6" sqref="AS6:AS7"/>
    </sheetView>
  </sheetViews>
  <sheetFormatPr defaultColWidth="8.85546875" defaultRowHeight="15" x14ac:dyDescent="0.25"/>
  <cols>
    <col min="1" max="1" width="11.7109375" style="814" customWidth="1"/>
    <col min="2" max="2" width="15" style="790" customWidth="1"/>
    <col min="3" max="3" width="15.140625" style="790" customWidth="1"/>
    <col min="4" max="4" width="13" style="790" customWidth="1"/>
    <col min="5" max="5" width="14.28515625" style="790" customWidth="1"/>
    <col min="6" max="6" width="13.85546875" style="790" customWidth="1"/>
    <col min="7" max="7" width="34.85546875" style="790" customWidth="1"/>
    <col min="8" max="8" width="9.5703125" style="107" customWidth="1"/>
    <col min="9" max="9" width="8.140625" style="107" customWidth="1"/>
    <col min="10" max="10" width="9" style="107" customWidth="1"/>
    <col min="11" max="11" width="8.42578125" style="107" customWidth="1"/>
    <col min="12" max="12" width="11.85546875" style="107" customWidth="1"/>
    <col min="13" max="13" width="7.5703125" style="107" customWidth="1"/>
    <col min="14" max="14" width="8.28515625" style="107" customWidth="1"/>
    <col min="15" max="16" width="10" style="107" customWidth="1"/>
    <col min="17" max="17" width="7.5703125" style="107" customWidth="1"/>
    <col min="18" max="20" width="9.28515625" style="107" customWidth="1"/>
    <col min="21" max="22" width="7.7109375" style="107" customWidth="1"/>
    <col min="23" max="27" width="13.140625" style="111" hidden="1" customWidth="1"/>
    <col min="28" max="28" width="10.5703125" style="111" hidden="1" customWidth="1"/>
    <col min="29" max="29" width="9.5703125" style="111" hidden="1" customWidth="1"/>
    <col min="30" max="30" width="9.28515625" style="111" hidden="1" customWidth="1"/>
    <col min="31" max="31" width="14.7109375" style="111" hidden="1" customWidth="1"/>
    <col min="32" max="32" width="12.140625" style="111" hidden="1" customWidth="1"/>
    <col min="33" max="33" width="13" style="111" hidden="1" customWidth="1"/>
    <col min="34" max="34" width="15.28515625" style="111" hidden="1" customWidth="1"/>
    <col min="35" max="35" width="17" style="111" hidden="1" customWidth="1"/>
    <col min="36" max="36" width="14.85546875" style="111" hidden="1" customWidth="1"/>
    <col min="37" max="37" width="24.140625" style="111" hidden="1" customWidth="1"/>
    <col min="38" max="38" width="11.5703125" style="111" hidden="1" customWidth="1"/>
    <col min="39" max="39" width="14.85546875" style="790" customWidth="1"/>
    <col min="40" max="40" width="15.85546875" style="814" hidden="1" customWidth="1"/>
    <col min="41" max="41" width="9" style="790" hidden="1" customWidth="1"/>
    <col min="42" max="42" width="18.140625" style="790" hidden="1" customWidth="1"/>
    <col min="43" max="43" width="8.5703125" style="790" hidden="1" customWidth="1"/>
    <col min="44" max="44" width="10.5703125" style="790" hidden="1" customWidth="1"/>
    <col min="45" max="45" width="67.28515625" style="790" bestFit="1" customWidth="1"/>
    <col min="46" max="16384" width="8.85546875" style="790"/>
  </cols>
  <sheetData>
    <row r="1" spans="1:50" s="766" customFormat="1" ht="36" x14ac:dyDescent="0.25">
      <c r="A1" s="303"/>
      <c r="B1" s="304"/>
      <c r="C1" s="304"/>
      <c r="D1" s="304"/>
      <c r="E1" s="304"/>
      <c r="F1" s="304"/>
      <c r="G1" s="304"/>
      <c r="H1" s="312"/>
      <c r="I1" s="313">
        <f>'NFI Summary'!W3</f>
        <v>1</v>
      </c>
      <c r="J1" s="312"/>
      <c r="K1" s="312"/>
      <c r="L1" s="312"/>
      <c r="M1" s="312"/>
      <c r="N1" s="312"/>
      <c r="O1" s="312"/>
      <c r="P1" s="312"/>
      <c r="Q1" s="312"/>
      <c r="R1" s="312"/>
      <c r="S1" s="312"/>
      <c r="T1" s="312"/>
      <c r="U1" s="312"/>
      <c r="V1" s="312"/>
      <c r="W1" s="312"/>
      <c r="X1" s="312"/>
      <c r="Y1" s="312"/>
      <c r="Z1" s="312"/>
      <c r="AA1" s="312"/>
      <c r="AB1" s="312"/>
      <c r="AC1" s="314"/>
      <c r="AD1" s="314"/>
      <c r="AE1" s="314"/>
      <c r="AF1" s="314"/>
      <c r="AG1" s="314"/>
      <c r="AH1" s="314"/>
      <c r="AI1" s="314"/>
      <c r="AJ1" s="314"/>
      <c r="AK1" s="314"/>
      <c r="AL1" s="314"/>
      <c r="AM1" s="763"/>
      <c r="AN1" s="764"/>
      <c r="AO1" s="763"/>
      <c r="AP1" s="763"/>
      <c r="AQ1" s="763"/>
      <c r="AR1" s="763"/>
      <c r="AS1" s="765"/>
      <c r="AW1" s="767"/>
      <c r="AX1" s="767"/>
    </row>
    <row r="2" spans="1:50" s="766" customFormat="1" ht="33" customHeight="1" x14ac:dyDescent="0.25">
      <c r="A2" s="842" t="s">
        <v>435</v>
      </c>
      <c r="B2" s="843"/>
      <c r="C2" s="843"/>
      <c r="D2" s="843"/>
      <c r="E2" s="843"/>
      <c r="F2" s="843"/>
      <c r="G2" s="843"/>
      <c r="H2" s="843"/>
      <c r="I2" s="105"/>
      <c r="J2" s="105"/>
      <c r="K2" s="105"/>
      <c r="L2" s="105"/>
      <c r="M2" s="105"/>
      <c r="N2" s="105"/>
      <c r="O2" s="105"/>
      <c r="P2" s="105"/>
      <c r="Q2" s="105"/>
      <c r="R2" s="105"/>
      <c r="S2" s="105"/>
      <c r="T2" s="105"/>
      <c r="U2" s="105"/>
      <c r="V2" s="105"/>
      <c r="W2" s="106"/>
      <c r="X2" s="106"/>
      <c r="Y2" s="106"/>
      <c r="Z2" s="106"/>
      <c r="AA2" s="106"/>
      <c r="AB2" s="106"/>
      <c r="AC2" s="106"/>
      <c r="AD2" s="106"/>
      <c r="AE2" s="106"/>
      <c r="AF2" s="106"/>
      <c r="AG2" s="106"/>
      <c r="AH2" s="106"/>
      <c r="AI2" s="106"/>
      <c r="AJ2" s="106"/>
      <c r="AK2" s="106"/>
      <c r="AL2" s="106"/>
      <c r="AM2" s="768"/>
      <c r="AN2" s="769"/>
      <c r="AO2" s="768"/>
      <c r="AP2" s="768"/>
      <c r="AQ2" s="768"/>
      <c r="AR2" s="768"/>
      <c r="AS2" s="770"/>
      <c r="AU2" s="767"/>
      <c r="AV2" s="767"/>
    </row>
    <row r="3" spans="1:50" s="136" customFormat="1" ht="18" customHeight="1" x14ac:dyDescent="0.25">
      <c r="A3" s="844">
        <f>Report_Date</f>
        <v>42309</v>
      </c>
      <c r="B3" s="845"/>
      <c r="C3" s="845"/>
      <c r="D3" s="845"/>
      <c r="E3" s="845"/>
      <c r="F3" s="845"/>
      <c r="G3" s="845"/>
      <c r="H3" s="845"/>
      <c r="I3" s="315"/>
      <c r="J3" s="315"/>
      <c r="K3" s="315"/>
      <c r="L3" s="315"/>
      <c r="M3" s="315"/>
      <c r="N3" s="315"/>
      <c r="O3" s="315"/>
      <c r="P3" s="315"/>
      <c r="Q3" s="315"/>
      <c r="R3" s="315"/>
      <c r="S3" s="315"/>
      <c r="T3" s="315"/>
      <c r="U3" s="315"/>
      <c r="V3" s="315"/>
      <c r="W3" s="316"/>
      <c r="X3" s="316"/>
      <c r="Y3" s="316"/>
      <c r="Z3" s="316"/>
      <c r="AA3" s="316"/>
      <c r="AB3" s="317"/>
      <c r="AC3" s="317"/>
      <c r="AD3" s="317"/>
      <c r="AE3" s="317"/>
      <c r="AF3" s="317"/>
      <c r="AG3" s="317"/>
      <c r="AH3" s="317"/>
      <c r="AI3" s="317"/>
      <c r="AJ3" s="317"/>
      <c r="AK3" s="317"/>
      <c r="AL3" s="317"/>
      <c r="AM3" s="771"/>
      <c r="AN3" s="772"/>
      <c r="AO3" s="771"/>
      <c r="AP3" s="771"/>
      <c r="AQ3" s="771"/>
      <c r="AR3" s="771"/>
      <c r="AS3" s="773"/>
      <c r="AU3" s="774"/>
      <c r="AV3" s="774"/>
    </row>
    <row r="4" spans="1:50" s="136" customFormat="1" ht="18" hidden="1" customHeight="1" x14ac:dyDescent="0.25">
      <c r="A4" s="848"/>
      <c r="B4" s="849"/>
      <c r="C4" s="849"/>
      <c r="D4" s="45"/>
      <c r="E4" s="45"/>
      <c r="F4" s="45"/>
      <c r="G4" s="45"/>
      <c r="H4" s="109"/>
      <c r="I4" s="109"/>
      <c r="J4" s="109"/>
      <c r="K4" s="108"/>
      <c r="L4" s="109"/>
      <c r="M4" s="109"/>
      <c r="N4" s="109"/>
      <c r="O4" s="109"/>
      <c r="P4" s="109"/>
      <c r="Q4" s="109"/>
      <c r="R4" s="109"/>
      <c r="S4" s="109"/>
      <c r="T4" s="109"/>
      <c r="U4" s="109"/>
      <c r="V4" s="109"/>
      <c r="W4" s="109"/>
      <c r="X4" s="109"/>
      <c r="Y4" s="109"/>
      <c r="Z4" s="110"/>
      <c r="AA4" s="109"/>
      <c r="AB4" s="109"/>
      <c r="AC4" s="108"/>
      <c r="AD4" s="108"/>
      <c r="AE4" s="108"/>
      <c r="AF4" s="108"/>
      <c r="AG4" s="108"/>
      <c r="AH4" s="108"/>
      <c r="AI4" s="108"/>
      <c r="AJ4" s="108"/>
      <c r="AK4" s="108"/>
      <c r="AL4" s="108"/>
      <c r="AN4" s="775"/>
      <c r="AS4" s="776"/>
      <c r="AW4" s="774"/>
      <c r="AX4" s="774"/>
    </row>
    <row r="5" spans="1:50" s="777" customFormat="1" ht="69.75" customHeight="1" x14ac:dyDescent="0.25">
      <c r="A5" s="432" t="s">
        <v>440</v>
      </c>
      <c r="B5" s="432" t="s">
        <v>413</v>
      </c>
      <c r="C5" s="432" t="s">
        <v>403</v>
      </c>
      <c r="D5" s="432" t="s">
        <v>414</v>
      </c>
      <c r="E5" s="432" t="s">
        <v>396</v>
      </c>
      <c r="F5" s="432" t="s">
        <v>0</v>
      </c>
      <c r="G5" s="432" t="s">
        <v>395</v>
      </c>
      <c r="H5" s="432" t="s">
        <v>457</v>
      </c>
      <c r="I5" s="432" t="s">
        <v>405</v>
      </c>
      <c r="J5" s="432" t="s">
        <v>458</v>
      </c>
      <c r="K5" s="432" t="s">
        <v>597</v>
      </c>
      <c r="L5" s="432" t="s">
        <v>459</v>
      </c>
      <c r="M5" s="432" t="s">
        <v>436</v>
      </c>
      <c r="N5" s="432" t="s">
        <v>437</v>
      </c>
      <c r="O5" s="432" t="s">
        <v>1241</v>
      </c>
      <c r="P5" s="432" t="s">
        <v>579</v>
      </c>
      <c r="Q5" s="432" t="s">
        <v>580</v>
      </c>
      <c r="R5" s="432" t="s">
        <v>994</v>
      </c>
      <c r="S5" s="432" t="s">
        <v>998</v>
      </c>
      <c r="T5" s="432" t="s">
        <v>1002</v>
      </c>
      <c r="U5" s="432" t="s">
        <v>1120</v>
      </c>
      <c r="V5" s="432" t="s">
        <v>1383</v>
      </c>
      <c r="W5" s="433" t="s">
        <v>1151</v>
      </c>
      <c r="X5" s="433" t="s">
        <v>1152</v>
      </c>
      <c r="Y5" s="433" t="s">
        <v>1153</v>
      </c>
      <c r="Z5" s="433" t="s">
        <v>1154</v>
      </c>
      <c r="AA5" s="433" t="s">
        <v>1155</v>
      </c>
      <c r="AB5" s="433" t="s">
        <v>1157</v>
      </c>
      <c r="AC5" s="433" t="s">
        <v>1156</v>
      </c>
      <c r="AD5" s="433" t="s">
        <v>1242</v>
      </c>
      <c r="AE5" s="433" t="s">
        <v>1158</v>
      </c>
      <c r="AF5" s="433" t="s">
        <v>1159</v>
      </c>
      <c r="AG5" s="433" t="s">
        <v>1160</v>
      </c>
      <c r="AH5" s="433" t="s">
        <v>1161</v>
      </c>
      <c r="AI5" s="433" t="s">
        <v>1162</v>
      </c>
      <c r="AJ5" s="433" t="s">
        <v>1163</v>
      </c>
      <c r="AK5" s="433" t="s">
        <v>1166</v>
      </c>
      <c r="AL5" s="433" t="s">
        <v>1384</v>
      </c>
      <c r="AM5" s="432" t="s">
        <v>560</v>
      </c>
      <c r="AN5" s="432" t="s">
        <v>1150</v>
      </c>
      <c r="AO5" s="432" t="s">
        <v>500</v>
      </c>
      <c r="AP5" s="432" t="s">
        <v>1087</v>
      </c>
      <c r="AQ5" s="432" t="s">
        <v>442</v>
      </c>
      <c r="AR5" s="432" t="s">
        <v>1098</v>
      </c>
      <c r="AS5" s="432" t="s">
        <v>498</v>
      </c>
    </row>
    <row r="6" spans="1:50" s="827" customFormat="1" ht="15" customHeight="1" x14ac:dyDescent="0.25">
      <c r="A6" s="455">
        <f t="shared" ref="A6:A69" si="0">IF(ISBLANK(B6),"",(Report_Date-B6)/30)</f>
        <v>-0.8</v>
      </c>
      <c r="B6" s="778">
        <v>42333</v>
      </c>
      <c r="C6" s="779" t="s">
        <v>454</v>
      </c>
      <c r="D6" s="779" t="s">
        <v>462</v>
      </c>
      <c r="E6" s="779" t="s">
        <v>380</v>
      </c>
      <c r="F6" s="435" t="s">
        <v>302</v>
      </c>
      <c r="G6" s="435" t="s">
        <v>306</v>
      </c>
      <c r="H6" s="436"/>
      <c r="I6" s="436"/>
      <c r="J6" s="436"/>
      <c r="K6" s="436"/>
      <c r="L6" s="437">
        <v>13</v>
      </c>
      <c r="M6" s="437">
        <v>39</v>
      </c>
      <c r="N6" s="437">
        <v>13</v>
      </c>
      <c r="O6" s="437"/>
      <c r="P6" s="439">
        <v>13</v>
      </c>
      <c r="Q6" s="439">
        <v>47</v>
      </c>
      <c r="R6" s="439"/>
      <c r="S6" s="439"/>
      <c r="T6" s="439"/>
      <c r="U6" s="439"/>
      <c r="V6" s="439">
        <v>13</v>
      </c>
      <c r="W6" s="439">
        <f>IF(NFI_Expiration=1,IF($A6&lt;VLOOKUP(H$5,NFI,5,0),1,0)*Table_NFI[[#This Row],[Hygiene Kit]],Table_NFI[Hygiene Kit])</f>
        <v>0</v>
      </c>
      <c r="X6" s="439">
        <f>IF(NFI_Expiration=1,IF($A6&lt;VLOOKUP(I$5,NFI,5,0),1,0)*Table_NFI[[#This Row],[NFI Core Kit]],Table_NFI[NFI Core Kit])</f>
        <v>0</v>
      </c>
      <c r="Y6" s="439">
        <f>IF(NFI_Expiration=1,IF($A6&lt;VLOOKUP(J$5,NFI,5,0),1,0)*Table_NFI[[#This Row],[Sanitary Kit]],Table_NFI[Sanitary Kit])</f>
        <v>0</v>
      </c>
      <c r="Z6" s="439">
        <f>IF(NFI_Expiration=1,IF($A6&lt;VLOOKUP(K$5,NFI,5,0),1,0)*Table_NFI[[#This Row],[Mosquito net]],Table_NFI[Mosquito net])</f>
        <v>0</v>
      </c>
      <c r="AA6" s="439">
        <f>IF(NFI_Expiration=1,IF($A6&lt;VLOOKUP(L$5,NFI,5,0),1,0)*Table_NFI[[#This Row],[Tarpaulin]],Table_NFI[[#This Row],[Tarpaulin]])</f>
        <v>13</v>
      </c>
      <c r="AB6" s="439">
        <f>IF(NFI_Expiration=1,IF($A6&lt;VLOOKUP(M$5,NFI,5,0),1,0)*Table_NFI[[#This Row],[Blanket]],Table_NFI[[#This Row],[Blanket]])</f>
        <v>39</v>
      </c>
      <c r="AC6" s="439">
        <f>IF(NFI_Expiration=1,IF($A6&lt;VLOOKUP(N$5,NFI,5,0),1,0)*Table_NFI[[#This Row],[Kitchen Set]],Table_NFI[Kitchen Set])</f>
        <v>13</v>
      </c>
      <c r="AD6" s="439">
        <f>IF(NFI_Expiration=1,IF($A6&lt;VLOOKUP(O$5,NFI,5,0),1,0)*Table_NFI[[#This Row],[Clothes Kit]],Table_NFI[Clothes Kit])</f>
        <v>0</v>
      </c>
      <c r="AE6" s="439">
        <f>IF(NFI_Expiration=1,IF($A6&lt;VLOOKUP(P$5,NFI,5,0),1,0)*Table_NFI[[#This Row],[Plastic Bucket]],Table_NFI[Plastic Bucket])</f>
        <v>13</v>
      </c>
      <c r="AF6" s="439">
        <f>IF(NFI_Expiration=1,IF($A6&lt;VLOOKUP(Q$5,NFI,5,0),1,0)*Table_NFI[[#This Row],[Plastic Mat]],Table_NFI[Plastic Mat])*IF(Table_NFI[[#This Row],[Distribution Date]]&gt;"2014-04-01",1,2.5)</f>
        <v>117.5</v>
      </c>
      <c r="AG6" s="439">
        <f>IF(NFI_Expiration=1,IF($A6&lt;VLOOKUP(R$5,NFI,5,0),1,0)*Table_NFI[[#This Row],[Winter Clothes Adult]],Table_NFI[Winter Clothes Adult])</f>
        <v>0</v>
      </c>
      <c r="AH6" s="439">
        <f>IF(NFI_Expiration=1,IF($A6&lt;VLOOKUP(S$5,NFI,5,0),1,0)*Table_NFI[[#This Row],[Winter Clothes Children]],Table_NFI[Winter Clothes Children])</f>
        <v>0</v>
      </c>
      <c r="AI6" s="439">
        <f>IF(NFI_Expiration=1,IF($A6&lt;VLOOKUP(T$5,NFI,5,0),1,0)*Table_NFI[[#This Row],[Winter Items Other]],Table_NFI[Winter Items Other])</f>
        <v>0</v>
      </c>
      <c r="AJ6" s="439">
        <f>IF(NFI_Expiration=1,IF($A6&lt;VLOOKUP(M$5,NFI,5,0),1,0)*Table_NFI[[#This Row],[Winter Blanket]],Table_NFI[[#This Row],[Winter Blanket]])</f>
        <v>0</v>
      </c>
      <c r="AK6" s="439">
        <f>IF(Table_NFI[[#This Row],[Winter Clothes Adult]]+Table_NFI[[#This Row],[Winter Clothes Children]]+Table_NFI[[#This Row],[Winter Items Other]]+Table_NFI[[#This Row],[Winter Blanket]]&gt;0,1,0)</f>
        <v>0</v>
      </c>
      <c r="AL6" s="439">
        <f>IF(NFI_Expiration=1,IF($A6&lt;VLOOKUP(V$5,NFI,5,0),1,0)*Table_NFI[[#This Row],[Jerry Can]],Table_NFI[Jerry Can])</f>
        <v>13</v>
      </c>
      <c r="AM6" s="791" t="str">
        <f>IFERROR(VLOOKUP(Table_NFI[[#This Row],[Camp Name]],CL,2,0),"")</f>
        <v>MMR001CMP067</v>
      </c>
      <c r="AN6" s="782">
        <f ca="1">IF(Table_NFI[[#This Row],[Pcode]]="","",IF(OFFSET(CampList[Opening Date],MATCH(Table_NFI[[#This Row],[Pcode]],CampList[CP_Pcode],0)-1,0,1,1)&gt;=NFI_Monitor_Date,1,0))</f>
        <v>0</v>
      </c>
      <c r="AO6" s="791" t="str">
        <f>IFERROR(VLOOKUP(Table_NFI[[#This Row],[Camp Name]],CL,3,0),"")</f>
        <v>Open</v>
      </c>
      <c r="AP6" s="439" t="str">
        <f ca="1">IF(Table_NFI[[#This Row],[Pcode]]="","",OFFSET(CampList[Priority],MATCH(Table_NFI[[#This Row],[Pcode]],CampList[CP_Pcode],0)-1,0,1,1))</f>
        <v>P4</v>
      </c>
      <c r="AQ6" s="438">
        <f>IFERROR(Table_NFI[[#This Row],[Kitchen Set]]/VLOOKUP(Table_NFI[[#This Row],[Camp Name]],CL,4,0),"")</f>
        <v>0.15662650602409639</v>
      </c>
      <c r="AR6" s="779"/>
      <c r="AS6" s="792" t="s">
        <v>1467</v>
      </c>
    </row>
    <row r="7" spans="1:50" s="827" customFormat="1" ht="15" customHeight="1" x14ac:dyDescent="0.25">
      <c r="A7" s="455">
        <f t="shared" si="0"/>
        <v>-0.8</v>
      </c>
      <c r="B7" s="778">
        <v>42333</v>
      </c>
      <c r="C7" s="779" t="s">
        <v>454</v>
      </c>
      <c r="D7" s="779" t="s">
        <v>462</v>
      </c>
      <c r="E7" s="779" t="s">
        <v>380</v>
      </c>
      <c r="F7" s="435" t="s">
        <v>302</v>
      </c>
      <c r="G7" s="435" t="s">
        <v>308</v>
      </c>
      <c r="H7" s="436"/>
      <c r="I7" s="436"/>
      <c r="J7" s="436"/>
      <c r="K7" s="436"/>
      <c r="L7" s="437">
        <v>4</v>
      </c>
      <c r="M7" s="437">
        <v>12</v>
      </c>
      <c r="N7" s="437">
        <v>4</v>
      </c>
      <c r="O7" s="437"/>
      <c r="P7" s="439">
        <v>4</v>
      </c>
      <c r="Q7" s="439">
        <v>14</v>
      </c>
      <c r="R7" s="439"/>
      <c r="S7" s="439"/>
      <c r="T7" s="439"/>
      <c r="U7" s="439"/>
      <c r="V7" s="439">
        <v>4</v>
      </c>
      <c r="W7" s="439">
        <f>IF(NFI_Expiration=1,IF($A7&lt;VLOOKUP(H$5,NFI,5,0),1,0)*Table_NFI[[#This Row],[Hygiene Kit]],Table_NFI[Hygiene Kit])</f>
        <v>0</v>
      </c>
      <c r="X7" s="439">
        <f>IF(NFI_Expiration=1,IF($A7&lt;VLOOKUP(I$5,NFI,5,0),1,0)*Table_NFI[[#This Row],[NFI Core Kit]],Table_NFI[NFI Core Kit])</f>
        <v>0</v>
      </c>
      <c r="Y7" s="439">
        <f>IF(NFI_Expiration=1,IF($A7&lt;VLOOKUP(J$5,NFI,5,0),1,0)*Table_NFI[[#This Row],[Sanitary Kit]],Table_NFI[Sanitary Kit])</f>
        <v>0</v>
      </c>
      <c r="Z7" s="439">
        <f>IF(NFI_Expiration=1,IF($A7&lt;VLOOKUP(K$5,NFI,5,0),1,0)*Table_NFI[[#This Row],[Mosquito net]],Table_NFI[Mosquito net])</f>
        <v>0</v>
      </c>
      <c r="AA7" s="439">
        <f>IF(NFI_Expiration=1,IF($A7&lt;VLOOKUP(L$5,NFI,5,0),1,0)*Table_NFI[[#This Row],[Tarpaulin]],Table_NFI[[#This Row],[Tarpaulin]])</f>
        <v>4</v>
      </c>
      <c r="AB7" s="439">
        <f>IF(NFI_Expiration=1,IF($A7&lt;VLOOKUP(M$5,NFI,5,0),1,0)*Table_NFI[[#This Row],[Blanket]],Table_NFI[[#This Row],[Blanket]])</f>
        <v>12</v>
      </c>
      <c r="AC7" s="439">
        <f>IF(NFI_Expiration=1,IF($A7&lt;VLOOKUP(N$5,NFI,5,0),1,0)*Table_NFI[[#This Row],[Kitchen Set]],Table_NFI[Kitchen Set])</f>
        <v>4</v>
      </c>
      <c r="AD7" s="439">
        <f>IF(NFI_Expiration=1,IF($A7&lt;VLOOKUP(O$5,NFI,5,0),1,0)*Table_NFI[[#This Row],[Clothes Kit]],Table_NFI[Clothes Kit])</f>
        <v>0</v>
      </c>
      <c r="AE7" s="439">
        <f>IF(NFI_Expiration=1,IF($A7&lt;VLOOKUP(P$5,NFI,5,0),1,0)*Table_NFI[[#This Row],[Plastic Bucket]],Table_NFI[Plastic Bucket])</f>
        <v>4</v>
      </c>
      <c r="AF7" s="439">
        <f>IF(NFI_Expiration=1,IF($A7&lt;VLOOKUP(Q$5,NFI,5,0),1,0)*Table_NFI[[#This Row],[Plastic Mat]],Table_NFI[Plastic Mat])*IF(Table_NFI[[#This Row],[Distribution Date]]&gt;"2014-04-01",1,2.5)</f>
        <v>35</v>
      </c>
      <c r="AG7" s="439">
        <f>IF(NFI_Expiration=1,IF($A7&lt;VLOOKUP(R$5,NFI,5,0),1,0)*Table_NFI[[#This Row],[Winter Clothes Adult]],Table_NFI[Winter Clothes Adult])</f>
        <v>0</v>
      </c>
      <c r="AH7" s="439">
        <f>IF(NFI_Expiration=1,IF($A7&lt;VLOOKUP(S$5,NFI,5,0),1,0)*Table_NFI[[#This Row],[Winter Clothes Children]],Table_NFI[Winter Clothes Children])</f>
        <v>0</v>
      </c>
      <c r="AI7" s="439">
        <f>IF(NFI_Expiration=1,IF($A7&lt;VLOOKUP(T$5,NFI,5,0),1,0)*Table_NFI[[#This Row],[Winter Items Other]],Table_NFI[Winter Items Other])</f>
        <v>0</v>
      </c>
      <c r="AJ7" s="439">
        <f>IF(NFI_Expiration=1,IF($A7&lt;VLOOKUP(M$5,NFI,5,0),1,0)*Table_NFI[[#This Row],[Winter Blanket]],Table_NFI[[#This Row],[Winter Blanket]])</f>
        <v>0</v>
      </c>
      <c r="AK7" s="439">
        <f>IF(Table_NFI[[#This Row],[Winter Clothes Adult]]+Table_NFI[[#This Row],[Winter Clothes Children]]+Table_NFI[[#This Row],[Winter Items Other]]+Table_NFI[[#This Row],[Winter Blanket]]&gt;0,1,0)</f>
        <v>0</v>
      </c>
      <c r="AL7" s="439">
        <f>IF(NFI_Expiration=1,IF($A7&lt;VLOOKUP(V$5,NFI,5,0),1,0)*Table_NFI[[#This Row],[Jerry Can]],Table_NFI[Jerry Can])</f>
        <v>4</v>
      </c>
      <c r="AM7" s="791" t="str">
        <f>IFERROR(VLOOKUP(Table_NFI[[#This Row],[Camp Name]],CL,2,0),"")</f>
        <v>MMR001CMP068</v>
      </c>
      <c r="AN7" s="782">
        <f ca="1">IF(Table_NFI[[#This Row],[Pcode]]="","",IF(OFFSET(CampList[Opening Date],MATCH(Table_NFI[[#This Row],[Pcode]],CampList[CP_Pcode],0)-1,0,1,1)&gt;=NFI_Monitor_Date,1,0))</f>
        <v>0</v>
      </c>
      <c r="AO7" s="791" t="str">
        <f>IFERROR(VLOOKUP(Table_NFI[[#This Row],[Camp Name]],CL,3,0),"")</f>
        <v>Open</v>
      </c>
      <c r="AP7" s="439" t="str">
        <f ca="1">IF(Table_NFI[[#This Row],[Pcode]]="","",OFFSET(CampList[Priority],MATCH(Table_NFI[[#This Row],[Pcode]],CampList[CP_Pcode],0)-1,0,1,1))</f>
        <v>P4</v>
      </c>
      <c r="AQ7" s="438">
        <f>IFERROR(Table_NFI[[#This Row],[Kitchen Set]]/VLOOKUP(Table_NFI[[#This Row],[Camp Name]],CL,4,0),"")</f>
        <v>0.1</v>
      </c>
      <c r="AR7" s="779"/>
      <c r="AS7" s="792" t="s">
        <v>1467</v>
      </c>
    </row>
    <row r="8" spans="1:50" s="827" customFormat="1" ht="15" customHeight="1" x14ac:dyDescent="0.25">
      <c r="A8" s="455">
        <f t="shared" si="0"/>
        <v>-3.3333333333333333E-2</v>
      </c>
      <c r="B8" s="778">
        <v>42310</v>
      </c>
      <c r="C8" s="779" t="s">
        <v>454</v>
      </c>
      <c r="D8" s="789" t="s">
        <v>462</v>
      </c>
      <c r="E8" s="789" t="s">
        <v>380</v>
      </c>
      <c r="F8" s="789" t="s">
        <v>151</v>
      </c>
      <c r="G8" s="789" t="s">
        <v>891</v>
      </c>
      <c r="H8" s="437"/>
      <c r="I8" s="437"/>
      <c r="J8" s="437">
        <v>225</v>
      </c>
      <c r="K8" s="437">
        <v>3</v>
      </c>
      <c r="L8" s="437">
        <v>30</v>
      </c>
      <c r="M8" s="437">
        <v>73</v>
      </c>
      <c r="N8" s="437"/>
      <c r="O8" s="437"/>
      <c r="P8" s="439"/>
      <c r="Q8" s="439">
        <v>345</v>
      </c>
      <c r="R8" s="439"/>
      <c r="S8" s="439"/>
      <c r="T8" s="439"/>
      <c r="U8" s="439"/>
      <c r="V8" s="436"/>
      <c r="W8" s="439">
        <f>IF(NFI_Expiration=1,IF($A8&lt;VLOOKUP(H$5,NFI,5,0),1,0)*Table_NFI[[#This Row],[Hygiene Kit]],Table_NFI[Hygiene Kit])</f>
        <v>0</v>
      </c>
      <c r="X8" s="439">
        <f>IF(NFI_Expiration=1,IF($A8&lt;VLOOKUP(I$5,NFI,5,0),1,0)*Table_NFI[[#This Row],[NFI Core Kit]],Table_NFI[NFI Core Kit])</f>
        <v>0</v>
      </c>
      <c r="Y8" s="439">
        <f>IF(NFI_Expiration=1,IF($A8&lt;VLOOKUP(J$5,NFI,5,0),1,0)*Table_NFI[[#This Row],[Sanitary Kit]],Table_NFI[Sanitary Kit])</f>
        <v>225</v>
      </c>
      <c r="Z8" s="439">
        <f>IF(NFI_Expiration=1,IF($A8&lt;VLOOKUP(K$5,NFI,5,0),1,0)*Table_NFI[[#This Row],[Mosquito net]],Table_NFI[Mosquito net])</f>
        <v>3</v>
      </c>
      <c r="AA8" s="439">
        <f>IF(NFI_Expiration=1,IF($A8&lt;VLOOKUP(L$5,NFI,5,0),1,0)*Table_NFI[[#This Row],[Tarpaulin]],Table_NFI[[#This Row],[Tarpaulin]])</f>
        <v>30</v>
      </c>
      <c r="AB8" s="439">
        <f>IF(NFI_Expiration=1,IF($A8&lt;VLOOKUP(M$5,NFI,5,0),1,0)*Table_NFI[[#This Row],[Blanket]],Table_NFI[[#This Row],[Blanket]])</f>
        <v>73</v>
      </c>
      <c r="AC8" s="439">
        <f>IF(NFI_Expiration=1,IF($A8&lt;VLOOKUP(N$5,NFI,5,0),1,0)*Table_NFI[[#This Row],[Kitchen Set]],Table_NFI[Kitchen Set])</f>
        <v>0</v>
      </c>
      <c r="AD8" s="439">
        <f>IF(NFI_Expiration=1,IF($A8&lt;VLOOKUP(O$5,NFI,5,0),1,0)*Table_NFI[[#This Row],[Clothes Kit]],Table_NFI[Clothes Kit])</f>
        <v>0</v>
      </c>
      <c r="AE8" s="439">
        <f>IF(NFI_Expiration=1,IF($A8&lt;VLOOKUP(P$5,NFI,5,0),1,0)*Table_NFI[[#This Row],[Plastic Bucket]],Table_NFI[Plastic Bucket])</f>
        <v>0</v>
      </c>
      <c r="AF8" s="439">
        <f>IF(NFI_Expiration=1,IF($A8&lt;VLOOKUP(Q$5,NFI,5,0),1,0)*Table_NFI[[#This Row],[Plastic Mat]],Table_NFI[Plastic Mat])*IF(Table_NFI[[#This Row],[Distribution Date]]&gt;"2014-04-01",1,2.5)</f>
        <v>862.5</v>
      </c>
      <c r="AG8" s="439">
        <f>IF(NFI_Expiration=1,IF($A8&lt;VLOOKUP(R$5,NFI,5,0),1,0)*Table_NFI[[#This Row],[Winter Clothes Adult]],Table_NFI[Winter Clothes Adult])</f>
        <v>0</v>
      </c>
      <c r="AH8" s="439">
        <f>IF(NFI_Expiration=1,IF($A8&lt;VLOOKUP(S$5,NFI,5,0),1,0)*Table_NFI[[#This Row],[Winter Clothes Children]],Table_NFI[Winter Clothes Children])</f>
        <v>0</v>
      </c>
      <c r="AI8" s="439">
        <f>IF(NFI_Expiration=1,IF($A8&lt;VLOOKUP(T$5,NFI,5,0),1,0)*Table_NFI[[#This Row],[Winter Items Other]],Table_NFI[Winter Items Other])</f>
        <v>0</v>
      </c>
      <c r="AJ8" s="439">
        <f>IF(NFI_Expiration=1,IF($A8&lt;VLOOKUP(M$5,NFI,5,0),1,0)*Table_NFI[[#This Row],[Winter Blanket]],Table_NFI[[#This Row],[Winter Blanket]])</f>
        <v>0</v>
      </c>
      <c r="AK8" s="439">
        <f>IF(Table_NFI[[#This Row],[Winter Clothes Adult]]+Table_NFI[[#This Row],[Winter Clothes Children]]+Table_NFI[[#This Row],[Winter Items Other]]+Table_NFI[[#This Row],[Winter Blanket]]&gt;0,1,0)</f>
        <v>0</v>
      </c>
      <c r="AL8" s="439">
        <f>IF(NFI_Expiration=1,IF($A8&lt;VLOOKUP(V$5,NFI,5,0),1,0)*Table_NFI[[#This Row],[Jerry Can]],Table_NFI[Jerry Can])</f>
        <v>0</v>
      </c>
      <c r="AM8" s="791" t="str">
        <f>IFERROR(VLOOKUP(Table_NFI[[#This Row],[Camp Name]],CL,2,0),"")</f>
        <v>MMR001CMP218</v>
      </c>
      <c r="AN8" s="782">
        <f ca="1">IF(Table_NFI[[#This Row],[Pcode]]="","",IF(OFFSET(CampList[Opening Date],MATCH(Table_NFI[[#This Row],[Pcode]],CampList[CP_Pcode],0)-1,0,1,1)&gt;=NFI_Monitor_Date,1,0))</f>
        <v>0</v>
      </c>
      <c r="AO8" s="791" t="str">
        <f>IFERROR(VLOOKUP(Table_NFI[[#This Row],[Camp Name]],CL,3,0),"")</f>
        <v>Open</v>
      </c>
      <c r="AP8" s="439" t="str">
        <f ca="1">IF(Table_NFI[[#This Row],[Pcode]]="","",OFFSET(CampList[Priority],MATCH(Table_NFI[[#This Row],[Pcode]],CampList[CP_Pcode],0)-1,0,1,1))</f>
        <v>P4</v>
      </c>
      <c r="AQ8" s="438">
        <f>IFERROR(Table_NFI[[#This Row],[Kitchen Set]]/VLOOKUP(Table_NFI[[#This Row],[Camp Name]],CL,4,0),"")</f>
        <v>0</v>
      </c>
      <c r="AR8" s="789"/>
      <c r="AS8" s="792" t="s">
        <v>1467</v>
      </c>
    </row>
    <row r="9" spans="1:50" s="136" customFormat="1" ht="15" customHeight="1" x14ac:dyDescent="0.25">
      <c r="A9" s="455">
        <f t="shared" si="0"/>
        <v>0.8</v>
      </c>
      <c r="B9" s="778">
        <v>42285</v>
      </c>
      <c r="C9" s="779" t="s">
        <v>454</v>
      </c>
      <c r="D9" s="779" t="s">
        <v>462</v>
      </c>
      <c r="E9" s="779" t="s">
        <v>380</v>
      </c>
      <c r="F9" s="779" t="s">
        <v>151</v>
      </c>
      <c r="G9" s="779" t="s">
        <v>891</v>
      </c>
      <c r="H9" s="436"/>
      <c r="I9" s="436"/>
      <c r="J9" s="439">
        <v>57</v>
      </c>
      <c r="K9" s="439"/>
      <c r="L9" s="437"/>
      <c r="M9" s="437"/>
      <c r="N9" s="437"/>
      <c r="O9" s="437">
        <v>77</v>
      </c>
      <c r="P9" s="439"/>
      <c r="Q9" s="439">
        <v>146</v>
      </c>
      <c r="R9" s="439"/>
      <c r="S9" s="439"/>
      <c r="T9" s="439"/>
      <c r="U9" s="439"/>
      <c r="V9" s="439"/>
      <c r="W9" s="439">
        <f>IF(NFI_Expiration=1,IF($A9&lt;VLOOKUP(H$5,NFI,5,0),1,0)*Table_NFI[[#This Row],[Hygiene Kit]],Table_NFI[Hygiene Kit])</f>
        <v>0</v>
      </c>
      <c r="X9" s="439">
        <f>IF(NFI_Expiration=1,IF($A9&lt;VLOOKUP(I$5,NFI,5,0),1,0)*Table_NFI[[#This Row],[NFI Core Kit]],Table_NFI[NFI Core Kit])</f>
        <v>0</v>
      </c>
      <c r="Y9" s="439">
        <f>IF(NFI_Expiration=1,IF($A9&lt;VLOOKUP(J$5,NFI,5,0),1,0)*Table_NFI[[#This Row],[Sanitary Kit]],Table_NFI[Sanitary Kit])</f>
        <v>57</v>
      </c>
      <c r="Z9" s="439">
        <f>IF(NFI_Expiration=1,IF($A9&lt;VLOOKUP(K$5,NFI,5,0),1,0)*Table_NFI[[#This Row],[Mosquito net]],Table_NFI[Mosquito net])</f>
        <v>0</v>
      </c>
      <c r="AA9" s="439">
        <f>IF(NFI_Expiration=1,IF($A9&lt;VLOOKUP(L$5,NFI,5,0),1,0)*Table_NFI[[#This Row],[Tarpaulin]],Table_NFI[[#This Row],[Tarpaulin]])</f>
        <v>0</v>
      </c>
      <c r="AB9" s="439">
        <f>IF(NFI_Expiration=1,IF($A9&lt;VLOOKUP(M$5,NFI,5,0),1,0)*Table_NFI[[#This Row],[Blanket]],Table_NFI[[#This Row],[Blanket]])</f>
        <v>0</v>
      </c>
      <c r="AC9" s="439">
        <f>IF(NFI_Expiration=1,IF($A9&lt;VLOOKUP(N$5,NFI,5,0),1,0)*Table_NFI[[#This Row],[Kitchen Set]],Table_NFI[Kitchen Set])</f>
        <v>0</v>
      </c>
      <c r="AD9" s="439">
        <f>IF(NFI_Expiration=1,IF($A9&lt;VLOOKUP(O$5,NFI,5,0),1,0)*Table_NFI[[#This Row],[Clothes Kit]],Table_NFI[Clothes Kit])</f>
        <v>77</v>
      </c>
      <c r="AE9" s="439">
        <f>IF(NFI_Expiration=1,IF($A9&lt;VLOOKUP(P$5,NFI,5,0),1,0)*Table_NFI[[#This Row],[Plastic Bucket]],Table_NFI[Plastic Bucket])</f>
        <v>0</v>
      </c>
      <c r="AF9" s="439">
        <f>IF(NFI_Expiration=1,IF($A9&lt;VLOOKUP(Q$5,NFI,5,0),1,0)*Table_NFI[[#This Row],[Plastic Mat]],Table_NFI[Plastic Mat])*IF(Table_NFI[[#This Row],[Distribution Date]]&gt;"2014-04-01",1,2.5)</f>
        <v>365</v>
      </c>
      <c r="AG9" s="439">
        <f>IF(NFI_Expiration=1,IF($A9&lt;VLOOKUP(R$5,NFI,5,0),1,0)*Table_NFI[[#This Row],[Winter Clothes Adult]],Table_NFI[Winter Clothes Adult])</f>
        <v>0</v>
      </c>
      <c r="AH9" s="439">
        <f>IF(NFI_Expiration=1,IF($A9&lt;VLOOKUP(S$5,NFI,5,0),1,0)*Table_NFI[[#This Row],[Winter Clothes Children]],Table_NFI[Winter Clothes Children])</f>
        <v>0</v>
      </c>
      <c r="AI9" s="439">
        <f>IF(NFI_Expiration=1,IF($A9&lt;VLOOKUP(T$5,NFI,5,0),1,0)*Table_NFI[[#This Row],[Winter Items Other]],Table_NFI[Winter Items Other])</f>
        <v>0</v>
      </c>
      <c r="AJ9" s="439">
        <f>IF(NFI_Expiration=1,IF($A9&lt;VLOOKUP(M$5,NFI,5,0),1,0)*Table_NFI[[#This Row],[Winter Blanket]],Table_NFI[[#This Row],[Winter Blanket]])</f>
        <v>0</v>
      </c>
      <c r="AK9" s="439">
        <f>IF(Table_NFI[[#This Row],[Winter Clothes Adult]]+Table_NFI[[#This Row],[Winter Clothes Children]]+Table_NFI[[#This Row],[Winter Items Other]]+Table_NFI[[#This Row],[Winter Blanket]]&gt;0,1,0)</f>
        <v>0</v>
      </c>
      <c r="AL9" s="439">
        <f>IF(NFI_Expiration=1,IF($A9&lt;VLOOKUP(V$5,NFI,5,0),1,0)*Table_NFI[[#This Row],[Jerry Can]],Table_NFI[Jerry Can])</f>
        <v>0</v>
      </c>
      <c r="AM9" s="791" t="str">
        <f>IFERROR(VLOOKUP(Table_NFI[[#This Row],[Camp Name]],CL,2,0),"")</f>
        <v>MMR001CMP218</v>
      </c>
      <c r="AN9" s="782">
        <f ca="1">IF(Table_NFI[[#This Row],[Pcode]]="","",IF(OFFSET(CampList[Opening Date],MATCH(Table_NFI[[#This Row],[Pcode]],CampList[CP_Pcode],0)-1,0,1,1)&gt;=NFI_Monitor_Date,1,0))</f>
        <v>0</v>
      </c>
      <c r="AO9" s="791" t="str">
        <f>IFERROR(VLOOKUP(Table_NFI[[#This Row],[Camp Name]],CL,3,0),"")</f>
        <v>Open</v>
      </c>
      <c r="AP9" s="439" t="str">
        <f ca="1">IF(Table_NFI[[#This Row],[Pcode]]="","",OFFSET(CampList[Priority],MATCH(Table_NFI[[#This Row],[Pcode]],CampList[CP_Pcode],0)-1,0,1,1))</f>
        <v>P4</v>
      </c>
      <c r="AQ9" s="438">
        <f>IFERROR(Table_NFI[[#This Row],[Kitchen Set]]/VLOOKUP(Table_NFI[[#This Row],[Camp Name]],CL,4,0),"")</f>
        <v>0</v>
      </c>
      <c r="AR9" s="779"/>
      <c r="AS9" s="783" t="s">
        <v>1377</v>
      </c>
    </row>
    <row r="10" spans="1:50" s="784" customFormat="1" ht="15" customHeight="1" x14ac:dyDescent="0.25">
      <c r="A10" s="455">
        <f t="shared" si="0"/>
        <v>0.83333333333333337</v>
      </c>
      <c r="B10" s="778">
        <v>42284</v>
      </c>
      <c r="C10" s="779" t="s">
        <v>454</v>
      </c>
      <c r="D10" s="779" t="s">
        <v>462</v>
      </c>
      <c r="E10" s="779" t="s">
        <v>380</v>
      </c>
      <c r="F10" s="779" t="s">
        <v>151</v>
      </c>
      <c r="G10" s="779" t="s">
        <v>152</v>
      </c>
      <c r="H10" s="437"/>
      <c r="I10" s="437"/>
      <c r="J10" s="437">
        <v>70</v>
      </c>
      <c r="K10" s="437">
        <v>92</v>
      </c>
      <c r="L10" s="437">
        <v>55</v>
      </c>
      <c r="M10" s="437">
        <v>92</v>
      </c>
      <c r="N10" s="437">
        <v>55</v>
      </c>
      <c r="O10" s="437"/>
      <c r="P10" s="439">
        <v>55</v>
      </c>
      <c r="Q10" s="439">
        <v>263</v>
      </c>
      <c r="R10" s="439"/>
      <c r="S10" s="439"/>
      <c r="T10" s="439"/>
      <c r="U10" s="439"/>
      <c r="V10" s="818">
        <v>55</v>
      </c>
      <c r="W10" s="439">
        <f>IF(NFI_Expiration=1,IF($A10&lt;VLOOKUP(H$5,NFI,5,0),1,0)*Table_NFI[[#This Row],[Hygiene Kit]],Table_NFI[Hygiene Kit])</f>
        <v>0</v>
      </c>
      <c r="X10" s="439">
        <f>IF(NFI_Expiration=1,IF($A10&lt;VLOOKUP(I$5,NFI,5,0),1,0)*Table_NFI[[#This Row],[NFI Core Kit]],Table_NFI[NFI Core Kit])</f>
        <v>0</v>
      </c>
      <c r="Y10" s="439">
        <f>IF(NFI_Expiration=1,IF($A10&lt;VLOOKUP(J$5,NFI,5,0),1,0)*Table_NFI[[#This Row],[Sanitary Kit]],Table_NFI[Sanitary Kit])</f>
        <v>70</v>
      </c>
      <c r="Z10" s="439">
        <f>IF(NFI_Expiration=1,IF($A10&lt;VLOOKUP(K$5,NFI,5,0),1,0)*Table_NFI[[#This Row],[Mosquito net]],Table_NFI[Mosquito net])</f>
        <v>92</v>
      </c>
      <c r="AA10" s="439">
        <f>IF(NFI_Expiration=1,IF($A10&lt;VLOOKUP(L$5,NFI,5,0),1,0)*Table_NFI[[#This Row],[Tarpaulin]],Table_NFI[[#This Row],[Tarpaulin]])</f>
        <v>55</v>
      </c>
      <c r="AB10" s="439">
        <f>IF(NFI_Expiration=1,IF($A10&lt;VLOOKUP(M$5,NFI,5,0),1,0)*Table_NFI[[#This Row],[Blanket]],Table_NFI[[#This Row],[Blanket]])</f>
        <v>92</v>
      </c>
      <c r="AC10" s="439">
        <f>IF(NFI_Expiration=1,IF($A10&lt;VLOOKUP(N$5,NFI,5,0),1,0)*Table_NFI[[#This Row],[Kitchen Set]],Table_NFI[Kitchen Set])</f>
        <v>55</v>
      </c>
      <c r="AD10" s="439">
        <f>IF(NFI_Expiration=1,IF($A10&lt;VLOOKUP(O$5,NFI,5,0),1,0)*Table_NFI[[#This Row],[Clothes Kit]],Table_NFI[Clothes Kit])</f>
        <v>0</v>
      </c>
      <c r="AE10" s="439">
        <f>IF(NFI_Expiration=1,IF($A10&lt;VLOOKUP(P$5,NFI,5,0),1,0)*Table_NFI[[#This Row],[Plastic Bucket]],Table_NFI[Plastic Bucket])</f>
        <v>55</v>
      </c>
      <c r="AF10" s="439">
        <f>IF(NFI_Expiration=1,IF($A10&lt;VLOOKUP(Q$5,NFI,5,0),1,0)*Table_NFI[[#This Row],[Plastic Mat]],Table_NFI[Plastic Mat])*IF(Table_NFI[[#This Row],[Distribution Date]]&gt;"2014-04-01",1,2.5)</f>
        <v>657.5</v>
      </c>
      <c r="AG10" s="439">
        <f>IF(NFI_Expiration=1,IF($A10&lt;VLOOKUP(R$5,NFI,5,0),1,0)*Table_NFI[[#This Row],[Winter Clothes Adult]],Table_NFI[Winter Clothes Adult])</f>
        <v>0</v>
      </c>
      <c r="AH10" s="439">
        <f>IF(NFI_Expiration=1,IF($A10&lt;VLOOKUP(S$5,NFI,5,0),1,0)*Table_NFI[[#This Row],[Winter Clothes Children]],Table_NFI[Winter Clothes Children])</f>
        <v>0</v>
      </c>
      <c r="AI10" s="439">
        <f>IF(NFI_Expiration=1,IF($A10&lt;VLOOKUP(T$5,NFI,5,0),1,0)*Table_NFI[[#This Row],[Winter Items Other]],Table_NFI[Winter Items Other])</f>
        <v>0</v>
      </c>
      <c r="AJ10" s="439">
        <f>IF(NFI_Expiration=1,IF($A10&lt;VLOOKUP(M$5,NFI,5,0),1,0)*Table_NFI[[#This Row],[Winter Blanket]],Table_NFI[[#This Row],[Winter Blanket]])</f>
        <v>0</v>
      </c>
      <c r="AK10" s="439">
        <f>IF(Table_NFI[[#This Row],[Winter Clothes Adult]]+Table_NFI[[#This Row],[Winter Clothes Children]]+Table_NFI[[#This Row],[Winter Items Other]]+Table_NFI[[#This Row],[Winter Blanket]]&gt;0,1,0)</f>
        <v>0</v>
      </c>
      <c r="AL10" s="439">
        <f>IF(NFI_Expiration=1,IF($A10&lt;VLOOKUP(V$5,NFI,5,0),1,0)*Table_NFI[[#This Row],[Jerry Can]],Table_NFI[Jerry Can])</f>
        <v>55</v>
      </c>
      <c r="AM10" s="791" t="str">
        <f>IFERROR(VLOOKUP(Table_NFI[[#This Row],[Camp Name]],CL,2,0),"")</f>
        <v>MMR001CMP066</v>
      </c>
      <c r="AN10" s="782">
        <f ca="1">IF(Table_NFI[[#This Row],[Pcode]]="","",IF(OFFSET(CampList[Opening Date],MATCH(Table_NFI[[#This Row],[Pcode]],CampList[CP_Pcode],0)-1,0,1,1)&gt;=NFI_Monitor_Date,1,0))</f>
        <v>0</v>
      </c>
      <c r="AO10" s="791" t="str">
        <f>IFERROR(VLOOKUP(Table_NFI[[#This Row],[Camp Name]],CL,3,0),"")</f>
        <v>Open</v>
      </c>
      <c r="AP10" s="439" t="str">
        <f ca="1">IF(Table_NFI[[#This Row],[Pcode]]="","",OFFSET(CampList[Priority],MATCH(Table_NFI[[#This Row],[Pcode]],CampList[CP_Pcode],0)-1,0,1,1))</f>
        <v>P4</v>
      </c>
      <c r="AQ10" s="438">
        <f>IFERROR(Table_NFI[[#This Row],[Kitchen Set]]/VLOOKUP(Table_NFI[[#This Row],[Camp Name]],CL,4,0),"")</f>
        <v>0.24886877828054299</v>
      </c>
      <c r="AR10" s="789"/>
      <c r="AS10" s="825" t="s">
        <v>1416</v>
      </c>
    </row>
    <row r="11" spans="1:50" s="784" customFormat="1" ht="15" customHeight="1" x14ac:dyDescent="0.25">
      <c r="A11" s="455">
        <f t="shared" si="0"/>
        <v>0.9</v>
      </c>
      <c r="B11" s="778">
        <v>42282</v>
      </c>
      <c r="C11" s="779" t="s">
        <v>454</v>
      </c>
      <c r="D11" s="779" t="s">
        <v>462</v>
      </c>
      <c r="E11" s="779" t="s">
        <v>380</v>
      </c>
      <c r="F11" s="779" t="s">
        <v>151</v>
      </c>
      <c r="G11" s="779" t="s">
        <v>891</v>
      </c>
      <c r="H11" s="436"/>
      <c r="I11" s="436"/>
      <c r="J11" s="439">
        <v>82</v>
      </c>
      <c r="K11" s="439">
        <v>126</v>
      </c>
      <c r="L11" s="437">
        <v>60</v>
      </c>
      <c r="M11" s="437">
        <v>126</v>
      </c>
      <c r="N11" s="437">
        <v>60</v>
      </c>
      <c r="O11" s="437"/>
      <c r="P11" s="439">
        <v>60</v>
      </c>
      <c r="Q11" s="439">
        <v>201</v>
      </c>
      <c r="R11" s="439"/>
      <c r="S11" s="439"/>
      <c r="T11" s="439"/>
      <c r="U11" s="439"/>
      <c r="V11" s="818">
        <v>60</v>
      </c>
      <c r="W11" s="439">
        <f>IF(NFI_Expiration=1,IF($A11&lt;VLOOKUP(H$5,NFI,5,0),1,0)*Table_NFI[[#This Row],[Hygiene Kit]],Table_NFI[Hygiene Kit])</f>
        <v>0</v>
      </c>
      <c r="X11" s="439">
        <f>IF(NFI_Expiration=1,IF($A11&lt;VLOOKUP(I$5,NFI,5,0),1,0)*Table_NFI[[#This Row],[NFI Core Kit]],Table_NFI[NFI Core Kit])</f>
        <v>0</v>
      </c>
      <c r="Y11" s="439">
        <f>IF(NFI_Expiration=1,IF($A11&lt;VLOOKUP(J$5,NFI,5,0),1,0)*Table_NFI[[#This Row],[Sanitary Kit]],Table_NFI[Sanitary Kit])</f>
        <v>82</v>
      </c>
      <c r="Z11" s="439">
        <f>IF(NFI_Expiration=1,IF($A11&lt;VLOOKUP(K$5,NFI,5,0),1,0)*Table_NFI[[#This Row],[Mosquito net]],Table_NFI[Mosquito net])</f>
        <v>126</v>
      </c>
      <c r="AA11" s="439">
        <f>IF(NFI_Expiration=1,IF($A11&lt;VLOOKUP(L$5,NFI,5,0),1,0)*Table_NFI[[#This Row],[Tarpaulin]],Table_NFI[[#This Row],[Tarpaulin]])</f>
        <v>60</v>
      </c>
      <c r="AB11" s="439">
        <f>IF(NFI_Expiration=1,IF($A11&lt;VLOOKUP(M$5,NFI,5,0),1,0)*Table_NFI[[#This Row],[Blanket]],Table_NFI[[#This Row],[Blanket]])</f>
        <v>126</v>
      </c>
      <c r="AC11" s="439">
        <f>IF(NFI_Expiration=1,IF($A11&lt;VLOOKUP(N$5,NFI,5,0),1,0)*Table_NFI[[#This Row],[Kitchen Set]],Table_NFI[Kitchen Set])</f>
        <v>60</v>
      </c>
      <c r="AD11" s="439">
        <f>IF(NFI_Expiration=1,IF($A11&lt;VLOOKUP(O$5,NFI,5,0),1,0)*Table_NFI[[#This Row],[Clothes Kit]],Table_NFI[Clothes Kit])</f>
        <v>0</v>
      </c>
      <c r="AE11" s="439">
        <f>IF(NFI_Expiration=1,IF($A11&lt;VLOOKUP(P$5,NFI,5,0),1,0)*Table_NFI[[#This Row],[Plastic Bucket]],Table_NFI[Plastic Bucket])</f>
        <v>60</v>
      </c>
      <c r="AF11" s="439">
        <f>IF(NFI_Expiration=1,IF($A11&lt;VLOOKUP(Q$5,NFI,5,0),1,0)*Table_NFI[[#This Row],[Plastic Mat]],Table_NFI[Plastic Mat])*IF(Table_NFI[[#This Row],[Distribution Date]]&gt;"2014-04-01",1,2.5)</f>
        <v>502.5</v>
      </c>
      <c r="AG11" s="439">
        <f>IF(NFI_Expiration=1,IF($A11&lt;VLOOKUP(R$5,NFI,5,0),1,0)*Table_NFI[[#This Row],[Winter Clothes Adult]],Table_NFI[Winter Clothes Adult])</f>
        <v>0</v>
      </c>
      <c r="AH11" s="439">
        <f>IF(NFI_Expiration=1,IF($A11&lt;VLOOKUP(S$5,NFI,5,0),1,0)*Table_NFI[[#This Row],[Winter Clothes Children]],Table_NFI[Winter Clothes Children])</f>
        <v>0</v>
      </c>
      <c r="AI11" s="439">
        <f>IF(NFI_Expiration=1,IF($A11&lt;VLOOKUP(T$5,NFI,5,0),1,0)*Table_NFI[[#This Row],[Winter Items Other]],Table_NFI[Winter Items Other])</f>
        <v>0</v>
      </c>
      <c r="AJ11" s="439">
        <f>IF(NFI_Expiration=1,IF($A11&lt;VLOOKUP(M$5,NFI,5,0),1,0)*Table_NFI[[#This Row],[Winter Blanket]],Table_NFI[[#This Row],[Winter Blanket]])</f>
        <v>0</v>
      </c>
      <c r="AK11" s="439">
        <f>IF(Table_NFI[[#This Row],[Winter Clothes Adult]]+Table_NFI[[#This Row],[Winter Clothes Children]]+Table_NFI[[#This Row],[Winter Items Other]]+Table_NFI[[#This Row],[Winter Blanket]]&gt;0,1,0)</f>
        <v>0</v>
      </c>
      <c r="AL11" s="439">
        <f>IF(NFI_Expiration=1,IF($A11&lt;VLOOKUP(V$5,NFI,5,0),1,0)*Table_NFI[[#This Row],[Jerry Can]],Table_NFI[Jerry Can])</f>
        <v>60</v>
      </c>
      <c r="AM11" s="791" t="str">
        <f>IFERROR(VLOOKUP(Table_NFI[[#This Row],[Camp Name]],CL,2,0),"")</f>
        <v>MMR001CMP218</v>
      </c>
      <c r="AN11" s="782">
        <f ca="1">IF(Table_NFI[[#This Row],[Pcode]]="","",IF(OFFSET(CampList[Opening Date],MATCH(Table_NFI[[#This Row],[Pcode]],CampList[CP_Pcode],0)-1,0,1,1)&gt;=NFI_Monitor_Date,1,0))</f>
        <v>0</v>
      </c>
      <c r="AO11" s="791" t="str">
        <f>IFERROR(VLOOKUP(Table_NFI[[#This Row],[Camp Name]],CL,3,0),"")</f>
        <v>Open</v>
      </c>
      <c r="AP11" s="439" t="str">
        <f ca="1">IF(Table_NFI[[#This Row],[Pcode]]="","",OFFSET(CampList[Priority],MATCH(Table_NFI[[#This Row],[Pcode]],CampList[CP_Pcode],0)-1,0,1,1))</f>
        <v>P4</v>
      </c>
      <c r="AQ11" s="438">
        <f>IFERROR(Table_NFI[[#This Row],[Kitchen Set]]/VLOOKUP(Table_NFI[[#This Row],[Camp Name]],CL,4,0),"")</f>
        <v>0.16129032258064516</v>
      </c>
      <c r="AR11" s="779"/>
      <c r="AS11" s="825" t="s">
        <v>1416</v>
      </c>
    </row>
    <row r="12" spans="1:50" s="784" customFormat="1" ht="15" customHeight="1" x14ac:dyDescent="0.25">
      <c r="A12" s="455">
        <f t="shared" si="0"/>
        <v>1</v>
      </c>
      <c r="B12" s="778">
        <v>42279</v>
      </c>
      <c r="C12" s="779" t="s">
        <v>454</v>
      </c>
      <c r="D12" s="779" t="s">
        <v>462</v>
      </c>
      <c r="E12" s="779" t="s">
        <v>380</v>
      </c>
      <c r="F12" s="779" t="s">
        <v>151</v>
      </c>
      <c r="G12" s="779" t="s">
        <v>949</v>
      </c>
      <c r="H12" s="437"/>
      <c r="I12" s="437"/>
      <c r="J12" s="437">
        <v>79</v>
      </c>
      <c r="K12" s="437">
        <v>109</v>
      </c>
      <c r="L12" s="437">
        <v>69</v>
      </c>
      <c r="M12" s="437">
        <v>109</v>
      </c>
      <c r="N12" s="437">
        <v>69</v>
      </c>
      <c r="O12" s="437"/>
      <c r="P12" s="439">
        <v>6</v>
      </c>
      <c r="Q12" s="439">
        <v>315</v>
      </c>
      <c r="R12" s="439"/>
      <c r="S12" s="439"/>
      <c r="T12" s="439"/>
      <c r="U12" s="439"/>
      <c r="V12" s="818">
        <v>69</v>
      </c>
      <c r="W12" s="439">
        <f>IF(NFI_Expiration=1,IF($A12&lt;VLOOKUP(H$5,NFI,5,0),1,0)*Table_NFI[[#This Row],[Hygiene Kit]],Table_NFI[Hygiene Kit])</f>
        <v>0</v>
      </c>
      <c r="X12" s="439">
        <f>IF(NFI_Expiration=1,IF($A12&lt;VLOOKUP(I$5,NFI,5,0),1,0)*Table_NFI[[#This Row],[NFI Core Kit]],Table_NFI[NFI Core Kit])</f>
        <v>0</v>
      </c>
      <c r="Y12" s="439">
        <f>IF(NFI_Expiration=1,IF($A12&lt;VLOOKUP(J$5,NFI,5,0),1,0)*Table_NFI[[#This Row],[Sanitary Kit]],Table_NFI[Sanitary Kit])</f>
        <v>79</v>
      </c>
      <c r="Z12" s="439">
        <f>IF(NFI_Expiration=1,IF($A12&lt;VLOOKUP(K$5,NFI,5,0),1,0)*Table_NFI[[#This Row],[Mosquito net]],Table_NFI[Mosquito net])</f>
        <v>109</v>
      </c>
      <c r="AA12" s="439">
        <f>IF(NFI_Expiration=1,IF($A12&lt;VLOOKUP(L$5,NFI,5,0),1,0)*Table_NFI[[#This Row],[Tarpaulin]],Table_NFI[[#This Row],[Tarpaulin]])</f>
        <v>69</v>
      </c>
      <c r="AB12" s="439">
        <f>IF(NFI_Expiration=1,IF($A12&lt;VLOOKUP(M$5,NFI,5,0),1,0)*Table_NFI[[#This Row],[Blanket]],Table_NFI[[#This Row],[Blanket]])</f>
        <v>109</v>
      </c>
      <c r="AC12" s="439">
        <f>IF(NFI_Expiration=1,IF($A12&lt;VLOOKUP(N$5,NFI,5,0),1,0)*Table_NFI[[#This Row],[Kitchen Set]],Table_NFI[Kitchen Set])</f>
        <v>69</v>
      </c>
      <c r="AD12" s="439">
        <f>IF(NFI_Expiration=1,IF($A12&lt;VLOOKUP(O$5,NFI,5,0),1,0)*Table_NFI[[#This Row],[Clothes Kit]],Table_NFI[Clothes Kit])</f>
        <v>0</v>
      </c>
      <c r="AE12" s="439">
        <f>IF(NFI_Expiration=1,IF($A12&lt;VLOOKUP(P$5,NFI,5,0),1,0)*Table_NFI[[#This Row],[Plastic Bucket]],Table_NFI[Plastic Bucket])</f>
        <v>6</v>
      </c>
      <c r="AF12" s="439">
        <f>IF(NFI_Expiration=1,IF($A12&lt;VLOOKUP(Q$5,NFI,5,0),1,0)*Table_NFI[[#This Row],[Plastic Mat]],Table_NFI[Plastic Mat])*IF(Table_NFI[[#This Row],[Distribution Date]]&gt;"2014-04-01",1,2.5)</f>
        <v>787.5</v>
      </c>
      <c r="AG12" s="439">
        <f>IF(NFI_Expiration=1,IF($A12&lt;VLOOKUP(R$5,NFI,5,0),1,0)*Table_NFI[[#This Row],[Winter Clothes Adult]],Table_NFI[Winter Clothes Adult])</f>
        <v>0</v>
      </c>
      <c r="AH12" s="439">
        <f>IF(NFI_Expiration=1,IF($A12&lt;VLOOKUP(S$5,NFI,5,0),1,0)*Table_NFI[[#This Row],[Winter Clothes Children]],Table_NFI[Winter Clothes Children])</f>
        <v>0</v>
      </c>
      <c r="AI12" s="439">
        <f>IF(NFI_Expiration=1,IF($A12&lt;VLOOKUP(T$5,NFI,5,0),1,0)*Table_NFI[[#This Row],[Winter Items Other]],Table_NFI[Winter Items Other])</f>
        <v>0</v>
      </c>
      <c r="AJ12" s="439">
        <f>IF(NFI_Expiration=1,IF($A12&lt;VLOOKUP(M$5,NFI,5,0),1,0)*Table_NFI[[#This Row],[Winter Blanket]],Table_NFI[[#This Row],[Winter Blanket]])</f>
        <v>0</v>
      </c>
      <c r="AK12" s="439">
        <f>IF(Table_NFI[[#This Row],[Winter Clothes Adult]]+Table_NFI[[#This Row],[Winter Clothes Children]]+Table_NFI[[#This Row],[Winter Items Other]]+Table_NFI[[#This Row],[Winter Blanket]]&gt;0,1,0)</f>
        <v>0</v>
      </c>
      <c r="AL12" s="439">
        <f>IF(NFI_Expiration=1,IF($A12&lt;VLOOKUP(V$5,NFI,5,0),1,0)*Table_NFI[[#This Row],[Jerry Can]],Table_NFI[Jerry Can])</f>
        <v>69</v>
      </c>
      <c r="AM12" s="791" t="str">
        <f>IFERROR(VLOOKUP(Table_NFI[[#This Row],[Camp Name]],CL,2,0),"")</f>
        <v>MMR001CMP223</v>
      </c>
      <c r="AN12" s="782">
        <f ca="1">IF(Table_NFI[[#This Row],[Pcode]]="","",IF(OFFSET(CampList[Opening Date],MATCH(Table_NFI[[#This Row],[Pcode]],CampList[CP_Pcode],0)-1,0,1,1)&gt;=NFI_Monitor_Date,1,0))</f>
        <v>0</v>
      </c>
      <c r="AO12" s="791" t="str">
        <f>IFERROR(VLOOKUP(Table_NFI[[#This Row],[Camp Name]],CL,3,0),"")</f>
        <v>Open</v>
      </c>
      <c r="AP12" s="439" t="str">
        <f ca="1">IF(Table_NFI[[#This Row],[Pcode]]="","",OFFSET(CampList[Priority],MATCH(Table_NFI[[#This Row],[Pcode]],CampList[CP_Pcode],0)-1,0,1,1))</f>
        <v>P4</v>
      </c>
      <c r="AQ12" s="438">
        <f>IFERROR(Table_NFI[[#This Row],[Kitchen Set]]/VLOOKUP(Table_NFI[[#This Row],[Camp Name]],CL,4,0),"")</f>
        <v>0.57024793388429751</v>
      </c>
      <c r="AR12" s="789"/>
      <c r="AS12" s="825" t="s">
        <v>1416</v>
      </c>
    </row>
    <row r="13" spans="1:50" s="784" customFormat="1" ht="15" customHeight="1" x14ac:dyDescent="0.25">
      <c r="A13" s="455">
        <f t="shared" si="0"/>
        <v>1.3666666666666667</v>
      </c>
      <c r="B13" s="778">
        <v>42268</v>
      </c>
      <c r="C13" s="779" t="s">
        <v>454</v>
      </c>
      <c r="D13" s="780" t="s">
        <v>508</v>
      </c>
      <c r="E13" s="779" t="s">
        <v>380</v>
      </c>
      <c r="F13" s="435" t="s">
        <v>310</v>
      </c>
      <c r="G13" s="435" t="s">
        <v>330</v>
      </c>
      <c r="H13" s="436"/>
      <c r="I13" s="437"/>
      <c r="J13" s="436"/>
      <c r="K13" s="439">
        <v>41</v>
      </c>
      <c r="L13" s="437">
        <v>16</v>
      </c>
      <c r="M13" s="437">
        <v>41</v>
      </c>
      <c r="N13" s="437">
        <v>16</v>
      </c>
      <c r="O13" s="437"/>
      <c r="P13" s="439">
        <v>16</v>
      </c>
      <c r="Q13" s="439">
        <v>80</v>
      </c>
      <c r="R13" s="439"/>
      <c r="S13" s="439"/>
      <c r="T13" s="439"/>
      <c r="U13" s="439"/>
      <c r="V13" s="818">
        <v>16</v>
      </c>
      <c r="W13" s="439">
        <f>IF(NFI_Expiration=1,IF($A13&lt;VLOOKUP(H$5,NFI,5,0),1,0)*Table_NFI[[#This Row],[Hygiene Kit]],Table_NFI[Hygiene Kit])</f>
        <v>0</v>
      </c>
      <c r="X13" s="439">
        <f>IF(NFI_Expiration=1,IF($A13&lt;VLOOKUP(I$5,NFI,5,0),1,0)*Table_NFI[[#This Row],[NFI Core Kit]],Table_NFI[NFI Core Kit])</f>
        <v>0</v>
      </c>
      <c r="Y13" s="439">
        <f>IF(NFI_Expiration=1,IF($A13&lt;VLOOKUP(J$5,NFI,5,0),1,0)*Table_NFI[[#This Row],[Sanitary Kit]],Table_NFI[Sanitary Kit])</f>
        <v>0</v>
      </c>
      <c r="Z13" s="439">
        <f>IF(NFI_Expiration=1,IF($A13&lt;VLOOKUP(K$5,NFI,5,0),1,0)*Table_NFI[[#This Row],[Mosquito net]],Table_NFI[Mosquito net])</f>
        <v>41</v>
      </c>
      <c r="AA13" s="439">
        <f>IF(NFI_Expiration=1,IF($A13&lt;VLOOKUP(L$5,NFI,5,0),1,0)*Table_NFI[[#This Row],[Tarpaulin]],Table_NFI[[#This Row],[Tarpaulin]])</f>
        <v>16</v>
      </c>
      <c r="AB13" s="439">
        <f>IF(NFI_Expiration=1,IF($A13&lt;VLOOKUP(M$5,NFI,5,0),1,0)*Table_NFI[[#This Row],[Blanket]],Table_NFI[[#This Row],[Blanket]])</f>
        <v>41</v>
      </c>
      <c r="AC13" s="439">
        <f>IF(NFI_Expiration=1,IF($A13&lt;VLOOKUP(N$5,NFI,5,0),1,0)*Table_NFI[[#This Row],[Kitchen Set]],Table_NFI[Kitchen Set])</f>
        <v>16</v>
      </c>
      <c r="AD13" s="439">
        <f>IF(NFI_Expiration=1,IF($A13&lt;VLOOKUP(O$5,NFI,5,0),1,0)*Table_NFI[[#This Row],[Clothes Kit]],Table_NFI[Clothes Kit])</f>
        <v>0</v>
      </c>
      <c r="AE13" s="439">
        <f>IF(NFI_Expiration=1,IF($A13&lt;VLOOKUP(P$5,NFI,5,0),1,0)*Table_NFI[[#This Row],[Plastic Bucket]],Table_NFI[Plastic Bucket])</f>
        <v>16</v>
      </c>
      <c r="AF13" s="439">
        <f>IF(NFI_Expiration=1,IF($A13&lt;VLOOKUP(Q$5,NFI,5,0),1,0)*Table_NFI[[#This Row],[Plastic Mat]],Table_NFI[Plastic Mat])*IF(Table_NFI[[#This Row],[Distribution Date]]&gt;"2014-04-01",1,2.5)</f>
        <v>200</v>
      </c>
      <c r="AG13" s="439">
        <f>IF(NFI_Expiration=1,IF($A13&lt;VLOOKUP(R$5,NFI,5,0),1,0)*Table_NFI[[#This Row],[Winter Clothes Adult]],Table_NFI[Winter Clothes Adult])</f>
        <v>0</v>
      </c>
      <c r="AH13" s="439">
        <f>IF(NFI_Expiration=1,IF($A13&lt;VLOOKUP(S$5,NFI,5,0),1,0)*Table_NFI[[#This Row],[Winter Clothes Children]],Table_NFI[Winter Clothes Children])</f>
        <v>0</v>
      </c>
      <c r="AI13" s="439">
        <f>IF(NFI_Expiration=1,IF($A13&lt;VLOOKUP(T$5,NFI,5,0),1,0)*Table_NFI[[#This Row],[Winter Items Other]],Table_NFI[Winter Items Other])</f>
        <v>0</v>
      </c>
      <c r="AJ13" s="439">
        <f>IF(NFI_Expiration=1,IF($A13&lt;VLOOKUP(M$5,NFI,5,0),1,0)*Table_NFI[[#This Row],[Winter Blanket]],Table_NFI[[#This Row],[Winter Blanket]])</f>
        <v>0</v>
      </c>
      <c r="AK13" s="439">
        <f>IF(Table_NFI[[#This Row],[Winter Clothes Adult]]+Table_NFI[[#This Row],[Winter Clothes Children]]+Table_NFI[[#This Row],[Winter Items Other]]+Table_NFI[[#This Row],[Winter Blanket]]&gt;0,1,0)</f>
        <v>0</v>
      </c>
      <c r="AL13" s="439">
        <f>IF(NFI_Expiration=1,IF($A13&lt;VLOOKUP(V$5,NFI,5,0),1,0)*Table_NFI[[#This Row],[Jerry Can]],Table_NFI[Jerry Can])</f>
        <v>16</v>
      </c>
      <c r="AM13" s="791" t="str">
        <f>IFERROR(VLOOKUP(Table_NFI[[#This Row],[Camp Name]],CL,2,0),"")</f>
        <v>MMR001CMP029</v>
      </c>
      <c r="AN13" s="782">
        <f ca="1">IF(Table_NFI[[#This Row],[Pcode]]="","",IF(OFFSET(CampList[Opening Date],MATCH(Table_NFI[[#This Row],[Pcode]],CampList[CP_Pcode],0)-1,0,1,1)&gt;=NFI_Monitor_Date,1,0))</f>
        <v>0</v>
      </c>
      <c r="AO13" s="791" t="str">
        <f>IFERROR(VLOOKUP(Table_NFI[[#This Row],[Camp Name]],CL,3,0),"")</f>
        <v>Open</v>
      </c>
      <c r="AP13" s="439" t="str">
        <f ca="1">IF(Table_NFI[[#This Row],[Pcode]]="","",OFFSET(CampList[Priority],MATCH(Table_NFI[[#This Row],[Pcode]],CampList[CP_Pcode],0)-1,0,1,1))</f>
        <v>P4</v>
      </c>
      <c r="AQ13" s="438">
        <f>IFERROR(Table_NFI[[#This Row],[Kitchen Set]]/VLOOKUP(Table_NFI[[#This Row],[Camp Name]],CL,4,0),"")</f>
        <v>7.0484581497797363E-2</v>
      </c>
      <c r="AR13" s="779"/>
      <c r="AS13" s="825" t="s">
        <v>1464</v>
      </c>
    </row>
    <row r="14" spans="1:50" s="784" customFormat="1" ht="15" customHeight="1" x14ac:dyDescent="0.25">
      <c r="A14" s="455">
        <f t="shared" si="0"/>
        <v>1.3666666666666667</v>
      </c>
      <c r="B14" s="778">
        <v>42268</v>
      </c>
      <c r="C14" s="779" t="s">
        <v>454</v>
      </c>
      <c r="D14" s="779" t="s">
        <v>508</v>
      </c>
      <c r="E14" s="779" t="s">
        <v>380</v>
      </c>
      <c r="F14" s="779" t="s">
        <v>237</v>
      </c>
      <c r="G14" s="779" t="s">
        <v>273</v>
      </c>
      <c r="H14" s="436"/>
      <c r="I14" s="439">
        <v>12</v>
      </c>
      <c r="J14" s="439">
        <v>15</v>
      </c>
      <c r="K14" s="439">
        <v>1</v>
      </c>
      <c r="L14" s="437">
        <v>1</v>
      </c>
      <c r="M14" s="437">
        <v>1</v>
      </c>
      <c r="N14" s="437">
        <v>1</v>
      </c>
      <c r="O14" s="437"/>
      <c r="P14" s="439">
        <v>1</v>
      </c>
      <c r="Q14" s="439">
        <v>2</v>
      </c>
      <c r="R14" s="439"/>
      <c r="S14" s="439"/>
      <c r="T14" s="439"/>
      <c r="U14" s="439"/>
      <c r="V14" s="818">
        <v>1</v>
      </c>
      <c r="W14" s="439">
        <f>IF(NFI_Expiration=1,IF($A14&lt;VLOOKUP(H$5,NFI,5,0),1,0)*Table_NFI[[#This Row],[Hygiene Kit]],Table_NFI[Hygiene Kit])</f>
        <v>0</v>
      </c>
      <c r="X14" s="439">
        <f>IF(NFI_Expiration=1,IF($A14&lt;VLOOKUP(I$5,NFI,5,0),1,0)*Table_NFI[[#This Row],[NFI Core Kit]],Table_NFI[NFI Core Kit])</f>
        <v>12</v>
      </c>
      <c r="Y14" s="439">
        <f>IF(NFI_Expiration=1,IF($A14&lt;VLOOKUP(J$5,NFI,5,0),1,0)*Table_NFI[[#This Row],[Sanitary Kit]],Table_NFI[Sanitary Kit])</f>
        <v>15</v>
      </c>
      <c r="Z14" s="439">
        <f>IF(NFI_Expiration=1,IF($A14&lt;VLOOKUP(K$5,NFI,5,0),1,0)*Table_NFI[[#This Row],[Mosquito net]],Table_NFI[Mosquito net])</f>
        <v>1</v>
      </c>
      <c r="AA14" s="439">
        <f>IF(NFI_Expiration=1,IF($A14&lt;VLOOKUP(L$5,NFI,5,0),1,0)*Table_NFI[[#This Row],[Tarpaulin]],Table_NFI[[#This Row],[Tarpaulin]])</f>
        <v>1</v>
      </c>
      <c r="AB14" s="439">
        <f>IF(NFI_Expiration=1,IF($A14&lt;VLOOKUP(M$5,NFI,5,0),1,0)*Table_NFI[[#This Row],[Blanket]],Table_NFI[[#This Row],[Blanket]])</f>
        <v>1</v>
      </c>
      <c r="AC14" s="439">
        <f>IF(NFI_Expiration=1,IF($A14&lt;VLOOKUP(N$5,NFI,5,0),1,0)*Table_NFI[[#This Row],[Kitchen Set]],Table_NFI[Kitchen Set])</f>
        <v>1</v>
      </c>
      <c r="AD14" s="439">
        <f>IF(NFI_Expiration=1,IF($A14&lt;VLOOKUP(O$5,NFI,5,0),1,0)*Table_NFI[[#This Row],[Clothes Kit]],Table_NFI[Clothes Kit])</f>
        <v>0</v>
      </c>
      <c r="AE14" s="439">
        <f>IF(NFI_Expiration=1,IF($A14&lt;VLOOKUP(P$5,NFI,5,0),1,0)*Table_NFI[[#This Row],[Plastic Bucket]],Table_NFI[Plastic Bucket])</f>
        <v>1</v>
      </c>
      <c r="AF14" s="439">
        <f>IF(NFI_Expiration=1,IF($A14&lt;VLOOKUP(Q$5,NFI,5,0),1,0)*Table_NFI[[#This Row],[Plastic Mat]],Table_NFI[Plastic Mat])*IF(Table_NFI[[#This Row],[Distribution Date]]&gt;"2014-04-01",1,2.5)</f>
        <v>5</v>
      </c>
      <c r="AG14" s="439">
        <f>IF(NFI_Expiration=1,IF($A14&lt;VLOOKUP(R$5,NFI,5,0),1,0)*Table_NFI[[#This Row],[Winter Clothes Adult]],Table_NFI[Winter Clothes Adult])</f>
        <v>0</v>
      </c>
      <c r="AH14" s="439">
        <f>IF(NFI_Expiration=1,IF($A14&lt;VLOOKUP(S$5,NFI,5,0),1,0)*Table_NFI[[#This Row],[Winter Clothes Children]],Table_NFI[Winter Clothes Children])</f>
        <v>0</v>
      </c>
      <c r="AI14" s="439">
        <f>IF(NFI_Expiration=1,IF($A14&lt;VLOOKUP(T$5,NFI,5,0),1,0)*Table_NFI[[#This Row],[Winter Items Other]],Table_NFI[Winter Items Other])</f>
        <v>0</v>
      </c>
      <c r="AJ14" s="439">
        <f>IF(NFI_Expiration=1,IF($A14&lt;VLOOKUP(M$5,NFI,5,0),1,0)*Table_NFI[[#This Row],[Winter Blanket]],Table_NFI[[#This Row],[Winter Blanket]])</f>
        <v>0</v>
      </c>
      <c r="AK14" s="439">
        <f>IF(Table_NFI[[#This Row],[Winter Clothes Adult]]+Table_NFI[[#This Row],[Winter Clothes Children]]+Table_NFI[[#This Row],[Winter Items Other]]+Table_NFI[[#This Row],[Winter Blanket]]&gt;0,1,0)</f>
        <v>0</v>
      </c>
      <c r="AL14" s="439">
        <f>IF(NFI_Expiration=1,IF($A14&lt;VLOOKUP(V$5,NFI,5,0),1,0)*Table_NFI[[#This Row],[Jerry Can]],Table_NFI[Jerry Can])</f>
        <v>1</v>
      </c>
      <c r="AM14" s="791" t="str">
        <f>IFERROR(VLOOKUP(Table_NFI[[#This Row],[Camp Name]],CL,2,0),"")</f>
        <v>MMR001CMP162</v>
      </c>
      <c r="AN14" s="782">
        <f ca="1">IF(Table_NFI[[#This Row],[Pcode]]="","",IF(OFFSET(CampList[Opening Date],MATCH(Table_NFI[[#This Row],[Pcode]],CampList[CP_Pcode],0)-1,0,1,1)&gt;=NFI_Monitor_Date,1,0))</f>
        <v>0</v>
      </c>
      <c r="AO14" s="791" t="str">
        <f>IFERROR(VLOOKUP(Table_NFI[[#This Row],[Camp Name]],CL,3,0),"")</f>
        <v>Open</v>
      </c>
      <c r="AP14" s="439" t="str">
        <f ca="1">IF(Table_NFI[[#This Row],[Pcode]]="","",OFFSET(CampList[Priority],MATCH(Table_NFI[[#This Row],[Pcode]],CampList[CP_Pcode],0)-1,0,1,1))</f>
        <v>P4</v>
      </c>
      <c r="AQ14" s="438">
        <f>IFERROR(Table_NFI[[#This Row],[Kitchen Set]]/VLOOKUP(Table_NFI[[#This Row],[Camp Name]],CL,4,0),"")</f>
        <v>1.7543859649122806E-2</v>
      </c>
      <c r="AR14" s="779"/>
      <c r="AS14" s="825" t="s">
        <v>1465</v>
      </c>
    </row>
    <row r="15" spans="1:50" s="784" customFormat="1" ht="15" customHeight="1" x14ac:dyDescent="0.25">
      <c r="A15" s="455">
        <f t="shared" si="0"/>
        <v>1.3666666666666667</v>
      </c>
      <c r="B15" s="778">
        <v>42268</v>
      </c>
      <c r="C15" s="779" t="s">
        <v>454</v>
      </c>
      <c r="D15" s="789" t="s">
        <v>462</v>
      </c>
      <c r="E15" s="789" t="s">
        <v>380</v>
      </c>
      <c r="F15" s="789" t="s">
        <v>151</v>
      </c>
      <c r="G15" s="789" t="s">
        <v>891</v>
      </c>
      <c r="H15" s="437"/>
      <c r="I15" s="437"/>
      <c r="J15" s="437">
        <v>145</v>
      </c>
      <c r="K15" s="437">
        <v>132</v>
      </c>
      <c r="L15" s="437">
        <v>66</v>
      </c>
      <c r="M15" s="437">
        <v>90</v>
      </c>
      <c r="N15" s="437">
        <v>66</v>
      </c>
      <c r="O15" s="437"/>
      <c r="P15" s="439">
        <v>66</v>
      </c>
      <c r="Q15" s="439">
        <v>243</v>
      </c>
      <c r="R15" s="439"/>
      <c r="S15" s="439"/>
      <c r="T15" s="439"/>
      <c r="U15" s="439">
        <v>42</v>
      </c>
      <c r="V15" s="818">
        <v>66</v>
      </c>
      <c r="W15" s="439">
        <f>IF(NFI_Expiration=1,IF($A15&lt;VLOOKUP(H$5,NFI,5,0),1,0)*Table_NFI[[#This Row],[Hygiene Kit]],Table_NFI[Hygiene Kit])</f>
        <v>0</v>
      </c>
      <c r="X15" s="439">
        <f>IF(NFI_Expiration=1,IF($A15&lt;VLOOKUP(I$5,NFI,5,0),1,0)*Table_NFI[[#This Row],[NFI Core Kit]],Table_NFI[NFI Core Kit])</f>
        <v>0</v>
      </c>
      <c r="Y15" s="439">
        <f>IF(NFI_Expiration=1,IF($A15&lt;VLOOKUP(J$5,NFI,5,0),1,0)*Table_NFI[[#This Row],[Sanitary Kit]],Table_NFI[Sanitary Kit])</f>
        <v>145</v>
      </c>
      <c r="Z15" s="439">
        <f>IF(NFI_Expiration=1,IF($A15&lt;VLOOKUP(K$5,NFI,5,0),1,0)*Table_NFI[[#This Row],[Mosquito net]],Table_NFI[Mosquito net])</f>
        <v>132</v>
      </c>
      <c r="AA15" s="439">
        <f>IF(NFI_Expiration=1,IF($A15&lt;VLOOKUP(L$5,NFI,5,0),1,0)*Table_NFI[[#This Row],[Tarpaulin]],Table_NFI[[#This Row],[Tarpaulin]])</f>
        <v>66</v>
      </c>
      <c r="AB15" s="439">
        <f>IF(NFI_Expiration=1,IF($A15&lt;VLOOKUP(M$5,NFI,5,0),1,0)*Table_NFI[[#This Row],[Blanket]],Table_NFI[[#This Row],[Blanket]])</f>
        <v>90</v>
      </c>
      <c r="AC15" s="439">
        <f>IF(NFI_Expiration=1,IF($A15&lt;VLOOKUP(N$5,NFI,5,0),1,0)*Table_NFI[[#This Row],[Kitchen Set]],Table_NFI[Kitchen Set])</f>
        <v>66</v>
      </c>
      <c r="AD15" s="439">
        <f>IF(NFI_Expiration=1,IF($A15&lt;VLOOKUP(O$5,NFI,5,0),1,0)*Table_NFI[[#This Row],[Clothes Kit]],Table_NFI[Clothes Kit])</f>
        <v>0</v>
      </c>
      <c r="AE15" s="439">
        <f>IF(NFI_Expiration=1,IF($A15&lt;VLOOKUP(P$5,NFI,5,0),1,0)*Table_NFI[[#This Row],[Plastic Bucket]],Table_NFI[Plastic Bucket])</f>
        <v>66</v>
      </c>
      <c r="AF15" s="439">
        <f>IF(NFI_Expiration=1,IF($A15&lt;VLOOKUP(Q$5,NFI,5,0),1,0)*Table_NFI[[#This Row],[Plastic Mat]],Table_NFI[Plastic Mat])*IF(Table_NFI[[#This Row],[Distribution Date]]&gt;"2014-04-01",1,2.5)</f>
        <v>607.5</v>
      </c>
      <c r="AG15" s="439">
        <f>IF(NFI_Expiration=1,IF($A15&lt;VLOOKUP(R$5,NFI,5,0),1,0)*Table_NFI[[#This Row],[Winter Clothes Adult]],Table_NFI[Winter Clothes Adult])</f>
        <v>0</v>
      </c>
      <c r="AH15" s="439">
        <f>IF(NFI_Expiration=1,IF($A15&lt;VLOOKUP(S$5,NFI,5,0),1,0)*Table_NFI[[#This Row],[Winter Clothes Children]],Table_NFI[Winter Clothes Children])</f>
        <v>0</v>
      </c>
      <c r="AI15" s="439">
        <f>IF(NFI_Expiration=1,IF($A15&lt;VLOOKUP(T$5,NFI,5,0),1,0)*Table_NFI[[#This Row],[Winter Items Other]],Table_NFI[Winter Items Other])</f>
        <v>0</v>
      </c>
      <c r="AJ15" s="439">
        <f>IF(NFI_Expiration=1,IF($A15&lt;VLOOKUP(M$5,NFI,5,0),1,0)*Table_NFI[[#This Row],[Winter Blanket]],Table_NFI[[#This Row],[Winter Blanket]])</f>
        <v>42</v>
      </c>
      <c r="AK15" s="439">
        <f>IF(Table_NFI[[#This Row],[Winter Clothes Adult]]+Table_NFI[[#This Row],[Winter Clothes Children]]+Table_NFI[[#This Row],[Winter Items Other]]+Table_NFI[[#This Row],[Winter Blanket]]&gt;0,1,0)</f>
        <v>1</v>
      </c>
      <c r="AL15" s="439">
        <f>IF(NFI_Expiration=1,IF($A15&lt;VLOOKUP(V$5,NFI,5,0),1,0)*Table_NFI[[#This Row],[Jerry Can]],Table_NFI[Jerry Can])</f>
        <v>66</v>
      </c>
      <c r="AM15" s="791" t="str">
        <f>IFERROR(VLOOKUP(Table_NFI[[#This Row],[Camp Name]],CL,2,0),"")</f>
        <v>MMR001CMP218</v>
      </c>
      <c r="AN15" s="782">
        <f ca="1">IF(Table_NFI[[#This Row],[Pcode]]="","",IF(OFFSET(CampList[Opening Date],MATCH(Table_NFI[[#This Row],[Pcode]],CampList[CP_Pcode],0)-1,0,1,1)&gt;=NFI_Monitor_Date,1,0))</f>
        <v>0</v>
      </c>
      <c r="AO15" s="791" t="str">
        <f>IFERROR(VLOOKUP(Table_NFI[[#This Row],[Camp Name]],CL,3,0),"")</f>
        <v>Open</v>
      </c>
      <c r="AP15" s="439" t="str">
        <f ca="1">IF(Table_NFI[[#This Row],[Pcode]]="","",OFFSET(CampList[Priority],MATCH(Table_NFI[[#This Row],[Pcode]],CampList[CP_Pcode],0)-1,0,1,1))</f>
        <v>P4</v>
      </c>
      <c r="AQ15" s="438">
        <f>IFERROR(Table_NFI[[#This Row],[Kitchen Set]]/VLOOKUP(Table_NFI[[#This Row],[Camp Name]],CL,4,0),"")</f>
        <v>0.17741935483870969</v>
      </c>
      <c r="AR15" s="789"/>
      <c r="AS15" s="825" t="s">
        <v>1466</v>
      </c>
    </row>
    <row r="16" spans="1:50" s="784" customFormat="1" ht="15" customHeight="1" x14ac:dyDescent="0.25">
      <c r="A16" s="455">
        <f t="shared" si="0"/>
        <v>1.4666666666666666</v>
      </c>
      <c r="B16" s="778">
        <v>42265</v>
      </c>
      <c r="C16" s="779" t="s">
        <v>454</v>
      </c>
      <c r="D16" s="779" t="s">
        <v>508</v>
      </c>
      <c r="E16" s="779" t="s">
        <v>380</v>
      </c>
      <c r="F16" s="779" t="s">
        <v>237</v>
      </c>
      <c r="G16" s="435" t="s">
        <v>273</v>
      </c>
      <c r="H16" s="436"/>
      <c r="I16" s="437">
        <v>120</v>
      </c>
      <c r="J16" s="439">
        <v>150</v>
      </c>
      <c r="K16" s="439">
        <v>20</v>
      </c>
      <c r="L16" s="437">
        <v>15</v>
      </c>
      <c r="M16" s="437">
        <v>20</v>
      </c>
      <c r="N16" s="437">
        <v>10</v>
      </c>
      <c r="O16" s="437"/>
      <c r="P16" s="439">
        <v>10</v>
      </c>
      <c r="Q16" s="439">
        <v>40</v>
      </c>
      <c r="R16" s="439"/>
      <c r="S16" s="439"/>
      <c r="T16" s="439"/>
      <c r="U16" s="439"/>
      <c r="V16" s="818">
        <v>10</v>
      </c>
      <c r="W16" s="439">
        <f>IF(NFI_Expiration=1,IF($A16&lt;VLOOKUP(H$5,NFI,5,0),1,0)*Table_NFI[[#This Row],[Hygiene Kit]],Table_NFI[Hygiene Kit])</f>
        <v>0</v>
      </c>
      <c r="X16" s="439">
        <f>IF(NFI_Expiration=1,IF($A16&lt;VLOOKUP(I$5,NFI,5,0),1,0)*Table_NFI[[#This Row],[NFI Core Kit]],Table_NFI[NFI Core Kit])</f>
        <v>120</v>
      </c>
      <c r="Y16" s="439">
        <f>IF(NFI_Expiration=1,IF($A16&lt;VLOOKUP(J$5,NFI,5,0),1,0)*Table_NFI[[#This Row],[Sanitary Kit]],Table_NFI[Sanitary Kit])</f>
        <v>150</v>
      </c>
      <c r="Z16" s="439">
        <f>IF(NFI_Expiration=1,IF($A16&lt;VLOOKUP(K$5,NFI,5,0),1,0)*Table_NFI[[#This Row],[Mosquito net]],Table_NFI[Mosquito net])</f>
        <v>20</v>
      </c>
      <c r="AA16" s="439">
        <f>IF(NFI_Expiration=1,IF($A16&lt;VLOOKUP(L$5,NFI,5,0),1,0)*Table_NFI[[#This Row],[Tarpaulin]],Table_NFI[[#This Row],[Tarpaulin]])</f>
        <v>15</v>
      </c>
      <c r="AB16" s="439">
        <f>IF(NFI_Expiration=1,IF($A16&lt;VLOOKUP(M$5,NFI,5,0),1,0)*Table_NFI[[#This Row],[Blanket]],Table_NFI[[#This Row],[Blanket]])</f>
        <v>20</v>
      </c>
      <c r="AC16" s="439">
        <f>IF(NFI_Expiration=1,IF($A16&lt;VLOOKUP(N$5,NFI,5,0),1,0)*Table_NFI[[#This Row],[Kitchen Set]],Table_NFI[Kitchen Set])</f>
        <v>10</v>
      </c>
      <c r="AD16" s="439">
        <f>IF(NFI_Expiration=1,IF($A16&lt;VLOOKUP(O$5,NFI,5,0),1,0)*Table_NFI[[#This Row],[Clothes Kit]],Table_NFI[Clothes Kit])</f>
        <v>0</v>
      </c>
      <c r="AE16" s="439">
        <f>IF(NFI_Expiration=1,IF($A16&lt;VLOOKUP(P$5,NFI,5,0),1,0)*Table_NFI[[#This Row],[Plastic Bucket]],Table_NFI[Plastic Bucket])</f>
        <v>10</v>
      </c>
      <c r="AF16" s="439">
        <f>IF(NFI_Expiration=1,IF($A16&lt;VLOOKUP(Q$5,NFI,5,0),1,0)*Table_NFI[[#This Row],[Plastic Mat]],Table_NFI[Plastic Mat])*IF(Table_NFI[[#This Row],[Distribution Date]]&gt;"2014-04-01",1,2.5)</f>
        <v>100</v>
      </c>
      <c r="AG16" s="439">
        <f>IF(NFI_Expiration=1,IF($A16&lt;VLOOKUP(R$5,NFI,5,0),1,0)*Table_NFI[[#This Row],[Winter Clothes Adult]],Table_NFI[Winter Clothes Adult])</f>
        <v>0</v>
      </c>
      <c r="AH16" s="439">
        <f>IF(NFI_Expiration=1,IF($A16&lt;VLOOKUP(S$5,NFI,5,0),1,0)*Table_NFI[[#This Row],[Winter Clothes Children]],Table_NFI[Winter Clothes Children])</f>
        <v>0</v>
      </c>
      <c r="AI16" s="439">
        <f>IF(NFI_Expiration=1,IF($A16&lt;VLOOKUP(T$5,NFI,5,0),1,0)*Table_NFI[[#This Row],[Winter Items Other]],Table_NFI[Winter Items Other])</f>
        <v>0</v>
      </c>
      <c r="AJ16" s="439">
        <f>IF(NFI_Expiration=1,IF($A16&lt;VLOOKUP(M$5,NFI,5,0),1,0)*Table_NFI[[#This Row],[Winter Blanket]],Table_NFI[[#This Row],[Winter Blanket]])</f>
        <v>0</v>
      </c>
      <c r="AK16" s="439">
        <f>IF(Table_NFI[[#This Row],[Winter Clothes Adult]]+Table_NFI[[#This Row],[Winter Clothes Children]]+Table_NFI[[#This Row],[Winter Items Other]]+Table_NFI[[#This Row],[Winter Blanket]]&gt;0,1,0)</f>
        <v>0</v>
      </c>
      <c r="AL16" s="439">
        <f>IF(NFI_Expiration=1,IF($A16&lt;VLOOKUP(V$5,NFI,5,0),1,0)*Table_NFI[[#This Row],[Jerry Can]],Table_NFI[Jerry Can])</f>
        <v>10</v>
      </c>
      <c r="AM16" s="791" t="str">
        <f>IFERROR(VLOOKUP(Table_NFI[[#This Row],[Camp Name]],CL,2,0),"")</f>
        <v>MMR001CMP162</v>
      </c>
      <c r="AN16" s="782">
        <f ca="1">IF(Table_NFI[[#This Row],[Pcode]]="","",IF(OFFSET(CampList[Opening Date],MATCH(Table_NFI[[#This Row],[Pcode]],CampList[CP_Pcode],0)-1,0,1,1)&gt;=NFI_Monitor_Date,1,0))</f>
        <v>0</v>
      </c>
      <c r="AO16" s="791" t="str">
        <f>IFERROR(VLOOKUP(Table_NFI[[#This Row],[Camp Name]],CL,3,0),"")</f>
        <v>Open</v>
      </c>
      <c r="AP16" s="439" t="str">
        <f ca="1">IF(Table_NFI[[#This Row],[Pcode]]="","",OFFSET(CampList[Priority],MATCH(Table_NFI[[#This Row],[Pcode]],CampList[CP_Pcode],0)-1,0,1,1))</f>
        <v>P4</v>
      </c>
      <c r="AQ16" s="438">
        <f>IFERROR(Table_NFI[[#This Row],[Kitchen Set]]/VLOOKUP(Table_NFI[[#This Row],[Camp Name]],CL,4,0),"")</f>
        <v>0.17543859649122806</v>
      </c>
      <c r="AR16" s="779"/>
      <c r="AS16" s="825" t="s">
        <v>1464</v>
      </c>
    </row>
    <row r="17" spans="1:45" s="784" customFormat="1" ht="15" customHeight="1" x14ac:dyDescent="0.25">
      <c r="A17" s="455">
        <f t="shared" si="0"/>
        <v>2.7333333333333334</v>
      </c>
      <c r="B17" s="778">
        <v>42227</v>
      </c>
      <c r="C17" s="789" t="s">
        <v>454</v>
      </c>
      <c r="D17" s="789" t="s">
        <v>462</v>
      </c>
      <c r="E17" s="789" t="s">
        <v>380</v>
      </c>
      <c r="F17" s="789" t="s">
        <v>173</v>
      </c>
      <c r="G17" s="789" t="s">
        <v>174</v>
      </c>
      <c r="H17" s="437"/>
      <c r="I17" s="437"/>
      <c r="J17" s="437"/>
      <c r="K17" s="437">
        <v>14</v>
      </c>
      <c r="L17" s="437">
        <v>14</v>
      </c>
      <c r="M17" s="437"/>
      <c r="N17" s="437"/>
      <c r="O17" s="437"/>
      <c r="P17" s="439"/>
      <c r="Q17" s="439"/>
      <c r="R17" s="439"/>
      <c r="S17" s="439"/>
      <c r="T17" s="439"/>
      <c r="U17" s="439"/>
      <c r="V17" s="439"/>
      <c r="W17" s="439">
        <f>IF(NFI_Expiration=1,IF($A17&lt;VLOOKUP(H$5,NFI,5,0),1,0)*Table_NFI[[#This Row],[Hygiene Kit]],Table_NFI[Hygiene Kit])</f>
        <v>0</v>
      </c>
      <c r="X17" s="439">
        <f>IF(NFI_Expiration=1,IF($A17&lt;VLOOKUP(I$5,NFI,5,0),1,0)*Table_NFI[[#This Row],[NFI Core Kit]],Table_NFI[NFI Core Kit])</f>
        <v>0</v>
      </c>
      <c r="Y17" s="439">
        <f>IF(NFI_Expiration=1,IF($A17&lt;VLOOKUP(J$5,NFI,5,0),1,0)*Table_NFI[[#This Row],[Sanitary Kit]],Table_NFI[Sanitary Kit])</f>
        <v>0</v>
      </c>
      <c r="Z17" s="439">
        <f>IF(NFI_Expiration=1,IF($A17&lt;VLOOKUP(K$5,NFI,5,0),1,0)*Table_NFI[[#This Row],[Mosquito net]],Table_NFI[Mosquito net])</f>
        <v>14</v>
      </c>
      <c r="AA17" s="439">
        <f>IF(NFI_Expiration=1,IF($A17&lt;VLOOKUP(L$5,NFI,5,0),1,0)*Table_NFI[[#This Row],[Tarpaulin]],Table_NFI[[#This Row],[Tarpaulin]])</f>
        <v>14</v>
      </c>
      <c r="AB17" s="439">
        <f>IF(NFI_Expiration=1,IF($A17&lt;VLOOKUP(M$5,NFI,5,0),1,0)*Table_NFI[[#This Row],[Blanket]],Table_NFI[[#This Row],[Blanket]])</f>
        <v>0</v>
      </c>
      <c r="AC17" s="439">
        <f>IF(NFI_Expiration=1,IF($A17&lt;VLOOKUP(N$5,NFI,5,0),1,0)*Table_NFI[[#This Row],[Kitchen Set]],Table_NFI[Kitchen Set])</f>
        <v>0</v>
      </c>
      <c r="AD17" s="439">
        <f>IF(NFI_Expiration=1,IF($A17&lt;VLOOKUP(O$5,NFI,5,0),1,0)*Table_NFI[[#This Row],[Clothes Kit]],Table_NFI[Clothes Kit])</f>
        <v>0</v>
      </c>
      <c r="AE17" s="439">
        <f>IF(NFI_Expiration=1,IF($A17&lt;VLOOKUP(P$5,NFI,5,0),1,0)*Table_NFI[[#This Row],[Plastic Bucket]],Table_NFI[Plastic Bucket])</f>
        <v>0</v>
      </c>
      <c r="AF17" s="439">
        <f>IF(NFI_Expiration=1,IF($A17&lt;VLOOKUP(Q$5,NFI,5,0),1,0)*Table_NFI[[#This Row],[Plastic Mat]],Table_NFI[Plastic Mat])*IF(Table_NFI[[#This Row],[Distribution Date]]&gt;"2014-04-01",1,2.5)</f>
        <v>0</v>
      </c>
      <c r="AG17" s="439">
        <f>IF(NFI_Expiration=1,IF($A17&lt;VLOOKUP(R$5,NFI,5,0),1,0)*Table_NFI[[#This Row],[Winter Clothes Adult]],Table_NFI[Winter Clothes Adult])</f>
        <v>0</v>
      </c>
      <c r="AH17" s="439">
        <f>IF(NFI_Expiration=1,IF($A17&lt;VLOOKUP(S$5,NFI,5,0),1,0)*Table_NFI[[#This Row],[Winter Clothes Children]],Table_NFI[Winter Clothes Children])</f>
        <v>0</v>
      </c>
      <c r="AI17" s="439">
        <f>IF(NFI_Expiration=1,IF($A17&lt;VLOOKUP(T$5,NFI,5,0),1,0)*Table_NFI[[#This Row],[Winter Items Other]],Table_NFI[Winter Items Other])</f>
        <v>0</v>
      </c>
      <c r="AJ17" s="439">
        <f>IF(NFI_Expiration=1,IF($A17&lt;VLOOKUP(M$5,NFI,5,0),1,0)*Table_NFI[[#This Row],[Winter Blanket]],Table_NFI[[#This Row],[Winter Blanket]])</f>
        <v>0</v>
      </c>
      <c r="AK17" s="439">
        <f>IF(Table_NFI[[#This Row],[Winter Clothes Adult]]+Table_NFI[[#This Row],[Winter Clothes Children]]+Table_NFI[[#This Row],[Winter Items Other]]+Table_NFI[[#This Row],[Winter Blanket]]&gt;0,1,0)</f>
        <v>0</v>
      </c>
      <c r="AL17" s="439">
        <f>IF(NFI_Expiration=1,IF($A17&lt;VLOOKUP(V$5,NFI,5,0),1,0)*Table_NFI[[#This Row],[Jerry Can]],Table_NFI[Jerry Can])</f>
        <v>0</v>
      </c>
      <c r="AM17" s="791" t="str">
        <f>IFERROR(VLOOKUP(Table_NFI[[#This Row],[Camp Name]],CL,2,0),"")</f>
        <v>MMR001CMP078</v>
      </c>
      <c r="AN17" s="782">
        <f ca="1">IF(Table_NFI[[#This Row],[Pcode]]="","",IF(OFFSET(CampList[Opening Date],MATCH(Table_NFI[[#This Row],[Pcode]],CampList[CP_Pcode],0)-1,0,1,1)&gt;=NFI_Monitor_Date,1,0))</f>
        <v>0</v>
      </c>
      <c r="AO17" s="791" t="str">
        <f>IFERROR(VLOOKUP(Table_NFI[[#This Row],[Camp Name]],CL,3,0),"")</f>
        <v>Open</v>
      </c>
      <c r="AP17" s="439" t="str">
        <f ca="1">IF(Table_NFI[[#This Row],[Pcode]]="","",OFFSET(CampList[Priority],MATCH(Table_NFI[[#This Row],[Pcode]],CampList[CP_Pcode],0)-1,0,1,1))</f>
        <v>P4</v>
      </c>
      <c r="AQ17" s="438">
        <f>IFERROR(Table_NFI[[#This Row],[Kitchen Set]]/VLOOKUP(Table_NFI[[#This Row],[Camp Name]],CL,4,0),"")</f>
        <v>0</v>
      </c>
      <c r="AR17" s="789"/>
      <c r="AS17" s="792"/>
    </row>
    <row r="18" spans="1:45" s="784" customFormat="1" ht="15" customHeight="1" x14ac:dyDescent="0.25">
      <c r="A18" s="455">
        <f t="shared" si="0"/>
        <v>2.7333333333333334</v>
      </c>
      <c r="B18" s="778">
        <v>42227</v>
      </c>
      <c r="C18" s="789" t="s">
        <v>454</v>
      </c>
      <c r="D18" s="789" t="s">
        <v>507</v>
      </c>
      <c r="E18" s="789" t="s">
        <v>380</v>
      </c>
      <c r="F18" s="789" t="s">
        <v>237</v>
      </c>
      <c r="G18" s="789" t="s">
        <v>249</v>
      </c>
      <c r="H18" s="437"/>
      <c r="I18" s="437"/>
      <c r="J18" s="437"/>
      <c r="K18" s="437">
        <v>6</v>
      </c>
      <c r="L18" s="437">
        <v>4</v>
      </c>
      <c r="M18" s="437">
        <v>6</v>
      </c>
      <c r="N18" s="437">
        <v>4</v>
      </c>
      <c r="O18" s="437"/>
      <c r="P18" s="439">
        <v>4</v>
      </c>
      <c r="Q18" s="439">
        <v>10</v>
      </c>
      <c r="R18" s="439"/>
      <c r="S18" s="439"/>
      <c r="T18" s="439"/>
      <c r="U18" s="439"/>
      <c r="V18" s="439"/>
      <c r="W18" s="439">
        <f>IF(NFI_Expiration=1,IF($A18&lt;VLOOKUP(H$5,NFI,5,0),1,0)*Table_NFI[[#This Row],[Hygiene Kit]],Table_NFI[Hygiene Kit])</f>
        <v>0</v>
      </c>
      <c r="X18" s="439">
        <f>IF(NFI_Expiration=1,IF($A18&lt;VLOOKUP(I$5,NFI,5,0),1,0)*Table_NFI[[#This Row],[NFI Core Kit]],Table_NFI[NFI Core Kit])</f>
        <v>0</v>
      </c>
      <c r="Y18" s="439">
        <f>IF(NFI_Expiration=1,IF($A18&lt;VLOOKUP(J$5,NFI,5,0),1,0)*Table_NFI[[#This Row],[Sanitary Kit]],Table_NFI[Sanitary Kit])</f>
        <v>0</v>
      </c>
      <c r="Z18" s="439">
        <f>IF(NFI_Expiration=1,IF($A18&lt;VLOOKUP(K$5,NFI,5,0),1,0)*Table_NFI[[#This Row],[Mosquito net]],Table_NFI[Mosquito net])</f>
        <v>6</v>
      </c>
      <c r="AA18" s="439">
        <f>IF(NFI_Expiration=1,IF($A18&lt;VLOOKUP(L$5,NFI,5,0),1,0)*Table_NFI[[#This Row],[Tarpaulin]],Table_NFI[[#This Row],[Tarpaulin]])</f>
        <v>4</v>
      </c>
      <c r="AB18" s="439">
        <f>IF(NFI_Expiration=1,IF($A18&lt;VLOOKUP(M$5,NFI,5,0),1,0)*Table_NFI[[#This Row],[Blanket]],Table_NFI[[#This Row],[Blanket]])</f>
        <v>6</v>
      </c>
      <c r="AC18" s="439">
        <f>IF(NFI_Expiration=1,IF($A18&lt;VLOOKUP(N$5,NFI,5,0),1,0)*Table_NFI[[#This Row],[Kitchen Set]],Table_NFI[Kitchen Set])</f>
        <v>4</v>
      </c>
      <c r="AD18" s="439">
        <f>IF(NFI_Expiration=1,IF($A18&lt;VLOOKUP(O$5,NFI,5,0),1,0)*Table_NFI[[#This Row],[Clothes Kit]],Table_NFI[Clothes Kit])</f>
        <v>0</v>
      </c>
      <c r="AE18" s="439">
        <f>IF(NFI_Expiration=1,IF($A18&lt;VLOOKUP(P$5,NFI,5,0),1,0)*Table_NFI[[#This Row],[Plastic Bucket]],Table_NFI[Plastic Bucket])</f>
        <v>4</v>
      </c>
      <c r="AF18" s="439">
        <f>IF(NFI_Expiration=1,IF($A18&lt;VLOOKUP(Q$5,NFI,5,0),1,0)*Table_NFI[[#This Row],[Plastic Mat]],Table_NFI[Plastic Mat])*IF(Table_NFI[[#This Row],[Distribution Date]]&gt;"2014-04-01",1,2.5)</f>
        <v>25</v>
      </c>
      <c r="AG18" s="439">
        <f>IF(NFI_Expiration=1,IF($A18&lt;VLOOKUP(R$5,NFI,5,0),1,0)*Table_NFI[[#This Row],[Winter Clothes Adult]],Table_NFI[Winter Clothes Adult])</f>
        <v>0</v>
      </c>
      <c r="AH18" s="439">
        <f>IF(NFI_Expiration=1,IF($A18&lt;VLOOKUP(S$5,NFI,5,0),1,0)*Table_NFI[[#This Row],[Winter Clothes Children]],Table_NFI[Winter Clothes Children])</f>
        <v>0</v>
      </c>
      <c r="AI18" s="439">
        <f>IF(NFI_Expiration=1,IF($A18&lt;VLOOKUP(T$5,NFI,5,0),1,0)*Table_NFI[[#This Row],[Winter Items Other]],Table_NFI[Winter Items Other])</f>
        <v>0</v>
      </c>
      <c r="AJ18" s="439">
        <f>IF(NFI_Expiration=1,IF($A18&lt;VLOOKUP(M$5,NFI,5,0),1,0)*Table_NFI[[#This Row],[Winter Blanket]],Table_NFI[[#This Row],[Winter Blanket]])</f>
        <v>0</v>
      </c>
      <c r="AK18" s="439">
        <f>IF(Table_NFI[[#This Row],[Winter Clothes Adult]]+Table_NFI[[#This Row],[Winter Clothes Children]]+Table_NFI[[#This Row],[Winter Items Other]]+Table_NFI[[#This Row],[Winter Blanket]]&gt;0,1,0)</f>
        <v>0</v>
      </c>
      <c r="AL18" s="439">
        <f>IF(NFI_Expiration=1,IF($A18&lt;VLOOKUP(V$5,NFI,5,0),1,0)*Table_NFI[[#This Row],[Jerry Can]],Table_NFI[Jerry Can])</f>
        <v>0</v>
      </c>
      <c r="AM18" s="791" t="str">
        <f>IFERROR(VLOOKUP(Table_NFI[[#This Row],[Camp Name]],CL,2,0),"")</f>
        <v>MMR001CMP004</v>
      </c>
      <c r="AN18" s="782">
        <f ca="1">IF(Table_NFI[[#This Row],[Pcode]]="","",IF(OFFSET(CampList[Opening Date],MATCH(Table_NFI[[#This Row],[Pcode]],CampList[CP_Pcode],0)-1,0,1,1)&gt;=NFI_Monitor_Date,1,0))</f>
        <v>0</v>
      </c>
      <c r="AO18" s="791" t="str">
        <f>IFERROR(VLOOKUP(Table_NFI[[#This Row],[Camp Name]],CL,3,0),"")</f>
        <v>Open</v>
      </c>
      <c r="AP18" s="439" t="str">
        <f ca="1">IF(Table_NFI[[#This Row],[Pcode]]="","",OFFSET(CampList[Priority],MATCH(Table_NFI[[#This Row],[Pcode]],CampList[CP_Pcode],0)-1,0,1,1))</f>
        <v>P4</v>
      </c>
      <c r="AQ18" s="438">
        <f>IFERROR(Table_NFI[[#This Row],[Kitchen Set]]/VLOOKUP(Table_NFI[[#This Row],[Camp Name]],CL,4,0),"")</f>
        <v>0.33333333333333331</v>
      </c>
      <c r="AR18" s="789"/>
      <c r="AS18" s="792"/>
    </row>
    <row r="19" spans="1:45" s="784" customFormat="1" x14ac:dyDescent="0.25">
      <c r="A19" s="455">
        <f t="shared" si="0"/>
        <v>2.7333333333333334</v>
      </c>
      <c r="B19" s="778">
        <v>42227</v>
      </c>
      <c r="C19" s="779" t="s">
        <v>454</v>
      </c>
      <c r="D19" s="789" t="s">
        <v>508</v>
      </c>
      <c r="E19" s="789" t="s">
        <v>380</v>
      </c>
      <c r="F19" s="789"/>
      <c r="G19" s="789" t="s">
        <v>1423</v>
      </c>
      <c r="H19" s="437"/>
      <c r="I19" s="437"/>
      <c r="J19" s="437"/>
      <c r="K19" s="437"/>
      <c r="L19" s="437"/>
      <c r="M19" s="437"/>
      <c r="N19" s="437"/>
      <c r="O19" s="437"/>
      <c r="P19" s="439"/>
      <c r="Q19" s="439"/>
      <c r="R19" s="439"/>
      <c r="S19" s="439"/>
      <c r="T19" s="439"/>
      <c r="U19" s="439"/>
      <c r="V19" s="818">
        <v>53</v>
      </c>
      <c r="W19" s="439">
        <f>IF(NFI_Expiration=1,IF($A19&lt;VLOOKUP(H$5,NFI,5,0),1,0)*Table_NFI[[#This Row],[Hygiene Kit]],Table_NFI[Hygiene Kit])</f>
        <v>0</v>
      </c>
      <c r="X19" s="439">
        <f>IF(NFI_Expiration=1,IF($A19&lt;VLOOKUP(I$5,NFI,5,0),1,0)*Table_NFI[[#This Row],[NFI Core Kit]],Table_NFI[NFI Core Kit])</f>
        <v>0</v>
      </c>
      <c r="Y19" s="439">
        <f>IF(NFI_Expiration=1,IF($A19&lt;VLOOKUP(J$5,NFI,5,0),1,0)*Table_NFI[[#This Row],[Sanitary Kit]],Table_NFI[Sanitary Kit])</f>
        <v>0</v>
      </c>
      <c r="Z19" s="439">
        <f>IF(NFI_Expiration=1,IF($A19&lt;VLOOKUP(K$5,NFI,5,0),1,0)*Table_NFI[[#This Row],[Mosquito net]],Table_NFI[Mosquito net])</f>
        <v>0</v>
      </c>
      <c r="AA19" s="439">
        <f>IF(NFI_Expiration=1,IF($A19&lt;VLOOKUP(L$5,NFI,5,0),1,0)*Table_NFI[[#This Row],[Tarpaulin]],Table_NFI[[#This Row],[Tarpaulin]])</f>
        <v>0</v>
      </c>
      <c r="AB19" s="439">
        <f>IF(NFI_Expiration=1,IF($A19&lt;VLOOKUP(M$5,NFI,5,0),1,0)*Table_NFI[[#This Row],[Blanket]],Table_NFI[[#This Row],[Blanket]])</f>
        <v>0</v>
      </c>
      <c r="AC19" s="439">
        <f>IF(NFI_Expiration=1,IF($A19&lt;VLOOKUP(N$5,NFI,5,0),1,0)*Table_NFI[[#This Row],[Kitchen Set]],Table_NFI[Kitchen Set])</f>
        <v>0</v>
      </c>
      <c r="AD19" s="439">
        <f>IF(NFI_Expiration=1,IF($A19&lt;VLOOKUP(O$5,NFI,5,0),1,0)*Table_NFI[[#This Row],[Clothes Kit]],Table_NFI[Clothes Kit])</f>
        <v>0</v>
      </c>
      <c r="AE19" s="439">
        <f>IF(NFI_Expiration=1,IF($A19&lt;VLOOKUP(P$5,NFI,5,0),1,0)*Table_NFI[[#This Row],[Plastic Bucket]],Table_NFI[Plastic Bucket])</f>
        <v>0</v>
      </c>
      <c r="AF19" s="439">
        <f>IF(NFI_Expiration=1,IF($A19&lt;VLOOKUP(Q$5,NFI,5,0),1,0)*Table_NFI[[#This Row],[Plastic Mat]],Table_NFI[Plastic Mat])*IF(Table_NFI[[#This Row],[Distribution Date]]&gt;"2014-04-01",1,2.5)</f>
        <v>0</v>
      </c>
      <c r="AG19" s="439">
        <f>IF(NFI_Expiration=1,IF($A19&lt;VLOOKUP(R$5,NFI,5,0),1,0)*Table_NFI[[#This Row],[Winter Clothes Adult]],Table_NFI[Winter Clothes Adult])</f>
        <v>0</v>
      </c>
      <c r="AH19" s="439">
        <f>IF(NFI_Expiration=1,IF($A19&lt;VLOOKUP(S$5,NFI,5,0),1,0)*Table_NFI[[#This Row],[Winter Clothes Children]],Table_NFI[Winter Clothes Children])</f>
        <v>0</v>
      </c>
      <c r="AI19" s="439">
        <f>IF(NFI_Expiration=1,IF($A19&lt;VLOOKUP(T$5,NFI,5,0),1,0)*Table_NFI[[#This Row],[Winter Items Other]],Table_NFI[Winter Items Other])</f>
        <v>0</v>
      </c>
      <c r="AJ19" s="439">
        <f>IF(NFI_Expiration=1,IF($A19&lt;VLOOKUP(M$5,NFI,5,0),1,0)*Table_NFI[[#This Row],[Winter Blanket]],Table_NFI[[#This Row],[Winter Blanket]])</f>
        <v>0</v>
      </c>
      <c r="AK19" s="439">
        <f>IF(Table_NFI[[#This Row],[Winter Clothes Adult]]+Table_NFI[[#This Row],[Winter Clothes Children]]+Table_NFI[[#This Row],[Winter Items Other]]+Table_NFI[[#This Row],[Winter Blanket]]&gt;0,1,0)</f>
        <v>0</v>
      </c>
      <c r="AL19" s="439">
        <f>IF(NFI_Expiration=1,IF($A19&lt;VLOOKUP(V$5,NFI,5,0),1,0)*Table_NFI[[#This Row],[Jerry Can]],Table_NFI[Jerry Can])</f>
        <v>53</v>
      </c>
      <c r="AM19" s="791" t="str">
        <f>IFERROR(VLOOKUP(Table_NFI[[#This Row],[Camp Name]],CL,2,0),"")</f>
        <v/>
      </c>
      <c r="AN19" s="782" t="str">
        <f ca="1">IF(Table_NFI[[#This Row],[Pcode]]="","",IF(OFFSET(CampList[Opening Date],MATCH(Table_NFI[[#This Row],[Pcode]],CampList[CP_Pcode],0)-1,0,1,1)&gt;=NFI_Monitor_Date,1,0))</f>
        <v/>
      </c>
      <c r="AO19" s="791" t="str">
        <f>IFERROR(VLOOKUP(Table_NFI[[#This Row],[Camp Name]],CL,3,0),"")</f>
        <v/>
      </c>
      <c r="AP19" s="439" t="str">
        <f ca="1">IF(Table_NFI[[#This Row],[Pcode]]="","",OFFSET(CampList[Priority],MATCH(Table_NFI[[#This Row],[Pcode]],CampList[CP_Pcode],0)-1,0,1,1))</f>
        <v/>
      </c>
      <c r="AQ19" s="438" t="str">
        <f>IFERROR(Table_NFI[[#This Row],[Kitchen Set]]/VLOOKUP(Table_NFI[[#This Row],[Camp Name]],CL,4,0),"")</f>
        <v/>
      </c>
      <c r="AR19" s="789"/>
      <c r="AS19" s="783" t="s">
        <v>1417</v>
      </c>
    </row>
    <row r="20" spans="1:45" s="784" customFormat="1" x14ac:dyDescent="0.25">
      <c r="A20" s="455">
        <f t="shared" si="0"/>
        <v>2.7333333333333334</v>
      </c>
      <c r="B20" s="778">
        <v>42227</v>
      </c>
      <c r="C20" s="779" t="s">
        <v>454</v>
      </c>
      <c r="D20" s="789" t="s">
        <v>507</v>
      </c>
      <c r="E20" s="789" t="s">
        <v>380</v>
      </c>
      <c r="F20" s="789" t="s">
        <v>813</v>
      </c>
      <c r="G20" s="789" t="s">
        <v>1424</v>
      </c>
      <c r="H20" s="437"/>
      <c r="I20" s="437"/>
      <c r="J20" s="437"/>
      <c r="K20" s="437"/>
      <c r="L20" s="437"/>
      <c r="M20" s="437"/>
      <c r="N20" s="437"/>
      <c r="O20" s="437"/>
      <c r="P20" s="439"/>
      <c r="Q20" s="439"/>
      <c r="R20" s="439"/>
      <c r="S20" s="439"/>
      <c r="T20" s="439"/>
      <c r="U20" s="439"/>
      <c r="V20" s="818">
        <v>4</v>
      </c>
      <c r="W20" s="439">
        <f>IF(NFI_Expiration=1,IF($A20&lt;VLOOKUP(H$5,NFI,5,0),1,0)*Table_NFI[[#This Row],[Hygiene Kit]],Table_NFI[Hygiene Kit])</f>
        <v>0</v>
      </c>
      <c r="X20" s="439">
        <f>IF(NFI_Expiration=1,IF($A20&lt;VLOOKUP(I$5,NFI,5,0),1,0)*Table_NFI[[#This Row],[NFI Core Kit]],Table_NFI[NFI Core Kit])</f>
        <v>0</v>
      </c>
      <c r="Y20" s="439">
        <f>IF(NFI_Expiration=1,IF($A20&lt;VLOOKUP(J$5,NFI,5,0),1,0)*Table_NFI[[#This Row],[Sanitary Kit]],Table_NFI[Sanitary Kit])</f>
        <v>0</v>
      </c>
      <c r="Z20" s="439">
        <f>IF(NFI_Expiration=1,IF($A20&lt;VLOOKUP(K$5,NFI,5,0),1,0)*Table_NFI[[#This Row],[Mosquito net]],Table_NFI[Mosquito net])</f>
        <v>0</v>
      </c>
      <c r="AA20" s="439">
        <f>IF(NFI_Expiration=1,IF($A20&lt;VLOOKUP(L$5,NFI,5,0),1,0)*Table_NFI[[#This Row],[Tarpaulin]],Table_NFI[[#This Row],[Tarpaulin]])</f>
        <v>0</v>
      </c>
      <c r="AB20" s="439">
        <f>IF(NFI_Expiration=1,IF($A20&lt;VLOOKUP(M$5,NFI,5,0),1,0)*Table_NFI[[#This Row],[Blanket]],Table_NFI[[#This Row],[Blanket]])</f>
        <v>0</v>
      </c>
      <c r="AC20" s="439">
        <f>IF(NFI_Expiration=1,IF($A20&lt;VLOOKUP(N$5,NFI,5,0),1,0)*Table_NFI[[#This Row],[Kitchen Set]],Table_NFI[Kitchen Set])</f>
        <v>0</v>
      </c>
      <c r="AD20" s="439">
        <f>IF(NFI_Expiration=1,IF($A20&lt;VLOOKUP(O$5,NFI,5,0),1,0)*Table_NFI[[#This Row],[Clothes Kit]],Table_NFI[Clothes Kit])</f>
        <v>0</v>
      </c>
      <c r="AE20" s="439">
        <f>IF(NFI_Expiration=1,IF($A20&lt;VLOOKUP(P$5,NFI,5,0),1,0)*Table_NFI[[#This Row],[Plastic Bucket]],Table_NFI[Plastic Bucket])</f>
        <v>0</v>
      </c>
      <c r="AF20" s="439">
        <f>IF(NFI_Expiration=1,IF($A20&lt;VLOOKUP(Q$5,NFI,5,0),1,0)*Table_NFI[[#This Row],[Plastic Mat]],Table_NFI[Plastic Mat])*IF(Table_NFI[[#This Row],[Distribution Date]]&gt;"2014-04-01",1,2.5)</f>
        <v>0</v>
      </c>
      <c r="AG20" s="439">
        <f>IF(NFI_Expiration=1,IF($A20&lt;VLOOKUP(R$5,NFI,5,0),1,0)*Table_NFI[[#This Row],[Winter Clothes Adult]],Table_NFI[Winter Clothes Adult])</f>
        <v>0</v>
      </c>
      <c r="AH20" s="439">
        <f>IF(NFI_Expiration=1,IF($A20&lt;VLOOKUP(S$5,NFI,5,0),1,0)*Table_NFI[[#This Row],[Winter Clothes Children]],Table_NFI[Winter Clothes Children])</f>
        <v>0</v>
      </c>
      <c r="AI20" s="439">
        <f>IF(NFI_Expiration=1,IF($A20&lt;VLOOKUP(T$5,NFI,5,0),1,0)*Table_NFI[[#This Row],[Winter Items Other]],Table_NFI[Winter Items Other])</f>
        <v>0</v>
      </c>
      <c r="AJ20" s="439">
        <f>IF(NFI_Expiration=1,IF($A20&lt;VLOOKUP(M$5,NFI,5,0),1,0)*Table_NFI[[#This Row],[Winter Blanket]],Table_NFI[[#This Row],[Winter Blanket]])</f>
        <v>0</v>
      </c>
      <c r="AK20" s="439">
        <f>IF(Table_NFI[[#This Row],[Winter Clothes Adult]]+Table_NFI[[#This Row],[Winter Clothes Children]]+Table_NFI[[#This Row],[Winter Items Other]]+Table_NFI[[#This Row],[Winter Blanket]]&gt;0,1,0)</f>
        <v>0</v>
      </c>
      <c r="AL20" s="439">
        <f>IF(NFI_Expiration=1,IF($A20&lt;VLOOKUP(V$5,NFI,5,0),1,0)*Table_NFI[[#This Row],[Jerry Can]],Table_NFI[Jerry Can])</f>
        <v>4</v>
      </c>
      <c r="AM20" s="791" t="str">
        <f>IFERROR(VLOOKUP(Table_NFI[[#This Row],[Camp Name]],CL,2,0),"")</f>
        <v/>
      </c>
      <c r="AN20" s="782" t="str">
        <f ca="1">IF(Table_NFI[[#This Row],[Pcode]]="","",IF(OFFSET(CampList[Opening Date],MATCH(Table_NFI[[#This Row],[Pcode]],CampList[CP_Pcode],0)-1,0,1,1)&gt;=NFI_Monitor_Date,1,0))</f>
        <v/>
      </c>
      <c r="AO20" s="791" t="str">
        <f>IFERROR(VLOOKUP(Table_NFI[[#This Row],[Camp Name]],CL,3,0),"")</f>
        <v/>
      </c>
      <c r="AP20" s="439" t="str">
        <f ca="1">IF(Table_NFI[[#This Row],[Pcode]]="","",OFFSET(CampList[Priority],MATCH(Table_NFI[[#This Row],[Pcode]],CampList[CP_Pcode],0)-1,0,1,1))</f>
        <v/>
      </c>
      <c r="AQ20" s="438" t="str">
        <f>IFERROR(Table_NFI[[#This Row],[Kitchen Set]]/VLOOKUP(Table_NFI[[#This Row],[Camp Name]],CL,4,0),"")</f>
        <v/>
      </c>
      <c r="AR20" s="789"/>
      <c r="AS20" s="783" t="s">
        <v>1425</v>
      </c>
    </row>
    <row r="21" spans="1:45" s="784" customFormat="1" x14ac:dyDescent="0.25">
      <c r="A21" s="455">
        <f t="shared" si="0"/>
        <v>3.4</v>
      </c>
      <c r="B21" s="778">
        <v>42207</v>
      </c>
      <c r="C21" s="789" t="s">
        <v>454</v>
      </c>
      <c r="D21" s="789"/>
      <c r="E21" s="789" t="s">
        <v>380</v>
      </c>
      <c r="F21" s="789" t="s">
        <v>173</v>
      </c>
      <c r="G21" s="789" t="s">
        <v>176</v>
      </c>
      <c r="H21" s="437"/>
      <c r="I21" s="437"/>
      <c r="J21" s="437"/>
      <c r="K21" s="437"/>
      <c r="L21" s="437">
        <v>15</v>
      </c>
      <c r="M21" s="437"/>
      <c r="N21" s="437"/>
      <c r="O21" s="437"/>
      <c r="P21" s="439"/>
      <c r="Q21" s="439">
        <v>25</v>
      </c>
      <c r="R21" s="439"/>
      <c r="S21" s="439"/>
      <c r="T21" s="439"/>
      <c r="U21" s="439"/>
      <c r="V21" s="439"/>
      <c r="W21" s="439">
        <f>IF(NFI_Expiration=1,IF($A21&lt;VLOOKUP(H$5,NFI,5,0),1,0)*Table_NFI[[#This Row],[Hygiene Kit]],Table_NFI[Hygiene Kit])</f>
        <v>0</v>
      </c>
      <c r="X21" s="439">
        <f>IF(NFI_Expiration=1,IF($A21&lt;VLOOKUP(I$5,NFI,5,0),1,0)*Table_NFI[[#This Row],[NFI Core Kit]],Table_NFI[NFI Core Kit])</f>
        <v>0</v>
      </c>
      <c r="Y21" s="439">
        <f>IF(NFI_Expiration=1,IF($A21&lt;VLOOKUP(J$5,NFI,5,0),1,0)*Table_NFI[[#This Row],[Sanitary Kit]],Table_NFI[Sanitary Kit])</f>
        <v>0</v>
      </c>
      <c r="Z21" s="439">
        <f>IF(NFI_Expiration=1,IF($A21&lt;VLOOKUP(K$5,NFI,5,0),1,0)*Table_NFI[[#This Row],[Mosquito net]],Table_NFI[Mosquito net])</f>
        <v>0</v>
      </c>
      <c r="AA21" s="439">
        <f>IF(NFI_Expiration=1,IF($A21&lt;VLOOKUP(L$5,NFI,5,0),1,0)*Table_NFI[[#This Row],[Tarpaulin]],Table_NFI[[#This Row],[Tarpaulin]])</f>
        <v>15</v>
      </c>
      <c r="AB21" s="439">
        <f>IF(NFI_Expiration=1,IF($A21&lt;VLOOKUP(M$5,NFI,5,0),1,0)*Table_NFI[[#This Row],[Blanket]],Table_NFI[[#This Row],[Blanket]])</f>
        <v>0</v>
      </c>
      <c r="AC21" s="439">
        <f>IF(NFI_Expiration=1,IF($A21&lt;VLOOKUP(N$5,NFI,5,0),1,0)*Table_NFI[[#This Row],[Kitchen Set]],Table_NFI[Kitchen Set])</f>
        <v>0</v>
      </c>
      <c r="AD21" s="439">
        <f>IF(NFI_Expiration=1,IF($A21&lt;VLOOKUP(O$5,NFI,5,0),1,0)*Table_NFI[[#This Row],[Clothes Kit]],Table_NFI[Clothes Kit])</f>
        <v>0</v>
      </c>
      <c r="AE21" s="439">
        <f>IF(NFI_Expiration=1,IF($A21&lt;VLOOKUP(P$5,NFI,5,0),1,0)*Table_NFI[[#This Row],[Plastic Bucket]],Table_NFI[Plastic Bucket])</f>
        <v>0</v>
      </c>
      <c r="AF21" s="439">
        <f>IF(NFI_Expiration=1,IF($A21&lt;VLOOKUP(Q$5,NFI,5,0),1,0)*Table_NFI[[#This Row],[Plastic Mat]],Table_NFI[Plastic Mat])*IF(Table_NFI[[#This Row],[Distribution Date]]&gt;"2014-04-01",1,2.5)</f>
        <v>62.5</v>
      </c>
      <c r="AG21" s="439">
        <f>IF(NFI_Expiration=1,IF($A21&lt;VLOOKUP(R$5,NFI,5,0),1,0)*Table_NFI[[#This Row],[Winter Clothes Adult]],Table_NFI[Winter Clothes Adult])</f>
        <v>0</v>
      </c>
      <c r="AH21" s="439">
        <f>IF(NFI_Expiration=1,IF($A21&lt;VLOOKUP(S$5,NFI,5,0),1,0)*Table_NFI[[#This Row],[Winter Clothes Children]],Table_NFI[Winter Clothes Children])</f>
        <v>0</v>
      </c>
      <c r="AI21" s="439">
        <f>IF(NFI_Expiration=1,IF($A21&lt;VLOOKUP(T$5,NFI,5,0),1,0)*Table_NFI[[#This Row],[Winter Items Other]],Table_NFI[Winter Items Other])</f>
        <v>0</v>
      </c>
      <c r="AJ21" s="439">
        <f>IF(NFI_Expiration=1,IF($A21&lt;VLOOKUP(M$5,NFI,5,0),1,0)*Table_NFI[[#This Row],[Winter Blanket]],Table_NFI[[#This Row],[Winter Blanket]])</f>
        <v>0</v>
      </c>
      <c r="AK21" s="439">
        <f>IF(Table_NFI[[#This Row],[Winter Clothes Adult]]+Table_NFI[[#This Row],[Winter Clothes Children]]+Table_NFI[[#This Row],[Winter Items Other]]+Table_NFI[[#This Row],[Winter Blanket]]&gt;0,1,0)</f>
        <v>0</v>
      </c>
      <c r="AL21" s="439">
        <f>IF(NFI_Expiration=1,IF($A21&lt;VLOOKUP(V$5,NFI,5,0),1,0)*Table_NFI[[#This Row],[Jerry Can]],Table_NFI[Jerry Can])</f>
        <v>0</v>
      </c>
      <c r="AM21" s="791" t="str">
        <f>IFERROR(VLOOKUP(Table_NFI[[#This Row],[Camp Name]],CL,2,0),"")</f>
        <v>MMR001CMP077</v>
      </c>
      <c r="AN21" s="782">
        <f ca="1">IF(Table_NFI[[#This Row],[Pcode]]="","",IF(OFFSET(CampList[Opening Date],MATCH(Table_NFI[[#This Row],[Pcode]],CampList[CP_Pcode],0)-1,0,1,1)&gt;=NFI_Monitor_Date,1,0))</f>
        <v>0</v>
      </c>
      <c r="AO21" s="791" t="str">
        <f>IFERROR(VLOOKUP(Table_NFI[[#This Row],[Camp Name]],CL,3,0),"")</f>
        <v>Open</v>
      </c>
      <c r="AP21" s="439" t="str">
        <f ca="1">IF(Table_NFI[[#This Row],[Pcode]]="","",OFFSET(CampList[Priority],MATCH(Table_NFI[[#This Row],[Pcode]],CampList[CP_Pcode],0)-1,0,1,1))</f>
        <v>P4</v>
      </c>
      <c r="AQ21" s="438">
        <f>IFERROR(Table_NFI[[#This Row],[Kitchen Set]]/VLOOKUP(Table_NFI[[#This Row],[Camp Name]],CL,4,0),"")</f>
        <v>0</v>
      </c>
      <c r="AR21" s="789"/>
      <c r="AS21" s="792" t="s">
        <v>1325</v>
      </c>
    </row>
    <row r="22" spans="1:45" s="784" customFormat="1" x14ac:dyDescent="0.25">
      <c r="A22" s="455">
        <f t="shared" si="0"/>
        <v>3.4333333333333331</v>
      </c>
      <c r="B22" s="778">
        <v>42206</v>
      </c>
      <c r="C22" s="789" t="s">
        <v>454</v>
      </c>
      <c r="D22" s="789" t="s">
        <v>462</v>
      </c>
      <c r="E22" s="789" t="s">
        <v>380</v>
      </c>
      <c r="F22" s="789" t="s">
        <v>813</v>
      </c>
      <c r="G22" s="789" t="s">
        <v>813</v>
      </c>
      <c r="H22" s="437"/>
      <c r="I22" s="437"/>
      <c r="J22" s="437"/>
      <c r="K22" s="437"/>
      <c r="L22" s="437">
        <v>250</v>
      </c>
      <c r="M22" s="437"/>
      <c r="N22" s="437"/>
      <c r="O22" s="437"/>
      <c r="P22" s="439"/>
      <c r="Q22" s="439"/>
      <c r="R22" s="439"/>
      <c r="S22" s="439"/>
      <c r="T22" s="439"/>
      <c r="U22" s="439"/>
      <c r="V22" s="439"/>
      <c r="W22" s="439">
        <f>IF(NFI_Expiration=1,IF($A22&lt;VLOOKUP(H$5,NFI,5,0),1,0)*Table_NFI[[#This Row],[Hygiene Kit]],Table_NFI[Hygiene Kit])</f>
        <v>0</v>
      </c>
      <c r="X22" s="439">
        <f>IF(NFI_Expiration=1,IF($A22&lt;VLOOKUP(I$5,NFI,5,0),1,0)*Table_NFI[[#This Row],[NFI Core Kit]],Table_NFI[NFI Core Kit])</f>
        <v>0</v>
      </c>
      <c r="Y22" s="439">
        <f>IF(NFI_Expiration=1,IF($A22&lt;VLOOKUP(J$5,NFI,5,0),1,0)*Table_NFI[[#This Row],[Sanitary Kit]],Table_NFI[Sanitary Kit])</f>
        <v>0</v>
      </c>
      <c r="Z22" s="439">
        <f>IF(NFI_Expiration=1,IF($A22&lt;VLOOKUP(K$5,NFI,5,0),1,0)*Table_NFI[[#This Row],[Mosquito net]],Table_NFI[Mosquito net])</f>
        <v>0</v>
      </c>
      <c r="AA22" s="439">
        <f>IF(NFI_Expiration=1,IF($A22&lt;VLOOKUP(L$5,NFI,5,0),1,0)*Table_NFI[[#This Row],[Tarpaulin]],Table_NFI[[#This Row],[Tarpaulin]])</f>
        <v>250</v>
      </c>
      <c r="AB22" s="439">
        <f>IF(NFI_Expiration=1,IF($A22&lt;VLOOKUP(M$5,NFI,5,0),1,0)*Table_NFI[[#This Row],[Blanket]],Table_NFI[[#This Row],[Blanket]])</f>
        <v>0</v>
      </c>
      <c r="AC22" s="439">
        <f>IF(NFI_Expiration=1,IF($A22&lt;VLOOKUP(N$5,NFI,5,0),1,0)*Table_NFI[[#This Row],[Kitchen Set]],Table_NFI[Kitchen Set])</f>
        <v>0</v>
      </c>
      <c r="AD22" s="439">
        <f>IF(NFI_Expiration=1,IF($A22&lt;VLOOKUP(O$5,NFI,5,0),1,0)*Table_NFI[[#This Row],[Clothes Kit]],Table_NFI[Clothes Kit])</f>
        <v>0</v>
      </c>
      <c r="AE22" s="439">
        <f>IF(NFI_Expiration=1,IF($A22&lt;VLOOKUP(P$5,NFI,5,0),1,0)*Table_NFI[[#This Row],[Plastic Bucket]],Table_NFI[Plastic Bucket])</f>
        <v>0</v>
      </c>
      <c r="AF22" s="439">
        <f>IF(NFI_Expiration=1,IF($A22&lt;VLOOKUP(Q$5,NFI,5,0),1,0)*Table_NFI[[#This Row],[Plastic Mat]],Table_NFI[Plastic Mat])*IF(Table_NFI[[#This Row],[Distribution Date]]&gt;"2014-04-01",1,2.5)</f>
        <v>0</v>
      </c>
      <c r="AG22" s="439">
        <f>IF(NFI_Expiration=1,IF($A22&lt;VLOOKUP(R$5,NFI,5,0),1,0)*Table_NFI[[#This Row],[Winter Clothes Adult]],Table_NFI[Winter Clothes Adult])</f>
        <v>0</v>
      </c>
      <c r="AH22" s="439">
        <f>IF(NFI_Expiration=1,IF($A22&lt;VLOOKUP(S$5,NFI,5,0),1,0)*Table_NFI[[#This Row],[Winter Clothes Children]],Table_NFI[Winter Clothes Children])</f>
        <v>0</v>
      </c>
      <c r="AI22" s="439">
        <f>IF(NFI_Expiration=1,IF($A22&lt;VLOOKUP(T$5,NFI,5,0),1,0)*Table_NFI[[#This Row],[Winter Items Other]],Table_NFI[Winter Items Other])</f>
        <v>0</v>
      </c>
      <c r="AJ22" s="439">
        <f>IF(NFI_Expiration=1,IF($A22&lt;VLOOKUP(M$5,NFI,5,0),1,0)*Table_NFI[[#This Row],[Winter Blanket]],Table_NFI[[#This Row],[Winter Blanket]])</f>
        <v>0</v>
      </c>
      <c r="AK22" s="439">
        <f>IF(Table_NFI[[#This Row],[Winter Clothes Adult]]+Table_NFI[[#This Row],[Winter Clothes Children]]+Table_NFI[[#This Row],[Winter Items Other]]+Table_NFI[[#This Row],[Winter Blanket]]&gt;0,1,0)</f>
        <v>0</v>
      </c>
      <c r="AL22" s="439">
        <f>IF(NFI_Expiration=1,IF($A22&lt;VLOOKUP(V$5,NFI,5,0),1,0)*Table_NFI[[#This Row],[Jerry Can]],Table_NFI[Jerry Can])</f>
        <v>0</v>
      </c>
      <c r="AM22" s="791" t="str">
        <f>IFERROR(VLOOKUP(Table_NFI[[#This Row],[Camp Name]],CL,2,0),"")</f>
        <v>MMR001CMP206</v>
      </c>
      <c r="AN22" s="782">
        <f ca="1">IF(Table_NFI[[#This Row],[Pcode]]="","",IF(OFFSET(CampList[Opening Date],MATCH(Table_NFI[[#This Row],[Pcode]],CampList[CP_Pcode],0)-1,0,1,1)&gt;=NFI_Monitor_Date,1,0))</f>
        <v>0</v>
      </c>
      <c r="AO22" s="791" t="str">
        <f>IFERROR(VLOOKUP(Table_NFI[[#This Row],[Camp Name]],CL,3,0),"")</f>
        <v>Open</v>
      </c>
      <c r="AP22" s="439" t="str">
        <f ca="1">IF(Table_NFI[[#This Row],[Pcode]]="","",OFFSET(CampList[Priority],MATCH(Table_NFI[[#This Row],[Pcode]],CampList[CP_Pcode],0)-1,0,1,1))</f>
        <v>P4</v>
      </c>
      <c r="AQ22" s="438">
        <f>IFERROR(Table_NFI[[#This Row],[Kitchen Set]]/VLOOKUP(Table_NFI[[#This Row],[Camp Name]],CL,4,0),"")</f>
        <v>0</v>
      </c>
      <c r="AR22" s="789"/>
      <c r="AS22" s="792"/>
    </row>
    <row r="23" spans="1:45" s="784" customFormat="1" x14ac:dyDescent="0.25">
      <c r="A23" s="455">
        <f t="shared" si="0"/>
        <v>3.4333333333333331</v>
      </c>
      <c r="B23" s="778">
        <v>42206</v>
      </c>
      <c r="C23" s="779" t="s">
        <v>454</v>
      </c>
      <c r="D23" s="779" t="s">
        <v>847</v>
      </c>
      <c r="E23" s="779" t="s">
        <v>380</v>
      </c>
      <c r="F23" s="779" t="s">
        <v>173</v>
      </c>
      <c r="G23" s="779" t="s">
        <v>1421</v>
      </c>
      <c r="H23" s="436"/>
      <c r="I23" s="436"/>
      <c r="J23" s="439"/>
      <c r="K23" s="439"/>
      <c r="L23" s="437"/>
      <c r="M23" s="437"/>
      <c r="N23" s="437"/>
      <c r="O23" s="437"/>
      <c r="P23" s="439"/>
      <c r="Q23" s="439"/>
      <c r="R23" s="439"/>
      <c r="S23" s="439"/>
      <c r="T23" s="439"/>
      <c r="U23" s="439"/>
      <c r="V23" s="818">
        <v>165</v>
      </c>
      <c r="W23" s="439">
        <f>IF(NFI_Expiration=1,IF($A23&lt;VLOOKUP(H$5,NFI,5,0),1,0)*Table_NFI[[#This Row],[Hygiene Kit]],Table_NFI[Hygiene Kit])</f>
        <v>0</v>
      </c>
      <c r="X23" s="439">
        <f>IF(NFI_Expiration=1,IF($A23&lt;VLOOKUP(I$5,NFI,5,0),1,0)*Table_NFI[[#This Row],[NFI Core Kit]],Table_NFI[NFI Core Kit])</f>
        <v>0</v>
      </c>
      <c r="Y23" s="439">
        <f>IF(NFI_Expiration=1,IF($A23&lt;VLOOKUP(J$5,NFI,5,0),1,0)*Table_NFI[[#This Row],[Sanitary Kit]],Table_NFI[Sanitary Kit])</f>
        <v>0</v>
      </c>
      <c r="Z23" s="439">
        <f>IF(NFI_Expiration=1,IF($A23&lt;VLOOKUP(K$5,NFI,5,0),1,0)*Table_NFI[[#This Row],[Mosquito net]],Table_NFI[Mosquito net])</f>
        <v>0</v>
      </c>
      <c r="AA23" s="439">
        <f>IF(NFI_Expiration=1,IF($A23&lt;VLOOKUP(L$5,NFI,5,0),1,0)*Table_NFI[[#This Row],[Tarpaulin]],Table_NFI[[#This Row],[Tarpaulin]])</f>
        <v>0</v>
      </c>
      <c r="AB23" s="439">
        <f>IF(NFI_Expiration=1,IF($A23&lt;VLOOKUP(M$5,NFI,5,0),1,0)*Table_NFI[[#This Row],[Blanket]],Table_NFI[[#This Row],[Blanket]])</f>
        <v>0</v>
      </c>
      <c r="AC23" s="439">
        <f>IF(NFI_Expiration=1,IF($A23&lt;VLOOKUP(N$5,NFI,5,0),1,0)*Table_NFI[[#This Row],[Kitchen Set]],Table_NFI[Kitchen Set])</f>
        <v>0</v>
      </c>
      <c r="AD23" s="439">
        <f>IF(NFI_Expiration=1,IF($A23&lt;VLOOKUP(O$5,NFI,5,0),1,0)*Table_NFI[[#This Row],[Clothes Kit]],Table_NFI[Clothes Kit])</f>
        <v>0</v>
      </c>
      <c r="AE23" s="439">
        <f>IF(NFI_Expiration=1,IF($A23&lt;VLOOKUP(P$5,NFI,5,0),1,0)*Table_NFI[[#This Row],[Plastic Bucket]],Table_NFI[Plastic Bucket])</f>
        <v>0</v>
      </c>
      <c r="AF23" s="439">
        <f>IF(NFI_Expiration=1,IF($A23&lt;VLOOKUP(Q$5,NFI,5,0),1,0)*Table_NFI[[#This Row],[Plastic Mat]],Table_NFI[Plastic Mat])*IF(Table_NFI[[#This Row],[Distribution Date]]&gt;"2014-04-01",1,2.5)</f>
        <v>0</v>
      </c>
      <c r="AG23" s="439">
        <f>IF(NFI_Expiration=1,IF($A23&lt;VLOOKUP(R$5,NFI,5,0),1,0)*Table_NFI[[#This Row],[Winter Clothes Adult]],Table_NFI[Winter Clothes Adult])</f>
        <v>0</v>
      </c>
      <c r="AH23" s="439">
        <f>IF(NFI_Expiration=1,IF($A23&lt;VLOOKUP(S$5,NFI,5,0),1,0)*Table_NFI[[#This Row],[Winter Clothes Children]],Table_NFI[Winter Clothes Children])</f>
        <v>0</v>
      </c>
      <c r="AI23" s="439">
        <f>IF(NFI_Expiration=1,IF($A23&lt;VLOOKUP(T$5,NFI,5,0),1,0)*Table_NFI[[#This Row],[Winter Items Other]],Table_NFI[Winter Items Other])</f>
        <v>0</v>
      </c>
      <c r="AJ23" s="439">
        <f>IF(NFI_Expiration=1,IF($A23&lt;VLOOKUP(M$5,NFI,5,0),1,0)*Table_NFI[[#This Row],[Winter Blanket]],Table_NFI[[#This Row],[Winter Blanket]])</f>
        <v>0</v>
      </c>
      <c r="AK23" s="439">
        <f>IF(Table_NFI[[#This Row],[Winter Clothes Adult]]+Table_NFI[[#This Row],[Winter Clothes Children]]+Table_NFI[[#This Row],[Winter Items Other]]+Table_NFI[[#This Row],[Winter Blanket]]&gt;0,1,0)</f>
        <v>0</v>
      </c>
      <c r="AL23" s="439">
        <f>IF(NFI_Expiration=1,IF($A23&lt;VLOOKUP(V$5,NFI,5,0),1,0)*Table_NFI[[#This Row],[Jerry Can]],Table_NFI[Jerry Can])</f>
        <v>165</v>
      </c>
      <c r="AM23" s="791" t="str">
        <f>IFERROR(VLOOKUP(Table_NFI[[#This Row],[Camp Name]],CL,2,0),"")</f>
        <v/>
      </c>
      <c r="AN23" s="782" t="str">
        <f ca="1">IF(Table_NFI[[#This Row],[Pcode]]="","",IF(OFFSET(CampList[Opening Date],MATCH(Table_NFI[[#This Row],[Pcode]],CampList[CP_Pcode],0)-1,0,1,1)&gt;=NFI_Monitor_Date,1,0))</f>
        <v/>
      </c>
      <c r="AO23" s="791" t="str">
        <f>IFERROR(VLOOKUP(Table_NFI[[#This Row],[Camp Name]],CL,3,0),"")</f>
        <v/>
      </c>
      <c r="AP23" s="439" t="str">
        <f ca="1">IF(Table_NFI[[#This Row],[Pcode]]="","",OFFSET(CampList[Priority],MATCH(Table_NFI[[#This Row],[Pcode]],CampList[CP_Pcode],0)-1,0,1,1))</f>
        <v/>
      </c>
      <c r="AQ23" s="438" t="str">
        <f>IFERROR(Table_NFI[[#This Row],[Kitchen Set]]/VLOOKUP(Table_NFI[[#This Row],[Camp Name]],CL,4,0),"")</f>
        <v/>
      </c>
      <c r="AR23" s="779"/>
      <c r="AS23" s="783" t="s">
        <v>1422</v>
      </c>
    </row>
    <row r="24" spans="1:45" s="784" customFormat="1" x14ac:dyDescent="0.25">
      <c r="A24" s="456">
        <f t="shared" si="0"/>
        <v>5</v>
      </c>
      <c r="B24" s="803">
        <v>42159</v>
      </c>
      <c r="C24" s="823" t="s">
        <v>454</v>
      </c>
      <c r="D24" s="804" t="s">
        <v>462</v>
      </c>
      <c r="E24" s="804" t="s">
        <v>380</v>
      </c>
      <c r="F24" s="804" t="s">
        <v>185</v>
      </c>
      <c r="G24" s="804" t="s">
        <v>190</v>
      </c>
      <c r="H24" s="452"/>
      <c r="I24" s="452"/>
      <c r="J24" s="452"/>
      <c r="K24" s="452"/>
      <c r="L24" s="452">
        <v>88</v>
      </c>
      <c r="M24" s="452"/>
      <c r="N24" s="452">
        <v>9</v>
      </c>
      <c r="O24" s="452"/>
      <c r="P24" s="453">
        <v>9</v>
      </c>
      <c r="Q24" s="453">
        <v>48</v>
      </c>
      <c r="R24" s="453"/>
      <c r="S24" s="453"/>
      <c r="T24" s="453"/>
      <c r="U24" s="453">
        <v>27</v>
      </c>
      <c r="V24" s="453"/>
      <c r="W24" s="453">
        <f>IF(NFI_Expiration=1,IF($A24&lt;VLOOKUP(H$5,NFI,5,0),1,0)*Table_NFI[[#This Row],[Hygiene Kit]],Table_NFI[Hygiene Kit])</f>
        <v>0</v>
      </c>
      <c r="X24" s="453">
        <f>IF(NFI_Expiration=1,IF($A24&lt;VLOOKUP(I$5,NFI,5,0),1,0)*Table_NFI[[#This Row],[NFI Core Kit]],Table_NFI[NFI Core Kit])</f>
        <v>0</v>
      </c>
      <c r="Y24" s="453">
        <f>IF(NFI_Expiration=1,IF($A24&lt;VLOOKUP(J$5,NFI,5,0),1,0)*Table_NFI[[#This Row],[Sanitary Kit]],Table_NFI[Sanitary Kit])</f>
        <v>0</v>
      </c>
      <c r="Z24" s="453">
        <f>IF(NFI_Expiration=1,IF($A24&lt;VLOOKUP(K$5,NFI,5,0),1,0)*Table_NFI[[#This Row],[Mosquito net]],Table_NFI[Mosquito net])</f>
        <v>0</v>
      </c>
      <c r="AA24" s="453">
        <f>IF(NFI_Expiration=1,IF($A24&lt;VLOOKUP(L$5,NFI,5,0),1,0)*Table_NFI[[#This Row],[Tarpaulin]],Table_NFI[[#This Row],[Tarpaulin]])</f>
        <v>88</v>
      </c>
      <c r="AB24" s="453">
        <f>IF(NFI_Expiration=1,IF($A24&lt;VLOOKUP(M$5,NFI,5,0),1,0)*Table_NFI[[#This Row],[Blanket]],Table_NFI[[#This Row],[Blanket]])</f>
        <v>0</v>
      </c>
      <c r="AC24" s="453">
        <f>IF(NFI_Expiration=1,IF($A24&lt;VLOOKUP(N$5,NFI,5,0),1,0)*Table_NFI[[#This Row],[Kitchen Set]],Table_NFI[Kitchen Set])</f>
        <v>9</v>
      </c>
      <c r="AD24" s="453">
        <f>IF(NFI_Expiration=1,IF($A24&lt;VLOOKUP(O$5,NFI,5,0),1,0)*Table_NFI[[#This Row],[Clothes Kit]],Table_NFI[Clothes Kit])</f>
        <v>0</v>
      </c>
      <c r="AE24" s="453">
        <f>IF(NFI_Expiration=1,IF($A24&lt;VLOOKUP(P$5,NFI,5,0),1,0)*Table_NFI[[#This Row],[Plastic Bucket]],Table_NFI[Plastic Bucket])</f>
        <v>9</v>
      </c>
      <c r="AF24" s="453">
        <f>IF(NFI_Expiration=1,IF($A24&lt;VLOOKUP(Q$5,NFI,5,0),1,0)*Table_NFI[[#This Row],[Plastic Mat]],Table_NFI[Plastic Mat])*IF(Table_NFI[[#This Row],[Distribution Date]]&gt;"2014-04-01",1,2.5)</f>
        <v>120</v>
      </c>
      <c r="AG24" s="453">
        <f>IF(NFI_Expiration=1,IF($A24&lt;VLOOKUP(R$5,NFI,5,0),1,0)*Table_NFI[[#This Row],[Winter Clothes Adult]],Table_NFI[Winter Clothes Adult])</f>
        <v>0</v>
      </c>
      <c r="AH24" s="453">
        <f>IF(NFI_Expiration=1,IF($A24&lt;VLOOKUP(S$5,NFI,5,0),1,0)*Table_NFI[[#This Row],[Winter Clothes Children]],Table_NFI[Winter Clothes Children])</f>
        <v>0</v>
      </c>
      <c r="AI24" s="453">
        <f>IF(NFI_Expiration=1,IF($A24&lt;VLOOKUP(T$5,NFI,5,0),1,0)*Table_NFI[[#This Row],[Winter Items Other]],Table_NFI[Winter Items Other])</f>
        <v>0</v>
      </c>
      <c r="AJ24" s="453">
        <f>IF(NFI_Expiration=1,IF($A24&lt;VLOOKUP(M$5,NFI,5,0),1,0)*Table_NFI[[#This Row],[Winter Blanket]],Table_NFI[[#This Row],[Winter Blanket]])</f>
        <v>27</v>
      </c>
      <c r="AK24" s="453">
        <f>IF(Table_NFI[[#This Row],[Winter Clothes Adult]]+Table_NFI[[#This Row],[Winter Clothes Children]]+Table_NFI[[#This Row],[Winter Items Other]]+Table_NFI[[#This Row],[Winter Blanket]]&gt;0,1,0)</f>
        <v>1</v>
      </c>
      <c r="AL24" s="439">
        <f>IF(NFI_Expiration=1,IF($A24&lt;VLOOKUP(V$5,NFI,5,0),1,0)*Table_NFI[[#This Row],[Jerry Can]],Table_NFI[Jerry Can])</f>
        <v>0</v>
      </c>
      <c r="AM24" s="805" t="str">
        <f>IFERROR(VLOOKUP(Table_NFI[[#This Row],[Camp Name]],CL,2,0),"")</f>
        <v>MMR001CMP070</v>
      </c>
      <c r="AN24" s="806">
        <f ca="1">IF(Table_NFI[[#This Row],[Pcode]]="","",IF(OFFSET(CampList[Opening Date],MATCH(Table_NFI[[#This Row],[Pcode]],CampList[CP_Pcode],0)-1,0,1,1)&gt;=NFI_Monitor_Date,1,0))</f>
        <v>0</v>
      </c>
      <c r="AO24" s="805" t="str">
        <f>IFERROR(VLOOKUP(Table_NFI[[#This Row],[Camp Name]],CL,3,0),"")</f>
        <v>Open</v>
      </c>
      <c r="AP24" s="453" t="str">
        <f ca="1">IF(Table_NFI[[#This Row],[Pcode]]="","",OFFSET(CampList[Priority],MATCH(Table_NFI[[#This Row],[Pcode]],CampList[CP_Pcode],0)-1,0,1,1))</f>
        <v>P3</v>
      </c>
      <c r="AQ24" s="454">
        <f>IFERROR(Table_NFI[[#This Row],[Kitchen Set]]/VLOOKUP(Table_NFI[[#This Row],[Camp Name]],CL,4,0),"")</f>
        <v>4.7872340425531915E-2</v>
      </c>
      <c r="AR24" s="804"/>
      <c r="AS24" s="826"/>
    </row>
    <row r="25" spans="1:45" s="784" customFormat="1" x14ac:dyDescent="0.25">
      <c r="A25" s="456">
        <f t="shared" si="0"/>
        <v>5</v>
      </c>
      <c r="B25" s="803">
        <v>42159</v>
      </c>
      <c r="C25" s="823" t="s">
        <v>454</v>
      </c>
      <c r="D25" s="804" t="s">
        <v>462</v>
      </c>
      <c r="E25" s="804" t="s">
        <v>380</v>
      </c>
      <c r="F25" s="804" t="s">
        <v>185</v>
      </c>
      <c r="G25" s="804" t="s">
        <v>209</v>
      </c>
      <c r="H25" s="452"/>
      <c r="I25" s="452"/>
      <c r="J25" s="452"/>
      <c r="K25" s="452"/>
      <c r="L25" s="452">
        <v>80</v>
      </c>
      <c r="M25" s="452"/>
      <c r="N25" s="452"/>
      <c r="O25" s="452"/>
      <c r="P25" s="453"/>
      <c r="Q25" s="453"/>
      <c r="R25" s="453"/>
      <c r="S25" s="453"/>
      <c r="T25" s="453"/>
      <c r="U25" s="453"/>
      <c r="V25" s="453"/>
      <c r="W25" s="453">
        <f>IF(NFI_Expiration=1,IF($A25&lt;VLOOKUP(H$5,NFI,5,0),1,0)*Table_NFI[[#This Row],[Hygiene Kit]],Table_NFI[Hygiene Kit])</f>
        <v>0</v>
      </c>
      <c r="X25" s="453">
        <f>IF(NFI_Expiration=1,IF($A25&lt;VLOOKUP(I$5,NFI,5,0),1,0)*Table_NFI[[#This Row],[NFI Core Kit]],Table_NFI[NFI Core Kit])</f>
        <v>0</v>
      </c>
      <c r="Y25" s="453">
        <f>IF(NFI_Expiration=1,IF($A25&lt;VLOOKUP(J$5,NFI,5,0),1,0)*Table_NFI[[#This Row],[Sanitary Kit]],Table_NFI[Sanitary Kit])</f>
        <v>0</v>
      </c>
      <c r="Z25" s="453">
        <f>IF(NFI_Expiration=1,IF($A25&lt;VLOOKUP(K$5,NFI,5,0),1,0)*Table_NFI[[#This Row],[Mosquito net]],Table_NFI[Mosquito net])</f>
        <v>0</v>
      </c>
      <c r="AA25" s="453">
        <f>IF(NFI_Expiration=1,IF($A25&lt;VLOOKUP(L$5,NFI,5,0),1,0)*Table_NFI[[#This Row],[Tarpaulin]],Table_NFI[[#This Row],[Tarpaulin]])</f>
        <v>80</v>
      </c>
      <c r="AB25" s="453">
        <f>IF(NFI_Expiration=1,IF($A25&lt;VLOOKUP(M$5,NFI,5,0),1,0)*Table_NFI[[#This Row],[Blanket]],Table_NFI[[#This Row],[Blanket]])</f>
        <v>0</v>
      </c>
      <c r="AC25" s="453">
        <f>IF(NFI_Expiration=1,IF($A25&lt;VLOOKUP(N$5,NFI,5,0),1,0)*Table_NFI[[#This Row],[Kitchen Set]],Table_NFI[Kitchen Set])</f>
        <v>0</v>
      </c>
      <c r="AD25" s="453">
        <f>IF(NFI_Expiration=1,IF($A25&lt;VLOOKUP(O$5,NFI,5,0),1,0)*Table_NFI[[#This Row],[Clothes Kit]],Table_NFI[Clothes Kit])</f>
        <v>0</v>
      </c>
      <c r="AE25" s="453">
        <f>IF(NFI_Expiration=1,IF($A25&lt;VLOOKUP(P$5,NFI,5,0),1,0)*Table_NFI[[#This Row],[Plastic Bucket]],Table_NFI[Plastic Bucket])</f>
        <v>0</v>
      </c>
      <c r="AF25" s="453">
        <f>IF(NFI_Expiration=1,IF($A25&lt;VLOOKUP(Q$5,NFI,5,0),1,0)*Table_NFI[[#This Row],[Plastic Mat]],Table_NFI[Plastic Mat])*IF(Table_NFI[[#This Row],[Distribution Date]]&gt;"2014-04-01",1,2.5)</f>
        <v>0</v>
      </c>
      <c r="AG25" s="453">
        <f>IF(NFI_Expiration=1,IF($A25&lt;VLOOKUP(R$5,NFI,5,0),1,0)*Table_NFI[[#This Row],[Winter Clothes Adult]],Table_NFI[Winter Clothes Adult])</f>
        <v>0</v>
      </c>
      <c r="AH25" s="453">
        <f>IF(NFI_Expiration=1,IF($A25&lt;VLOOKUP(S$5,NFI,5,0),1,0)*Table_NFI[[#This Row],[Winter Clothes Children]],Table_NFI[Winter Clothes Children])</f>
        <v>0</v>
      </c>
      <c r="AI25" s="453">
        <f>IF(NFI_Expiration=1,IF($A25&lt;VLOOKUP(T$5,NFI,5,0),1,0)*Table_NFI[[#This Row],[Winter Items Other]],Table_NFI[Winter Items Other])</f>
        <v>0</v>
      </c>
      <c r="AJ25" s="453">
        <f>IF(NFI_Expiration=1,IF($A25&lt;VLOOKUP(M$5,NFI,5,0),1,0)*Table_NFI[[#This Row],[Winter Blanket]],Table_NFI[[#This Row],[Winter Blanket]])</f>
        <v>0</v>
      </c>
      <c r="AK25" s="453">
        <f>IF(Table_NFI[[#This Row],[Winter Clothes Adult]]+Table_NFI[[#This Row],[Winter Clothes Children]]+Table_NFI[[#This Row],[Winter Items Other]]+Table_NFI[[#This Row],[Winter Blanket]]&gt;0,1,0)</f>
        <v>0</v>
      </c>
      <c r="AL25" s="439">
        <f>IF(NFI_Expiration=1,IF($A25&lt;VLOOKUP(V$5,NFI,5,0),1,0)*Table_NFI[[#This Row],[Jerry Can]],Table_NFI[Jerry Can])</f>
        <v>0</v>
      </c>
      <c r="AM25" s="805" t="str">
        <f>IFERROR(VLOOKUP(Table_NFI[[#This Row],[Camp Name]],CL,2,0),"")</f>
        <v>MMR001CMP056</v>
      </c>
      <c r="AN25" s="806">
        <f ca="1">IF(Table_NFI[[#This Row],[Pcode]]="","",IF(OFFSET(CampList[Opening Date],MATCH(Table_NFI[[#This Row],[Pcode]],CampList[CP_Pcode],0)-1,0,1,1)&gt;=NFI_Monitor_Date,1,0))</f>
        <v>0</v>
      </c>
      <c r="AO25" s="805" t="str">
        <f>IFERROR(VLOOKUP(Table_NFI[[#This Row],[Camp Name]],CL,3,0),"")</f>
        <v>Open</v>
      </c>
      <c r="AP25" s="453" t="str">
        <f ca="1">IF(Table_NFI[[#This Row],[Pcode]]="","",OFFSET(CampList[Priority],MATCH(Table_NFI[[#This Row],[Pcode]],CampList[CP_Pcode],0)-1,0,1,1))</f>
        <v>P4</v>
      </c>
      <c r="AQ25" s="454">
        <f>IFERROR(Table_NFI[[#This Row],[Kitchen Set]]/VLOOKUP(Table_NFI[[#This Row],[Camp Name]],CL,4,0),"")</f>
        <v>0</v>
      </c>
      <c r="AR25" s="804"/>
      <c r="AS25" s="826"/>
    </row>
    <row r="26" spans="1:45" s="784" customFormat="1" x14ac:dyDescent="0.25">
      <c r="A26" s="456">
        <f t="shared" si="0"/>
        <v>5</v>
      </c>
      <c r="B26" s="803">
        <v>42159</v>
      </c>
      <c r="C26" s="823" t="s">
        <v>454</v>
      </c>
      <c r="D26" s="804" t="s">
        <v>462</v>
      </c>
      <c r="E26" s="804" t="s">
        <v>380</v>
      </c>
      <c r="F26" s="804" t="s">
        <v>5</v>
      </c>
      <c r="G26" s="804" t="s">
        <v>366</v>
      </c>
      <c r="H26" s="452"/>
      <c r="I26" s="452"/>
      <c r="J26" s="452"/>
      <c r="K26" s="452"/>
      <c r="L26" s="452">
        <v>37</v>
      </c>
      <c r="M26" s="452"/>
      <c r="N26" s="452"/>
      <c r="O26" s="452"/>
      <c r="P26" s="453"/>
      <c r="Q26" s="453"/>
      <c r="R26" s="453"/>
      <c r="S26" s="453"/>
      <c r="T26" s="453"/>
      <c r="U26" s="453"/>
      <c r="V26" s="453"/>
      <c r="W26" s="453">
        <f>IF(NFI_Expiration=1,IF($A26&lt;VLOOKUP(H$5,NFI,5,0),1,0)*Table_NFI[[#This Row],[Hygiene Kit]],Table_NFI[Hygiene Kit])</f>
        <v>0</v>
      </c>
      <c r="X26" s="453">
        <f>IF(NFI_Expiration=1,IF($A26&lt;VLOOKUP(I$5,NFI,5,0),1,0)*Table_NFI[[#This Row],[NFI Core Kit]],Table_NFI[NFI Core Kit])</f>
        <v>0</v>
      </c>
      <c r="Y26" s="453">
        <f>IF(NFI_Expiration=1,IF($A26&lt;VLOOKUP(J$5,NFI,5,0),1,0)*Table_NFI[[#This Row],[Sanitary Kit]],Table_NFI[Sanitary Kit])</f>
        <v>0</v>
      </c>
      <c r="Z26" s="453">
        <f>IF(NFI_Expiration=1,IF($A26&lt;VLOOKUP(K$5,NFI,5,0),1,0)*Table_NFI[[#This Row],[Mosquito net]],Table_NFI[Mosquito net])</f>
        <v>0</v>
      </c>
      <c r="AA26" s="453">
        <f>IF(NFI_Expiration=1,IF($A26&lt;VLOOKUP(L$5,NFI,5,0),1,0)*Table_NFI[[#This Row],[Tarpaulin]],Table_NFI[[#This Row],[Tarpaulin]])</f>
        <v>37</v>
      </c>
      <c r="AB26" s="453">
        <f>IF(NFI_Expiration=1,IF($A26&lt;VLOOKUP(M$5,NFI,5,0),1,0)*Table_NFI[[#This Row],[Blanket]],Table_NFI[[#This Row],[Blanket]])</f>
        <v>0</v>
      </c>
      <c r="AC26" s="453">
        <f>IF(NFI_Expiration=1,IF($A26&lt;VLOOKUP(N$5,NFI,5,0),1,0)*Table_NFI[[#This Row],[Kitchen Set]],Table_NFI[Kitchen Set])</f>
        <v>0</v>
      </c>
      <c r="AD26" s="453">
        <f>IF(NFI_Expiration=1,IF($A26&lt;VLOOKUP(O$5,NFI,5,0),1,0)*Table_NFI[[#This Row],[Clothes Kit]],Table_NFI[Clothes Kit])</f>
        <v>0</v>
      </c>
      <c r="AE26" s="453">
        <f>IF(NFI_Expiration=1,IF($A26&lt;VLOOKUP(P$5,NFI,5,0),1,0)*Table_NFI[[#This Row],[Plastic Bucket]],Table_NFI[Plastic Bucket])</f>
        <v>0</v>
      </c>
      <c r="AF26" s="453">
        <f>IF(NFI_Expiration=1,IF($A26&lt;VLOOKUP(Q$5,NFI,5,0),1,0)*Table_NFI[[#This Row],[Plastic Mat]],Table_NFI[Plastic Mat])*IF(Table_NFI[[#This Row],[Distribution Date]]&gt;"2014-04-01",1,2.5)</f>
        <v>0</v>
      </c>
      <c r="AG26" s="453">
        <f>IF(NFI_Expiration=1,IF($A26&lt;VLOOKUP(R$5,NFI,5,0),1,0)*Table_NFI[[#This Row],[Winter Clothes Adult]],Table_NFI[Winter Clothes Adult])</f>
        <v>0</v>
      </c>
      <c r="AH26" s="453">
        <f>IF(NFI_Expiration=1,IF($A26&lt;VLOOKUP(S$5,NFI,5,0),1,0)*Table_NFI[[#This Row],[Winter Clothes Children]],Table_NFI[Winter Clothes Children])</f>
        <v>0</v>
      </c>
      <c r="AI26" s="453">
        <f>IF(NFI_Expiration=1,IF($A26&lt;VLOOKUP(T$5,NFI,5,0),1,0)*Table_NFI[[#This Row],[Winter Items Other]],Table_NFI[Winter Items Other])</f>
        <v>0</v>
      </c>
      <c r="AJ26" s="453">
        <f>IF(NFI_Expiration=1,IF($A26&lt;VLOOKUP(M$5,NFI,5,0),1,0)*Table_NFI[[#This Row],[Winter Blanket]],Table_NFI[[#This Row],[Winter Blanket]])</f>
        <v>0</v>
      </c>
      <c r="AK26" s="453">
        <f>IF(Table_NFI[[#This Row],[Winter Clothes Adult]]+Table_NFI[[#This Row],[Winter Clothes Children]]+Table_NFI[[#This Row],[Winter Items Other]]+Table_NFI[[#This Row],[Winter Blanket]]&gt;0,1,0)</f>
        <v>0</v>
      </c>
      <c r="AL26" s="439">
        <f>IF(NFI_Expiration=1,IF($A26&lt;VLOOKUP(V$5,NFI,5,0),1,0)*Table_NFI[[#This Row],[Jerry Can]],Table_NFI[Jerry Can])</f>
        <v>0</v>
      </c>
      <c r="AM26" s="805" t="str">
        <f>IFERROR(VLOOKUP(Table_NFI[[#This Row],[Camp Name]],CL,2,0),"")</f>
        <v>MMR001CMP193</v>
      </c>
      <c r="AN26" s="806">
        <f ca="1">IF(Table_NFI[[#This Row],[Pcode]]="","",IF(OFFSET(CampList[Opening Date],MATCH(Table_NFI[[#This Row],[Pcode]],CampList[CP_Pcode],0)-1,0,1,1)&gt;=NFI_Monitor_Date,1,0))</f>
        <v>0</v>
      </c>
      <c r="AO26" s="805" t="str">
        <f>IFERROR(VLOOKUP(Table_NFI[[#This Row],[Camp Name]],CL,3,0),"")</f>
        <v>Open</v>
      </c>
      <c r="AP26" s="453" t="str">
        <f ca="1">IF(Table_NFI[[#This Row],[Pcode]]="","",OFFSET(CampList[Priority],MATCH(Table_NFI[[#This Row],[Pcode]],CampList[CP_Pcode],0)-1,0,1,1))</f>
        <v>P4</v>
      </c>
      <c r="AQ26" s="454">
        <f>IFERROR(Table_NFI[[#This Row],[Kitchen Set]]/VLOOKUP(Table_NFI[[#This Row],[Camp Name]],CL,4,0),"")</f>
        <v>0</v>
      </c>
      <c r="AR26" s="804"/>
      <c r="AS26" s="826"/>
    </row>
    <row r="27" spans="1:45" s="784" customFormat="1" x14ac:dyDescent="0.25">
      <c r="A27" s="456">
        <f t="shared" si="0"/>
        <v>5</v>
      </c>
      <c r="B27" s="803">
        <v>42159</v>
      </c>
      <c r="C27" s="823" t="s">
        <v>454</v>
      </c>
      <c r="D27" s="804" t="s">
        <v>462</v>
      </c>
      <c r="E27" s="804" t="s">
        <v>380</v>
      </c>
      <c r="F27" s="804" t="s">
        <v>185</v>
      </c>
      <c r="G27" s="804" t="s">
        <v>225</v>
      </c>
      <c r="H27" s="452"/>
      <c r="I27" s="452"/>
      <c r="J27" s="452"/>
      <c r="K27" s="452">
        <v>18</v>
      </c>
      <c r="L27" s="452">
        <v>35</v>
      </c>
      <c r="M27" s="452"/>
      <c r="N27" s="452"/>
      <c r="O27" s="452"/>
      <c r="P27" s="453"/>
      <c r="Q27" s="453"/>
      <c r="R27" s="453"/>
      <c r="S27" s="453"/>
      <c r="T27" s="453"/>
      <c r="U27" s="453"/>
      <c r="V27" s="453"/>
      <c r="W27" s="453">
        <f>IF(NFI_Expiration=1,IF($A27&lt;VLOOKUP(H$5,NFI,5,0),1,0)*Table_NFI[[#This Row],[Hygiene Kit]],Table_NFI[Hygiene Kit])</f>
        <v>0</v>
      </c>
      <c r="X27" s="453">
        <f>IF(NFI_Expiration=1,IF($A27&lt;VLOOKUP(I$5,NFI,5,0),1,0)*Table_NFI[[#This Row],[NFI Core Kit]],Table_NFI[NFI Core Kit])</f>
        <v>0</v>
      </c>
      <c r="Y27" s="453">
        <f>IF(NFI_Expiration=1,IF($A27&lt;VLOOKUP(J$5,NFI,5,0),1,0)*Table_NFI[[#This Row],[Sanitary Kit]],Table_NFI[Sanitary Kit])</f>
        <v>0</v>
      </c>
      <c r="Z27" s="453">
        <f>IF(NFI_Expiration=1,IF($A27&lt;VLOOKUP(K$5,NFI,5,0),1,0)*Table_NFI[[#This Row],[Mosquito net]],Table_NFI[Mosquito net])</f>
        <v>18</v>
      </c>
      <c r="AA27" s="453">
        <f>IF(NFI_Expiration=1,IF($A27&lt;VLOOKUP(L$5,NFI,5,0),1,0)*Table_NFI[[#This Row],[Tarpaulin]],Table_NFI[[#This Row],[Tarpaulin]])</f>
        <v>35</v>
      </c>
      <c r="AB27" s="453">
        <f>IF(NFI_Expiration=1,IF($A27&lt;VLOOKUP(M$5,NFI,5,0),1,0)*Table_NFI[[#This Row],[Blanket]],Table_NFI[[#This Row],[Blanket]])</f>
        <v>0</v>
      </c>
      <c r="AC27" s="453">
        <f>IF(NFI_Expiration=1,IF($A27&lt;VLOOKUP(N$5,NFI,5,0),1,0)*Table_NFI[[#This Row],[Kitchen Set]],Table_NFI[Kitchen Set])</f>
        <v>0</v>
      </c>
      <c r="AD27" s="453">
        <f>IF(NFI_Expiration=1,IF($A27&lt;VLOOKUP(O$5,NFI,5,0),1,0)*Table_NFI[[#This Row],[Clothes Kit]],Table_NFI[Clothes Kit])</f>
        <v>0</v>
      </c>
      <c r="AE27" s="453">
        <f>IF(NFI_Expiration=1,IF($A27&lt;VLOOKUP(P$5,NFI,5,0),1,0)*Table_NFI[[#This Row],[Plastic Bucket]],Table_NFI[Plastic Bucket])</f>
        <v>0</v>
      </c>
      <c r="AF27" s="453">
        <f>IF(NFI_Expiration=1,IF($A27&lt;VLOOKUP(Q$5,NFI,5,0),1,0)*Table_NFI[[#This Row],[Plastic Mat]],Table_NFI[Plastic Mat])*IF(Table_NFI[[#This Row],[Distribution Date]]&gt;"2014-04-01",1,2.5)</f>
        <v>0</v>
      </c>
      <c r="AG27" s="453">
        <f>IF(NFI_Expiration=1,IF($A27&lt;VLOOKUP(R$5,NFI,5,0),1,0)*Table_NFI[[#This Row],[Winter Clothes Adult]],Table_NFI[Winter Clothes Adult])</f>
        <v>0</v>
      </c>
      <c r="AH27" s="453">
        <f>IF(NFI_Expiration=1,IF($A27&lt;VLOOKUP(S$5,NFI,5,0),1,0)*Table_NFI[[#This Row],[Winter Clothes Children]],Table_NFI[Winter Clothes Children])</f>
        <v>0</v>
      </c>
      <c r="AI27" s="453">
        <f>IF(NFI_Expiration=1,IF($A27&lt;VLOOKUP(T$5,NFI,5,0),1,0)*Table_NFI[[#This Row],[Winter Items Other]],Table_NFI[Winter Items Other])</f>
        <v>0</v>
      </c>
      <c r="AJ27" s="453">
        <f>IF(NFI_Expiration=1,IF($A27&lt;VLOOKUP(M$5,NFI,5,0),1,0)*Table_NFI[[#This Row],[Winter Blanket]],Table_NFI[[#This Row],[Winter Blanket]])</f>
        <v>0</v>
      </c>
      <c r="AK27" s="453">
        <f>IF(Table_NFI[[#This Row],[Winter Clothes Adult]]+Table_NFI[[#This Row],[Winter Clothes Children]]+Table_NFI[[#This Row],[Winter Items Other]]+Table_NFI[[#This Row],[Winter Blanket]]&gt;0,1,0)</f>
        <v>0</v>
      </c>
      <c r="AL27" s="439">
        <f>IF(NFI_Expiration=1,IF($A27&lt;VLOOKUP(V$5,NFI,5,0),1,0)*Table_NFI[[#This Row],[Jerry Can]],Table_NFI[Jerry Can])</f>
        <v>0</v>
      </c>
      <c r="AM27" s="805" t="str">
        <f>IFERROR(VLOOKUP(Table_NFI[[#This Row],[Camp Name]],CL,2,0),"")</f>
        <v>MMR001CMP073</v>
      </c>
      <c r="AN27" s="806">
        <f ca="1">IF(Table_NFI[[#This Row],[Pcode]]="","",IF(OFFSET(CampList[Opening Date],MATCH(Table_NFI[[#This Row],[Pcode]],CampList[CP_Pcode],0)-1,0,1,1)&gt;=NFI_Monitor_Date,1,0))</f>
        <v>0</v>
      </c>
      <c r="AO27" s="805" t="str">
        <f>IFERROR(VLOOKUP(Table_NFI[[#This Row],[Camp Name]],CL,3,0),"")</f>
        <v>Open</v>
      </c>
      <c r="AP27" s="453" t="str">
        <f ca="1">IF(Table_NFI[[#This Row],[Pcode]]="","",OFFSET(CampList[Priority],MATCH(Table_NFI[[#This Row],[Pcode]],CampList[CP_Pcode],0)-1,0,1,1))</f>
        <v>P3</v>
      </c>
      <c r="AQ27" s="454">
        <f>IFERROR(Table_NFI[[#This Row],[Kitchen Set]]/VLOOKUP(Table_NFI[[#This Row],[Camp Name]],CL,4,0),"")</f>
        <v>0</v>
      </c>
      <c r="AR27" s="804"/>
      <c r="AS27" s="826"/>
    </row>
    <row r="28" spans="1:45" s="136" customFormat="1" x14ac:dyDescent="0.25">
      <c r="A28" s="456">
        <f t="shared" si="0"/>
        <v>5.7333333333333334</v>
      </c>
      <c r="B28" s="803">
        <v>42137</v>
      </c>
      <c r="C28" s="779" t="s">
        <v>454</v>
      </c>
      <c r="D28" s="804" t="s">
        <v>1096</v>
      </c>
      <c r="E28" s="804" t="s">
        <v>380</v>
      </c>
      <c r="F28" s="804" t="s">
        <v>185</v>
      </c>
      <c r="G28" s="804" t="s">
        <v>202</v>
      </c>
      <c r="H28" s="452"/>
      <c r="I28" s="452"/>
      <c r="J28" s="452"/>
      <c r="K28" s="452"/>
      <c r="L28" s="452"/>
      <c r="M28" s="452">
        <v>28</v>
      </c>
      <c r="N28" s="452"/>
      <c r="O28" s="452"/>
      <c r="P28" s="453"/>
      <c r="Q28" s="453"/>
      <c r="R28" s="453"/>
      <c r="S28" s="453"/>
      <c r="T28" s="453"/>
      <c r="U28" s="453"/>
      <c r="V28" s="453"/>
      <c r="W28" s="453">
        <f>IF(NFI_Expiration=1,IF($A28&lt;VLOOKUP(H$5,NFI,5,0),1,0)*Table_NFI[[#This Row],[Hygiene Kit]],Table_NFI[Hygiene Kit])</f>
        <v>0</v>
      </c>
      <c r="X28" s="453">
        <f>IF(NFI_Expiration=1,IF($A28&lt;VLOOKUP(I$5,NFI,5,0),1,0)*Table_NFI[[#This Row],[NFI Core Kit]],Table_NFI[NFI Core Kit])</f>
        <v>0</v>
      </c>
      <c r="Y28" s="453">
        <f>IF(NFI_Expiration=1,IF($A28&lt;VLOOKUP(J$5,NFI,5,0),1,0)*Table_NFI[[#This Row],[Sanitary Kit]],Table_NFI[Sanitary Kit])</f>
        <v>0</v>
      </c>
      <c r="Z28" s="453">
        <f>IF(NFI_Expiration=1,IF($A28&lt;VLOOKUP(K$5,NFI,5,0),1,0)*Table_NFI[[#This Row],[Mosquito net]],Table_NFI[Mosquito net])</f>
        <v>0</v>
      </c>
      <c r="AA28" s="453">
        <f>IF(NFI_Expiration=1,IF($A28&lt;VLOOKUP(L$5,NFI,5,0),1,0)*Table_NFI[[#This Row],[Tarpaulin]],Table_NFI[[#This Row],[Tarpaulin]])</f>
        <v>0</v>
      </c>
      <c r="AB28" s="453">
        <f>IF(NFI_Expiration=1,IF($A28&lt;VLOOKUP(M$5,NFI,5,0),1,0)*Table_NFI[[#This Row],[Blanket]],Table_NFI[[#This Row],[Blanket]])</f>
        <v>28</v>
      </c>
      <c r="AC28" s="453">
        <f>IF(NFI_Expiration=1,IF($A28&lt;VLOOKUP(N$5,NFI,5,0),1,0)*Table_NFI[[#This Row],[Kitchen Set]],Table_NFI[Kitchen Set])</f>
        <v>0</v>
      </c>
      <c r="AD28" s="453">
        <f>IF(NFI_Expiration=1,IF($A28&lt;VLOOKUP(O$5,NFI,5,0),1,0)*Table_NFI[[#This Row],[Clothes Kit]],Table_NFI[Clothes Kit])</f>
        <v>0</v>
      </c>
      <c r="AE28" s="453">
        <f>IF(NFI_Expiration=1,IF($A28&lt;VLOOKUP(P$5,NFI,5,0),1,0)*Table_NFI[[#This Row],[Plastic Bucket]],Table_NFI[Plastic Bucket])</f>
        <v>0</v>
      </c>
      <c r="AF28" s="453">
        <f>IF(NFI_Expiration=1,IF($A28&lt;VLOOKUP(Q$5,NFI,5,0),1,0)*Table_NFI[[#This Row],[Plastic Mat]],Table_NFI[Plastic Mat])*IF(Table_NFI[[#This Row],[Distribution Date]]&gt;"2014-04-01",1,2.5)</f>
        <v>0</v>
      </c>
      <c r="AG28" s="453">
        <f>IF(NFI_Expiration=1,IF($A28&lt;VLOOKUP(R$5,NFI,5,0),1,0)*Table_NFI[[#This Row],[Winter Clothes Adult]],Table_NFI[Winter Clothes Adult])</f>
        <v>0</v>
      </c>
      <c r="AH28" s="453">
        <f>IF(NFI_Expiration=1,IF($A28&lt;VLOOKUP(S$5,NFI,5,0),1,0)*Table_NFI[[#This Row],[Winter Clothes Children]],Table_NFI[Winter Clothes Children])</f>
        <v>0</v>
      </c>
      <c r="AI28" s="453">
        <f>IF(NFI_Expiration=1,IF($A28&lt;VLOOKUP(T$5,NFI,5,0),1,0)*Table_NFI[[#This Row],[Winter Items Other]],Table_NFI[Winter Items Other])</f>
        <v>0</v>
      </c>
      <c r="AJ28" s="453">
        <f>IF(NFI_Expiration=1,IF($A28&lt;VLOOKUP(M$5,NFI,5,0),1,0)*Table_NFI[[#This Row],[Winter Blanket]],Table_NFI[[#This Row],[Winter Blanket]])</f>
        <v>0</v>
      </c>
      <c r="AK28" s="453">
        <f>IF(Table_NFI[[#This Row],[Winter Clothes Adult]]+Table_NFI[[#This Row],[Winter Clothes Children]]+Table_NFI[[#This Row],[Winter Items Other]]+Table_NFI[[#This Row],[Winter Blanket]]&gt;0,1,0)</f>
        <v>0</v>
      </c>
      <c r="AL28" s="439">
        <f>IF(NFI_Expiration=1,IF($A28&lt;VLOOKUP(V$5,NFI,5,0),1,0)*Table_NFI[[#This Row],[Jerry Can]],Table_NFI[Jerry Can])</f>
        <v>0</v>
      </c>
      <c r="AM28" s="805" t="str">
        <f>IFERROR(VLOOKUP(Table_NFI[[#This Row],[Camp Name]],CL,2,0),"")</f>
        <v>MMR001CMP062</v>
      </c>
      <c r="AN28" s="806">
        <f ca="1">IF(Table_NFI[[#This Row],[Pcode]]="","",IF(OFFSET(CampList[Opening Date],MATCH(Table_NFI[[#This Row],[Pcode]],CampList[CP_Pcode],0)-1,0,1,1)&gt;=NFI_Monitor_Date,1,0))</f>
        <v>0</v>
      </c>
      <c r="AO28" s="805" t="str">
        <f>IFERROR(VLOOKUP(Table_NFI[[#This Row],[Camp Name]],CL,3,0),"")</f>
        <v>Open</v>
      </c>
      <c r="AP28" s="453" t="str">
        <f ca="1">IF(Table_NFI[[#This Row],[Pcode]]="","",OFFSET(CampList[Priority],MATCH(Table_NFI[[#This Row],[Pcode]],CampList[CP_Pcode],0)-1,0,1,1))</f>
        <v>P4</v>
      </c>
      <c r="AQ28" s="454">
        <f>IFERROR(Table_NFI[[#This Row],[Kitchen Set]]/VLOOKUP(Table_NFI[[#This Row],[Camp Name]],CL,4,0),"")</f>
        <v>0</v>
      </c>
      <c r="AR28" s="804"/>
      <c r="AS28" s="826"/>
    </row>
    <row r="29" spans="1:45" s="784" customFormat="1" x14ac:dyDescent="0.25">
      <c r="A29" s="456">
        <f t="shared" si="0"/>
        <v>5.7333333333333334</v>
      </c>
      <c r="B29" s="803">
        <v>42137</v>
      </c>
      <c r="C29" s="823" t="s">
        <v>454</v>
      </c>
      <c r="D29" s="804" t="s">
        <v>462</v>
      </c>
      <c r="E29" s="804" t="s">
        <v>380</v>
      </c>
      <c r="F29" s="804" t="s">
        <v>151</v>
      </c>
      <c r="G29" s="804" t="s">
        <v>891</v>
      </c>
      <c r="H29" s="452"/>
      <c r="I29" s="452"/>
      <c r="J29" s="452"/>
      <c r="K29" s="452">
        <v>6</v>
      </c>
      <c r="L29" s="452">
        <v>12</v>
      </c>
      <c r="M29" s="452"/>
      <c r="N29" s="452">
        <v>3</v>
      </c>
      <c r="O29" s="452"/>
      <c r="P29" s="453">
        <v>3</v>
      </c>
      <c r="Q29" s="453">
        <v>9</v>
      </c>
      <c r="R29" s="453"/>
      <c r="S29" s="453"/>
      <c r="T29" s="453"/>
      <c r="U29" s="453">
        <v>9</v>
      </c>
      <c r="V29" s="453"/>
      <c r="W29" s="453">
        <f>IF(NFI_Expiration=1,IF($A29&lt;VLOOKUP(H$5,NFI,5,0),1,0)*Table_NFI[[#This Row],[Hygiene Kit]],Table_NFI[Hygiene Kit])</f>
        <v>0</v>
      </c>
      <c r="X29" s="453">
        <f>IF(NFI_Expiration=1,IF($A29&lt;VLOOKUP(I$5,NFI,5,0),1,0)*Table_NFI[[#This Row],[NFI Core Kit]],Table_NFI[NFI Core Kit])</f>
        <v>0</v>
      </c>
      <c r="Y29" s="453">
        <f>IF(NFI_Expiration=1,IF($A29&lt;VLOOKUP(J$5,NFI,5,0),1,0)*Table_NFI[[#This Row],[Sanitary Kit]],Table_NFI[Sanitary Kit])</f>
        <v>0</v>
      </c>
      <c r="Z29" s="453">
        <f>IF(NFI_Expiration=1,IF($A29&lt;VLOOKUP(K$5,NFI,5,0),1,0)*Table_NFI[[#This Row],[Mosquito net]],Table_NFI[Mosquito net])</f>
        <v>6</v>
      </c>
      <c r="AA29" s="453">
        <f>IF(NFI_Expiration=1,IF($A29&lt;VLOOKUP(L$5,NFI,5,0),1,0)*Table_NFI[[#This Row],[Tarpaulin]],Table_NFI[[#This Row],[Tarpaulin]])</f>
        <v>12</v>
      </c>
      <c r="AB29" s="453">
        <f>IF(NFI_Expiration=1,IF($A29&lt;VLOOKUP(M$5,NFI,5,0),1,0)*Table_NFI[[#This Row],[Blanket]],Table_NFI[[#This Row],[Blanket]])</f>
        <v>0</v>
      </c>
      <c r="AC29" s="453">
        <f>IF(NFI_Expiration=1,IF($A29&lt;VLOOKUP(N$5,NFI,5,0),1,0)*Table_NFI[[#This Row],[Kitchen Set]],Table_NFI[Kitchen Set])</f>
        <v>3</v>
      </c>
      <c r="AD29" s="453">
        <f>IF(NFI_Expiration=1,IF($A29&lt;VLOOKUP(O$5,NFI,5,0),1,0)*Table_NFI[[#This Row],[Clothes Kit]],Table_NFI[Clothes Kit])</f>
        <v>0</v>
      </c>
      <c r="AE29" s="453">
        <f>IF(NFI_Expiration=1,IF($A29&lt;VLOOKUP(P$5,NFI,5,0),1,0)*Table_NFI[[#This Row],[Plastic Bucket]],Table_NFI[Plastic Bucket])</f>
        <v>3</v>
      </c>
      <c r="AF29" s="453">
        <f>IF(NFI_Expiration=1,IF($A29&lt;VLOOKUP(Q$5,NFI,5,0),1,0)*Table_NFI[[#This Row],[Plastic Mat]],Table_NFI[Plastic Mat])*IF(Table_NFI[[#This Row],[Distribution Date]]&gt;"2014-04-01",1,2.5)</f>
        <v>22.5</v>
      </c>
      <c r="AG29" s="453">
        <f>IF(NFI_Expiration=1,IF($A29&lt;VLOOKUP(R$5,NFI,5,0),1,0)*Table_NFI[[#This Row],[Winter Clothes Adult]],Table_NFI[Winter Clothes Adult])</f>
        <v>0</v>
      </c>
      <c r="AH29" s="453">
        <f>IF(NFI_Expiration=1,IF($A29&lt;VLOOKUP(S$5,NFI,5,0),1,0)*Table_NFI[[#This Row],[Winter Clothes Children]],Table_NFI[Winter Clothes Children])</f>
        <v>0</v>
      </c>
      <c r="AI29" s="453">
        <f>IF(NFI_Expiration=1,IF($A29&lt;VLOOKUP(T$5,NFI,5,0),1,0)*Table_NFI[[#This Row],[Winter Items Other]],Table_NFI[Winter Items Other])</f>
        <v>0</v>
      </c>
      <c r="AJ29" s="453">
        <f>IF(NFI_Expiration=1,IF($A29&lt;VLOOKUP(M$5,NFI,5,0),1,0)*Table_NFI[[#This Row],[Winter Blanket]],Table_NFI[[#This Row],[Winter Blanket]])</f>
        <v>9</v>
      </c>
      <c r="AK29" s="453">
        <f>IF(Table_NFI[[#This Row],[Winter Clothes Adult]]+Table_NFI[[#This Row],[Winter Clothes Children]]+Table_NFI[[#This Row],[Winter Items Other]]+Table_NFI[[#This Row],[Winter Blanket]]&gt;0,1,0)</f>
        <v>1</v>
      </c>
      <c r="AL29" s="439">
        <f>IF(NFI_Expiration=1,IF($A29&lt;VLOOKUP(V$5,NFI,5,0),1,0)*Table_NFI[[#This Row],[Jerry Can]],Table_NFI[Jerry Can])</f>
        <v>0</v>
      </c>
      <c r="AM29" s="805" t="str">
        <f>IFERROR(VLOOKUP(Table_NFI[[#This Row],[Camp Name]],CL,2,0),"")</f>
        <v>MMR001CMP218</v>
      </c>
      <c r="AN29" s="806">
        <f ca="1">IF(Table_NFI[[#This Row],[Pcode]]="","",IF(OFFSET(CampList[Opening Date],MATCH(Table_NFI[[#This Row],[Pcode]],CampList[CP_Pcode],0)-1,0,1,1)&gt;=NFI_Monitor_Date,1,0))</f>
        <v>0</v>
      </c>
      <c r="AO29" s="805" t="str">
        <f>IFERROR(VLOOKUP(Table_NFI[[#This Row],[Camp Name]],CL,3,0),"")</f>
        <v>Open</v>
      </c>
      <c r="AP29" s="453" t="str">
        <f ca="1">IF(Table_NFI[[#This Row],[Pcode]]="","",OFFSET(CampList[Priority],MATCH(Table_NFI[[#This Row],[Pcode]],CampList[CP_Pcode],0)-1,0,1,1))</f>
        <v>P4</v>
      </c>
      <c r="AQ29" s="454">
        <f>IFERROR(Table_NFI[[#This Row],[Kitchen Set]]/VLOOKUP(Table_NFI[[#This Row],[Camp Name]],CL,4,0),"")</f>
        <v>8.0645161290322578E-3</v>
      </c>
      <c r="AR29" s="804"/>
      <c r="AS29" s="826"/>
    </row>
    <row r="30" spans="1:45" s="784" customFormat="1" x14ac:dyDescent="0.25">
      <c r="A30" s="455">
        <f t="shared" si="0"/>
        <v>6.9</v>
      </c>
      <c r="B30" s="778">
        <v>42102</v>
      </c>
      <c r="C30" s="779" t="s">
        <v>454</v>
      </c>
      <c r="D30" s="789" t="s">
        <v>462</v>
      </c>
      <c r="E30" s="789" t="s">
        <v>380</v>
      </c>
      <c r="F30" s="789" t="s">
        <v>151</v>
      </c>
      <c r="G30" s="789" t="s">
        <v>891</v>
      </c>
      <c r="H30" s="437"/>
      <c r="I30" s="437"/>
      <c r="J30" s="437"/>
      <c r="K30" s="437">
        <v>6</v>
      </c>
      <c r="L30" s="437">
        <v>3</v>
      </c>
      <c r="M30" s="437">
        <v>12</v>
      </c>
      <c r="N30" s="437">
        <v>3</v>
      </c>
      <c r="O30" s="437"/>
      <c r="P30" s="439">
        <v>3</v>
      </c>
      <c r="Q30" s="439"/>
      <c r="R30" s="439"/>
      <c r="S30" s="439"/>
      <c r="T30" s="439"/>
      <c r="U30" s="439"/>
      <c r="V30" s="439"/>
      <c r="W30" s="439">
        <f>IF(NFI_Expiration=1,IF($A30&lt;VLOOKUP(H$5,NFI,5,0),1,0)*Table_NFI[[#This Row],[Hygiene Kit]],Table_NFI[Hygiene Kit])</f>
        <v>0</v>
      </c>
      <c r="X30" s="439">
        <f>IF(NFI_Expiration=1,IF($A30&lt;VLOOKUP(I$5,NFI,5,0),1,0)*Table_NFI[[#This Row],[NFI Core Kit]],Table_NFI[NFI Core Kit])</f>
        <v>0</v>
      </c>
      <c r="Y30" s="439">
        <f>IF(NFI_Expiration=1,IF($A30&lt;VLOOKUP(J$5,NFI,5,0),1,0)*Table_NFI[[#This Row],[Sanitary Kit]],Table_NFI[Sanitary Kit])</f>
        <v>0</v>
      </c>
      <c r="Z30" s="439">
        <f>IF(NFI_Expiration=1,IF($A30&lt;VLOOKUP(K$5,NFI,5,0),1,0)*Table_NFI[[#This Row],[Mosquito net]],Table_NFI[Mosquito net])</f>
        <v>6</v>
      </c>
      <c r="AA30" s="439">
        <f>IF(NFI_Expiration=1,IF($A30&lt;VLOOKUP(L$5,NFI,5,0),1,0)*Table_NFI[[#This Row],[Tarpaulin]],Table_NFI[[#This Row],[Tarpaulin]])</f>
        <v>3</v>
      </c>
      <c r="AB30" s="439">
        <f>IF(NFI_Expiration=1,IF($A30&lt;VLOOKUP(M$5,NFI,5,0),1,0)*Table_NFI[[#This Row],[Blanket]],Table_NFI[[#This Row],[Blanket]])</f>
        <v>12</v>
      </c>
      <c r="AC30" s="439">
        <f>IF(NFI_Expiration=1,IF($A30&lt;VLOOKUP(N$5,NFI,5,0),1,0)*Table_NFI[[#This Row],[Kitchen Set]],Table_NFI[Kitchen Set])</f>
        <v>3</v>
      </c>
      <c r="AD30" s="439">
        <f>IF(NFI_Expiration=1,IF($A30&lt;VLOOKUP(O$5,NFI,5,0),1,0)*Table_NFI[[#This Row],[Clothes Kit]],Table_NFI[Clothes Kit])</f>
        <v>0</v>
      </c>
      <c r="AE30" s="439">
        <f>IF(NFI_Expiration=1,IF($A30&lt;VLOOKUP(P$5,NFI,5,0),1,0)*Table_NFI[[#This Row],[Plastic Bucket]],Table_NFI[Plastic Bucket])</f>
        <v>3</v>
      </c>
      <c r="AF30" s="439">
        <f>IF(NFI_Expiration=1,IF($A30&lt;VLOOKUP(Q$5,NFI,5,0),1,0)*Table_NFI[[#This Row],[Plastic Mat]],Table_NFI[Plastic Mat])*IF(Table_NFI[[#This Row],[Distribution Date]]&gt;"2014-04-01",1,2.5)</f>
        <v>0</v>
      </c>
      <c r="AG30" s="439">
        <f>IF(NFI_Expiration=1,IF($A30&lt;VLOOKUP(R$5,NFI,5,0),1,0)*Table_NFI[[#This Row],[Winter Clothes Adult]],Table_NFI[Winter Clothes Adult])</f>
        <v>0</v>
      </c>
      <c r="AH30" s="439">
        <f>IF(NFI_Expiration=1,IF($A30&lt;VLOOKUP(S$5,NFI,5,0),1,0)*Table_NFI[[#This Row],[Winter Clothes Children]],Table_NFI[Winter Clothes Children])</f>
        <v>0</v>
      </c>
      <c r="AI30" s="439">
        <f>IF(NFI_Expiration=1,IF($A30&lt;VLOOKUP(T$5,NFI,5,0),1,0)*Table_NFI[[#This Row],[Winter Items Other]],Table_NFI[Winter Items Other])</f>
        <v>0</v>
      </c>
      <c r="AJ30" s="439">
        <f>IF(NFI_Expiration=1,IF($A30&lt;VLOOKUP(M$5,NFI,5,0),1,0)*Table_NFI[[#This Row],[Winter Blanket]],Table_NFI[[#This Row],[Winter Blanket]])</f>
        <v>0</v>
      </c>
      <c r="AK30" s="439">
        <f>IF(Table_NFI[[#This Row],[Winter Clothes Adult]]+Table_NFI[[#This Row],[Winter Clothes Children]]+Table_NFI[[#This Row],[Winter Items Other]]+Table_NFI[[#This Row],[Winter Blanket]]&gt;0,1,0)</f>
        <v>0</v>
      </c>
      <c r="AL30" s="439">
        <f>IF(NFI_Expiration=1,IF($A30&lt;VLOOKUP(V$5,NFI,5,0),1,0)*Table_NFI[[#This Row],[Jerry Can]],Table_NFI[Jerry Can])</f>
        <v>0</v>
      </c>
      <c r="AM30" s="791" t="str">
        <f>IFERROR(VLOOKUP(Table_NFI[[#This Row],[Camp Name]],CL,2,0),"")</f>
        <v>MMR001CMP218</v>
      </c>
      <c r="AN30" s="782">
        <f ca="1">IF(Table_NFI[[#This Row],[Pcode]]="","",IF(OFFSET(CampList[Opening Date],MATCH(Table_NFI[[#This Row],[Pcode]],CampList[CP_Pcode],0)-1,0,1,1)&gt;=NFI_Monitor_Date,1,0))</f>
        <v>0</v>
      </c>
      <c r="AO30" s="791" t="str">
        <f>IFERROR(VLOOKUP(Table_NFI[[#This Row],[Camp Name]],CL,3,0),"")</f>
        <v>Open</v>
      </c>
      <c r="AP30" s="439" t="str">
        <f ca="1">IF(Table_NFI[[#This Row],[Pcode]]="","",OFFSET(CampList[Priority],MATCH(Table_NFI[[#This Row],[Pcode]],CampList[CP_Pcode],0)-1,0,1,1))</f>
        <v>P4</v>
      </c>
      <c r="AQ30" s="438">
        <f>IFERROR(Table_NFI[[#This Row],[Kitchen Set]]/VLOOKUP(Table_NFI[[#This Row],[Camp Name]],CL,4,0),"")</f>
        <v>8.0645161290322578E-3</v>
      </c>
      <c r="AR30" s="789"/>
      <c r="AS30" s="792"/>
    </row>
    <row r="31" spans="1:45" s="784" customFormat="1" x14ac:dyDescent="0.25">
      <c r="A31" s="455">
        <f t="shared" si="0"/>
        <v>6.9</v>
      </c>
      <c r="B31" s="778">
        <v>42102</v>
      </c>
      <c r="C31" s="779" t="s">
        <v>454</v>
      </c>
      <c r="D31" s="789" t="s">
        <v>1096</v>
      </c>
      <c r="E31" s="789" t="s">
        <v>380</v>
      </c>
      <c r="F31" s="789" t="s">
        <v>151</v>
      </c>
      <c r="G31" s="789" t="s">
        <v>949</v>
      </c>
      <c r="H31" s="437"/>
      <c r="I31" s="437"/>
      <c r="J31" s="437"/>
      <c r="K31" s="437">
        <v>2</v>
      </c>
      <c r="L31" s="437">
        <v>1</v>
      </c>
      <c r="M31" s="437">
        <v>3</v>
      </c>
      <c r="N31" s="437">
        <v>1</v>
      </c>
      <c r="O31" s="437"/>
      <c r="P31" s="439">
        <v>1</v>
      </c>
      <c r="Q31" s="439"/>
      <c r="R31" s="439"/>
      <c r="S31" s="439"/>
      <c r="T31" s="439"/>
      <c r="U31" s="439"/>
      <c r="V31" s="439"/>
      <c r="W31" s="439">
        <f>IF(NFI_Expiration=1,IF($A31&lt;VLOOKUP(H$5,NFI,5,0),1,0)*Table_NFI[[#This Row],[Hygiene Kit]],Table_NFI[Hygiene Kit])</f>
        <v>0</v>
      </c>
      <c r="X31" s="439">
        <f>IF(NFI_Expiration=1,IF($A31&lt;VLOOKUP(I$5,NFI,5,0),1,0)*Table_NFI[[#This Row],[NFI Core Kit]],Table_NFI[NFI Core Kit])</f>
        <v>0</v>
      </c>
      <c r="Y31" s="439">
        <f>IF(NFI_Expiration=1,IF($A31&lt;VLOOKUP(J$5,NFI,5,0),1,0)*Table_NFI[[#This Row],[Sanitary Kit]],Table_NFI[Sanitary Kit])</f>
        <v>0</v>
      </c>
      <c r="Z31" s="439">
        <f>IF(NFI_Expiration=1,IF($A31&lt;VLOOKUP(K$5,NFI,5,0),1,0)*Table_NFI[[#This Row],[Mosquito net]],Table_NFI[Mosquito net])</f>
        <v>2</v>
      </c>
      <c r="AA31" s="439">
        <f>IF(NFI_Expiration=1,IF($A31&lt;VLOOKUP(L$5,NFI,5,0),1,0)*Table_NFI[[#This Row],[Tarpaulin]],Table_NFI[[#This Row],[Tarpaulin]])</f>
        <v>1</v>
      </c>
      <c r="AB31" s="439">
        <f>IF(NFI_Expiration=1,IF($A31&lt;VLOOKUP(M$5,NFI,5,0),1,0)*Table_NFI[[#This Row],[Blanket]],Table_NFI[[#This Row],[Blanket]])</f>
        <v>3</v>
      </c>
      <c r="AC31" s="439">
        <f>IF(NFI_Expiration=1,IF($A31&lt;VLOOKUP(N$5,NFI,5,0),1,0)*Table_NFI[[#This Row],[Kitchen Set]],Table_NFI[Kitchen Set])</f>
        <v>1</v>
      </c>
      <c r="AD31" s="439">
        <f>IF(NFI_Expiration=1,IF($A31&lt;VLOOKUP(O$5,NFI,5,0),1,0)*Table_NFI[[#This Row],[Clothes Kit]],Table_NFI[Clothes Kit])</f>
        <v>0</v>
      </c>
      <c r="AE31" s="439">
        <f>IF(NFI_Expiration=1,IF($A31&lt;VLOOKUP(P$5,NFI,5,0),1,0)*Table_NFI[[#This Row],[Plastic Bucket]],Table_NFI[Plastic Bucket])</f>
        <v>1</v>
      </c>
      <c r="AF31" s="439">
        <f>IF(NFI_Expiration=1,IF($A31&lt;VLOOKUP(Q$5,NFI,5,0),1,0)*Table_NFI[[#This Row],[Plastic Mat]],Table_NFI[Plastic Mat])*IF(Table_NFI[[#This Row],[Distribution Date]]&gt;"2014-04-01",1,2.5)</f>
        <v>0</v>
      </c>
      <c r="AG31" s="439">
        <f>IF(NFI_Expiration=1,IF($A31&lt;VLOOKUP(R$5,NFI,5,0),1,0)*Table_NFI[[#This Row],[Winter Clothes Adult]],Table_NFI[Winter Clothes Adult])</f>
        <v>0</v>
      </c>
      <c r="AH31" s="439">
        <f>IF(NFI_Expiration=1,IF($A31&lt;VLOOKUP(S$5,NFI,5,0),1,0)*Table_NFI[[#This Row],[Winter Clothes Children]],Table_NFI[Winter Clothes Children])</f>
        <v>0</v>
      </c>
      <c r="AI31" s="439">
        <f>IF(NFI_Expiration=1,IF($A31&lt;VLOOKUP(T$5,NFI,5,0),1,0)*Table_NFI[[#This Row],[Winter Items Other]],Table_NFI[Winter Items Other])</f>
        <v>0</v>
      </c>
      <c r="AJ31" s="439">
        <f>IF(NFI_Expiration=1,IF($A31&lt;VLOOKUP(M$5,NFI,5,0),1,0)*Table_NFI[[#This Row],[Winter Blanket]],Table_NFI[[#This Row],[Winter Blanket]])</f>
        <v>0</v>
      </c>
      <c r="AK31" s="439">
        <f>IF(Table_NFI[[#This Row],[Winter Clothes Adult]]+Table_NFI[[#This Row],[Winter Clothes Children]]+Table_NFI[[#This Row],[Winter Items Other]]+Table_NFI[[#This Row],[Winter Blanket]]&gt;0,1,0)</f>
        <v>0</v>
      </c>
      <c r="AL31" s="439">
        <f>IF(NFI_Expiration=1,IF($A31&lt;VLOOKUP(V$5,NFI,5,0),1,0)*Table_NFI[[#This Row],[Jerry Can]],Table_NFI[Jerry Can])</f>
        <v>0</v>
      </c>
      <c r="AM31" s="791" t="str">
        <f>IFERROR(VLOOKUP(Table_NFI[[#This Row],[Camp Name]],CL,2,0),"")</f>
        <v>MMR001CMP223</v>
      </c>
      <c r="AN31" s="782">
        <f ca="1">IF(Table_NFI[[#This Row],[Pcode]]="","",IF(OFFSET(CampList[Opening Date],MATCH(Table_NFI[[#This Row],[Pcode]],CampList[CP_Pcode],0)-1,0,1,1)&gt;=NFI_Monitor_Date,1,0))</f>
        <v>0</v>
      </c>
      <c r="AO31" s="791" t="str">
        <f>IFERROR(VLOOKUP(Table_NFI[[#This Row],[Camp Name]],CL,3,0),"")</f>
        <v>Open</v>
      </c>
      <c r="AP31" s="439" t="str">
        <f ca="1">IF(Table_NFI[[#This Row],[Pcode]]="","",OFFSET(CampList[Priority],MATCH(Table_NFI[[#This Row],[Pcode]],CampList[CP_Pcode],0)-1,0,1,1))</f>
        <v>P4</v>
      </c>
      <c r="AQ31" s="438">
        <f>IFERROR(Table_NFI[[#This Row],[Kitchen Set]]/VLOOKUP(Table_NFI[[#This Row],[Camp Name]],CL,4,0),"")</f>
        <v>8.2644628099173556E-3</v>
      </c>
      <c r="AR31" s="789"/>
      <c r="AS31" s="792"/>
    </row>
    <row r="32" spans="1:45" s="784" customFormat="1" x14ac:dyDescent="0.25">
      <c r="A32" s="455">
        <f t="shared" si="0"/>
        <v>7.0666666666666664</v>
      </c>
      <c r="B32" s="778">
        <v>42097</v>
      </c>
      <c r="C32" s="779" t="s">
        <v>454</v>
      </c>
      <c r="D32" s="789" t="s">
        <v>507</v>
      </c>
      <c r="E32" s="789" t="s">
        <v>380</v>
      </c>
      <c r="F32" s="789" t="s">
        <v>185</v>
      </c>
      <c r="G32" s="789" t="s">
        <v>186</v>
      </c>
      <c r="H32" s="437"/>
      <c r="I32" s="437"/>
      <c r="J32" s="437"/>
      <c r="K32" s="437">
        <v>62</v>
      </c>
      <c r="L32" s="437">
        <v>26</v>
      </c>
      <c r="M32" s="437">
        <v>272</v>
      </c>
      <c r="N32" s="437">
        <v>26</v>
      </c>
      <c r="O32" s="437"/>
      <c r="P32" s="439">
        <v>26</v>
      </c>
      <c r="Q32" s="439">
        <v>720</v>
      </c>
      <c r="R32" s="439"/>
      <c r="S32" s="439"/>
      <c r="T32" s="439"/>
      <c r="U32" s="439"/>
      <c r="V32" s="439"/>
      <c r="W32" s="439">
        <f>IF(NFI_Expiration=1,IF($A32&lt;VLOOKUP(H$5,NFI,5,0),1,0)*Table_NFI[[#This Row],[Hygiene Kit]],Table_NFI[Hygiene Kit])</f>
        <v>0</v>
      </c>
      <c r="X32" s="439">
        <f>IF(NFI_Expiration=1,IF($A32&lt;VLOOKUP(I$5,NFI,5,0),1,0)*Table_NFI[[#This Row],[NFI Core Kit]],Table_NFI[NFI Core Kit])</f>
        <v>0</v>
      </c>
      <c r="Y32" s="439">
        <f>IF(NFI_Expiration=1,IF($A32&lt;VLOOKUP(J$5,NFI,5,0),1,0)*Table_NFI[[#This Row],[Sanitary Kit]],Table_NFI[Sanitary Kit])</f>
        <v>0</v>
      </c>
      <c r="Z32" s="439">
        <f>IF(NFI_Expiration=1,IF($A32&lt;VLOOKUP(K$5,NFI,5,0),1,0)*Table_NFI[[#This Row],[Mosquito net]],Table_NFI[Mosquito net])</f>
        <v>62</v>
      </c>
      <c r="AA32" s="439">
        <f>IF(NFI_Expiration=1,IF($A32&lt;VLOOKUP(L$5,NFI,5,0),1,0)*Table_NFI[[#This Row],[Tarpaulin]],Table_NFI[[#This Row],[Tarpaulin]])</f>
        <v>26</v>
      </c>
      <c r="AB32" s="439">
        <f>IF(NFI_Expiration=1,IF($A32&lt;VLOOKUP(M$5,NFI,5,0),1,0)*Table_NFI[[#This Row],[Blanket]],Table_NFI[[#This Row],[Blanket]])</f>
        <v>272</v>
      </c>
      <c r="AC32" s="439">
        <f>IF(NFI_Expiration=1,IF($A32&lt;VLOOKUP(N$5,NFI,5,0),1,0)*Table_NFI[[#This Row],[Kitchen Set]],Table_NFI[Kitchen Set])</f>
        <v>26</v>
      </c>
      <c r="AD32" s="439">
        <f>IF(NFI_Expiration=1,IF($A32&lt;VLOOKUP(O$5,NFI,5,0),1,0)*Table_NFI[[#This Row],[Clothes Kit]],Table_NFI[Clothes Kit])</f>
        <v>0</v>
      </c>
      <c r="AE32" s="439">
        <f>IF(NFI_Expiration=1,IF($A32&lt;VLOOKUP(P$5,NFI,5,0),1,0)*Table_NFI[[#This Row],[Plastic Bucket]],Table_NFI[Plastic Bucket])</f>
        <v>26</v>
      </c>
      <c r="AF32" s="439">
        <f>IF(NFI_Expiration=1,IF($A32&lt;VLOOKUP(Q$5,NFI,5,0),1,0)*Table_NFI[[#This Row],[Plastic Mat]],Table_NFI[Plastic Mat])*IF(Table_NFI[[#This Row],[Distribution Date]]&gt;"2014-04-01",1,2.5)</f>
        <v>1800</v>
      </c>
      <c r="AG32" s="439">
        <f>IF(NFI_Expiration=1,IF($A32&lt;VLOOKUP(R$5,NFI,5,0),1,0)*Table_NFI[[#This Row],[Winter Clothes Adult]],Table_NFI[Winter Clothes Adult])</f>
        <v>0</v>
      </c>
      <c r="AH32" s="439">
        <f>IF(NFI_Expiration=1,IF($A32&lt;VLOOKUP(S$5,NFI,5,0),1,0)*Table_NFI[[#This Row],[Winter Clothes Children]],Table_NFI[Winter Clothes Children])</f>
        <v>0</v>
      </c>
      <c r="AI32" s="439">
        <f>IF(NFI_Expiration=1,IF($A32&lt;VLOOKUP(T$5,NFI,5,0),1,0)*Table_NFI[[#This Row],[Winter Items Other]],Table_NFI[Winter Items Other])</f>
        <v>0</v>
      </c>
      <c r="AJ32" s="439">
        <f>IF(NFI_Expiration=1,IF($A32&lt;VLOOKUP(M$5,NFI,5,0),1,0)*Table_NFI[[#This Row],[Winter Blanket]],Table_NFI[[#This Row],[Winter Blanket]])</f>
        <v>0</v>
      </c>
      <c r="AK32" s="439">
        <f>IF(Table_NFI[[#This Row],[Winter Clothes Adult]]+Table_NFI[[#This Row],[Winter Clothes Children]]+Table_NFI[[#This Row],[Winter Items Other]]+Table_NFI[[#This Row],[Winter Blanket]]&gt;0,1,0)</f>
        <v>0</v>
      </c>
      <c r="AL32" s="439">
        <f>IF(NFI_Expiration=1,IF($A32&lt;VLOOKUP(V$5,NFI,5,0),1,0)*Table_NFI[[#This Row],[Jerry Can]],Table_NFI[Jerry Can])</f>
        <v>0</v>
      </c>
      <c r="AM32" s="791" t="str">
        <f>IFERROR(VLOOKUP(Table_NFI[[#This Row],[Camp Name]],CL,2,0),"")</f>
        <v>MMR001CMP071</v>
      </c>
      <c r="AN32" s="782">
        <f ca="1">IF(Table_NFI[[#This Row],[Pcode]]="","",IF(OFFSET(CampList[Opening Date],MATCH(Table_NFI[[#This Row],[Pcode]],CampList[CP_Pcode],0)-1,0,1,1)&gt;=NFI_Monitor_Date,1,0))</f>
        <v>0</v>
      </c>
      <c r="AO32" s="791" t="str">
        <f>IFERROR(VLOOKUP(Table_NFI[[#This Row],[Camp Name]],CL,3,0),"")</f>
        <v>Open</v>
      </c>
      <c r="AP32" s="439" t="str">
        <f ca="1">IF(Table_NFI[[#This Row],[Pcode]]="","",OFFSET(CampList[Priority],MATCH(Table_NFI[[#This Row],[Pcode]],CampList[CP_Pcode],0)-1,0,1,1))</f>
        <v>P3</v>
      </c>
      <c r="AQ32" s="438">
        <f>IFERROR(Table_NFI[[#This Row],[Kitchen Set]]/VLOOKUP(Table_NFI[[#This Row],[Camp Name]],CL,4,0),"")</f>
        <v>0.89655172413793105</v>
      </c>
      <c r="AR32" s="789"/>
      <c r="AS32" s="792"/>
    </row>
    <row r="33" spans="1:45" s="784" customFormat="1" x14ac:dyDescent="0.25">
      <c r="A33" s="455">
        <f t="shared" si="0"/>
        <v>7.0666666666666664</v>
      </c>
      <c r="B33" s="778">
        <v>42097</v>
      </c>
      <c r="C33" s="779" t="s">
        <v>454</v>
      </c>
      <c r="D33" s="789" t="s">
        <v>507</v>
      </c>
      <c r="E33" s="789" t="s">
        <v>380</v>
      </c>
      <c r="F33" s="789" t="s">
        <v>185</v>
      </c>
      <c r="G33" s="789" t="s">
        <v>207</v>
      </c>
      <c r="H33" s="437"/>
      <c r="I33" s="437"/>
      <c r="J33" s="437"/>
      <c r="K33" s="437"/>
      <c r="L33" s="437"/>
      <c r="M33" s="437">
        <v>8</v>
      </c>
      <c r="N33" s="437"/>
      <c r="O33" s="437"/>
      <c r="P33" s="439"/>
      <c r="Q33" s="439"/>
      <c r="R33" s="439"/>
      <c r="S33" s="439"/>
      <c r="T33" s="439"/>
      <c r="U33" s="439"/>
      <c r="V33" s="439"/>
      <c r="W33" s="439">
        <f>IF(NFI_Expiration=1,IF($A33&lt;VLOOKUP(H$5,NFI,5,0),1,0)*Table_NFI[[#This Row],[Hygiene Kit]],Table_NFI[Hygiene Kit])</f>
        <v>0</v>
      </c>
      <c r="X33" s="439">
        <f>IF(NFI_Expiration=1,IF($A33&lt;VLOOKUP(I$5,NFI,5,0),1,0)*Table_NFI[[#This Row],[NFI Core Kit]],Table_NFI[NFI Core Kit])</f>
        <v>0</v>
      </c>
      <c r="Y33" s="439">
        <f>IF(NFI_Expiration=1,IF($A33&lt;VLOOKUP(J$5,NFI,5,0),1,0)*Table_NFI[[#This Row],[Sanitary Kit]],Table_NFI[Sanitary Kit])</f>
        <v>0</v>
      </c>
      <c r="Z33" s="439">
        <f>IF(NFI_Expiration=1,IF($A33&lt;VLOOKUP(K$5,NFI,5,0),1,0)*Table_NFI[[#This Row],[Mosquito net]],Table_NFI[Mosquito net])</f>
        <v>0</v>
      </c>
      <c r="AA33" s="439">
        <f>IF(NFI_Expiration=1,IF($A33&lt;VLOOKUP(L$5,NFI,5,0),1,0)*Table_NFI[[#This Row],[Tarpaulin]],Table_NFI[[#This Row],[Tarpaulin]])</f>
        <v>0</v>
      </c>
      <c r="AB33" s="439">
        <f>IF(NFI_Expiration=1,IF($A33&lt;VLOOKUP(M$5,NFI,5,0),1,0)*Table_NFI[[#This Row],[Blanket]],Table_NFI[[#This Row],[Blanket]])</f>
        <v>8</v>
      </c>
      <c r="AC33" s="439">
        <f>IF(NFI_Expiration=1,IF($A33&lt;VLOOKUP(N$5,NFI,5,0),1,0)*Table_NFI[[#This Row],[Kitchen Set]],Table_NFI[Kitchen Set])</f>
        <v>0</v>
      </c>
      <c r="AD33" s="439">
        <f>IF(NFI_Expiration=1,IF($A33&lt;VLOOKUP(O$5,NFI,5,0),1,0)*Table_NFI[[#This Row],[Clothes Kit]],Table_NFI[Clothes Kit])</f>
        <v>0</v>
      </c>
      <c r="AE33" s="439">
        <f>IF(NFI_Expiration=1,IF($A33&lt;VLOOKUP(P$5,NFI,5,0),1,0)*Table_NFI[[#This Row],[Plastic Bucket]],Table_NFI[Plastic Bucket])</f>
        <v>0</v>
      </c>
      <c r="AF33" s="439">
        <f>IF(NFI_Expiration=1,IF($A33&lt;VLOOKUP(Q$5,NFI,5,0),1,0)*Table_NFI[[#This Row],[Plastic Mat]],Table_NFI[Plastic Mat])*IF(Table_NFI[[#This Row],[Distribution Date]]&gt;"2014-04-01",1,2.5)</f>
        <v>0</v>
      </c>
      <c r="AG33" s="439">
        <f>IF(NFI_Expiration=1,IF($A33&lt;VLOOKUP(R$5,NFI,5,0),1,0)*Table_NFI[[#This Row],[Winter Clothes Adult]],Table_NFI[Winter Clothes Adult])</f>
        <v>0</v>
      </c>
      <c r="AH33" s="439">
        <f>IF(NFI_Expiration=1,IF($A33&lt;VLOOKUP(S$5,NFI,5,0),1,0)*Table_NFI[[#This Row],[Winter Clothes Children]],Table_NFI[Winter Clothes Children])</f>
        <v>0</v>
      </c>
      <c r="AI33" s="439">
        <f>IF(NFI_Expiration=1,IF($A33&lt;VLOOKUP(T$5,NFI,5,0),1,0)*Table_NFI[[#This Row],[Winter Items Other]],Table_NFI[Winter Items Other])</f>
        <v>0</v>
      </c>
      <c r="AJ33" s="439">
        <f>IF(NFI_Expiration=1,IF($A33&lt;VLOOKUP(M$5,NFI,5,0),1,0)*Table_NFI[[#This Row],[Winter Blanket]],Table_NFI[[#This Row],[Winter Blanket]])</f>
        <v>0</v>
      </c>
      <c r="AK33" s="439">
        <f>IF(Table_NFI[[#This Row],[Winter Clothes Adult]]+Table_NFI[[#This Row],[Winter Clothes Children]]+Table_NFI[[#This Row],[Winter Items Other]]+Table_NFI[[#This Row],[Winter Blanket]]&gt;0,1,0)</f>
        <v>0</v>
      </c>
      <c r="AL33" s="439">
        <f>IF(NFI_Expiration=1,IF($A33&lt;VLOOKUP(V$5,NFI,5,0),1,0)*Table_NFI[[#This Row],[Jerry Can]],Table_NFI[Jerry Can])</f>
        <v>0</v>
      </c>
      <c r="AM33" s="791" t="str">
        <f>IFERROR(VLOOKUP(Table_NFI[[#This Row],[Camp Name]],CL,2,0),"")</f>
        <v>MMR001CMP058</v>
      </c>
      <c r="AN33" s="782">
        <f ca="1">IF(Table_NFI[[#This Row],[Pcode]]="","",IF(OFFSET(CampList[Opening Date],MATCH(Table_NFI[[#This Row],[Pcode]],CampList[CP_Pcode],0)-1,0,1,1)&gt;=NFI_Monitor_Date,1,0))</f>
        <v>0</v>
      </c>
      <c r="AO33" s="791" t="s">
        <v>849</v>
      </c>
      <c r="AP33" s="439" t="str">
        <f ca="1">IF(Table_NFI[[#This Row],[Pcode]]="","",OFFSET(CampList[Priority],MATCH(Table_NFI[[#This Row],[Pcode]],CampList[CP_Pcode],0)-1,0,1,1))</f>
        <v>P4</v>
      </c>
      <c r="AQ33" s="438" t="str">
        <f>IFERROR(Table_NFI[[#This Row],[Kitchen Set]]/VLOOKUP(Table_NFI[[#This Row],[Camp Name]],CL,4,0),"")</f>
        <v/>
      </c>
      <c r="AR33" s="789"/>
      <c r="AS33" s="792"/>
    </row>
    <row r="34" spans="1:45" s="784" customFormat="1" x14ac:dyDescent="0.25">
      <c r="A34" s="455">
        <f t="shared" si="0"/>
        <v>7.0666666666666664</v>
      </c>
      <c r="B34" s="778">
        <v>42097</v>
      </c>
      <c r="C34" s="779" t="s">
        <v>454</v>
      </c>
      <c r="D34" s="789" t="s">
        <v>507</v>
      </c>
      <c r="E34" s="789" t="s">
        <v>380</v>
      </c>
      <c r="F34" s="789" t="s">
        <v>5</v>
      </c>
      <c r="G34" s="789" t="s">
        <v>8</v>
      </c>
      <c r="H34" s="437"/>
      <c r="I34" s="437"/>
      <c r="J34" s="437"/>
      <c r="K34" s="437">
        <v>4</v>
      </c>
      <c r="L34" s="437">
        <v>3</v>
      </c>
      <c r="M34" s="437">
        <v>46</v>
      </c>
      <c r="N34" s="437">
        <v>3</v>
      </c>
      <c r="O34" s="437"/>
      <c r="P34" s="439">
        <v>3</v>
      </c>
      <c r="Q34" s="439">
        <v>11</v>
      </c>
      <c r="R34" s="439"/>
      <c r="S34" s="439"/>
      <c r="T34" s="439"/>
      <c r="U34" s="439"/>
      <c r="V34" s="818">
        <v>3</v>
      </c>
      <c r="W34" s="439">
        <f>IF(NFI_Expiration=1,IF($A34&lt;VLOOKUP(H$5,NFI,5,0),1,0)*Table_NFI[[#This Row],[Hygiene Kit]],Table_NFI[Hygiene Kit])</f>
        <v>0</v>
      </c>
      <c r="X34" s="439">
        <f>IF(NFI_Expiration=1,IF($A34&lt;VLOOKUP(I$5,NFI,5,0),1,0)*Table_NFI[[#This Row],[NFI Core Kit]],Table_NFI[NFI Core Kit])</f>
        <v>0</v>
      </c>
      <c r="Y34" s="439">
        <f>IF(NFI_Expiration=1,IF($A34&lt;VLOOKUP(J$5,NFI,5,0),1,0)*Table_NFI[[#This Row],[Sanitary Kit]],Table_NFI[Sanitary Kit])</f>
        <v>0</v>
      </c>
      <c r="Z34" s="439">
        <f>IF(NFI_Expiration=1,IF($A34&lt;VLOOKUP(K$5,NFI,5,0),1,0)*Table_NFI[[#This Row],[Mosquito net]],Table_NFI[Mosquito net])</f>
        <v>4</v>
      </c>
      <c r="AA34" s="439">
        <f>IF(NFI_Expiration=1,IF($A34&lt;VLOOKUP(L$5,NFI,5,0),1,0)*Table_NFI[[#This Row],[Tarpaulin]],Table_NFI[[#This Row],[Tarpaulin]])</f>
        <v>3</v>
      </c>
      <c r="AB34" s="439">
        <f>IF(NFI_Expiration=1,IF($A34&lt;VLOOKUP(M$5,NFI,5,0),1,0)*Table_NFI[[#This Row],[Blanket]],Table_NFI[[#This Row],[Blanket]])</f>
        <v>46</v>
      </c>
      <c r="AC34" s="439">
        <f>IF(NFI_Expiration=1,IF($A34&lt;VLOOKUP(N$5,NFI,5,0),1,0)*Table_NFI[[#This Row],[Kitchen Set]],Table_NFI[Kitchen Set])</f>
        <v>3</v>
      </c>
      <c r="AD34" s="439">
        <f>IF(NFI_Expiration=1,IF($A34&lt;VLOOKUP(O$5,NFI,5,0),1,0)*Table_NFI[[#This Row],[Clothes Kit]],Table_NFI[Clothes Kit])</f>
        <v>0</v>
      </c>
      <c r="AE34" s="439">
        <f>IF(NFI_Expiration=1,IF($A34&lt;VLOOKUP(P$5,NFI,5,0),1,0)*Table_NFI[[#This Row],[Plastic Bucket]],Table_NFI[Plastic Bucket])</f>
        <v>3</v>
      </c>
      <c r="AF34" s="439">
        <f>IF(NFI_Expiration=1,IF($A34&lt;VLOOKUP(Q$5,NFI,5,0),1,0)*Table_NFI[[#This Row],[Plastic Mat]],Table_NFI[Plastic Mat])*IF(Table_NFI[[#This Row],[Distribution Date]]&gt;"2014-04-01",1,2.5)</f>
        <v>27.5</v>
      </c>
      <c r="AG34" s="439">
        <f>IF(NFI_Expiration=1,IF($A34&lt;VLOOKUP(R$5,NFI,5,0),1,0)*Table_NFI[[#This Row],[Winter Clothes Adult]],Table_NFI[Winter Clothes Adult])</f>
        <v>0</v>
      </c>
      <c r="AH34" s="439">
        <f>IF(NFI_Expiration=1,IF($A34&lt;VLOOKUP(S$5,NFI,5,0),1,0)*Table_NFI[[#This Row],[Winter Clothes Children]],Table_NFI[Winter Clothes Children])</f>
        <v>0</v>
      </c>
      <c r="AI34" s="439">
        <f>IF(NFI_Expiration=1,IF($A34&lt;VLOOKUP(T$5,NFI,5,0),1,0)*Table_NFI[[#This Row],[Winter Items Other]],Table_NFI[Winter Items Other])</f>
        <v>0</v>
      </c>
      <c r="AJ34" s="439">
        <f>IF(NFI_Expiration=1,IF($A34&lt;VLOOKUP(M$5,NFI,5,0),1,0)*Table_NFI[[#This Row],[Winter Blanket]],Table_NFI[[#This Row],[Winter Blanket]])</f>
        <v>0</v>
      </c>
      <c r="AK34" s="439">
        <f>IF(Table_NFI[[#This Row],[Winter Clothes Adult]]+Table_NFI[[#This Row],[Winter Clothes Children]]+Table_NFI[[#This Row],[Winter Items Other]]+Table_NFI[[#This Row],[Winter Blanket]]&gt;0,1,0)</f>
        <v>0</v>
      </c>
      <c r="AL34" s="439">
        <f>IF(NFI_Expiration=1,IF($A34&lt;VLOOKUP(V$5,NFI,5,0),1,0)*Table_NFI[[#This Row],[Jerry Can]],Table_NFI[Jerry Can])</f>
        <v>3</v>
      </c>
      <c r="AM34" s="791" t="str">
        <f>IFERROR(VLOOKUP(Table_NFI[[#This Row],[Camp Name]],CL,2,0),"")</f>
        <v>MMR001CMP051</v>
      </c>
      <c r="AN34" s="782">
        <f ca="1">IF(Table_NFI[[#This Row],[Pcode]]="","",IF(OFFSET(CampList[Opening Date],MATCH(Table_NFI[[#This Row],[Pcode]],CampList[CP_Pcode],0)-1,0,1,1)&gt;=NFI_Monitor_Date,1,0))</f>
        <v>0</v>
      </c>
      <c r="AO34" s="791" t="str">
        <f>IFERROR(VLOOKUP(Table_NFI[[#This Row],[Camp Name]],CL,3,0),"")</f>
        <v>Open</v>
      </c>
      <c r="AP34" s="439" t="str">
        <f ca="1">IF(Table_NFI[[#This Row],[Pcode]]="","",OFFSET(CampList[Priority],MATCH(Table_NFI[[#This Row],[Pcode]],CampList[CP_Pcode],0)-1,0,1,1))</f>
        <v>P4</v>
      </c>
      <c r="AQ34" s="438">
        <f>IFERROR(Table_NFI[[#This Row],[Kitchen Set]]/VLOOKUP(Table_NFI[[#This Row],[Camp Name]],CL,4,0),"")</f>
        <v>0.13043478260869565</v>
      </c>
      <c r="AR34" s="789"/>
      <c r="AS34" s="792" t="s">
        <v>1416</v>
      </c>
    </row>
    <row r="35" spans="1:45" s="784" customFormat="1" x14ac:dyDescent="0.25">
      <c r="A35" s="455">
        <f t="shared" si="0"/>
        <v>7.0666666666666664</v>
      </c>
      <c r="B35" s="778">
        <v>42097</v>
      </c>
      <c r="C35" s="779" t="s">
        <v>454</v>
      </c>
      <c r="D35" s="789" t="s">
        <v>454</v>
      </c>
      <c r="E35" s="789" t="s">
        <v>380</v>
      </c>
      <c r="F35" s="789" t="s">
        <v>185</v>
      </c>
      <c r="G35" s="789" t="s">
        <v>215</v>
      </c>
      <c r="H35" s="437"/>
      <c r="I35" s="437"/>
      <c r="J35" s="437"/>
      <c r="K35" s="437"/>
      <c r="L35" s="437"/>
      <c r="M35" s="437"/>
      <c r="N35" s="437"/>
      <c r="O35" s="437"/>
      <c r="P35" s="439"/>
      <c r="Q35" s="439"/>
      <c r="R35" s="439"/>
      <c r="S35" s="439"/>
      <c r="T35" s="439"/>
      <c r="U35" s="439"/>
      <c r="V35" s="818">
        <v>400</v>
      </c>
      <c r="W35" s="439">
        <f>IF(NFI_Expiration=1,IF($A35&lt;VLOOKUP(H$5,NFI,5,0),1,0)*Table_NFI[[#This Row],[Hygiene Kit]],Table_NFI[Hygiene Kit])</f>
        <v>0</v>
      </c>
      <c r="X35" s="439">
        <f>IF(NFI_Expiration=1,IF($A35&lt;VLOOKUP(I$5,NFI,5,0),1,0)*Table_NFI[[#This Row],[NFI Core Kit]],Table_NFI[NFI Core Kit])</f>
        <v>0</v>
      </c>
      <c r="Y35" s="439">
        <f>IF(NFI_Expiration=1,IF($A35&lt;VLOOKUP(J$5,NFI,5,0),1,0)*Table_NFI[[#This Row],[Sanitary Kit]],Table_NFI[Sanitary Kit])</f>
        <v>0</v>
      </c>
      <c r="Z35" s="439">
        <f>IF(NFI_Expiration=1,IF($A35&lt;VLOOKUP(K$5,NFI,5,0),1,0)*Table_NFI[[#This Row],[Mosquito net]],Table_NFI[Mosquito net])</f>
        <v>0</v>
      </c>
      <c r="AA35" s="439">
        <f>IF(NFI_Expiration=1,IF($A35&lt;VLOOKUP(L$5,NFI,5,0),1,0)*Table_NFI[[#This Row],[Tarpaulin]],Table_NFI[[#This Row],[Tarpaulin]])</f>
        <v>0</v>
      </c>
      <c r="AB35" s="439">
        <f>IF(NFI_Expiration=1,IF($A35&lt;VLOOKUP(M$5,NFI,5,0),1,0)*Table_NFI[[#This Row],[Blanket]],Table_NFI[[#This Row],[Blanket]])</f>
        <v>0</v>
      </c>
      <c r="AC35" s="439">
        <f>IF(NFI_Expiration=1,IF($A35&lt;VLOOKUP(N$5,NFI,5,0),1,0)*Table_NFI[[#This Row],[Kitchen Set]],Table_NFI[Kitchen Set])</f>
        <v>0</v>
      </c>
      <c r="AD35" s="439">
        <f>IF(NFI_Expiration=1,IF($A35&lt;VLOOKUP(O$5,NFI,5,0),1,0)*Table_NFI[[#This Row],[Clothes Kit]],Table_NFI[Clothes Kit])</f>
        <v>0</v>
      </c>
      <c r="AE35" s="439">
        <f>IF(NFI_Expiration=1,IF($A35&lt;VLOOKUP(P$5,NFI,5,0),1,0)*Table_NFI[[#This Row],[Plastic Bucket]],Table_NFI[Plastic Bucket])</f>
        <v>0</v>
      </c>
      <c r="AF35" s="439">
        <f>IF(NFI_Expiration=1,IF($A35&lt;VLOOKUP(Q$5,NFI,5,0),1,0)*Table_NFI[[#This Row],[Plastic Mat]],Table_NFI[Plastic Mat])*IF(Table_NFI[[#This Row],[Distribution Date]]&gt;"2014-04-01",1,2.5)</f>
        <v>0</v>
      </c>
      <c r="AG35" s="439">
        <f>IF(NFI_Expiration=1,IF($A35&lt;VLOOKUP(R$5,NFI,5,0),1,0)*Table_NFI[[#This Row],[Winter Clothes Adult]],Table_NFI[Winter Clothes Adult])</f>
        <v>0</v>
      </c>
      <c r="AH35" s="439">
        <f>IF(NFI_Expiration=1,IF($A35&lt;VLOOKUP(S$5,NFI,5,0),1,0)*Table_NFI[[#This Row],[Winter Clothes Children]],Table_NFI[Winter Clothes Children])</f>
        <v>0</v>
      </c>
      <c r="AI35" s="439">
        <f>IF(NFI_Expiration=1,IF($A35&lt;VLOOKUP(T$5,NFI,5,0),1,0)*Table_NFI[[#This Row],[Winter Items Other]],Table_NFI[Winter Items Other])</f>
        <v>0</v>
      </c>
      <c r="AJ35" s="439">
        <f>IF(NFI_Expiration=1,IF($A35&lt;VLOOKUP(M$5,NFI,5,0),1,0)*Table_NFI[[#This Row],[Winter Blanket]],Table_NFI[[#This Row],[Winter Blanket]])</f>
        <v>0</v>
      </c>
      <c r="AK35" s="439">
        <f>IF(Table_NFI[[#This Row],[Winter Clothes Adult]]+Table_NFI[[#This Row],[Winter Clothes Children]]+Table_NFI[[#This Row],[Winter Items Other]]+Table_NFI[[#This Row],[Winter Blanket]]&gt;0,1,0)</f>
        <v>0</v>
      </c>
      <c r="AL35" s="439">
        <f>IF(NFI_Expiration=1,IF($A35&lt;VLOOKUP(V$5,NFI,5,0),1,0)*Table_NFI[[#This Row],[Jerry Can]],Table_NFI[Jerry Can])</f>
        <v>400</v>
      </c>
      <c r="AM35" s="791" t="str">
        <f>IFERROR(VLOOKUP(Table_NFI[[#This Row],[Camp Name]],CL,2,0),"")</f>
        <v>MMR001CMP131</v>
      </c>
      <c r="AN35" s="782">
        <f ca="1">IF(Table_NFI[[#This Row],[Pcode]]="","",IF(OFFSET(CampList[Opening Date],MATCH(Table_NFI[[#This Row],[Pcode]],CampList[CP_Pcode],0)-1,0,1,1)&gt;=NFI_Monitor_Date,1,0))</f>
        <v>0</v>
      </c>
      <c r="AO35" s="791" t="str">
        <f>IFERROR(VLOOKUP(Table_NFI[[#This Row],[Camp Name]],CL,3,0),"")</f>
        <v>Open</v>
      </c>
      <c r="AP35" s="439" t="str">
        <f ca="1">IF(Table_NFI[[#This Row],[Pcode]]="","",OFFSET(CampList[Priority],MATCH(Table_NFI[[#This Row],[Pcode]],CampList[CP_Pcode],0)-1,0,1,1))</f>
        <v>P1</v>
      </c>
      <c r="AQ35" s="438">
        <f>IFERROR(Table_NFI[[#This Row],[Kitchen Set]]/VLOOKUP(Table_NFI[[#This Row],[Camp Name]],CL,4,0),"")</f>
        <v>0</v>
      </c>
      <c r="AR35" s="789"/>
      <c r="AS35" s="792" t="s">
        <v>1416</v>
      </c>
    </row>
    <row r="36" spans="1:45" s="784" customFormat="1" x14ac:dyDescent="0.25">
      <c r="A36" s="455">
        <f t="shared" si="0"/>
        <v>7.0666666666666664</v>
      </c>
      <c r="B36" s="778">
        <v>42097</v>
      </c>
      <c r="C36" s="779" t="s">
        <v>454</v>
      </c>
      <c r="D36" s="789" t="s">
        <v>507</v>
      </c>
      <c r="E36" s="789" t="s">
        <v>380</v>
      </c>
      <c r="F36" s="789" t="s">
        <v>185</v>
      </c>
      <c r="G36" s="789" t="s">
        <v>217</v>
      </c>
      <c r="H36" s="437"/>
      <c r="I36" s="437"/>
      <c r="J36" s="437"/>
      <c r="K36" s="437"/>
      <c r="L36" s="437"/>
      <c r="M36" s="437">
        <v>50</v>
      </c>
      <c r="N36" s="437"/>
      <c r="O36" s="437"/>
      <c r="P36" s="439"/>
      <c r="Q36" s="439">
        <v>69</v>
      </c>
      <c r="R36" s="439"/>
      <c r="S36" s="439"/>
      <c r="T36" s="439"/>
      <c r="U36" s="439"/>
      <c r="V36" s="439"/>
      <c r="W36" s="439">
        <f>IF(NFI_Expiration=1,IF($A36&lt;VLOOKUP(H$5,NFI,5,0),1,0)*Table_NFI[[#This Row],[Hygiene Kit]],Table_NFI[Hygiene Kit])</f>
        <v>0</v>
      </c>
      <c r="X36" s="439">
        <f>IF(NFI_Expiration=1,IF($A36&lt;VLOOKUP(I$5,NFI,5,0),1,0)*Table_NFI[[#This Row],[NFI Core Kit]],Table_NFI[NFI Core Kit])</f>
        <v>0</v>
      </c>
      <c r="Y36" s="439">
        <f>IF(NFI_Expiration=1,IF($A36&lt;VLOOKUP(J$5,NFI,5,0),1,0)*Table_NFI[[#This Row],[Sanitary Kit]],Table_NFI[Sanitary Kit])</f>
        <v>0</v>
      </c>
      <c r="Z36" s="439">
        <f>IF(NFI_Expiration=1,IF($A36&lt;VLOOKUP(K$5,NFI,5,0),1,0)*Table_NFI[[#This Row],[Mosquito net]],Table_NFI[Mosquito net])</f>
        <v>0</v>
      </c>
      <c r="AA36" s="439">
        <f>IF(NFI_Expiration=1,IF($A36&lt;VLOOKUP(L$5,NFI,5,0),1,0)*Table_NFI[[#This Row],[Tarpaulin]],Table_NFI[[#This Row],[Tarpaulin]])</f>
        <v>0</v>
      </c>
      <c r="AB36" s="439">
        <f>IF(NFI_Expiration=1,IF($A36&lt;VLOOKUP(M$5,NFI,5,0),1,0)*Table_NFI[[#This Row],[Blanket]],Table_NFI[[#This Row],[Blanket]])</f>
        <v>50</v>
      </c>
      <c r="AC36" s="439">
        <f>IF(NFI_Expiration=1,IF($A36&lt;VLOOKUP(N$5,NFI,5,0),1,0)*Table_NFI[[#This Row],[Kitchen Set]],Table_NFI[Kitchen Set])</f>
        <v>0</v>
      </c>
      <c r="AD36" s="439">
        <f>IF(NFI_Expiration=1,IF($A36&lt;VLOOKUP(O$5,NFI,5,0),1,0)*Table_NFI[[#This Row],[Clothes Kit]],Table_NFI[Clothes Kit])</f>
        <v>0</v>
      </c>
      <c r="AE36" s="439">
        <f>IF(NFI_Expiration=1,IF($A36&lt;VLOOKUP(P$5,NFI,5,0),1,0)*Table_NFI[[#This Row],[Plastic Bucket]],Table_NFI[Plastic Bucket])</f>
        <v>0</v>
      </c>
      <c r="AF36" s="439">
        <f>IF(NFI_Expiration=1,IF($A36&lt;VLOOKUP(Q$5,NFI,5,0),1,0)*Table_NFI[[#This Row],[Plastic Mat]],Table_NFI[Plastic Mat])*IF(Table_NFI[[#This Row],[Distribution Date]]&gt;"2014-04-01",1,2.5)</f>
        <v>172.5</v>
      </c>
      <c r="AG36" s="439">
        <f>IF(NFI_Expiration=1,IF($A36&lt;VLOOKUP(R$5,NFI,5,0),1,0)*Table_NFI[[#This Row],[Winter Clothes Adult]],Table_NFI[Winter Clothes Adult])</f>
        <v>0</v>
      </c>
      <c r="AH36" s="439">
        <f>IF(NFI_Expiration=1,IF($A36&lt;VLOOKUP(S$5,NFI,5,0),1,0)*Table_NFI[[#This Row],[Winter Clothes Children]],Table_NFI[Winter Clothes Children])</f>
        <v>0</v>
      </c>
      <c r="AI36" s="439">
        <f>IF(NFI_Expiration=1,IF($A36&lt;VLOOKUP(T$5,NFI,5,0),1,0)*Table_NFI[[#This Row],[Winter Items Other]],Table_NFI[Winter Items Other])</f>
        <v>0</v>
      </c>
      <c r="AJ36" s="439">
        <f>IF(NFI_Expiration=1,IF($A36&lt;VLOOKUP(M$5,NFI,5,0),1,0)*Table_NFI[[#This Row],[Winter Blanket]],Table_NFI[[#This Row],[Winter Blanket]])</f>
        <v>0</v>
      </c>
      <c r="AK36" s="439">
        <f>IF(Table_NFI[[#This Row],[Winter Clothes Adult]]+Table_NFI[[#This Row],[Winter Clothes Children]]+Table_NFI[[#This Row],[Winter Items Other]]+Table_NFI[[#This Row],[Winter Blanket]]&gt;0,1,0)</f>
        <v>0</v>
      </c>
      <c r="AL36" s="439">
        <f>IF(NFI_Expiration=1,IF($A36&lt;VLOOKUP(V$5,NFI,5,0),1,0)*Table_NFI[[#This Row],[Jerry Can]],Table_NFI[Jerry Can])</f>
        <v>0</v>
      </c>
      <c r="AM36" s="791" t="str">
        <f>IFERROR(VLOOKUP(Table_NFI[[#This Row],[Camp Name]],CL,2,0),"")</f>
        <v>MMR001CMP059</v>
      </c>
      <c r="AN36" s="782">
        <f ca="1">IF(Table_NFI[[#This Row],[Pcode]]="","",IF(OFFSET(CampList[Opening Date],MATCH(Table_NFI[[#This Row],[Pcode]],CampList[CP_Pcode],0)-1,0,1,1)&gt;=NFI_Monitor_Date,1,0))</f>
        <v>0</v>
      </c>
      <c r="AO36" s="791" t="str">
        <f>IFERROR(VLOOKUP(Table_NFI[[#This Row],[Camp Name]],CL,3,0),"")</f>
        <v>Open</v>
      </c>
      <c r="AP36" s="439" t="str">
        <f ca="1">IF(Table_NFI[[#This Row],[Pcode]]="","",OFFSET(CampList[Priority],MATCH(Table_NFI[[#This Row],[Pcode]],CampList[CP_Pcode],0)-1,0,1,1))</f>
        <v>P4</v>
      </c>
      <c r="AQ36" s="438">
        <f>IFERROR(Table_NFI[[#This Row],[Kitchen Set]]/VLOOKUP(Table_NFI[[#This Row],[Camp Name]],CL,4,0),"")</f>
        <v>0</v>
      </c>
      <c r="AR36" s="789"/>
      <c r="AS36" s="792"/>
    </row>
    <row r="37" spans="1:45" s="784" customFormat="1" x14ac:dyDescent="0.25">
      <c r="A37" s="455">
        <f t="shared" si="0"/>
        <v>7.2666666666666666</v>
      </c>
      <c r="B37" s="778">
        <v>42091</v>
      </c>
      <c r="C37" s="779" t="s">
        <v>454</v>
      </c>
      <c r="D37" s="789" t="s">
        <v>1096</v>
      </c>
      <c r="E37" s="789" t="s">
        <v>380</v>
      </c>
      <c r="F37" s="789" t="s">
        <v>151</v>
      </c>
      <c r="G37" s="789" t="s">
        <v>188</v>
      </c>
      <c r="H37" s="437"/>
      <c r="I37" s="437"/>
      <c r="J37" s="437"/>
      <c r="K37" s="437">
        <v>288</v>
      </c>
      <c r="L37" s="437"/>
      <c r="M37" s="437">
        <v>288</v>
      </c>
      <c r="N37" s="437"/>
      <c r="O37" s="437"/>
      <c r="P37" s="439"/>
      <c r="Q37" s="439"/>
      <c r="R37" s="439"/>
      <c r="S37" s="439"/>
      <c r="T37" s="439"/>
      <c r="U37" s="439"/>
      <c r="V37" s="439"/>
      <c r="W37" s="439">
        <f>IF(NFI_Expiration=1,IF($A37&lt;VLOOKUP(H$5,NFI,5,0),1,0)*Table_NFI[[#This Row],[Hygiene Kit]],Table_NFI[Hygiene Kit])</f>
        <v>0</v>
      </c>
      <c r="X37" s="439">
        <f>IF(NFI_Expiration=1,IF($A37&lt;VLOOKUP(I$5,NFI,5,0),1,0)*Table_NFI[[#This Row],[NFI Core Kit]],Table_NFI[NFI Core Kit])</f>
        <v>0</v>
      </c>
      <c r="Y37" s="439">
        <f>IF(NFI_Expiration=1,IF($A37&lt;VLOOKUP(J$5,NFI,5,0),1,0)*Table_NFI[[#This Row],[Sanitary Kit]],Table_NFI[Sanitary Kit])</f>
        <v>0</v>
      </c>
      <c r="Z37" s="439">
        <f>IF(NFI_Expiration=1,IF($A37&lt;VLOOKUP(K$5,NFI,5,0),1,0)*Table_NFI[[#This Row],[Mosquito net]],Table_NFI[Mosquito net])</f>
        <v>288</v>
      </c>
      <c r="AA37" s="439">
        <f>IF(NFI_Expiration=1,IF($A37&lt;VLOOKUP(L$5,NFI,5,0),1,0)*Table_NFI[[#This Row],[Tarpaulin]],Table_NFI[[#This Row],[Tarpaulin]])</f>
        <v>0</v>
      </c>
      <c r="AB37" s="439">
        <f>IF(NFI_Expiration=1,IF($A37&lt;VLOOKUP(M$5,NFI,5,0),1,0)*Table_NFI[[#This Row],[Blanket]],Table_NFI[[#This Row],[Blanket]])</f>
        <v>288</v>
      </c>
      <c r="AC37" s="439">
        <f>IF(NFI_Expiration=1,IF($A37&lt;VLOOKUP(N$5,NFI,5,0),1,0)*Table_NFI[[#This Row],[Kitchen Set]],Table_NFI[Kitchen Set])</f>
        <v>0</v>
      </c>
      <c r="AD37" s="439">
        <f>IF(NFI_Expiration=1,IF($A37&lt;VLOOKUP(O$5,NFI,5,0),1,0)*Table_NFI[[#This Row],[Clothes Kit]],Table_NFI[Clothes Kit])</f>
        <v>0</v>
      </c>
      <c r="AE37" s="439">
        <f>IF(NFI_Expiration=1,IF($A37&lt;VLOOKUP(P$5,NFI,5,0),1,0)*Table_NFI[[#This Row],[Plastic Bucket]],Table_NFI[Plastic Bucket])</f>
        <v>0</v>
      </c>
      <c r="AF37" s="439">
        <f>IF(NFI_Expiration=1,IF($A37&lt;VLOOKUP(Q$5,NFI,5,0),1,0)*Table_NFI[[#This Row],[Plastic Mat]],Table_NFI[Plastic Mat])*IF(Table_NFI[[#This Row],[Distribution Date]]&gt;"2014-04-01",1,2.5)</f>
        <v>0</v>
      </c>
      <c r="AG37" s="439">
        <f>IF(NFI_Expiration=1,IF($A37&lt;VLOOKUP(R$5,NFI,5,0),1,0)*Table_NFI[[#This Row],[Winter Clothes Adult]],Table_NFI[Winter Clothes Adult])</f>
        <v>0</v>
      </c>
      <c r="AH37" s="439">
        <f>IF(NFI_Expiration=1,IF($A37&lt;VLOOKUP(S$5,NFI,5,0),1,0)*Table_NFI[[#This Row],[Winter Clothes Children]],Table_NFI[Winter Clothes Children])</f>
        <v>0</v>
      </c>
      <c r="AI37" s="439">
        <f>IF(NFI_Expiration=1,IF($A37&lt;VLOOKUP(T$5,NFI,5,0),1,0)*Table_NFI[[#This Row],[Winter Items Other]],Table_NFI[Winter Items Other])</f>
        <v>0</v>
      </c>
      <c r="AJ37" s="439">
        <f>IF(NFI_Expiration=1,IF($A37&lt;VLOOKUP(M$5,NFI,5,0),1,0)*Table_NFI[[#This Row],[Winter Blanket]],Table_NFI[[#This Row],[Winter Blanket]])</f>
        <v>0</v>
      </c>
      <c r="AK37" s="439">
        <f>IF(Table_NFI[[#This Row],[Winter Clothes Adult]]+Table_NFI[[#This Row],[Winter Clothes Children]]+Table_NFI[[#This Row],[Winter Items Other]]+Table_NFI[[#This Row],[Winter Blanket]]&gt;0,1,0)</f>
        <v>0</v>
      </c>
      <c r="AL37" s="439">
        <f>IF(NFI_Expiration=1,IF($A37&lt;VLOOKUP(V$5,NFI,5,0),1,0)*Table_NFI[[#This Row],[Jerry Can]],Table_NFI[Jerry Can])</f>
        <v>0</v>
      </c>
      <c r="AM37" s="791" t="str">
        <f>IFERROR(VLOOKUP(Table_NFI[[#This Row],[Camp Name]],CL,2,0),"")</f>
        <v>MMR001CMP129</v>
      </c>
      <c r="AN37" s="782">
        <f ca="1">IF(Table_NFI[[#This Row],[Pcode]]="","",IF(OFFSET(CampList[Opening Date],MATCH(Table_NFI[[#This Row],[Pcode]],CampList[CP_Pcode],0)-1,0,1,1)&gt;=NFI_Monitor_Date,1,0))</f>
        <v>0</v>
      </c>
      <c r="AO37" s="791" t="str">
        <f>IFERROR(VLOOKUP(Table_NFI[[#This Row],[Camp Name]],CL,3,0),"")</f>
        <v>Open</v>
      </c>
      <c r="AP37" s="439" t="str">
        <f ca="1">IF(Table_NFI[[#This Row],[Pcode]]="","",OFFSET(CampList[Priority],MATCH(Table_NFI[[#This Row],[Pcode]],CampList[CP_Pcode],0)-1,0,1,1))</f>
        <v>P2</v>
      </c>
      <c r="AQ37" s="438">
        <f>IFERROR(Table_NFI[[#This Row],[Kitchen Set]]/VLOOKUP(Table_NFI[[#This Row],[Camp Name]],CL,4,0),"")</f>
        <v>0</v>
      </c>
      <c r="AR37" s="789"/>
      <c r="AS37" s="792"/>
    </row>
    <row r="38" spans="1:45" s="784" customFormat="1" x14ac:dyDescent="0.25">
      <c r="A38" s="455">
        <f t="shared" si="0"/>
        <v>7.2666666666666666</v>
      </c>
      <c r="B38" s="778">
        <v>42091</v>
      </c>
      <c r="C38" s="779" t="s">
        <v>454</v>
      </c>
      <c r="D38" s="789" t="s">
        <v>1096</v>
      </c>
      <c r="E38" s="789" t="s">
        <v>380</v>
      </c>
      <c r="F38" s="789" t="s">
        <v>151</v>
      </c>
      <c r="G38" s="789" t="s">
        <v>1041</v>
      </c>
      <c r="H38" s="437"/>
      <c r="I38" s="437"/>
      <c r="J38" s="437"/>
      <c r="K38" s="437">
        <v>334</v>
      </c>
      <c r="L38" s="437"/>
      <c r="M38" s="437">
        <v>386</v>
      </c>
      <c r="N38" s="437"/>
      <c r="O38" s="437"/>
      <c r="P38" s="439"/>
      <c r="Q38" s="439"/>
      <c r="R38" s="439"/>
      <c r="S38" s="439"/>
      <c r="T38" s="439"/>
      <c r="U38" s="439"/>
      <c r="V38" s="439"/>
      <c r="W38" s="439">
        <f>IF(NFI_Expiration=1,IF($A38&lt;VLOOKUP(H$5,NFI,5,0),1,0)*Table_NFI[[#This Row],[Hygiene Kit]],Table_NFI[Hygiene Kit])</f>
        <v>0</v>
      </c>
      <c r="X38" s="439">
        <f>IF(NFI_Expiration=1,IF($A38&lt;VLOOKUP(I$5,NFI,5,0),1,0)*Table_NFI[[#This Row],[NFI Core Kit]],Table_NFI[NFI Core Kit])</f>
        <v>0</v>
      </c>
      <c r="Y38" s="439">
        <f>IF(NFI_Expiration=1,IF($A38&lt;VLOOKUP(J$5,NFI,5,0),1,0)*Table_NFI[[#This Row],[Sanitary Kit]],Table_NFI[Sanitary Kit])</f>
        <v>0</v>
      </c>
      <c r="Z38" s="439">
        <f>IF(NFI_Expiration=1,IF($A38&lt;VLOOKUP(K$5,NFI,5,0),1,0)*Table_NFI[[#This Row],[Mosquito net]],Table_NFI[Mosquito net])</f>
        <v>334</v>
      </c>
      <c r="AA38" s="439">
        <f>IF(NFI_Expiration=1,IF($A38&lt;VLOOKUP(L$5,NFI,5,0),1,0)*Table_NFI[[#This Row],[Tarpaulin]],Table_NFI[[#This Row],[Tarpaulin]])</f>
        <v>0</v>
      </c>
      <c r="AB38" s="439">
        <f>IF(NFI_Expiration=1,IF($A38&lt;VLOOKUP(M$5,NFI,5,0),1,0)*Table_NFI[[#This Row],[Blanket]],Table_NFI[[#This Row],[Blanket]])</f>
        <v>386</v>
      </c>
      <c r="AC38" s="439">
        <f>IF(NFI_Expiration=1,IF($A38&lt;VLOOKUP(N$5,NFI,5,0),1,0)*Table_NFI[[#This Row],[Kitchen Set]],Table_NFI[Kitchen Set])</f>
        <v>0</v>
      </c>
      <c r="AD38" s="439">
        <f>IF(NFI_Expiration=1,IF($A38&lt;VLOOKUP(O$5,NFI,5,0),1,0)*Table_NFI[[#This Row],[Clothes Kit]],Table_NFI[Clothes Kit])</f>
        <v>0</v>
      </c>
      <c r="AE38" s="439">
        <f>IF(NFI_Expiration=1,IF($A38&lt;VLOOKUP(P$5,NFI,5,0),1,0)*Table_NFI[[#This Row],[Plastic Bucket]],Table_NFI[Plastic Bucket])</f>
        <v>0</v>
      </c>
      <c r="AF38" s="439">
        <f>IF(NFI_Expiration=1,IF($A38&lt;VLOOKUP(Q$5,NFI,5,0),1,0)*Table_NFI[[#This Row],[Plastic Mat]],Table_NFI[Plastic Mat])*IF(Table_NFI[[#This Row],[Distribution Date]]&gt;"2014-04-01",1,2.5)</f>
        <v>0</v>
      </c>
      <c r="AG38" s="439">
        <f>IF(NFI_Expiration=1,IF($A38&lt;VLOOKUP(R$5,NFI,5,0),1,0)*Table_NFI[[#This Row],[Winter Clothes Adult]],Table_NFI[Winter Clothes Adult])</f>
        <v>0</v>
      </c>
      <c r="AH38" s="439">
        <f>IF(NFI_Expiration=1,IF($A38&lt;VLOOKUP(S$5,NFI,5,0),1,0)*Table_NFI[[#This Row],[Winter Clothes Children]],Table_NFI[Winter Clothes Children])</f>
        <v>0</v>
      </c>
      <c r="AI38" s="439">
        <f>IF(NFI_Expiration=1,IF($A38&lt;VLOOKUP(T$5,NFI,5,0),1,0)*Table_NFI[[#This Row],[Winter Items Other]],Table_NFI[Winter Items Other])</f>
        <v>0</v>
      </c>
      <c r="AJ38" s="439">
        <f>IF(NFI_Expiration=1,IF($A38&lt;VLOOKUP(M$5,NFI,5,0),1,0)*Table_NFI[[#This Row],[Winter Blanket]],Table_NFI[[#This Row],[Winter Blanket]])</f>
        <v>0</v>
      </c>
      <c r="AK38" s="439">
        <f>IF(Table_NFI[[#This Row],[Winter Clothes Adult]]+Table_NFI[[#This Row],[Winter Clothes Children]]+Table_NFI[[#This Row],[Winter Items Other]]+Table_NFI[[#This Row],[Winter Blanket]]&gt;0,1,0)</f>
        <v>0</v>
      </c>
      <c r="AL38" s="439">
        <f>IF(NFI_Expiration=1,IF($A38&lt;VLOOKUP(V$5,NFI,5,0),1,0)*Table_NFI[[#This Row],[Jerry Can]],Table_NFI[Jerry Can])</f>
        <v>0</v>
      </c>
      <c r="AM38" s="791" t="str">
        <f>IFERROR(VLOOKUP(Table_NFI[[#This Row],[Camp Name]],CL,2,0),"")</f>
        <v>MMR001CMP226</v>
      </c>
      <c r="AN38" s="782">
        <f ca="1">IF(Table_NFI[[#This Row],[Pcode]]="","",IF(OFFSET(CampList[Opening Date],MATCH(Table_NFI[[#This Row],[Pcode]],CampList[CP_Pcode],0)-1,0,1,1)&gt;=NFI_Monitor_Date,1,0))</f>
        <v>0</v>
      </c>
      <c r="AO38" s="791" t="str">
        <f>IFERROR(VLOOKUP(Table_NFI[[#This Row],[Camp Name]],CL,3,0),"")</f>
        <v>Open</v>
      </c>
      <c r="AP38" s="439" t="str">
        <f ca="1">IF(Table_NFI[[#This Row],[Pcode]]="","",OFFSET(CampList[Priority],MATCH(Table_NFI[[#This Row],[Pcode]],CampList[CP_Pcode],0)-1,0,1,1))</f>
        <v>P2</v>
      </c>
      <c r="AQ38" s="438">
        <f>IFERROR(Table_NFI[[#This Row],[Kitchen Set]]/VLOOKUP(Table_NFI[[#This Row],[Camp Name]],CL,4,0),"")</f>
        <v>0</v>
      </c>
      <c r="AR38" s="789"/>
      <c r="AS38" s="792"/>
    </row>
    <row r="39" spans="1:45" s="784" customFormat="1" x14ac:dyDescent="0.25">
      <c r="A39" s="455">
        <f t="shared" si="0"/>
        <v>7.3</v>
      </c>
      <c r="B39" s="778">
        <v>42090</v>
      </c>
      <c r="C39" s="779" t="s">
        <v>454</v>
      </c>
      <c r="D39" s="804" t="s">
        <v>1296</v>
      </c>
      <c r="E39" s="789" t="s">
        <v>380</v>
      </c>
      <c r="F39" s="789" t="s">
        <v>151</v>
      </c>
      <c r="G39" s="789" t="s">
        <v>198</v>
      </c>
      <c r="H39" s="437"/>
      <c r="I39" s="437"/>
      <c r="J39" s="437"/>
      <c r="K39" s="437">
        <v>892</v>
      </c>
      <c r="L39" s="437"/>
      <c r="M39" s="437">
        <v>1032</v>
      </c>
      <c r="N39" s="437"/>
      <c r="O39" s="437"/>
      <c r="P39" s="439"/>
      <c r="Q39" s="439"/>
      <c r="R39" s="439"/>
      <c r="S39" s="439"/>
      <c r="T39" s="439"/>
      <c r="U39" s="439"/>
      <c r="V39" s="439"/>
      <c r="W39" s="439">
        <f>IF(NFI_Expiration=1,IF($A39&lt;VLOOKUP(H$5,NFI,5,0),1,0)*Table_NFI[[#This Row],[Hygiene Kit]],Table_NFI[Hygiene Kit])</f>
        <v>0</v>
      </c>
      <c r="X39" s="439">
        <f>IF(NFI_Expiration=1,IF($A39&lt;VLOOKUP(I$5,NFI,5,0),1,0)*Table_NFI[[#This Row],[NFI Core Kit]],Table_NFI[NFI Core Kit])</f>
        <v>0</v>
      </c>
      <c r="Y39" s="439">
        <f>IF(NFI_Expiration=1,IF($A39&lt;VLOOKUP(J$5,NFI,5,0),1,0)*Table_NFI[[#This Row],[Sanitary Kit]],Table_NFI[Sanitary Kit])</f>
        <v>0</v>
      </c>
      <c r="Z39" s="439">
        <f>IF(NFI_Expiration=1,IF($A39&lt;VLOOKUP(K$5,NFI,5,0),1,0)*Table_NFI[[#This Row],[Mosquito net]],Table_NFI[Mosquito net])</f>
        <v>892</v>
      </c>
      <c r="AA39" s="439">
        <f>IF(NFI_Expiration=1,IF($A39&lt;VLOOKUP(L$5,NFI,5,0),1,0)*Table_NFI[[#This Row],[Tarpaulin]],Table_NFI[[#This Row],[Tarpaulin]])</f>
        <v>0</v>
      </c>
      <c r="AB39" s="439">
        <f>IF(NFI_Expiration=1,IF($A39&lt;VLOOKUP(M$5,NFI,5,0),1,0)*Table_NFI[[#This Row],[Blanket]],Table_NFI[[#This Row],[Blanket]])</f>
        <v>1032</v>
      </c>
      <c r="AC39" s="439">
        <f>IF(NFI_Expiration=1,IF($A39&lt;VLOOKUP(N$5,NFI,5,0),1,0)*Table_NFI[[#This Row],[Kitchen Set]],Table_NFI[Kitchen Set])</f>
        <v>0</v>
      </c>
      <c r="AD39" s="439">
        <f>IF(NFI_Expiration=1,IF($A39&lt;VLOOKUP(O$5,NFI,5,0),1,0)*Table_NFI[[#This Row],[Clothes Kit]],Table_NFI[Clothes Kit])</f>
        <v>0</v>
      </c>
      <c r="AE39" s="439">
        <f>IF(NFI_Expiration=1,IF($A39&lt;VLOOKUP(P$5,NFI,5,0),1,0)*Table_NFI[[#This Row],[Plastic Bucket]],Table_NFI[Plastic Bucket])</f>
        <v>0</v>
      </c>
      <c r="AF39" s="439">
        <f>IF(NFI_Expiration=1,IF($A39&lt;VLOOKUP(Q$5,NFI,5,0),1,0)*Table_NFI[[#This Row],[Plastic Mat]],Table_NFI[Plastic Mat])*IF(Table_NFI[[#This Row],[Distribution Date]]&gt;"2014-04-01",1,2.5)</f>
        <v>0</v>
      </c>
      <c r="AG39" s="439">
        <f>IF(NFI_Expiration=1,IF($A39&lt;VLOOKUP(R$5,NFI,5,0),1,0)*Table_NFI[[#This Row],[Winter Clothes Adult]],Table_NFI[Winter Clothes Adult])</f>
        <v>0</v>
      </c>
      <c r="AH39" s="439">
        <f>IF(NFI_Expiration=1,IF($A39&lt;VLOOKUP(S$5,NFI,5,0),1,0)*Table_NFI[[#This Row],[Winter Clothes Children]],Table_NFI[Winter Clothes Children])</f>
        <v>0</v>
      </c>
      <c r="AI39" s="439">
        <f>IF(NFI_Expiration=1,IF($A39&lt;VLOOKUP(T$5,NFI,5,0),1,0)*Table_NFI[[#This Row],[Winter Items Other]],Table_NFI[Winter Items Other])</f>
        <v>0</v>
      </c>
      <c r="AJ39" s="439">
        <f>IF(NFI_Expiration=1,IF($A39&lt;VLOOKUP(M$5,NFI,5,0),1,0)*Table_NFI[[#This Row],[Winter Blanket]],Table_NFI[[#This Row],[Winter Blanket]])</f>
        <v>0</v>
      </c>
      <c r="AK39" s="439">
        <f>IF(Table_NFI[[#This Row],[Winter Clothes Adult]]+Table_NFI[[#This Row],[Winter Clothes Children]]+Table_NFI[[#This Row],[Winter Items Other]]+Table_NFI[[#This Row],[Winter Blanket]]&gt;0,1,0)</f>
        <v>0</v>
      </c>
      <c r="AL39" s="439">
        <f>IF(NFI_Expiration=1,IF($A39&lt;VLOOKUP(V$5,NFI,5,0),1,0)*Table_NFI[[#This Row],[Jerry Can]],Table_NFI[Jerry Can])</f>
        <v>0</v>
      </c>
      <c r="AM39" s="791" t="str">
        <f>IFERROR(VLOOKUP(Table_NFI[[#This Row],[Camp Name]],CL,2,0),"")</f>
        <v>MMR001CMP128</v>
      </c>
      <c r="AN39" s="782">
        <f ca="1">IF(Table_NFI[[#This Row],[Pcode]]="","",IF(OFFSET(CampList[Opening Date],MATCH(Table_NFI[[#This Row],[Pcode]],CampList[CP_Pcode],0)-1,0,1,1)&gt;=NFI_Monitor_Date,1,0))</f>
        <v>0</v>
      </c>
      <c r="AO39" s="791" t="str">
        <f>IFERROR(VLOOKUP(Table_NFI[[#This Row],[Camp Name]],CL,3,0),"")</f>
        <v>Open</v>
      </c>
      <c r="AP39" s="439" t="str">
        <f ca="1">IF(Table_NFI[[#This Row],[Pcode]]="","",OFFSET(CampList[Priority],MATCH(Table_NFI[[#This Row],[Pcode]],CampList[CP_Pcode],0)-1,0,1,1))</f>
        <v>P2</v>
      </c>
      <c r="AQ39" s="438">
        <f>IFERROR(Table_NFI[[#This Row],[Kitchen Set]]/VLOOKUP(Table_NFI[[#This Row],[Camp Name]],CL,4,0),"")</f>
        <v>0</v>
      </c>
      <c r="AR39" s="789"/>
      <c r="AS39" s="792"/>
    </row>
    <row r="40" spans="1:45" s="784" customFormat="1" x14ac:dyDescent="0.25">
      <c r="A40" s="455">
        <f t="shared" si="0"/>
        <v>7.7666666666666666</v>
      </c>
      <c r="B40" s="778">
        <v>42076</v>
      </c>
      <c r="C40" s="789" t="s">
        <v>454</v>
      </c>
      <c r="D40" s="789"/>
      <c r="E40" s="789" t="s">
        <v>380</v>
      </c>
      <c r="F40" s="789" t="s">
        <v>310</v>
      </c>
      <c r="G40" s="789" t="s">
        <v>330</v>
      </c>
      <c r="H40" s="437"/>
      <c r="I40" s="437"/>
      <c r="J40" s="437"/>
      <c r="K40" s="437"/>
      <c r="L40" s="437">
        <v>1</v>
      </c>
      <c r="M40" s="437"/>
      <c r="N40" s="437"/>
      <c r="O40" s="437"/>
      <c r="P40" s="439"/>
      <c r="Q40" s="439"/>
      <c r="R40" s="439"/>
      <c r="S40" s="439"/>
      <c r="T40" s="439"/>
      <c r="U40" s="439"/>
      <c r="V40" s="439"/>
      <c r="W40" s="439">
        <f>IF(NFI_Expiration=1,IF($A40&lt;VLOOKUP(H$5,NFI,5,0),1,0)*Table_NFI[[#This Row],[Hygiene Kit]],Table_NFI[Hygiene Kit])</f>
        <v>0</v>
      </c>
      <c r="X40" s="439">
        <f>IF(NFI_Expiration=1,IF($A40&lt;VLOOKUP(I$5,NFI,5,0),1,0)*Table_NFI[[#This Row],[NFI Core Kit]],Table_NFI[NFI Core Kit])</f>
        <v>0</v>
      </c>
      <c r="Y40" s="439">
        <f>IF(NFI_Expiration=1,IF($A40&lt;VLOOKUP(J$5,NFI,5,0),1,0)*Table_NFI[[#This Row],[Sanitary Kit]],Table_NFI[Sanitary Kit])</f>
        <v>0</v>
      </c>
      <c r="Z40" s="439">
        <f>IF(NFI_Expiration=1,IF($A40&lt;VLOOKUP(K$5,NFI,5,0),1,0)*Table_NFI[[#This Row],[Mosquito net]],Table_NFI[Mosquito net])</f>
        <v>0</v>
      </c>
      <c r="AA40" s="439">
        <f>IF(NFI_Expiration=1,IF($A40&lt;VLOOKUP(L$5,NFI,5,0),1,0)*Table_NFI[[#This Row],[Tarpaulin]],Table_NFI[[#This Row],[Tarpaulin]])</f>
        <v>1</v>
      </c>
      <c r="AB40" s="439">
        <f>IF(NFI_Expiration=1,IF($A40&lt;VLOOKUP(M$5,NFI,5,0),1,0)*Table_NFI[[#This Row],[Blanket]],Table_NFI[[#This Row],[Blanket]])</f>
        <v>0</v>
      </c>
      <c r="AC40" s="439">
        <f>IF(NFI_Expiration=1,IF($A40&lt;VLOOKUP(N$5,NFI,5,0),1,0)*Table_NFI[[#This Row],[Kitchen Set]],Table_NFI[Kitchen Set])</f>
        <v>0</v>
      </c>
      <c r="AD40" s="439">
        <f>IF(NFI_Expiration=1,IF($A40&lt;VLOOKUP(O$5,NFI,5,0),1,0)*Table_NFI[[#This Row],[Clothes Kit]],Table_NFI[Clothes Kit])</f>
        <v>0</v>
      </c>
      <c r="AE40" s="439">
        <f>IF(NFI_Expiration=1,IF($A40&lt;VLOOKUP(P$5,NFI,5,0),1,0)*Table_NFI[[#This Row],[Plastic Bucket]],Table_NFI[Plastic Bucket])</f>
        <v>0</v>
      </c>
      <c r="AF40" s="439">
        <f>IF(NFI_Expiration=1,IF($A40&lt;VLOOKUP(Q$5,NFI,5,0),1,0)*Table_NFI[[#This Row],[Plastic Mat]],Table_NFI[Plastic Mat])*IF(Table_NFI[[#This Row],[Distribution Date]]&gt;"2014-04-01",1,2.5)</f>
        <v>0</v>
      </c>
      <c r="AG40" s="439">
        <f>IF(NFI_Expiration=1,IF($A40&lt;VLOOKUP(R$5,NFI,5,0),1,0)*Table_NFI[[#This Row],[Winter Clothes Adult]],Table_NFI[Winter Clothes Adult])</f>
        <v>0</v>
      </c>
      <c r="AH40" s="439">
        <f>IF(NFI_Expiration=1,IF($A40&lt;VLOOKUP(S$5,NFI,5,0),1,0)*Table_NFI[[#This Row],[Winter Clothes Children]],Table_NFI[Winter Clothes Children])</f>
        <v>0</v>
      </c>
      <c r="AI40" s="439">
        <f>IF(NFI_Expiration=1,IF($A40&lt;VLOOKUP(T$5,NFI,5,0),1,0)*Table_NFI[[#This Row],[Winter Items Other]],Table_NFI[Winter Items Other])</f>
        <v>0</v>
      </c>
      <c r="AJ40" s="439">
        <f>IF(NFI_Expiration=1,IF($A40&lt;VLOOKUP(M$5,NFI,5,0),1,0)*Table_NFI[[#This Row],[Winter Blanket]],Table_NFI[[#This Row],[Winter Blanket]])</f>
        <v>0</v>
      </c>
      <c r="AK40" s="439">
        <f>IF(Table_NFI[[#This Row],[Winter Clothes Adult]]+Table_NFI[[#This Row],[Winter Clothes Children]]+Table_NFI[[#This Row],[Winter Items Other]]+Table_NFI[[#This Row],[Winter Blanket]]&gt;0,1,0)</f>
        <v>0</v>
      </c>
      <c r="AL40" s="439">
        <f>IF(NFI_Expiration=1,IF($A40&lt;VLOOKUP(V$5,NFI,5,0),1,0)*Table_NFI[[#This Row],[Jerry Can]],Table_NFI[Jerry Can])</f>
        <v>0</v>
      </c>
      <c r="AM40" s="791" t="str">
        <f>IFERROR(VLOOKUP(Table_NFI[[#This Row],[Camp Name]],CL,2,0),"")</f>
        <v>MMR001CMP029</v>
      </c>
      <c r="AN40" s="782">
        <f ca="1">IF(Table_NFI[[#This Row],[Pcode]]="","",IF(OFFSET(CampList[Opening Date],MATCH(Table_NFI[[#This Row],[Pcode]],CampList[CP_Pcode],0)-1,0,1,1)&gt;=NFI_Monitor_Date,1,0))</f>
        <v>0</v>
      </c>
      <c r="AO40" s="791" t="str">
        <f>IFERROR(VLOOKUP(Table_NFI[[#This Row],[Camp Name]],CL,3,0),"")</f>
        <v>Open</v>
      </c>
      <c r="AP40" s="439" t="str">
        <f ca="1">IF(Table_NFI[[#This Row],[Pcode]]="","",OFFSET(CampList[Priority],MATCH(Table_NFI[[#This Row],[Pcode]],CampList[CP_Pcode],0)-1,0,1,1))</f>
        <v>P4</v>
      </c>
      <c r="AQ40" s="438">
        <f>IFERROR(Table_NFI[[#This Row],[Kitchen Set]]/VLOOKUP(Table_NFI[[#This Row],[Camp Name]],CL,4,0),"")</f>
        <v>0</v>
      </c>
      <c r="AR40" s="789"/>
      <c r="AS40" s="792"/>
    </row>
    <row r="41" spans="1:45" s="784" customFormat="1" x14ac:dyDescent="0.25">
      <c r="A41" s="456">
        <f t="shared" si="0"/>
        <v>8.0333333333333332</v>
      </c>
      <c r="B41" s="803">
        <v>42068</v>
      </c>
      <c r="C41" s="779" t="s">
        <v>454</v>
      </c>
      <c r="D41" s="804" t="s">
        <v>1296</v>
      </c>
      <c r="E41" s="804" t="s">
        <v>555</v>
      </c>
      <c r="F41" s="804" t="s">
        <v>784</v>
      </c>
      <c r="G41" s="789" t="s">
        <v>1289</v>
      </c>
      <c r="H41" s="452"/>
      <c r="I41" s="452"/>
      <c r="J41" s="452">
        <v>43</v>
      </c>
      <c r="K41" s="452">
        <v>95</v>
      </c>
      <c r="L41" s="452">
        <v>43</v>
      </c>
      <c r="M41" s="452"/>
      <c r="N41" s="452">
        <v>43</v>
      </c>
      <c r="O41" s="452">
        <v>43</v>
      </c>
      <c r="P41" s="453">
        <v>43</v>
      </c>
      <c r="Q41" s="453">
        <v>95</v>
      </c>
      <c r="R41" s="453"/>
      <c r="S41" s="453"/>
      <c r="T41" s="453"/>
      <c r="U41" s="453"/>
      <c r="V41" s="817">
        <v>43</v>
      </c>
      <c r="W41" s="453">
        <f>IF(NFI_Expiration=1,IF($A41&lt;VLOOKUP(H$5,NFI,5,0),1,0)*Table_NFI[[#This Row],[Hygiene Kit]],Table_NFI[Hygiene Kit])</f>
        <v>0</v>
      </c>
      <c r="X41" s="453">
        <f>IF(NFI_Expiration=1,IF($A41&lt;VLOOKUP(I$5,NFI,5,0),1,0)*Table_NFI[[#This Row],[NFI Core Kit]],Table_NFI[NFI Core Kit])</f>
        <v>0</v>
      </c>
      <c r="Y41" s="453">
        <f>IF(NFI_Expiration=1,IF($A41&lt;VLOOKUP(J$5,NFI,5,0),1,0)*Table_NFI[[#This Row],[Sanitary Kit]],Table_NFI[Sanitary Kit])</f>
        <v>43</v>
      </c>
      <c r="Z41" s="453">
        <f>IF(NFI_Expiration=1,IF($A41&lt;VLOOKUP(K$5,NFI,5,0),1,0)*Table_NFI[[#This Row],[Mosquito net]],Table_NFI[Mosquito net])</f>
        <v>95</v>
      </c>
      <c r="AA41" s="453">
        <f>IF(NFI_Expiration=1,IF($A41&lt;VLOOKUP(L$5,NFI,5,0),1,0)*Table_NFI[[#This Row],[Tarpaulin]],Table_NFI[[#This Row],[Tarpaulin]])</f>
        <v>43</v>
      </c>
      <c r="AB41" s="453">
        <f>IF(NFI_Expiration=1,IF($A41&lt;VLOOKUP(M$5,NFI,5,0),1,0)*Table_NFI[[#This Row],[Blanket]],Table_NFI[[#This Row],[Blanket]])</f>
        <v>0</v>
      </c>
      <c r="AC41" s="453">
        <f>IF(NFI_Expiration=1,IF($A41&lt;VLOOKUP(N$5,NFI,5,0),1,0)*Table_NFI[[#This Row],[Kitchen Set]],Table_NFI[Kitchen Set])</f>
        <v>43</v>
      </c>
      <c r="AD41" s="453">
        <f>IF(NFI_Expiration=1,IF($A41&lt;VLOOKUP(O$5,NFI,5,0),1,0)*Table_NFI[[#This Row],[Clothes Kit]],Table_NFI[Clothes Kit])</f>
        <v>43</v>
      </c>
      <c r="AE41" s="453">
        <f>IF(NFI_Expiration=1,IF($A41&lt;VLOOKUP(P$5,NFI,5,0),1,0)*Table_NFI[[#This Row],[Plastic Bucket]],Table_NFI[Plastic Bucket])</f>
        <v>43</v>
      </c>
      <c r="AF41" s="453">
        <f>IF(NFI_Expiration=1,IF($A41&lt;VLOOKUP(Q$5,NFI,5,0),1,0)*Table_NFI[[#This Row],[Plastic Mat]],Table_NFI[Plastic Mat])*IF(Table_NFI[[#This Row],[Distribution Date]]&gt;"2014-04-01",1,2.5)</f>
        <v>237.5</v>
      </c>
      <c r="AG41" s="453">
        <f>IF(NFI_Expiration=1,IF($A41&lt;VLOOKUP(R$5,NFI,5,0),1,0)*Table_NFI[[#This Row],[Winter Clothes Adult]],Table_NFI[Winter Clothes Adult])</f>
        <v>0</v>
      </c>
      <c r="AH41" s="453">
        <f>IF(NFI_Expiration=1,IF($A41&lt;VLOOKUP(S$5,NFI,5,0),1,0)*Table_NFI[[#This Row],[Winter Clothes Children]],Table_NFI[Winter Clothes Children])</f>
        <v>0</v>
      </c>
      <c r="AI41" s="453">
        <f>IF(NFI_Expiration=1,IF($A41&lt;VLOOKUP(T$5,NFI,5,0),1,0)*Table_NFI[[#This Row],[Winter Items Other]],Table_NFI[Winter Items Other])</f>
        <v>0</v>
      </c>
      <c r="AJ41" s="453">
        <f>IF(NFI_Expiration=1,IF($A41&lt;VLOOKUP(M$5,NFI,5,0),1,0)*Table_NFI[[#This Row],[Winter Blanket]],Table_NFI[[#This Row],[Winter Blanket]])</f>
        <v>0</v>
      </c>
      <c r="AK41" s="453">
        <f>IF(Table_NFI[[#This Row],[Winter Clothes Adult]]+Table_NFI[[#This Row],[Winter Clothes Children]]+Table_NFI[[#This Row],[Winter Items Other]]+Table_NFI[[#This Row],[Winter Blanket]]&gt;0,1,0)</f>
        <v>0</v>
      </c>
      <c r="AL41" s="439">
        <f>IF(NFI_Expiration=1,IF($A41&lt;VLOOKUP(V$5,NFI,5,0),1,0)*Table_NFI[[#This Row],[Jerry Can]],Table_NFI[Jerry Can])</f>
        <v>43</v>
      </c>
      <c r="AM41" s="435" t="str">
        <f>IFERROR(VLOOKUP(Table_NFI[[#This Row],[Camp Name]],CL,2,0),"")</f>
        <v/>
      </c>
      <c r="AN41" s="806" t="str">
        <f ca="1">IF(Table_NFI[[#This Row],[Pcode]]="","",IF(OFFSET(CampList[Opening Date],MATCH(Table_NFI[[#This Row],[Pcode]],CampList[CP_Pcode],0)-1,0,1,1)&gt;=NFI_Monitor_Date,1,0))</f>
        <v/>
      </c>
      <c r="AO41" s="805" t="str">
        <f>IFERROR(VLOOKUP(Table_NFI[[#This Row],[Camp Name]],CL,3,0),"")</f>
        <v/>
      </c>
      <c r="AP41" s="453" t="str">
        <f ca="1">IF(Table_NFI[[#This Row],[Pcode]]="","",OFFSET(CampList[Priority],MATCH(Table_NFI[[#This Row],[Pcode]],CampList[CP_Pcode],0)-1,0,1,1))</f>
        <v/>
      </c>
      <c r="AQ41" s="454" t="str">
        <f>IFERROR(Table_NFI[[#This Row],[Kitchen Set]]/VLOOKUP(Table_NFI[[#This Row],[Camp Name]],CL,4,0),"")</f>
        <v/>
      </c>
      <c r="AR41" s="804"/>
      <c r="AS41" s="792" t="s">
        <v>1416</v>
      </c>
    </row>
    <row r="42" spans="1:45" s="784" customFormat="1" x14ac:dyDescent="0.25">
      <c r="A42" s="455">
        <f t="shared" si="0"/>
        <v>8.2333333333333325</v>
      </c>
      <c r="B42" s="778">
        <v>42062</v>
      </c>
      <c r="C42" s="779" t="s">
        <v>454</v>
      </c>
      <c r="D42" s="789" t="s">
        <v>454</v>
      </c>
      <c r="E42" s="779" t="s">
        <v>380</v>
      </c>
      <c r="F42" s="779" t="s">
        <v>529</v>
      </c>
      <c r="G42" s="779" t="s">
        <v>120</v>
      </c>
      <c r="H42" s="437"/>
      <c r="I42" s="437"/>
      <c r="J42" s="437"/>
      <c r="K42" s="437"/>
      <c r="L42" s="437"/>
      <c r="M42" s="437"/>
      <c r="N42" s="437"/>
      <c r="O42" s="437"/>
      <c r="P42" s="439"/>
      <c r="Q42" s="439"/>
      <c r="R42" s="439"/>
      <c r="S42" s="439"/>
      <c r="T42" s="439"/>
      <c r="U42" s="439"/>
      <c r="V42" s="818">
        <v>100</v>
      </c>
      <c r="W42" s="439">
        <f>IF(NFI_Expiration=1,IF($A42&lt;VLOOKUP(H$5,NFI,5,0),1,0)*Table_NFI[[#This Row],[Hygiene Kit]],Table_NFI[Hygiene Kit])</f>
        <v>0</v>
      </c>
      <c r="X42" s="439">
        <f>IF(NFI_Expiration=1,IF($A42&lt;VLOOKUP(I$5,NFI,5,0),1,0)*Table_NFI[[#This Row],[NFI Core Kit]],Table_NFI[NFI Core Kit])</f>
        <v>0</v>
      </c>
      <c r="Y42" s="439">
        <f>IF(NFI_Expiration=1,IF($A42&lt;VLOOKUP(J$5,NFI,5,0),1,0)*Table_NFI[[#This Row],[Sanitary Kit]],Table_NFI[Sanitary Kit])</f>
        <v>0</v>
      </c>
      <c r="Z42" s="439">
        <f>IF(NFI_Expiration=1,IF($A42&lt;VLOOKUP(K$5,NFI,5,0),1,0)*Table_NFI[[#This Row],[Mosquito net]],Table_NFI[Mosquito net])</f>
        <v>0</v>
      </c>
      <c r="AA42" s="439">
        <f>IF(NFI_Expiration=1,IF($A42&lt;VLOOKUP(L$5,NFI,5,0),1,0)*Table_NFI[[#This Row],[Tarpaulin]],Table_NFI[[#This Row],[Tarpaulin]])</f>
        <v>0</v>
      </c>
      <c r="AB42" s="439">
        <f>IF(NFI_Expiration=1,IF($A42&lt;VLOOKUP(M$5,NFI,5,0),1,0)*Table_NFI[[#This Row],[Blanket]],Table_NFI[[#This Row],[Blanket]])</f>
        <v>0</v>
      </c>
      <c r="AC42" s="439">
        <f>IF(NFI_Expiration=1,IF($A42&lt;VLOOKUP(N$5,NFI,5,0),1,0)*Table_NFI[[#This Row],[Kitchen Set]],Table_NFI[Kitchen Set])</f>
        <v>0</v>
      </c>
      <c r="AD42" s="439">
        <f>IF(NFI_Expiration=1,IF($A42&lt;VLOOKUP(O$5,NFI,5,0),1,0)*Table_NFI[[#This Row],[Clothes Kit]],Table_NFI[Clothes Kit])</f>
        <v>0</v>
      </c>
      <c r="AE42" s="439">
        <f>IF(NFI_Expiration=1,IF($A42&lt;VLOOKUP(P$5,NFI,5,0),1,0)*Table_NFI[[#This Row],[Plastic Bucket]],Table_NFI[Plastic Bucket])</f>
        <v>0</v>
      </c>
      <c r="AF42" s="439">
        <f>IF(NFI_Expiration=1,IF($A42&lt;VLOOKUP(Q$5,NFI,5,0),1,0)*Table_NFI[[#This Row],[Plastic Mat]],Table_NFI[Plastic Mat])*IF(Table_NFI[[#This Row],[Distribution Date]]&gt;"2014-04-01",1,2.5)</f>
        <v>0</v>
      </c>
      <c r="AG42" s="439">
        <f>IF(NFI_Expiration=1,IF($A42&lt;VLOOKUP(R$5,NFI,5,0),1,0)*Table_NFI[[#This Row],[Winter Clothes Adult]],Table_NFI[Winter Clothes Adult])</f>
        <v>0</v>
      </c>
      <c r="AH42" s="439">
        <f>IF(NFI_Expiration=1,IF($A42&lt;VLOOKUP(S$5,NFI,5,0),1,0)*Table_NFI[[#This Row],[Winter Clothes Children]],Table_NFI[Winter Clothes Children])</f>
        <v>0</v>
      </c>
      <c r="AI42" s="439">
        <f>IF(NFI_Expiration=1,IF($A42&lt;VLOOKUP(T$5,NFI,5,0),1,0)*Table_NFI[[#This Row],[Winter Items Other]],Table_NFI[Winter Items Other])</f>
        <v>0</v>
      </c>
      <c r="AJ42" s="439">
        <f>IF(NFI_Expiration=1,IF($A42&lt;VLOOKUP(M$5,NFI,5,0),1,0)*Table_NFI[[#This Row],[Winter Blanket]],Table_NFI[[#This Row],[Winter Blanket]])</f>
        <v>0</v>
      </c>
      <c r="AK42" s="439">
        <f>IF(Table_NFI[[#This Row],[Winter Clothes Adult]]+Table_NFI[[#This Row],[Winter Clothes Children]]+Table_NFI[[#This Row],[Winter Items Other]]+Table_NFI[[#This Row],[Winter Blanket]]&gt;0,1,0)</f>
        <v>0</v>
      </c>
      <c r="AL42" s="439">
        <f>IF(NFI_Expiration=1,IF($A42&lt;VLOOKUP(V$5,NFI,5,0),1,0)*Table_NFI[[#This Row],[Jerry Can]],Table_NFI[Jerry Can])</f>
        <v>100</v>
      </c>
      <c r="AM42" s="791" t="str">
        <f>IFERROR(VLOOKUP(Table_NFI[[#This Row],[Camp Name]],CL,2,0),"")</f>
        <v>MMR001CMP168</v>
      </c>
      <c r="AN42" s="782">
        <f ca="1">IF(Table_NFI[[#This Row],[Pcode]]="","",IF(OFFSET(CampList[Opening Date],MATCH(Table_NFI[[#This Row],[Pcode]],CampList[CP_Pcode],0)-1,0,1,1)&gt;=NFI_Monitor_Date,1,0))</f>
        <v>0</v>
      </c>
      <c r="AO42" s="791" t="str">
        <f>IFERROR(VLOOKUP(Table_NFI[[#This Row],[Camp Name]],CL,3,0),"")</f>
        <v>Open</v>
      </c>
      <c r="AP42" s="439" t="str">
        <f ca="1">IF(Table_NFI[[#This Row],[Pcode]]="","",OFFSET(CampList[Priority],MATCH(Table_NFI[[#This Row],[Pcode]],CampList[CP_Pcode],0)-1,0,1,1))</f>
        <v>P4</v>
      </c>
      <c r="AQ42" s="438">
        <f>IFERROR(Table_NFI[[#This Row],[Kitchen Set]]/VLOOKUP(Table_NFI[[#This Row],[Camp Name]],CL,4,0),"")</f>
        <v>0</v>
      </c>
      <c r="AR42" s="789"/>
      <c r="AS42" s="783" t="s">
        <v>1419</v>
      </c>
    </row>
    <row r="43" spans="1:45" s="784" customFormat="1" x14ac:dyDescent="0.25">
      <c r="A43" s="455">
        <f t="shared" si="0"/>
        <v>8.2333333333333325</v>
      </c>
      <c r="B43" s="778">
        <v>42062</v>
      </c>
      <c r="C43" s="779" t="s">
        <v>454</v>
      </c>
      <c r="D43" s="779"/>
      <c r="E43" s="779" t="s">
        <v>380</v>
      </c>
      <c r="F43" s="779" t="s">
        <v>529</v>
      </c>
      <c r="G43" s="779" t="s">
        <v>120</v>
      </c>
      <c r="H43" s="436"/>
      <c r="I43" s="436"/>
      <c r="J43" s="436"/>
      <c r="K43" s="436">
        <v>200</v>
      </c>
      <c r="L43" s="437">
        <v>200</v>
      </c>
      <c r="M43" s="437">
        <v>200</v>
      </c>
      <c r="N43" s="437">
        <v>100</v>
      </c>
      <c r="O43" s="437">
        <v>100</v>
      </c>
      <c r="P43" s="439">
        <v>100</v>
      </c>
      <c r="Q43" s="439">
        <v>500</v>
      </c>
      <c r="R43" s="436"/>
      <c r="S43" s="436"/>
      <c r="T43" s="436"/>
      <c r="U43" s="436"/>
      <c r="V43" s="436"/>
      <c r="W43" s="436">
        <f>IF(NFI_Expiration=1,IF($A43&lt;VLOOKUP(H$5,NFI,5,0),1,0)*Table_NFI[[#This Row],[Hygiene Kit]],Table_NFI[Hygiene Kit])</f>
        <v>0</v>
      </c>
      <c r="X43" s="436">
        <f>IF(NFI_Expiration=1,IF($A43&lt;VLOOKUP(I$5,NFI,5,0),1,0)*Table_NFI[[#This Row],[NFI Core Kit]],Table_NFI[NFI Core Kit])</f>
        <v>0</v>
      </c>
      <c r="Y43" s="436">
        <f>IF(NFI_Expiration=1,IF($A43&lt;VLOOKUP(J$5,NFI,5,0),1,0)*Table_NFI[[#This Row],[Sanitary Kit]],Table_NFI[Sanitary Kit])</f>
        <v>0</v>
      </c>
      <c r="Z43" s="436">
        <f>IF(NFI_Expiration=1,IF($A43&lt;VLOOKUP(K$5,NFI,5,0),1,0)*Table_NFI[[#This Row],[Mosquito net]],Table_NFI[Mosquito net])</f>
        <v>200</v>
      </c>
      <c r="AA43" s="436">
        <f>IF(NFI_Expiration=1,IF($A43&lt;VLOOKUP(L$5,NFI,5,0),1,0)*Table_NFI[[#This Row],[Tarpaulin]],Table_NFI[[#This Row],[Tarpaulin]])</f>
        <v>200</v>
      </c>
      <c r="AB43" s="436">
        <f>IF(NFI_Expiration=1,IF($A43&lt;VLOOKUP(M$5,NFI,5,0),1,0)*Table_NFI[[#This Row],[Blanket]],Table_NFI[[#This Row],[Blanket]])</f>
        <v>200</v>
      </c>
      <c r="AC43" s="436">
        <f>IF(NFI_Expiration=1,IF($A43&lt;VLOOKUP(N$5,NFI,5,0),1,0)*Table_NFI[[#This Row],[Kitchen Set]],Table_NFI[Kitchen Set])</f>
        <v>100</v>
      </c>
      <c r="AD43" s="436">
        <f>IF(NFI_Expiration=1,IF($A43&lt;VLOOKUP(O$5,NFI,5,0),1,0)*Table_NFI[[#This Row],[Clothes Kit]],Table_NFI[Clothes Kit])</f>
        <v>100</v>
      </c>
      <c r="AE43" s="436">
        <f>IF(NFI_Expiration=1,IF($A43&lt;VLOOKUP(P$5,NFI,5,0),1,0)*Table_NFI[[#This Row],[Plastic Bucket]],Table_NFI[Plastic Bucket])</f>
        <v>100</v>
      </c>
      <c r="AF43" s="436">
        <f>IF(NFI_Expiration=1,IF($A43&lt;VLOOKUP(Q$5,NFI,5,0),1,0)*Table_NFI[[#This Row],[Plastic Mat]],Table_NFI[Plastic Mat])*IF(Table_NFI[[#This Row],[Distribution Date]]&gt;"2014-04-01",1,2.5)</f>
        <v>1250</v>
      </c>
      <c r="AG43" s="436">
        <f>IF(NFI_Expiration=1,IF($A43&lt;VLOOKUP(R$5,NFI,5,0),1,0)*Table_NFI[[#This Row],[Winter Clothes Adult]],Table_NFI[Winter Clothes Adult])</f>
        <v>0</v>
      </c>
      <c r="AH43" s="436">
        <f>IF(NFI_Expiration=1,IF($A43&lt;VLOOKUP(S$5,NFI,5,0),1,0)*Table_NFI[[#This Row],[Winter Clothes Children]],Table_NFI[Winter Clothes Children])</f>
        <v>0</v>
      </c>
      <c r="AI43" s="436">
        <f>IF(NFI_Expiration=1,IF($A43&lt;VLOOKUP(T$5,NFI,5,0),1,0)*Table_NFI[[#This Row],[Winter Items Other]],Table_NFI[Winter Items Other])</f>
        <v>0</v>
      </c>
      <c r="AJ43" s="436">
        <f>IF(NFI_Expiration=1,IF($A43&lt;VLOOKUP(M$5,NFI,5,0),1,0)*Table_NFI[[#This Row],[Winter Blanket]],Table_NFI[[#This Row],[Winter Blanket]])</f>
        <v>0</v>
      </c>
      <c r="AK43" s="436">
        <f>IF(Table_NFI[[#This Row],[Winter Clothes Adult]]+Table_NFI[[#This Row],[Winter Clothes Children]]+Table_NFI[[#This Row],[Winter Items Other]]+Table_NFI[[#This Row],[Winter Blanket]]&gt;0,1,0)</f>
        <v>0</v>
      </c>
      <c r="AL43" s="439">
        <f>IF(NFI_Expiration=1,IF($A43&lt;VLOOKUP(V$5,NFI,5,0),1,0)*Table_NFI[[#This Row],[Jerry Can]],Table_NFI[Jerry Can])</f>
        <v>0</v>
      </c>
      <c r="AM43" s="781" t="str">
        <f>IFERROR(VLOOKUP(Table_NFI[[#This Row],[Camp Name]],CL,2,0),"")</f>
        <v>MMR001CMP168</v>
      </c>
      <c r="AN43" s="782">
        <f ca="1">IF(Table_NFI[[#This Row],[Pcode]]="","",IF(OFFSET(CampList[Opening Date],MATCH(Table_NFI[[#This Row],[Pcode]],CampList[CP_Pcode],0)-1,0,1,1)&gt;=NFI_Monitor_Date,1,0))</f>
        <v>0</v>
      </c>
      <c r="AO43" s="781" t="str">
        <f>IFERROR(VLOOKUP(Table_NFI[[#This Row],[Camp Name]],CL,3,0),"")</f>
        <v>Open</v>
      </c>
      <c r="AP43" s="436" t="str">
        <f ca="1">IF(Table_NFI[[#This Row],[Pcode]]="","",OFFSET(CampList[Priority],MATCH(Table_NFI[[#This Row],[Pcode]],CampList[CP_Pcode],0)-1,0,1,1))</f>
        <v>P4</v>
      </c>
      <c r="AQ43" s="438">
        <f>IFERROR(Table_NFI[[#This Row],[Kitchen Set]]/VLOOKUP(Table_NFI[[#This Row],[Camp Name]],CL,4,0),"")</f>
        <v>1.3333333333333333</v>
      </c>
      <c r="AR43" s="779"/>
      <c r="AS43" s="783"/>
    </row>
    <row r="44" spans="1:45" s="784" customFormat="1" x14ac:dyDescent="0.25">
      <c r="A44" s="456">
        <f t="shared" si="0"/>
        <v>8.4333333333333336</v>
      </c>
      <c r="B44" s="803">
        <v>42056</v>
      </c>
      <c r="C44" s="779" t="s">
        <v>454</v>
      </c>
      <c r="D44" s="804" t="s">
        <v>1296</v>
      </c>
      <c r="E44" s="804" t="s">
        <v>555</v>
      </c>
      <c r="F44" s="804" t="s">
        <v>146</v>
      </c>
      <c r="G44" s="804" t="s">
        <v>373</v>
      </c>
      <c r="H44" s="452"/>
      <c r="I44" s="452"/>
      <c r="J44" s="452">
        <v>36</v>
      </c>
      <c r="K44" s="452">
        <v>108</v>
      </c>
      <c r="L44" s="452">
        <v>54</v>
      </c>
      <c r="M44" s="452"/>
      <c r="N44" s="452">
        <v>54</v>
      </c>
      <c r="O44" s="452">
        <v>54</v>
      </c>
      <c r="P44" s="453">
        <v>54</v>
      </c>
      <c r="Q44" s="453">
        <v>108</v>
      </c>
      <c r="R44" s="453"/>
      <c r="S44" s="453"/>
      <c r="T44" s="453"/>
      <c r="U44" s="453">
        <v>108</v>
      </c>
      <c r="V44" s="817">
        <v>54</v>
      </c>
      <c r="W44" s="453">
        <f>IF(NFI_Expiration=1,IF($A44&lt;VLOOKUP(H$5,NFI,5,0),1,0)*Table_NFI[[#This Row],[Hygiene Kit]],Table_NFI[Hygiene Kit])</f>
        <v>0</v>
      </c>
      <c r="X44" s="453">
        <f>IF(NFI_Expiration=1,IF($A44&lt;VLOOKUP(I$5,NFI,5,0),1,0)*Table_NFI[[#This Row],[NFI Core Kit]],Table_NFI[NFI Core Kit])</f>
        <v>0</v>
      </c>
      <c r="Y44" s="453">
        <f>IF(NFI_Expiration=1,IF($A44&lt;VLOOKUP(J$5,NFI,5,0),1,0)*Table_NFI[[#This Row],[Sanitary Kit]],Table_NFI[Sanitary Kit])</f>
        <v>36</v>
      </c>
      <c r="Z44" s="453">
        <f>IF(NFI_Expiration=1,IF($A44&lt;VLOOKUP(K$5,NFI,5,0),1,0)*Table_NFI[[#This Row],[Mosquito net]],Table_NFI[Mosquito net])</f>
        <v>108</v>
      </c>
      <c r="AA44" s="453">
        <f>IF(NFI_Expiration=1,IF($A44&lt;VLOOKUP(L$5,NFI,5,0),1,0)*Table_NFI[[#This Row],[Tarpaulin]],Table_NFI[[#This Row],[Tarpaulin]])</f>
        <v>54</v>
      </c>
      <c r="AB44" s="453">
        <f>IF(NFI_Expiration=1,IF($A44&lt;VLOOKUP(M$5,NFI,5,0),1,0)*Table_NFI[[#This Row],[Blanket]],Table_NFI[[#This Row],[Blanket]])</f>
        <v>0</v>
      </c>
      <c r="AC44" s="453">
        <f>IF(NFI_Expiration=1,IF($A44&lt;VLOOKUP(N$5,NFI,5,0),1,0)*Table_NFI[[#This Row],[Kitchen Set]],Table_NFI[Kitchen Set])</f>
        <v>54</v>
      </c>
      <c r="AD44" s="453">
        <f>IF(NFI_Expiration=1,IF($A44&lt;VLOOKUP(O$5,NFI,5,0),1,0)*Table_NFI[[#This Row],[Clothes Kit]],Table_NFI[Clothes Kit])</f>
        <v>54</v>
      </c>
      <c r="AE44" s="453">
        <f>IF(NFI_Expiration=1,IF($A44&lt;VLOOKUP(P$5,NFI,5,0),1,0)*Table_NFI[[#This Row],[Plastic Bucket]],Table_NFI[Plastic Bucket])</f>
        <v>54</v>
      </c>
      <c r="AF44" s="453">
        <f>IF(NFI_Expiration=1,IF($A44&lt;VLOOKUP(Q$5,NFI,5,0),1,0)*Table_NFI[[#This Row],[Plastic Mat]],Table_NFI[Plastic Mat])*IF(Table_NFI[[#This Row],[Distribution Date]]&gt;"2014-04-01",1,2.5)</f>
        <v>270</v>
      </c>
      <c r="AG44" s="453">
        <f>IF(NFI_Expiration=1,IF($A44&lt;VLOOKUP(R$5,NFI,5,0),1,0)*Table_NFI[[#This Row],[Winter Clothes Adult]],Table_NFI[Winter Clothes Adult])</f>
        <v>0</v>
      </c>
      <c r="AH44" s="453">
        <f>IF(NFI_Expiration=1,IF($A44&lt;VLOOKUP(S$5,NFI,5,0),1,0)*Table_NFI[[#This Row],[Winter Clothes Children]],Table_NFI[Winter Clothes Children])</f>
        <v>0</v>
      </c>
      <c r="AI44" s="453">
        <f>IF(NFI_Expiration=1,IF($A44&lt;VLOOKUP(T$5,NFI,5,0),1,0)*Table_NFI[[#This Row],[Winter Items Other]],Table_NFI[Winter Items Other])</f>
        <v>0</v>
      </c>
      <c r="AJ44" s="453">
        <f>IF(NFI_Expiration=1,IF($A44&lt;VLOOKUP(M$5,NFI,5,0),1,0)*Table_NFI[[#This Row],[Winter Blanket]],Table_NFI[[#This Row],[Winter Blanket]])</f>
        <v>108</v>
      </c>
      <c r="AK44" s="453">
        <f>IF(Table_NFI[[#This Row],[Winter Clothes Adult]]+Table_NFI[[#This Row],[Winter Clothes Children]]+Table_NFI[[#This Row],[Winter Items Other]]+Table_NFI[[#This Row],[Winter Blanket]]&gt;0,1,0)</f>
        <v>1</v>
      </c>
      <c r="AL44" s="439">
        <f>IF(NFI_Expiration=1,IF($A44&lt;VLOOKUP(V$5,NFI,5,0),1,0)*Table_NFI[[#This Row],[Jerry Can]],Table_NFI[Jerry Can])</f>
        <v>54</v>
      </c>
      <c r="AM44" s="805" t="str">
        <f>IFERROR(VLOOKUP(Table_NFI[[#This Row],[Camp Name]],CL,2,0),"")</f>
        <v>MMR015CMP020</v>
      </c>
      <c r="AN44" s="806">
        <f ca="1">IF(Table_NFI[[#This Row],[Pcode]]="","",IF(OFFSET(CampList[Opening Date],MATCH(Table_NFI[[#This Row],[Pcode]],CampList[CP_Pcode],0)-1,0,1,1)&gt;=NFI_Monitor_Date,1,0))</f>
        <v>0</v>
      </c>
      <c r="AO44" s="805" t="str">
        <f>IFERROR(VLOOKUP(Table_NFI[[#This Row],[Camp Name]],CL,3,0),"")</f>
        <v>Open</v>
      </c>
      <c r="AP44" s="453" t="str">
        <f ca="1">IF(Table_NFI[[#This Row],[Pcode]]="","",OFFSET(CampList[Priority],MATCH(Table_NFI[[#This Row],[Pcode]],CampList[CP_Pcode],0)-1,0,1,1))</f>
        <v>P3</v>
      </c>
      <c r="AQ44" s="454">
        <f>IFERROR(Table_NFI[[#This Row],[Kitchen Set]]/VLOOKUP(Table_NFI[[#This Row],[Camp Name]],CL,4,0),"")</f>
        <v>0.30337078651685395</v>
      </c>
      <c r="AR44" s="804"/>
      <c r="AS44" s="792" t="s">
        <v>1416</v>
      </c>
    </row>
    <row r="45" spans="1:45" s="784" customFormat="1" x14ac:dyDescent="0.25">
      <c r="A45" s="455">
        <f t="shared" si="0"/>
        <v>8.6</v>
      </c>
      <c r="B45" s="778">
        <v>42051</v>
      </c>
      <c r="C45" s="779" t="s">
        <v>454</v>
      </c>
      <c r="D45" s="779"/>
      <c r="E45" s="779" t="s">
        <v>380</v>
      </c>
      <c r="F45" s="779" t="s">
        <v>185</v>
      </c>
      <c r="G45" s="779" t="s">
        <v>194</v>
      </c>
      <c r="H45" s="436"/>
      <c r="I45" s="436"/>
      <c r="J45" s="436"/>
      <c r="K45" s="436"/>
      <c r="L45" s="437"/>
      <c r="M45" s="437"/>
      <c r="N45" s="437"/>
      <c r="O45" s="437"/>
      <c r="P45" s="439"/>
      <c r="Q45" s="439"/>
      <c r="R45" s="436">
        <v>850</v>
      </c>
      <c r="S45" s="436">
        <v>1474</v>
      </c>
      <c r="T45" s="436"/>
      <c r="U45" s="436">
        <v>854</v>
      </c>
      <c r="V45" s="436"/>
      <c r="W45" s="436"/>
      <c r="X45" s="436">
        <f>IF(NFI_Expiration=1,IF($A45&lt;VLOOKUP(I$5,NFI,5,0),1,0)*Table_NFI[[#This Row],[NFI Core Kit]],Table_NFI[NFI Core Kit])</f>
        <v>0</v>
      </c>
      <c r="Y45" s="436">
        <f>IF(NFI_Expiration=1,IF($A45&lt;VLOOKUP(J$5,NFI,5,0),1,0)*Table_NFI[[#This Row],[Sanitary Kit]],Table_NFI[Sanitary Kit])</f>
        <v>0</v>
      </c>
      <c r="Z45" s="436">
        <f>IF(NFI_Expiration=1,IF($A45&lt;VLOOKUP(K$5,NFI,5,0),1,0)*Table_NFI[[#This Row],[Mosquito net]],Table_NFI[Mosquito net])</f>
        <v>0</v>
      </c>
      <c r="AA45" s="436">
        <f>IF(NFI_Expiration=1,IF($A45&lt;VLOOKUP(L$5,NFI,5,0),1,0)*Table_NFI[[#This Row],[Tarpaulin]],Table_NFI[[#This Row],[Tarpaulin]])</f>
        <v>0</v>
      </c>
      <c r="AB45" s="436">
        <f>IF(NFI_Expiration=1,IF($A45&lt;VLOOKUP(M$5,NFI,5,0),1,0)*Table_NFI[[#This Row],[Blanket]],Table_NFI[[#This Row],[Blanket]])</f>
        <v>0</v>
      </c>
      <c r="AC45" s="436">
        <f>IF(NFI_Expiration=1,IF($A45&lt;VLOOKUP(N$5,NFI,5,0),1,0)*Table_NFI[[#This Row],[Kitchen Set]],Table_NFI[Kitchen Set])</f>
        <v>0</v>
      </c>
      <c r="AD45" s="436">
        <f>IF(NFI_Expiration=1,IF($A45&lt;VLOOKUP(O$5,NFI,5,0),1,0)*Table_NFI[[#This Row],[Clothes Kit]],Table_NFI[Clothes Kit])</f>
        <v>0</v>
      </c>
      <c r="AE45" s="436">
        <f>IF(NFI_Expiration=1,IF($A45&lt;VLOOKUP(P$5,NFI,5,0),1,0)*Table_NFI[[#This Row],[Plastic Bucket]],Table_NFI[Plastic Bucket])</f>
        <v>0</v>
      </c>
      <c r="AF45" s="436">
        <f>IF(NFI_Expiration=1,IF($A45&lt;VLOOKUP(Q$5,NFI,5,0),1,0)*Table_NFI[[#This Row],[Plastic Mat]],Table_NFI[Plastic Mat])*IF(Table_NFI[[#This Row],[Distribution Date]]&gt;"2014-04-01",1,2.5)</f>
        <v>0</v>
      </c>
      <c r="AG45" s="436">
        <f>IF(NFI_Expiration=1,IF($A45&lt;VLOOKUP(R$5,NFI,5,0),1,0)*Table_NFI[[#This Row],[Winter Clothes Adult]],Table_NFI[Winter Clothes Adult])</f>
        <v>850</v>
      </c>
      <c r="AH45" s="436">
        <f>IF(NFI_Expiration=1,IF($A45&lt;VLOOKUP(S$5,NFI,5,0),1,0)*Table_NFI[[#This Row],[Winter Clothes Children]],Table_NFI[Winter Clothes Children])</f>
        <v>1474</v>
      </c>
      <c r="AI45" s="436">
        <f>IF(NFI_Expiration=1,IF($A45&lt;VLOOKUP(T$5,NFI,5,0),1,0)*Table_NFI[[#This Row],[Winter Items Other]],Table_NFI[Winter Items Other])</f>
        <v>0</v>
      </c>
      <c r="AJ45" s="436">
        <f>IF(NFI_Expiration=1,IF($A45&lt;VLOOKUP(M$5,NFI,5,0),1,0)*Table_NFI[[#This Row],[Winter Blanket]],Table_NFI[[#This Row],[Winter Blanket]])</f>
        <v>854</v>
      </c>
      <c r="AK45" s="436">
        <f>IF(Table_NFI[[#This Row],[Winter Clothes Adult]]+Table_NFI[[#This Row],[Winter Clothes Children]]+Table_NFI[[#This Row],[Winter Items Other]]+Table_NFI[[#This Row],[Winter Blanket]]&gt;0,1,0)</f>
        <v>1</v>
      </c>
      <c r="AL45" s="439">
        <f>IF(NFI_Expiration=1,IF($A45&lt;VLOOKUP(V$5,NFI,5,0),1,0)*Table_NFI[[#This Row],[Jerry Can]],Table_NFI[Jerry Can])</f>
        <v>0</v>
      </c>
      <c r="AM45" s="781" t="str">
        <f>IFERROR(VLOOKUP(Table_NFI[[#This Row],[Camp Name]],CL,2,0),"")</f>
        <v>MMR001CMP122</v>
      </c>
      <c r="AN45" s="782">
        <f ca="1">IF(Table_NFI[[#This Row],[Pcode]]="","",IF(OFFSET(CampList[Opening Date],MATCH(Table_NFI[[#This Row],[Pcode]],CampList[CP_Pcode],0)-1,0,1,1)&gt;=NFI_Monitor_Date,1,0))</f>
        <v>0</v>
      </c>
      <c r="AO45" s="781" t="str">
        <f>IFERROR(VLOOKUP(Table_NFI[[#This Row],[Camp Name]],CL,3,0),"")</f>
        <v>Open</v>
      </c>
      <c r="AP45" s="436" t="str">
        <f ca="1">IF(Table_NFI[[#This Row],[Pcode]]="","",OFFSET(CampList[Priority],MATCH(Table_NFI[[#This Row],[Pcode]],CampList[CP_Pcode],0)-1,0,1,1))</f>
        <v>P2</v>
      </c>
      <c r="AQ45" s="438">
        <f>IFERROR(Table_NFI[[#This Row],[Kitchen Set]]/VLOOKUP(Table_NFI[[#This Row],[Camp Name]],CL,4,0),"")</f>
        <v>0</v>
      </c>
      <c r="AR45" s="779"/>
      <c r="AS45" s="783"/>
    </row>
    <row r="46" spans="1:45" s="784" customFormat="1" x14ac:dyDescent="0.25">
      <c r="A46" s="455">
        <f t="shared" si="0"/>
        <v>8.6</v>
      </c>
      <c r="B46" s="778">
        <v>42051</v>
      </c>
      <c r="C46" s="779" t="s">
        <v>454</v>
      </c>
      <c r="D46" s="779"/>
      <c r="E46" s="779" t="s">
        <v>380</v>
      </c>
      <c r="F46" s="779" t="s">
        <v>185</v>
      </c>
      <c r="G46" s="779" t="s">
        <v>196</v>
      </c>
      <c r="H46" s="436"/>
      <c r="I46" s="436"/>
      <c r="J46" s="436"/>
      <c r="K46" s="436"/>
      <c r="L46" s="437"/>
      <c r="M46" s="437"/>
      <c r="N46" s="437"/>
      <c r="O46" s="437"/>
      <c r="P46" s="439"/>
      <c r="Q46" s="439"/>
      <c r="R46" s="436">
        <v>2910</v>
      </c>
      <c r="S46" s="436">
        <v>5160</v>
      </c>
      <c r="T46" s="436"/>
      <c r="U46" s="436">
        <v>3300</v>
      </c>
      <c r="V46" s="436"/>
      <c r="W46" s="436">
        <f>IF(NFI_Expiration=1,IF($A46&lt;VLOOKUP(H$5,NFI,5,0),1,0)*Table_NFI[[#This Row],[Hygiene Kit]],Table_NFI[Hygiene Kit])</f>
        <v>0</v>
      </c>
      <c r="X46" s="436">
        <f>IF(NFI_Expiration=1,IF($A46&lt;VLOOKUP(I$5,NFI,5,0),1,0)*Table_NFI[[#This Row],[NFI Core Kit]],Table_NFI[NFI Core Kit])</f>
        <v>0</v>
      </c>
      <c r="Y46" s="436">
        <f>IF(NFI_Expiration=1,IF($A46&lt;VLOOKUP(J$5,NFI,5,0),1,0)*Table_NFI[[#This Row],[Sanitary Kit]],Table_NFI[Sanitary Kit])</f>
        <v>0</v>
      </c>
      <c r="Z46" s="436">
        <f>IF(NFI_Expiration=1,IF($A46&lt;VLOOKUP(K$5,NFI,5,0),1,0)*Table_NFI[[#This Row],[Mosquito net]],Table_NFI[Mosquito net])</f>
        <v>0</v>
      </c>
      <c r="AA46" s="436">
        <f>IF(NFI_Expiration=1,IF($A46&lt;VLOOKUP(L$5,NFI,5,0),1,0)*Table_NFI[[#This Row],[Tarpaulin]],Table_NFI[[#This Row],[Tarpaulin]])</f>
        <v>0</v>
      </c>
      <c r="AB46" s="436">
        <f>IF(NFI_Expiration=1,IF($A46&lt;VLOOKUP(M$5,NFI,5,0),1,0)*Table_NFI[[#This Row],[Blanket]],Table_NFI[[#This Row],[Blanket]])</f>
        <v>0</v>
      </c>
      <c r="AC46" s="436">
        <f>IF(NFI_Expiration=1,IF($A46&lt;VLOOKUP(N$5,NFI,5,0),1,0)*Table_NFI[[#This Row],[Kitchen Set]],Table_NFI[Kitchen Set])</f>
        <v>0</v>
      </c>
      <c r="AD46" s="436">
        <f>IF(NFI_Expiration=1,IF($A46&lt;VLOOKUP(O$5,NFI,5,0),1,0)*Table_NFI[[#This Row],[Clothes Kit]],Table_NFI[Clothes Kit])</f>
        <v>0</v>
      </c>
      <c r="AE46" s="436">
        <f>IF(NFI_Expiration=1,IF($A46&lt;VLOOKUP(P$5,NFI,5,0),1,0)*Table_NFI[[#This Row],[Plastic Bucket]],Table_NFI[Plastic Bucket])</f>
        <v>0</v>
      </c>
      <c r="AF46" s="436">
        <f>IF(NFI_Expiration=1,IF($A46&lt;VLOOKUP(Q$5,NFI,5,0),1,0)*Table_NFI[[#This Row],[Plastic Mat]],Table_NFI[Plastic Mat])*IF(Table_NFI[[#This Row],[Distribution Date]]&gt;"2014-04-01",1,2.5)</f>
        <v>0</v>
      </c>
      <c r="AG46" s="436">
        <f>IF(NFI_Expiration=1,IF($A46&lt;VLOOKUP(R$5,NFI,5,0),1,0)*Table_NFI[[#This Row],[Winter Clothes Adult]],Table_NFI[Winter Clothes Adult])</f>
        <v>2910</v>
      </c>
      <c r="AH46" s="436">
        <f>IF(NFI_Expiration=1,IF($A46&lt;VLOOKUP(S$5,NFI,5,0),1,0)*Table_NFI[[#This Row],[Winter Clothes Children]],Table_NFI[Winter Clothes Children])</f>
        <v>5160</v>
      </c>
      <c r="AI46" s="436">
        <f>IF(NFI_Expiration=1,IF($A46&lt;VLOOKUP(T$5,NFI,5,0),1,0)*Table_NFI[[#This Row],[Winter Items Other]],Table_NFI[Winter Items Other])</f>
        <v>0</v>
      </c>
      <c r="AJ46" s="436">
        <f>IF(NFI_Expiration=1,IF($A46&lt;VLOOKUP(M$5,NFI,5,0),1,0)*Table_NFI[[#This Row],[Winter Blanket]],Table_NFI[[#This Row],[Winter Blanket]])</f>
        <v>3300</v>
      </c>
      <c r="AK46" s="436">
        <f>IF(Table_NFI[[#This Row],[Winter Clothes Adult]]+Table_NFI[[#This Row],[Winter Clothes Children]]+Table_NFI[[#This Row],[Winter Items Other]]+Table_NFI[[#This Row],[Winter Blanket]]&gt;0,1,0)</f>
        <v>1</v>
      </c>
      <c r="AL46" s="439">
        <f>IF(NFI_Expiration=1,IF($A46&lt;VLOOKUP(V$5,NFI,5,0),1,0)*Table_NFI[[#This Row],[Jerry Can]],Table_NFI[Jerry Can])</f>
        <v>0</v>
      </c>
      <c r="AM46" s="781" t="str">
        <f>IFERROR(VLOOKUP(Table_NFI[[#This Row],[Camp Name]],CL,2,0),"")</f>
        <v>MMR001CMP121</v>
      </c>
      <c r="AN46" s="782">
        <f ca="1">IF(Table_NFI[[#This Row],[Pcode]]="","",IF(OFFSET(CampList[Opening Date],MATCH(Table_NFI[[#This Row],[Pcode]],CampList[CP_Pcode],0)-1,0,1,1)&gt;=NFI_Monitor_Date,1,0))</f>
        <v>0</v>
      </c>
      <c r="AO46" s="781" t="str">
        <f>IFERROR(VLOOKUP(Table_NFI[[#This Row],[Camp Name]],CL,3,0),"")</f>
        <v>Open</v>
      </c>
      <c r="AP46" s="436" t="str">
        <f ca="1">IF(Table_NFI[[#This Row],[Pcode]]="","",OFFSET(CampList[Priority],MATCH(Table_NFI[[#This Row],[Pcode]],CampList[CP_Pcode],0)-1,0,1,1))</f>
        <v>P2</v>
      </c>
      <c r="AQ46" s="438">
        <f>IFERROR(Table_NFI[[#This Row],[Kitchen Set]]/VLOOKUP(Table_NFI[[#This Row],[Camp Name]],CL,4,0),"")</f>
        <v>0</v>
      </c>
      <c r="AR46" s="779"/>
      <c r="AS46" s="783"/>
    </row>
    <row r="47" spans="1:45" s="784" customFormat="1" x14ac:dyDescent="0.25">
      <c r="A47" s="455">
        <f t="shared" si="0"/>
        <v>8.6</v>
      </c>
      <c r="B47" s="778">
        <v>42051</v>
      </c>
      <c r="C47" s="779" t="s">
        <v>454</v>
      </c>
      <c r="D47" s="779"/>
      <c r="E47" s="779" t="s">
        <v>380</v>
      </c>
      <c r="F47" s="779" t="s">
        <v>310</v>
      </c>
      <c r="G47" s="779" t="s">
        <v>1271</v>
      </c>
      <c r="H47" s="436"/>
      <c r="I47" s="436"/>
      <c r="J47" s="436"/>
      <c r="K47" s="436"/>
      <c r="L47" s="437"/>
      <c r="M47" s="437"/>
      <c r="N47" s="437"/>
      <c r="O47" s="437"/>
      <c r="P47" s="439"/>
      <c r="Q47" s="439"/>
      <c r="R47" s="436">
        <v>900</v>
      </c>
      <c r="S47" s="436">
        <v>1520</v>
      </c>
      <c r="T47" s="436"/>
      <c r="U47" s="436">
        <v>1000</v>
      </c>
      <c r="V47" s="436"/>
      <c r="W47" s="436">
        <f>IF(NFI_Expiration=1,IF($A47&lt;VLOOKUP(H$5,NFI,5,0),1,0)*Table_NFI[[#This Row],[Hygiene Kit]],Table_NFI[Hygiene Kit])</f>
        <v>0</v>
      </c>
      <c r="X47" s="436">
        <f>IF(NFI_Expiration=1,IF($A47&lt;VLOOKUP(I$5,NFI,5,0),1,0)*Table_NFI[[#This Row],[NFI Core Kit]],Table_NFI[NFI Core Kit])</f>
        <v>0</v>
      </c>
      <c r="Y47" s="436">
        <f>IF(NFI_Expiration=1,IF($A47&lt;VLOOKUP(J$5,NFI,5,0),1,0)*Table_NFI[[#This Row],[Sanitary Kit]],Table_NFI[Sanitary Kit])</f>
        <v>0</v>
      </c>
      <c r="Z47" s="436">
        <f>IF(NFI_Expiration=1,IF($A47&lt;VLOOKUP(K$5,NFI,5,0),1,0)*Table_NFI[[#This Row],[Mosquito net]],Table_NFI[Mosquito net])</f>
        <v>0</v>
      </c>
      <c r="AA47" s="436">
        <f>IF(NFI_Expiration=1,IF($A47&lt;VLOOKUP(L$5,NFI,5,0),1,0)*Table_NFI[[#This Row],[Tarpaulin]],Table_NFI[[#This Row],[Tarpaulin]])</f>
        <v>0</v>
      </c>
      <c r="AB47" s="436">
        <f>IF(NFI_Expiration=1,IF($A47&lt;VLOOKUP(M$5,NFI,5,0),1,0)*Table_NFI[[#This Row],[Blanket]],Table_NFI[[#This Row],[Blanket]])</f>
        <v>0</v>
      </c>
      <c r="AC47" s="436">
        <f>IF(NFI_Expiration=1,IF($A47&lt;VLOOKUP(N$5,NFI,5,0),1,0)*Table_NFI[[#This Row],[Kitchen Set]],Table_NFI[Kitchen Set])</f>
        <v>0</v>
      </c>
      <c r="AD47" s="436">
        <f>IF(NFI_Expiration=1,IF($A47&lt;VLOOKUP(O$5,NFI,5,0),1,0)*Table_NFI[[#This Row],[Clothes Kit]],Table_NFI[Clothes Kit])</f>
        <v>0</v>
      </c>
      <c r="AE47" s="436">
        <f>IF(NFI_Expiration=1,IF($A47&lt;VLOOKUP(P$5,NFI,5,0),1,0)*Table_NFI[[#This Row],[Plastic Bucket]],Table_NFI[Plastic Bucket])</f>
        <v>0</v>
      </c>
      <c r="AF47" s="436">
        <f>IF(NFI_Expiration=1,IF($A47&lt;VLOOKUP(Q$5,NFI,5,0),1,0)*Table_NFI[[#This Row],[Plastic Mat]],Table_NFI[Plastic Mat])*IF(Table_NFI[[#This Row],[Distribution Date]]&gt;"2014-04-01",1,2.5)</f>
        <v>0</v>
      </c>
      <c r="AG47" s="436">
        <f>IF(NFI_Expiration=1,IF($A47&lt;VLOOKUP(R$5,NFI,5,0),1,0)*Table_NFI[[#This Row],[Winter Clothes Adult]],Table_NFI[Winter Clothes Adult])</f>
        <v>900</v>
      </c>
      <c r="AH47" s="436">
        <f>IF(NFI_Expiration=1,IF($A47&lt;VLOOKUP(S$5,NFI,5,0),1,0)*Table_NFI[[#This Row],[Winter Clothes Children]],Table_NFI[Winter Clothes Children])</f>
        <v>1520</v>
      </c>
      <c r="AI47" s="436">
        <f>IF(NFI_Expiration=1,IF($A47&lt;VLOOKUP(T$5,NFI,5,0),1,0)*Table_NFI[[#This Row],[Winter Items Other]],Table_NFI[Winter Items Other])</f>
        <v>0</v>
      </c>
      <c r="AJ47" s="436">
        <f>IF(NFI_Expiration=1,IF($A47&lt;VLOOKUP(M$5,NFI,5,0),1,0)*Table_NFI[[#This Row],[Winter Blanket]],Table_NFI[[#This Row],[Winter Blanket]])</f>
        <v>1000</v>
      </c>
      <c r="AK47" s="436">
        <f>IF(Table_NFI[[#This Row],[Winter Clothes Adult]]+Table_NFI[[#This Row],[Winter Clothes Children]]+Table_NFI[[#This Row],[Winter Items Other]]+Table_NFI[[#This Row],[Winter Blanket]]&gt;0,1,0)</f>
        <v>1</v>
      </c>
      <c r="AL47" s="439">
        <f>IF(NFI_Expiration=1,IF($A47&lt;VLOOKUP(V$5,NFI,5,0),1,0)*Table_NFI[[#This Row],[Jerry Can]],Table_NFI[Jerry Can])</f>
        <v>0</v>
      </c>
      <c r="AM47" s="781" t="str">
        <f>IFERROR(VLOOKUP(Table_NFI[[#This Row],[Camp Name]],CL,2,0),"")</f>
        <v>MMR001CMP117</v>
      </c>
      <c r="AN47" s="782">
        <f ca="1">IF(Table_NFI[[#This Row],[Pcode]]="","",IF(OFFSET(CampList[Opening Date],MATCH(Table_NFI[[#This Row],[Pcode]],CampList[CP_Pcode],0)-1,0,1,1)&gt;=NFI_Monitor_Date,1,0))</f>
        <v>0</v>
      </c>
      <c r="AO47" s="781" t="str">
        <f>IFERROR(VLOOKUP(Table_NFI[[#This Row],[Camp Name]],CL,3,0),"")</f>
        <v>Closed</v>
      </c>
      <c r="AP47" s="436" t="str">
        <f ca="1">IF(Table_NFI[[#This Row],[Pcode]]="","",OFFSET(CampList[Priority],MATCH(Table_NFI[[#This Row],[Pcode]],CampList[CP_Pcode],0)-1,0,1,1))</f>
        <v>P2</v>
      </c>
      <c r="AQ47" s="438" t="str">
        <f>IFERROR(Table_NFI[[#This Row],[Kitchen Set]]/VLOOKUP(Table_NFI[[#This Row],[Camp Name]],CL,4,0),"")</f>
        <v/>
      </c>
      <c r="AR47" s="779"/>
      <c r="AS47" s="783"/>
    </row>
    <row r="48" spans="1:45" s="136" customFormat="1" x14ac:dyDescent="0.25">
      <c r="A48" s="455">
        <f t="shared" si="0"/>
        <v>8.6</v>
      </c>
      <c r="B48" s="778">
        <v>42051</v>
      </c>
      <c r="C48" s="779" t="s">
        <v>454</v>
      </c>
      <c r="D48" s="779"/>
      <c r="E48" s="779" t="s">
        <v>380</v>
      </c>
      <c r="F48" s="779" t="s">
        <v>310</v>
      </c>
      <c r="G48" s="779" t="s">
        <v>353</v>
      </c>
      <c r="H48" s="436"/>
      <c r="I48" s="436"/>
      <c r="J48" s="436"/>
      <c r="K48" s="436"/>
      <c r="L48" s="437"/>
      <c r="M48" s="437"/>
      <c r="N48" s="437"/>
      <c r="O48" s="437"/>
      <c r="P48" s="439"/>
      <c r="Q48" s="439"/>
      <c r="R48" s="436">
        <v>1620</v>
      </c>
      <c r="S48" s="436">
        <v>2840</v>
      </c>
      <c r="T48" s="436"/>
      <c r="U48" s="436">
        <v>17900</v>
      </c>
      <c r="V48" s="436"/>
      <c r="W48" s="436">
        <f>IF(NFI_Expiration=1,IF($A48&lt;VLOOKUP(H$5,NFI,5,0),1,0)*Table_NFI[[#This Row],[Hygiene Kit]],Table_NFI[Hygiene Kit])</f>
        <v>0</v>
      </c>
      <c r="X48" s="436">
        <f>IF(NFI_Expiration=1,IF($A48&lt;VLOOKUP(I$5,NFI,5,0),1,0)*Table_NFI[[#This Row],[NFI Core Kit]],Table_NFI[NFI Core Kit])</f>
        <v>0</v>
      </c>
      <c r="Y48" s="436">
        <f>IF(NFI_Expiration=1,IF($A48&lt;VLOOKUP(J$5,NFI,5,0),1,0)*Table_NFI[[#This Row],[Sanitary Kit]],Table_NFI[Sanitary Kit])</f>
        <v>0</v>
      </c>
      <c r="Z48" s="436">
        <f>IF(NFI_Expiration=1,IF($A48&lt;VLOOKUP(K$5,NFI,5,0),1,0)*Table_NFI[[#This Row],[Mosquito net]],Table_NFI[Mosquito net])</f>
        <v>0</v>
      </c>
      <c r="AA48" s="436">
        <f>IF(NFI_Expiration=1,IF($A48&lt;VLOOKUP(L$5,NFI,5,0),1,0)*Table_NFI[[#This Row],[Tarpaulin]],Table_NFI[[#This Row],[Tarpaulin]])</f>
        <v>0</v>
      </c>
      <c r="AB48" s="436">
        <f>IF(NFI_Expiration=1,IF($A48&lt;VLOOKUP(M$5,NFI,5,0),1,0)*Table_NFI[[#This Row],[Blanket]],Table_NFI[[#This Row],[Blanket]])</f>
        <v>0</v>
      </c>
      <c r="AC48" s="436">
        <f>IF(NFI_Expiration=1,IF($A48&lt;VLOOKUP(N$5,NFI,5,0),1,0)*Table_NFI[[#This Row],[Kitchen Set]],Table_NFI[Kitchen Set])</f>
        <v>0</v>
      </c>
      <c r="AD48" s="436">
        <f>IF(NFI_Expiration=1,IF($A48&lt;VLOOKUP(O$5,NFI,5,0),1,0)*Table_NFI[[#This Row],[Clothes Kit]],Table_NFI[Clothes Kit])</f>
        <v>0</v>
      </c>
      <c r="AE48" s="436">
        <f>IF(NFI_Expiration=1,IF($A48&lt;VLOOKUP(P$5,NFI,5,0),1,0)*Table_NFI[[#This Row],[Plastic Bucket]],Table_NFI[Plastic Bucket])</f>
        <v>0</v>
      </c>
      <c r="AF48" s="436">
        <f>IF(NFI_Expiration=1,IF($A48&lt;VLOOKUP(Q$5,NFI,5,0),1,0)*Table_NFI[[#This Row],[Plastic Mat]],Table_NFI[Plastic Mat])*IF(Table_NFI[[#This Row],[Distribution Date]]&gt;"2014-04-01",1,2.5)</f>
        <v>0</v>
      </c>
      <c r="AG48" s="436">
        <f>IF(NFI_Expiration=1,IF($A48&lt;VLOOKUP(R$5,NFI,5,0),1,0)*Table_NFI[[#This Row],[Winter Clothes Adult]],Table_NFI[Winter Clothes Adult])</f>
        <v>1620</v>
      </c>
      <c r="AH48" s="436">
        <f>IF(NFI_Expiration=1,IF($A48&lt;VLOOKUP(S$5,NFI,5,0),1,0)*Table_NFI[[#This Row],[Winter Clothes Children]],Table_NFI[Winter Clothes Children])</f>
        <v>2840</v>
      </c>
      <c r="AI48" s="436">
        <f>IF(NFI_Expiration=1,IF($A48&lt;VLOOKUP(T$5,NFI,5,0),1,0)*Table_NFI[[#This Row],[Winter Items Other]],Table_NFI[Winter Items Other])</f>
        <v>0</v>
      </c>
      <c r="AJ48" s="436">
        <f>IF(NFI_Expiration=1,IF($A48&lt;VLOOKUP(M$5,NFI,5,0),1,0)*Table_NFI[[#This Row],[Winter Blanket]],Table_NFI[[#This Row],[Winter Blanket]])</f>
        <v>17900</v>
      </c>
      <c r="AK48" s="436">
        <f>IF(Table_NFI[[#This Row],[Winter Clothes Adult]]+Table_NFI[[#This Row],[Winter Clothes Children]]+Table_NFI[[#This Row],[Winter Items Other]]+Table_NFI[[#This Row],[Winter Blanket]]&gt;0,1,0)</f>
        <v>1</v>
      </c>
      <c r="AL48" s="439">
        <f>IF(NFI_Expiration=1,IF($A48&lt;VLOOKUP(V$5,NFI,5,0),1,0)*Table_NFI[[#This Row],[Jerry Can]],Table_NFI[Jerry Can])</f>
        <v>0</v>
      </c>
      <c r="AM48" s="781" t="str">
        <f>IFERROR(VLOOKUP(Table_NFI[[#This Row],[Camp Name]],CL,2,0),"")</f>
        <v>MMR001CMP116</v>
      </c>
      <c r="AN48" s="782">
        <f ca="1">IF(Table_NFI[[#This Row],[Pcode]]="","",IF(OFFSET(CampList[Opening Date],MATCH(Table_NFI[[#This Row],[Pcode]],CampList[CP_Pcode],0)-1,0,1,1)&gt;=NFI_Monitor_Date,1,0))</f>
        <v>0</v>
      </c>
      <c r="AO48" s="781" t="str">
        <f>IFERROR(VLOOKUP(Table_NFI[[#This Row],[Camp Name]],CL,3,0),"")</f>
        <v>Open</v>
      </c>
      <c r="AP48" s="436" t="str">
        <f ca="1">IF(Table_NFI[[#This Row],[Pcode]]="","",OFFSET(CampList[Priority],MATCH(Table_NFI[[#This Row],[Pcode]],CampList[CP_Pcode],0)-1,0,1,1))</f>
        <v>P4</v>
      </c>
      <c r="AQ48" s="438">
        <f>IFERROR(Table_NFI[[#This Row],[Kitchen Set]]/VLOOKUP(Table_NFI[[#This Row],[Camp Name]],CL,4,0),"")</f>
        <v>0</v>
      </c>
      <c r="AR48" s="779"/>
      <c r="AS48" s="783"/>
    </row>
    <row r="49" spans="1:45" s="784" customFormat="1" x14ac:dyDescent="0.25">
      <c r="A49" s="455">
        <f t="shared" si="0"/>
        <v>8.6999999999999993</v>
      </c>
      <c r="B49" s="778">
        <v>42048</v>
      </c>
      <c r="C49" s="779" t="s">
        <v>454</v>
      </c>
      <c r="D49" s="779"/>
      <c r="E49" s="779" t="s">
        <v>380</v>
      </c>
      <c r="F49" s="779" t="s">
        <v>237</v>
      </c>
      <c r="G49" s="779" t="s">
        <v>273</v>
      </c>
      <c r="H49" s="436"/>
      <c r="I49" s="436"/>
      <c r="J49" s="436"/>
      <c r="K49" s="436"/>
      <c r="L49" s="437"/>
      <c r="M49" s="437">
        <v>18</v>
      </c>
      <c r="N49" s="437">
        <v>9</v>
      </c>
      <c r="O49" s="437"/>
      <c r="P49" s="439">
        <v>29</v>
      </c>
      <c r="Q49" s="439">
        <v>145</v>
      </c>
      <c r="R49" s="436"/>
      <c r="S49" s="436"/>
      <c r="T49" s="436"/>
      <c r="U49" s="436"/>
      <c r="V49" s="436"/>
      <c r="W49" s="436">
        <f>IF(NFI_Expiration=1,IF($A49&lt;VLOOKUP(H$5,NFI,5,0),1,0)*Table_NFI[[#This Row],[Hygiene Kit]],Table_NFI[Hygiene Kit])</f>
        <v>0</v>
      </c>
      <c r="X49" s="436">
        <f>IF(NFI_Expiration=1,IF($A49&lt;VLOOKUP(I$5,NFI,5,0),1,0)*Table_NFI[[#This Row],[NFI Core Kit]],Table_NFI[NFI Core Kit])</f>
        <v>0</v>
      </c>
      <c r="Y49" s="436">
        <f>IF(NFI_Expiration=1,IF($A49&lt;VLOOKUP(J$5,NFI,5,0),1,0)*Table_NFI[[#This Row],[Sanitary Kit]],Table_NFI[Sanitary Kit])</f>
        <v>0</v>
      </c>
      <c r="Z49" s="436">
        <f>IF(NFI_Expiration=1,IF($A49&lt;VLOOKUP(K$5,NFI,5,0),1,0)*Table_NFI[[#This Row],[Mosquito net]],Table_NFI[Mosquito net])</f>
        <v>0</v>
      </c>
      <c r="AA49" s="436">
        <f>IF(NFI_Expiration=1,IF($A49&lt;VLOOKUP(L$5,NFI,5,0),1,0)*Table_NFI[[#This Row],[Tarpaulin]],Table_NFI[[#This Row],[Tarpaulin]])</f>
        <v>0</v>
      </c>
      <c r="AB49" s="436">
        <f>IF(NFI_Expiration=1,IF($A49&lt;VLOOKUP(M$5,NFI,5,0),1,0)*Table_NFI[[#This Row],[Blanket]],Table_NFI[[#This Row],[Blanket]])</f>
        <v>18</v>
      </c>
      <c r="AC49" s="436">
        <f>IF(NFI_Expiration=1,IF($A49&lt;VLOOKUP(N$5,NFI,5,0),1,0)*Table_NFI[[#This Row],[Kitchen Set]],Table_NFI[Kitchen Set])</f>
        <v>9</v>
      </c>
      <c r="AD49" s="436">
        <f>IF(NFI_Expiration=1,IF($A49&lt;VLOOKUP(O$5,NFI,5,0),1,0)*Table_NFI[[#This Row],[Clothes Kit]],Table_NFI[Clothes Kit])</f>
        <v>0</v>
      </c>
      <c r="AE49" s="436">
        <f>IF(NFI_Expiration=1,IF($A49&lt;VLOOKUP(P$5,NFI,5,0),1,0)*Table_NFI[[#This Row],[Plastic Bucket]],Table_NFI[Plastic Bucket])</f>
        <v>29</v>
      </c>
      <c r="AF49" s="436">
        <f>IF(NFI_Expiration=1,IF($A49&lt;VLOOKUP(Q$5,NFI,5,0),1,0)*Table_NFI[[#This Row],[Plastic Mat]],Table_NFI[Plastic Mat])*IF(Table_NFI[[#This Row],[Distribution Date]]&gt;"2014-04-01",1,2.5)</f>
        <v>362.5</v>
      </c>
      <c r="AG49" s="436">
        <f>IF(NFI_Expiration=1,IF($A49&lt;VLOOKUP(R$5,NFI,5,0),1,0)*Table_NFI[[#This Row],[Winter Clothes Adult]],Table_NFI[Winter Clothes Adult])</f>
        <v>0</v>
      </c>
      <c r="AH49" s="436">
        <f>IF(NFI_Expiration=1,IF($A49&lt;VLOOKUP(S$5,NFI,5,0),1,0)*Table_NFI[[#This Row],[Winter Clothes Children]],Table_NFI[Winter Clothes Children])</f>
        <v>0</v>
      </c>
      <c r="AI49" s="436">
        <f>IF(NFI_Expiration=1,IF($A49&lt;VLOOKUP(T$5,NFI,5,0),1,0)*Table_NFI[[#This Row],[Winter Items Other]],Table_NFI[Winter Items Other])</f>
        <v>0</v>
      </c>
      <c r="AJ49" s="436">
        <f>IF(NFI_Expiration=1,IF($A49&lt;VLOOKUP(M$5,NFI,5,0),1,0)*Table_NFI[[#This Row],[Winter Blanket]],Table_NFI[[#This Row],[Winter Blanket]])</f>
        <v>0</v>
      </c>
      <c r="AK49" s="436">
        <f>IF(Table_NFI[[#This Row],[Winter Clothes Adult]]+Table_NFI[[#This Row],[Winter Clothes Children]]+Table_NFI[[#This Row],[Winter Items Other]]+Table_NFI[[#This Row],[Winter Blanket]]&gt;0,1,0)</f>
        <v>0</v>
      </c>
      <c r="AL49" s="439">
        <f>IF(NFI_Expiration=1,IF($A49&lt;VLOOKUP(V$5,NFI,5,0),1,0)*Table_NFI[[#This Row],[Jerry Can]],Table_NFI[Jerry Can])</f>
        <v>0</v>
      </c>
      <c r="AM49" s="781" t="str">
        <f>IFERROR(VLOOKUP(Table_NFI[[#This Row],[Camp Name]],CL,2,0),"")</f>
        <v>MMR001CMP162</v>
      </c>
      <c r="AN49" s="782">
        <f ca="1">IF(Table_NFI[[#This Row],[Pcode]]="","",IF(OFFSET(CampList[Opening Date],MATCH(Table_NFI[[#This Row],[Pcode]],CampList[CP_Pcode],0)-1,0,1,1)&gt;=NFI_Monitor_Date,1,0))</f>
        <v>0</v>
      </c>
      <c r="AO49" s="781" t="str">
        <f>IFERROR(VLOOKUP(Table_NFI[[#This Row],[Camp Name]],CL,3,0),"")</f>
        <v>Open</v>
      </c>
      <c r="AP49" s="436" t="str">
        <f ca="1">IF(Table_NFI[[#This Row],[Pcode]]="","",OFFSET(CampList[Priority],MATCH(Table_NFI[[#This Row],[Pcode]],CampList[CP_Pcode],0)-1,0,1,1))</f>
        <v>P4</v>
      </c>
      <c r="AQ49" s="438">
        <f>IFERROR(Table_NFI[[#This Row],[Kitchen Set]]/VLOOKUP(Table_NFI[[#This Row],[Camp Name]],CL,4,0),"")</f>
        <v>0.15789473684210525</v>
      </c>
      <c r="AR49" s="779"/>
      <c r="AS49" s="783"/>
    </row>
    <row r="50" spans="1:45" s="784" customFormat="1" x14ac:dyDescent="0.25">
      <c r="A50" s="455">
        <f t="shared" si="0"/>
        <v>8.6999999999999993</v>
      </c>
      <c r="B50" s="778">
        <v>42048</v>
      </c>
      <c r="C50" s="779" t="s">
        <v>454</v>
      </c>
      <c r="D50" s="789"/>
      <c r="E50" s="779" t="s">
        <v>380</v>
      </c>
      <c r="F50" s="789" t="s">
        <v>310</v>
      </c>
      <c r="G50" s="789" t="s">
        <v>1268</v>
      </c>
      <c r="H50" s="437"/>
      <c r="I50" s="437"/>
      <c r="J50" s="437"/>
      <c r="K50" s="437">
        <v>108</v>
      </c>
      <c r="L50" s="437">
        <v>54</v>
      </c>
      <c r="M50" s="437">
        <v>108</v>
      </c>
      <c r="N50" s="437">
        <v>54</v>
      </c>
      <c r="O50" s="437">
        <v>54</v>
      </c>
      <c r="P50" s="439">
        <v>54</v>
      </c>
      <c r="Q50" s="439">
        <v>108</v>
      </c>
      <c r="R50" s="439"/>
      <c r="S50" s="439"/>
      <c r="T50" s="439"/>
      <c r="U50" s="439"/>
      <c r="V50" s="439"/>
      <c r="W50" s="439">
        <f>IF(NFI_Expiration=1,IF($A50&lt;VLOOKUP(H$5,NFI,5,0),1,0)*Table_NFI[[#This Row],[Hygiene Kit]],Table_NFI[Hygiene Kit])</f>
        <v>0</v>
      </c>
      <c r="X50" s="439">
        <f>IF(NFI_Expiration=1,IF($A50&lt;VLOOKUP(I$5,NFI,5,0),1,0)*Table_NFI[[#This Row],[NFI Core Kit]],Table_NFI[NFI Core Kit])</f>
        <v>0</v>
      </c>
      <c r="Y50" s="439">
        <f>IF(NFI_Expiration=1,IF($A50&lt;VLOOKUP(J$5,NFI,5,0),1,0)*Table_NFI[[#This Row],[Sanitary Kit]],Table_NFI[Sanitary Kit])</f>
        <v>0</v>
      </c>
      <c r="Z50" s="439">
        <f>IF(NFI_Expiration=1,IF($A50&lt;VLOOKUP(K$5,NFI,5,0),1,0)*Table_NFI[[#This Row],[Mosquito net]],Table_NFI[Mosquito net])</f>
        <v>108</v>
      </c>
      <c r="AA50" s="439">
        <f>IF(NFI_Expiration=1,IF($A50&lt;VLOOKUP(L$5,NFI,5,0),1,0)*Table_NFI[[#This Row],[Tarpaulin]],Table_NFI[[#This Row],[Tarpaulin]])</f>
        <v>54</v>
      </c>
      <c r="AB50" s="439">
        <f>IF(NFI_Expiration=1,IF($A50&lt;VLOOKUP(M$5,NFI,5,0),1,0)*Table_NFI[[#This Row],[Blanket]],Table_NFI[[#This Row],[Blanket]])</f>
        <v>108</v>
      </c>
      <c r="AC50" s="439">
        <f>IF(NFI_Expiration=1,IF($A50&lt;VLOOKUP(N$5,NFI,5,0),1,0)*Table_NFI[[#This Row],[Kitchen Set]],Table_NFI[Kitchen Set])</f>
        <v>54</v>
      </c>
      <c r="AD50" s="439">
        <f>IF(NFI_Expiration=1,IF($A50&lt;VLOOKUP(O$5,NFI,5,0),1,0)*Table_NFI[[#This Row],[Clothes Kit]],Table_NFI[Clothes Kit])</f>
        <v>54</v>
      </c>
      <c r="AE50" s="439">
        <f>IF(NFI_Expiration=1,IF($A50&lt;VLOOKUP(P$5,NFI,5,0),1,0)*Table_NFI[[#This Row],[Plastic Bucket]],Table_NFI[Plastic Bucket])</f>
        <v>54</v>
      </c>
      <c r="AF50" s="439">
        <f>IF(NFI_Expiration=1,IF($A50&lt;VLOOKUP(Q$5,NFI,5,0),1,0)*Table_NFI[[#This Row],[Plastic Mat]],Table_NFI[Plastic Mat])*IF(Table_NFI[[#This Row],[Distribution Date]]&gt;"2014-04-01",1,2.5)</f>
        <v>270</v>
      </c>
      <c r="AG50" s="439">
        <f>IF(NFI_Expiration=1,IF($A50&lt;VLOOKUP(R$5,NFI,5,0),1,0)*Table_NFI[[#This Row],[Winter Clothes Adult]],Table_NFI[Winter Clothes Adult])</f>
        <v>0</v>
      </c>
      <c r="AH50" s="439">
        <f>IF(NFI_Expiration=1,IF($A50&lt;VLOOKUP(S$5,NFI,5,0),1,0)*Table_NFI[[#This Row],[Winter Clothes Children]],Table_NFI[Winter Clothes Children])</f>
        <v>0</v>
      </c>
      <c r="AI50" s="439">
        <f>IF(NFI_Expiration=1,IF($A50&lt;VLOOKUP(T$5,NFI,5,0),1,0)*Table_NFI[[#This Row],[Winter Items Other]],Table_NFI[Winter Items Other])</f>
        <v>0</v>
      </c>
      <c r="AJ50" s="439">
        <f>IF(NFI_Expiration=1,IF($A50&lt;VLOOKUP(M$5,NFI,5,0),1,0)*Table_NFI[[#This Row],[Winter Blanket]],Table_NFI[[#This Row],[Winter Blanket]])</f>
        <v>0</v>
      </c>
      <c r="AK50" s="439">
        <f>IF(Table_NFI[[#This Row],[Winter Clothes Adult]]+Table_NFI[[#This Row],[Winter Clothes Children]]+Table_NFI[[#This Row],[Winter Items Other]]+Table_NFI[[#This Row],[Winter Blanket]]&gt;0,1,0)</f>
        <v>0</v>
      </c>
      <c r="AL50" s="439">
        <f>IF(NFI_Expiration=1,IF($A50&lt;VLOOKUP(V$5,NFI,5,0),1,0)*Table_NFI[[#This Row],[Jerry Can]],Table_NFI[Jerry Can])</f>
        <v>0</v>
      </c>
      <c r="AM50" s="791" t="str">
        <f>IFERROR(VLOOKUP(Table_NFI[[#This Row],[Camp Name]],CL,2,0),"")</f>
        <v>MMR001CMP111</v>
      </c>
      <c r="AN50" s="782">
        <f ca="1">IF(Table_NFI[[#This Row],[Pcode]]="","",IF(OFFSET(CampList[Opening Date],MATCH(Table_NFI[[#This Row],[Pcode]],CampList[CP_Pcode],0)-1,0,1,1)&gt;=NFI_Monitor_Date,1,0))</f>
        <v>0</v>
      </c>
      <c r="AO50" s="791" t="str">
        <f>IFERROR(VLOOKUP(Table_NFI[[#This Row],[Camp Name]],CL,3,0),"")</f>
        <v>Open</v>
      </c>
      <c r="AP50" s="439" t="str">
        <f ca="1">IF(Table_NFI[[#This Row],[Pcode]]="","",OFFSET(CampList[Priority],MATCH(Table_NFI[[#This Row],[Pcode]],CampList[CP_Pcode],0)-1,0,1,1))</f>
        <v>P2</v>
      </c>
      <c r="AQ50" s="438">
        <f>IFERROR(Table_NFI[[#This Row],[Kitchen Set]]/VLOOKUP(Table_NFI[[#This Row],[Camp Name]],CL,4,0),"")</f>
        <v>7.9411764705882348E-2</v>
      </c>
      <c r="AR50" s="789"/>
      <c r="AS50" s="792"/>
    </row>
    <row r="51" spans="1:45" s="136" customFormat="1" x14ac:dyDescent="0.25">
      <c r="A51" s="455">
        <f t="shared" si="0"/>
        <v>8.7333333333333325</v>
      </c>
      <c r="B51" s="778">
        <v>42047</v>
      </c>
      <c r="C51" s="789" t="s">
        <v>454</v>
      </c>
      <c r="D51" s="789" t="s">
        <v>508</v>
      </c>
      <c r="E51" s="779" t="s">
        <v>380</v>
      </c>
      <c r="F51" s="779" t="s">
        <v>237</v>
      </c>
      <c r="G51" s="779" t="s">
        <v>273</v>
      </c>
      <c r="H51" s="437"/>
      <c r="I51" s="437"/>
      <c r="J51" s="437"/>
      <c r="K51" s="437"/>
      <c r="L51" s="437"/>
      <c r="M51" s="437"/>
      <c r="N51" s="437"/>
      <c r="O51" s="437"/>
      <c r="P51" s="439"/>
      <c r="Q51" s="439"/>
      <c r="R51" s="439"/>
      <c r="S51" s="439"/>
      <c r="T51" s="439"/>
      <c r="U51" s="439">
        <v>18</v>
      </c>
      <c r="V51" s="439"/>
      <c r="W51" s="439">
        <f>IF(NFI_Expiration=1,IF($A51&lt;VLOOKUP(H$5,NFI,5,0),1,0)*Table_NFI[[#This Row],[Hygiene Kit]],Table_NFI[Hygiene Kit])</f>
        <v>0</v>
      </c>
      <c r="X51" s="439">
        <f>IF(NFI_Expiration=1,IF($A51&lt;VLOOKUP(I$5,NFI,5,0),1,0)*Table_NFI[[#This Row],[NFI Core Kit]],Table_NFI[NFI Core Kit])</f>
        <v>0</v>
      </c>
      <c r="Y51" s="439">
        <f>IF(NFI_Expiration=1,IF($A51&lt;VLOOKUP(J$5,NFI,5,0),1,0)*Table_NFI[[#This Row],[Sanitary Kit]],Table_NFI[Sanitary Kit])</f>
        <v>0</v>
      </c>
      <c r="Z51" s="439">
        <f>IF(NFI_Expiration=1,IF($A51&lt;VLOOKUP(K$5,NFI,5,0),1,0)*Table_NFI[[#This Row],[Mosquito net]],Table_NFI[Mosquito net])</f>
        <v>0</v>
      </c>
      <c r="AA51" s="439">
        <f>IF(NFI_Expiration=1,IF($A51&lt;VLOOKUP(L$5,NFI,5,0),1,0)*Table_NFI[[#This Row],[Tarpaulin]],Table_NFI[[#This Row],[Tarpaulin]])</f>
        <v>0</v>
      </c>
      <c r="AB51" s="439">
        <f>IF(NFI_Expiration=1,IF($A51&lt;VLOOKUP(M$5,NFI,5,0),1,0)*Table_NFI[[#This Row],[Blanket]],Table_NFI[[#This Row],[Blanket]])</f>
        <v>0</v>
      </c>
      <c r="AC51" s="439">
        <f>IF(NFI_Expiration=1,IF($A51&lt;VLOOKUP(N$5,NFI,5,0),1,0)*Table_NFI[[#This Row],[Kitchen Set]],Table_NFI[Kitchen Set])</f>
        <v>0</v>
      </c>
      <c r="AD51" s="439">
        <f>IF(NFI_Expiration=1,IF($A51&lt;VLOOKUP(O$5,NFI,5,0),1,0)*Table_NFI[[#This Row],[Clothes Kit]],Table_NFI[Clothes Kit])</f>
        <v>0</v>
      </c>
      <c r="AE51" s="439">
        <f>IF(NFI_Expiration=1,IF($A51&lt;VLOOKUP(P$5,NFI,5,0),1,0)*Table_NFI[[#This Row],[Plastic Bucket]],Table_NFI[Plastic Bucket])</f>
        <v>0</v>
      </c>
      <c r="AF51" s="439">
        <f>IF(NFI_Expiration=1,IF($A51&lt;VLOOKUP(Q$5,NFI,5,0),1,0)*Table_NFI[[#This Row],[Plastic Mat]],Table_NFI[Plastic Mat])*IF(Table_NFI[[#This Row],[Distribution Date]]&gt;"2014-04-01",1,2.5)</f>
        <v>0</v>
      </c>
      <c r="AG51" s="439">
        <f>IF(NFI_Expiration=1,IF($A51&lt;VLOOKUP(R$5,NFI,5,0),1,0)*Table_NFI[[#This Row],[Winter Clothes Adult]],Table_NFI[Winter Clothes Adult])</f>
        <v>0</v>
      </c>
      <c r="AH51" s="439">
        <f>IF(NFI_Expiration=1,IF($A51&lt;VLOOKUP(S$5,NFI,5,0),1,0)*Table_NFI[[#This Row],[Winter Clothes Children]],Table_NFI[Winter Clothes Children])</f>
        <v>0</v>
      </c>
      <c r="AI51" s="439">
        <f>IF(NFI_Expiration=1,IF($A51&lt;VLOOKUP(T$5,NFI,5,0),1,0)*Table_NFI[[#This Row],[Winter Items Other]],Table_NFI[Winter Items Other])</f>
        <v>0</v>
      </c>
      <c r="AJ51" s="439">
        <f>IF(NFI_Expiration=1,IF($A51&lt;VLOOKUP(M$5,NFI,5,0),1,0)*Table_NFI[[#This Row],[Winter Blanket]],Table_NFI[[#This Row],[Winter Blanket]])</f>
        <v>18</v>
      </c>
      <c r="AK51" s="439">
        <f>IF(Table_NFI[[#This Row],[Winter Clothes Adult]]+Table_NFI[[#This Row],[Winter Clothes Children]]+Table_NFI[[#This Row],[Winter Items Other]]+Table_NFI[[#This Row],[Winter Blanket]]&gt;0,1,0)</f>
        <v>1</v>
      </c>
      <c r="AL51" s="439">
        <f>IF(NFI_Expiration=1,IF($A51&lt;VLOOKUP(V$5,NFI,5,0),1,0)*Table_NFI[[#This Row],[Jerry Can]],Table_NFI[Jerry Can])</f>
        <v>0</v>
      </c>
      <c r="AM51" s="791" t="str">
        <f>IFERROR(VLOOKUP(Table_NFI[[#This Row],[Camp Name]],CL,2,0),"")</f>
        <v>MMR001CMP162</v>
      </c>
      <c r="AN51" s="782">
        <f ca="1">IF(Table_NFI[[#This Row],[Pcode]]="","",IF(OFFSET(CampList[Opening Date],MATCH(Table_NFI[[#This Row],[Pcode]],CampList[CP_Pcode],0)-1,0,1,1)&gt;=NFI_Monitor_Date,1,0))</f>
        <v>0</v>
      </c>
      <c r="AO51" s="791" t="str">
        <f>IFERROR(VLOOKUP(Table_NFI[[#This Row],[Camp Name]],CL,3,0),"")</f>
        <v>Open</v>
      </c>
      <c r="AP51" s="439" t="str">
        <f ca="1">IF(Table_NFI[[#This Row],[Pcode]]="","",OFFSET(CampList[Priority],MATCH(Table_NFI[[#This Row],[Pcode]],CampList[CP_Pcode],0)-1,0,1,1))</f>
        <v>P4</v>
      </c>
      <c r="AQ51" s="438">
        <f>IFERROR(Table_NFI[[#This Row],[Kitchen Set]]/VLOOKUP(Table_NFI[[#This Row],[Camp Name]],CL,4,0),"")</f>
        <v>0</v>
      </c>
      <c r="AR51" s="789"/>
      <c r="AS51" s="792"/>
    </row>
    <row r="52" spans="1:45" s="784" customFormat="1" x14ac:dyDescent="0.25">
      <c r="A52" s="455">
        <f t="shared" si="0"/>
        <v>9</v>
      </c>
      <c r="B52" s="778">
        <v>42039</v>
      </c>
      <c r="C52" s="779" t="s">
        <v>454</v>
      </c>
      <c r="D52" s="779"/>
      <c r="E52" s="779" t="s">
        <v>380</v>
      </c>
      <c r="F52" s="779" t="s">
        <v>300</v>
      </c>
      <c r="G52" s="779"/>
      <c r="H52" s="436"/>
      <c r="I52" s="436"/>
      <c r="J52" s="436">
        <v>28</v>
      </c>
      <c r="K52" s="436">
        <v>56</v>
      </c>
      <c r="L52" s="437">
        <v>28</v>
      </c>
      <c r="M52" s="437">
        <v>56</v>
      </c>
      <c r="N52" s="437">
        <v>28</v>
      </c>
      <c r="O52" s="437"/>
      <c r="P52" s="439">
        <v>28</v>
      </c>
      <c r="Q52" s="439">
        <v>140</v>
      </c>
      <c r="R52" s="436"/>
      <c r="S52" s="436"/>
      <c r="T52" s="436"/>
      <c r="U52" s="436"/>
      <c r="V52" s="436"/>
      <c r="W52" s="436">
        <f>IF(NFI_Expiration=1,IF($A52&lt;VLOOKUP(H$5,NFI,5,0),1,0)*Table_NFI[[#This Row],[Hygiene Kit]],Table_NFI[Hygiene Kit])</f>
        <v>0</v>
      </c>
      <c r="X52" s="436">
        <f>IF(NFI_Expiration=1,IF($A52&lt;VLOOKUP(I$5,NFI,5,0),1,0)*Table_NFI[[#This Row],[NFI Core Kit]],Table_NFI[NFI Core Kit])</f>
        <v>0</v>
      </c>
      <c r="Y52" s="436">
        <f>IF(NFI_Expiration=1,IF($A52&lt;VLOOKUP(J$5,NFI,5,0),1,0)*Table_NFI[[#This Row],[Sanitary Kit]],Table_NFI[Sanitary Kit])</f>
        <v>28</v>
      </c>
      <c r="Z52" s="436">
        <f>IF(NFI_Expiration=1,IF($A52&lt;VLOOKUP(K$5,NFI,5,0),1,0)*Table_NFI[[#This Row],[Mosquito net]],Table_NFI[Mosquito net])</f>
        <v>56</v>
      </c>
      <c r="AA52" s="436">
        <f>IF(NFI_Expiration=1,IF($A52&lt;VLOOKUP(L$5,NFI,5,0),1,0)*Table_NFI[[#This Row],[Tarpaulin]],Table_NFI[[#This Row],[Tarpaulin]])</f>
        <v>28</v>
      </c>
      <c r="AB52" s="436">
        <f>IF(NFI_Expiration=1,IF($A52&lt;VLOOKUP(M$5,NFI,5,0),1,0)*Table_NFI[[#This Row],[Blanket]],Table_NFI[[#This Row],[Blanket]])</f>
        <v>56</v>
      </c>
      <c r="AC52" s="436">
        <f>IF(NFI_Expiration=1,IF($A52&lt;VLOOKUP(N$5,NFI,5,0),1,0)*Table_NFI[[#This Row],[Kitchen Set]],Table_NFI[Kitchen Set])</f>
        <v>28</v>
      </c>
      <c r="AD52" s="436">
        <f>IF(NFI_Expiration=1,IF($A52&lt;VLOOKUP(O$5,NFI,5,0),1,0)*Table_NFI[[#This Row],[Clothes Kit]],Table_NFI[Clothes Kit])</f>
        <v>0</v>
      </c>
      <c r="AE52" s="436">
        <f>IF(NFI_Expiration=1,IF($A52&lt;VLOOKUP(P$5,NFI,5,0),1,0)*Table_NFI[[#This Row],[Plastic Bucket]],Table_NFI[Plastic Bucket])</f>
        <v>28</v>
      </c>
      <c r="AF52" s="436">
        <f>IF(NFI_Expiration=1,IF($A52&lt;VLOOKUP(Q$5,NFI,5,0),1,0)*Table_NFI[[#This Row],[Plastic Mat]],Table_NFI[Plastic Mat])*IF(Table_NFI[[#This Row],[Distribution Date]]&gt;"2014-04-01",1,2.5)</f>
        <v>350</v>
      </c>
      <c r="AG52" s="436">
        <f>IF(NFI_Expiration=1,IF($A52&lt;VLOOKUP(R$5,NFI,5,0),1,0)*Table_NFI[[#This Row],[Winter Clothes Adult]],Table_NFI[Winter Clothes Adult])</f>
        <v>0</v>
      </c>
      <c r="AH52" s="436">
        <f>IF(NFI_Expiration=1,IF($A52&lt;VLOOKUP(S$5,NFI,5,0),1,0)*Table_NFI[[#This Row],[Winter Clothes Children]],Table_NFI[Winter Clothes Children])</f>
        <v>0</v>
      </c>
      <c r="AI52" s="436">
        <f>IF(NFI_Expiration=1,IF($A52&lt;VLOOKUP(T$5,NFI,5,0),1,0)*Table_NFI[[#This Row],[Winter Items Other]],Table_NFI[Winter Items Other])</f>
        <v>0</v>
      </c>
      <c r="AJ52" s="436">
        <f>IF(NFI_Expiration=1,IF($A52&lt;VLOOKUP(M$5,NFI,5,0),1,0)*Table_NFI[[#This Row],[Winter Blanket]],Table_NFI[[#This Row],[Winter Blanket]])</f>
        <v>0</v>
      </c>
      <c r="AK52" s="436">
        <f>IF(Table_NFI[[#This Row],[Winter Clothes Adult]]+Table_NFI[[#This Row],[Winter Clothes Children]]+Table_NFI[[#This Row],[Winter Items Other]]+Table_NFI[[#This Row],[Winter Blanket]]&gt;0,1,0)</f>
        <v>0</v>
      </c>
      <c r="AL52" s="439">
        <f>IF(NFI_Expiration=1,IF($A52&lt;VLOOKUP(V$5,NFI,5,0),1,0)*Table_NFI[[#This Row],[Jerry Can]],Table_NFI[Jerry Can])</f>
        <v>0</v>
      </c>
      <c r="AM52" s="781" t="str">
        <f>IFERROR(VLOOKUP(Table_NFI[[#This Row],[Camp Name]],CL,2,0),"")</f>
        <v/>
      </c>
      <c r="AN52" s="782" t="str">
        <f ca="1">IF(Table_NFI[[#This Row],[Pcode]]="","",IF(OFFSET(CampList[Opening Date],MATCH(Table_NFI[[#This Row],[Pcode]],CampList[CP_Pcode],0)-1,0,1,1)&gt;=NFI_Monitor_Date,1,0))</f>
        <v/>
      </c>
      <c r="AO52" s="781" t="str">
        <f>IFERROR(VLOOKUP(Table_NFI[[#This Row],[Camp Name]],CL,3,0),"")</f>
        <v/>
      </c>
      <c r="AP52" s="436" t="str">
        <f ca="1">IF(Table_NFI[[#This Row],[Pcode]]="","",OFFSET(CampList[Priority],MATCH(Table_NFI[[#This Row],[Pcode]],CampList[CP_Pcode],0)-1,0,1,1))</f>
        <v/>
      </c>
      <c r="AQ52" s="438" t="str">
        <f>IFERROR(Table_NFI[[#This Row],[Kitchen Set]]/VLOOKUP(Table_NFI[[#This Row],[Camp Name]],CL,4,0),"")</f>
        <v/>
      </c>
      <c r="AR52" s="779"/>
      <c r="AS52" s="783"/>
    </row>
    <row r="53" spans="1:45" s="784" customFormat="1" x14ac:dyDescent="0.25">
      <c r="A53" s="455">
        <f t="shared" si="0"/>
        <v>9</v>
      </c>
      <c r="B53" s="778">
        <v>42039</v>
      </c>
      <c r="C53" s="779" t="s">
        <v>454</v>
      </c>
      <c r="D53" s="779"/>
      <c r="E53" s="779" t="s">
        <v>380</v>
      </c>
      <c r="F53" s="779" t="s">
        <v>300</v>
      </c>
      <c r="G53" s="779" t="s">
        <v>301</v>
      </c>
      <c r="H53" s="436"/>
      <c r="I53" s="436"/>
      <c r="J53" s="436">
        <v>18</v>
      </c>
      <c r="K53" s="436">
        <v>36</v>
      </c>
      <c r="L53" s="437">
        <v>18</v>
      </c>
      <c r="M53" s="437">
        <v>36</v>
      </c>
      <c r="N53" s="437">
        <v>18</v>
      </c>
      <c r="O53" s="437"/>
      <c r="P53" s="439">
        <v>18</v>
      </c>
      <c r="Q53" s="439">
        <v>90</v>
      </c>
      <c r="R53" s="436"/>
      <c r="S53" s="436"/>
      <c r="T53" s="436"/>
      <c r="U53" s="436"/>
      <c r="V53" s="436"/>
      <c r="W53" s="436">
        <f>IF(NFI_Expiration=1,IF($A53&lt;VLOOKUP(H$5,NFI,5,0),1,0)*Table_NFI[[#This Row],[Hygiene Kit]],Table_NFI[Hygiene Kit])</f>
        <v>0</v>
      </c>
      <c r="X53" s="436">
        <f>IF(NFI_Expiration=1,IF($A53&lt;VLOOKUP(I$5,NFI,5,0),1,0)*Table_NFI[[#This Row],[NFI Core Kit]],Table_NFI[NFI Core Kit])</f>
        <v>0</v>
      </c>
      <c r="Y53" s="436">
        <f>IF(NFI_Expiration=1,IF($A53&lt;VLOOKUP(J$5,NFI,5,0),1,0)*Table_NFI[[#This Row],[Sanitary Kit]],Table_NFI[Sanitary Kit])</f>
        <v>18</v>
      </c>
      <c r="Z53" s="436">
        <f>IF(NFI_Expiration=1,IF($A53&lt;VLOOKUP(K$5,NFI,5,0),1,0)*Table_NFI[[#This Row],[Mosquito net]],Table_NFI[Mosquito net])</f>
        <v>36</v>
      </c>
      <c r="AA53" s="436">
        <f>IF(NFI_Expiration=1,IF($A53&lt;VLOOKUP(L$5,NFI,5,0),1,0)*Table_NFI[[#This Row],[Tarpaulin]],Table_NFI[[#This Row],[Tarpaulin]])</f>
        <v>18</v>
      </c>
      <c r="AB53" s="436">
        <f>IF(NFI_Expiration=1,IF($A53&lt;VLOOKUP(M$5,NFI,5,0),1,0)*Table_NFI[[#This Row],[Blanket]],Table_NFI[[#This Row],[Blanket]])</f>
        <v>36</v>
      </c>
      <c r="AC53" s="436">
        <f>IF(NFI_Expiration=1,IF($A53&lt;VLOOKUP(N$5,NFI,5,0),1,0)*Table_NFI[[#This Row],[Kitchen Set]],Table_NFI[Kitchen Set])</f>
        <v>18</v>
      </c>
      <c r="AD53" s="436">
        <f>IF(NFI_Expiration=1,IF($A53&lt;VLOOKUP(O$5,NFI,5,0),1,0)*Table_NFI[[#This Row],[Clothes Kit]],Table_NFI[Clothes Kit])</f>
        <v>0</v>
      </c>
      <c r="AE53" s="436">
        <f>IF(NFI_Expiration=1,IF($A53&lt;VLOOKUP(P$5,NFI,5,0),1,0)*Table_NFI[[#This Row],[Plastic Bucket]],Table_NFI[Plastic Bucket])</f>
        <v>18</v>
      </c>
      <c r="AF53" s="436">
        <f>IF(NFI_Expiration=1,IF($A53&lt;VLOOKUP(Q$5,NFI,5,0),1,0)*Table_NFI[[#This Row],[Plastic Mat]],Table_NFI[Plastic Mat])*IF(Table_NFI[[#This Row],[Distribution Date]]&gt;"2014-04-01",1,2.5)</f>
        <v>225</v>
      </c>
      <c r="AG53" s="436">
        <f>IF(NFI_Expiration=1,IF($A53&lt;VLOOKUP(R$5,NFI,5,0),1,0)*Table_NFI[[#This Row],[Winter Clothes Adult]],Table_NFI[Winter Clothes Adult])</f>
        <v>0</v>
      </c>
      <c r="AH53" s="436">
        <f>IF(NFI_Expiration=1,IF($A53&lt;VLOOKUP(S$5,NFI,5,0),1,0)*Table_NFI[[#This Row],[Winter Clothes Children]],Table_NFI[Winter Clothes Children])</f>
        <v>0</v>
      </c>
      <c r="AI53" s="436">
        <f>IF(NFI_Expiration=1,IF($A53&lt;VLOOKUP(T$5,NFI,5,0),1,0)*Table_NFI[[#This Row],[Winter Items Other]],Table_NFI[Winter Items Other])</f>
        <v>0</v>
      </c>
      <c r="AJ53" s="436">
        <f>IF(NFI_Expiration=1,IF($A53&lt;VLOOKUP(M$5,NFI,5,0),1,0)*Table_NFI[[#This Row],[Winter Blanket]],Table_NFI[[#This Row],[Winter Blanket]])</f>
        <v>0</v>
      </c>
      <c r="AK53" s="436">
        <f>IF(Table_NFI[[#This Row],[Winter Clothes Adult]]+Table_NFI[[#This Row],[Winter Clothes Children]]+Table_NFI[[#This Row],[Winter Items Other]]+Table_NFI[[#This Row],[Winter Blanket]]&gt;0,1,0)</f>
        <v>0</v>
      </c>
      <c r="AL53" s="439">
        <f>IF(NFI_Expiration=1,IF($A53&lt;VLOOKUP(V$5,NFI,5,0),1,0)*Table_NFI[[#This Row],[Jerry Can]],Table_NFI[Jerry Can])</f>
        <v>0</v>
      </c>
      <c r="AM53" s="781" t="str">
        <f>IFERROR(VLOOKUP(Table_NFI[[#This Row],[Camp Name]],CL,2,0),"")</f>
        <v>MMR001CMP075</v>
      </c>
      <c r="AN53" s="782">
        <f ca="1">IF(Table_NFI[[#This Row],[Pcode]]="","",IF(OFFSET(CampList[Opening Date],MATCH(Table_NFI[[#This Row],[Pcode]],CampList[CP_Pcode],0)-1,0,1,1)&gt;=NFI_Monitor_Date,1,0))</f>
        <v>0</v>
      </c>
      <c r="AO53" s="781" t="str">
        <f>IFERROR(VLOOKUP(Table_NFI[[#This Row],[Camp Name]],CL,3,0),"")</f>
        <v>Open</v>
      </c>
      <c r="AP53" s="436" t="str">
        <f ca="1">IF(Table_NFI[[#This Row],[Pcode]]="","",OFFSET(CampList[Priority],MATCH(Table_NFI[[#This Row],[Pcode]],CampList[CP_Pcode],0)-1,0,1,1))</f>
        <v>P3</v>
      </c>
      <c r="AQ53" s="438">
        <f>IFERROR(Table_NFI[[#This Row],[Kitchen Set]]/VLOOKUP(Table_NFI[[#This Row],[Camp Name]],CL,4,0),"")</f>
        <v>1.2857142857142858</v>
      </c>
      <c r="AR53" s="779"/>
      <c r="AS53" s="783"/>
    </row>
    <row r="54" spans="1:45" s="784" customFormat="1" x14ac:dyDescent="0.25">
      <c r="A54" s="455">
        <f t="shared" si="0"/>
        <v>9</v>
      </c>
      <c r="B54" s="778">
        <v>42039</v>
      </c>
      <c r="C54" s="779" t="s">
        <v>454</v>
      </c>
      <c r="D54" s="779" t="s">
        <v>462</v>
      </c>
      <c r="E54" s="779" t="s">
        <v>380</v>
      </c>
      <c r="F54" s="779" t="s">
        <v>300</v>
      </c>
      <c r="G54" s="779" t="s">
        <v>1420</v>
      </c>
      <c r="H54" s="436"/>
      <c r="I54" s="436"/>
      <c r="J54" s="439">
        <v>57</v>
      </c>
      <c r="K54" s="439"/>
      <c r="L54" s="437"/>
      <c r="M54" s="437"/>
      <c r="N54" s="437"/>
      <c r="O54" s="437">
        <v>77</v>
      </c>
      <c r="P54" s="439"/>
      <c r="Q54" s="439">
        <v>146</v>
      </c>
      <c r="R54" s="439"/>
      <c r="S54" s="439"/>
      <c r="T54" s="439"/>
      <c r="U54" s="439"/>
      <c r="V54" s="818">
        <v>46</v>
      </c>
      <c r="W54" s="439">
        <f>IF(NFI_Expiration=1,IF($A54&lt;VLOOKUP(H$5,NFI,5,0),1,0)*Table_NFI[[#This Row],[Hygiene Kit]],Table_NFI[Hygiene Kit])</f>
        <v>0</v>
      </c>
      <c r="X54" s="439">
        <f>IF(NFI_Expiration=1,IF($A54&lt;VLOOKUP(I$5,NFI,5,0),1,0)*Table_NFI[[#This Row],[NFI Core Kit]],Table_NFI[NFI Core Kit])</f>
        <v>0</v>
      </c>
      <c r="Y54" s="439">
        <f>IF(NFI_Expiration=1,IF($A54&lt;VLOOKUP(J$5,NFI,5,0),1,0)*Table_NFI[[#This Row],[Sanitary Kit]],Table_NFI[Sanitary Kit])</f>
        <v>57</v>
      </c>
      <c r="Z54" s="439">
        <f>IF(NFI_Expiration=1,IF($A54&lt;VLOOKUP(K$5,NFI,5,0),1,0)*Table_NFI[[#This Row],[Mosquito net]],Table_NFI[Mosquito net])</f>
        <v>0</v>
      </c>
      <c r="AA54" s="439">
        <f>IF(NFI_Expiration=1,IF($A54&lt;VLOOKUP(L$5,NFI,5,0),1,0)*Table_NFI[[#This Row],[Tarpaulin]],Table_NFI[[#This Row],[Tarpaulin]])</f>
        <v>0</v>
      </c>
      <c r="AB54" s="439">
        <f>IF(NFI_Expiration=1,IF($A54&lt;VLOOKUP(M$5,NFI,5,0),1,0)*Table_NFI[[#This Row],[Blanket]],Table_NFI[[#This Row],[Blanket]])</f>
        <v>0</v>
      </c>
      <c r="AC54" s="439">
        <f>IF(NFI_Expiration=1,IF($A54&lt;VLOOKUP(N$5,NFI,5,0),1,0)*Table_NFI[[#This Row],[Kitchen Set]],Table_NFI[Kitchen Set])</f>
        <v>0</v>
      </c>
      <c r="AD54" s="439">
        <f>IF(NFI_Expiration=1,IF($A54&lt;VLOOKUP(O$5,NFI,5,0),1,0)*Table_NFI[[#This Row],[Clothes Kit]],Table_NFI[Clothes Kit])</f>
        <v>77</v>
      </c>
      <c r="AE54" s="439">
        <f>IF(NFI_Expiration=1,IF($A54&lt;VLOOKUP(P$5,NFI,5,0),1,0)*Table_NFI[[#This Row],[Plastic Bucket]],Table_NFI[Plastic Bucket])</f>
        <v>0</v>
      </c>
      <c r="AF54" s="439">
        <f>IF(NFI_Expiration=1,IF($A54&lt;VLOOKUP(Q$5,NFI,5,0),1,0)*Table_NFI[[#This Row],[Plastic Mat]],Table_NFI[Plastic Mat])*IF(Table_NFI[[#This Row],[Distribution Date]]&gt;"2014-04-01",1,2.5)</f>
        <v>365</v>
      </c>
      <c r="AG54" s="439">
        <f>IF(NFI_Expiration=1,IF($A54&lt;VLOOKUP(R$5,NFI,5,0),1,0)*Table_NFI[[#This Row],[Winter Clothes Adult]],Table_NFI[Winter Clothes Adult])</f>
        <v>0</v>
      </c>
      <c r="AH54" s="439">
        <f>IF(NFI_Expiration=1,IF($A54&lt;VLOOKUP(S$5,NFI,5,0),1,0)*Table_NFI[[#This Row],[Winter Clothes Children]],Table_NFI[Winter Clothes Children])</f>
        <v>0</v>
      </c>
      <c r="AI54" s="439">
        <f>IF(NFI_Expiration=1,IF($A54&lt;VLOOKUP(T$5,NFI,5,0),1,0)*Table_NFI[[#This Row],[Winter Items Other]],Table_NFI[Winter Items Other])</f>
        <v>0</v>
      </c>
      <c r="AJ54" s="439">
        <f>IF(NFI_Expiration=1,IF($A54&lt;VLOOKUP(M$5,NFI,5,0),1,0)*Table_NFI[[#This Row],[Winter Blanket]],Table_NFI[[#This Row],[Winter Blanket]])</f>
        <v>0</v>
      </c>
      <c r="AK54" s="439">
        <f>IF(Table_NFI[[#This Row],[Winter Clothes Adult]]+Table_NFI[[#This Row],[Winter Clothes Children]]+Table_NFI[[#This Row],[Winter Items Other]]+Table_NFI[[#This Row],[Winter Blanket]]&gt;0,1,0)</f>
        <v>0</v>
      </c>
      <c r="AL54" s="439">
        <f>IF(NFI_Expiration=1,IF($A54&lt;VLOOKUP(V$5,NFI,5,0),1,0)*Table_NFI[[#This Row],[Jerry Can]],Table_NFI[Jerry Can])</f>
        <v>46</v>
      </c>
      <c r="AM54" s="791" t="str">
        <f>IFERROR(VLOOKUP(Table_NFI[[#This Row],[Camp Name]],CL,2,0),"")</f>
        <v/>
      </c>
      <c r="AN54" s="782" t="str">
        <f ca="1">IF(Table_NFI[[#This Row],[Pcode]]="","",IF(OFFSET(CampList[Opening Date],MATCH(Table_NFI[[#This Row],[Pcode]],CampList[CP_Pcode],0)-1,0,1,1)&gt;=NFI_Monitor_Date,1,0))</f>
        <v/>
      </c>
      <c r="AO54" s="791" t="str">
        <f>IFERROR(VLOOKUP(Table_NFI[[#This Row],[Camp Name]],CL,3,0),"")</f>
        <v/>
      </c>
      <c r="AP54" s="439" t="str">
        <f ca="1">IF(Table_NFI[[#This Row],[Pcode]]="","",OFFSET(CampList[Priority],MATCH(Table_NFI[[#This Row],[Pcode]],CampList[CP_Pcode],0)-1,0,1,1))</f>
        <v/>
      </c>
      <c r="AQ54" s="438" t="str">
        <f>IFERROR(Table_NFI[[#This Row],[Kitchen Set]]/VLOOKUP(Table_NFI[[#This Row],[Camp Name]],CL,4,0),"")</f>
        <v/>
      </c>
      <c r="AR54" s="779"/>
      <c r="AS54" s="783" t="s">
        <v>1417</v>
      </c>
    </row>
    <row r="55" spans="1:45" s="136" customFormat="1" x14ac:dyDescent="0.25">
      <c r="A55" s="455">
        <f t="shared" si="0"/>
        <v>9.3000000000000007</v>
      </c>
      <c r="B55" s="778">
        <v>42030</v>
      </c>
      <c r="C55" s="779" t="s">
        <v>454</v>
      </c>
      <c r="D55" s="779"/>
      <c r="E55" s="779" t="s">
        <v>380</v>
      </c>
      <c r="F55" s="779" t="s">
        <v>529</v>
      </c>
      <c r="G55" s="779"/>
      <c r="H55" s="436"/>
      <c r="I55" s="436"/>
      <c r="J55" s="436"/>
      <c r="K55" s="436">
        <v>400</v>
      </c>
      <c r="L55" s="437">
        <v>250</v>
      </c>
      <c r="M55" s="437">
        <v>400</v>
      </c>
      <c r="N55" s="437">
        <v>200</v>
      </c>
      <c r="O55" s="437">
        <v>200</v>
      </c>
      <c r="P55" s="439">
        <v>200</v>
      </c>
      <c r="Q55" s="439">
        <v>1200</v>
      </c>
      <c r="R55" s="436"/>
      <c r="S55" s="436"/>
      <c r="T55" s="436"/>
      <c r="U55" s="439">
        <v>400</v>
      </c>
      <c r="V55" s="439"/>
      <c r="W55" s="436">
        <f>IF(NFI_Expiration=1,IF($A55&lt;VLOOKUP(H$5,NFI,5,0),1,0)*Table_NFI[[#This Row],[Hygiene Kit]],Table_NFI[Hygiene Kit])</f>
        <v>0</v>
      </c>
      <c r="X55" s="436">
        <f>IF(NFI_Expiration=1,IF($A55&lt;VLOOKUP(I$5,NFI,5,0),1,0)*Table_NFI[[#This Row],[NFI Core Kit]],Table_NFI[NFI Core Kit])</f>
        <v>0</v>
      </c>
      <c r="Y55" s="436">
        <f>IF(NFI_Expiration=1,IF($A55&lt;VLOOKUP(J$5,NFI,5,0),1,0)*Table_NFI[[#This Row],[Sanitary Kit]],Table_NFI[Sanitary Kit])</f>
        <v>0</v>
      </c>
      <c r="Z55" s="436">
        <f>IF(NFI_Expiration=1,IF($A55&lt;VLOOKUP(K$5,NFI,5,0),1,0)*Table_NFI[[#This Row],[Mosquito net]],Table_NFI[Mosquito net])</f>
        <v>400</v>
      </c>
      <c r="AA55" s="436">
        <f>IF(NFI_Expiration=1,IF($A55&lt;VLOOKUP(L$5,NFI,5,0),1,0)*Table_NFI[[#This Row],[Tarpaulin]],Table_NFI[[#This Row],[Tarpaulin]])</f>
        <v>250</v>
      </c>
      <c r="AB55" s="436">
        <f>IF(NFI_Expiration=1,IF($A55&lt;VLOOKUP(M$5,NFI,5,0),1,0)*Table_NFI[[#This Row],[Blanket]],Table_NFI[[#This Row],[Blanket]])</f>
        <v>400</v>
      </c>
      <c r="AC55" s="436">
        <f>IF(NFI_Expiration=1,IF($A55&lt;VLOOKUP(N$5,NFI,5,0),1,0)*Table_NFI[[#This Row],[Kitchen Set]],Table_NFI[Kitchen Set])</f>
        <v>200</v>
      </c>
      <c r="AD55" s="436">
        <f>IF(NFI_Expiration=1,IF($A55&lt;VLOOKUP(O$5,NFI,5,0),1,0)*Table_NFI[[#This Row],[Clothes Kit]],Table_NFI[Clothes Kit])</f>
        <v>200</v>
      </c>
      <c r="AE55" s="436">
        <f>IF(NFI_Expiration=1,IF($A55&lt;VLOOKUP(P$5,NFI,5,0),1,0)*Table_NFI[[#This Row],[Plastic Bucket]],Table_NFI[Plastic Bucket])</f>
        <v>200</v>
      </c>
      <c r="AF55" s="436">
        <f>IF(NFI_Expiration=1,IF($A55&lt;VLOOKUP(Q$5,NFI,5,0),1,0)*Table_NFI[[#This Row],[Plastic Mat]],Table_NFI[Plastic Mat])*IF(Table_NFI[[#This Row],[Distribution Date]]&gt;"2014-04-01",1,2.5)</f>
        <v>3000</v>
      </c>
      <c r="AG55" s="436">
        <f>IF(NFI_Expiration=1,IF($A55&lt;VLOOKUP(R$5,NFI,5,0),1,0)*Table_NFI[[#This Row],[Winter Clothes Adult]],Table_NFI[Winter Clothes Adult])</f>
        <v>0</v>
      </c>
      <c r="AH55" s="436">
        <f>IF(NFI_Expiration=1,IF($A55&lt;VLOOKUP(S$5,NFI,5,0),1,0)*Table_NFI[[#This Row],[Winter Clothes Children]],Table_NFI[Winter Clothes Children])</f>
        <v>0</v>
      </c>
      <c r="AI55" s="436">
        <f>IF(NFI_Expiration=1,IF($A55&lt;VLOOKUP(T$5,NFI,5,0),1,0)*Table_NFI[[#This Row],[Winter Items Other]],Table_NFI[Winter Items Other])</f>
        <v>0</v>
      </c>
      <c r="AJ55" s="436">
        <f>IF(NFI_Expiration=1,IF($A55&lt;VLOOKUP(M$5,NFI,5,0),1,0)*Table_NFI[[#This Row],[Winter Blanket]],Table_NFI[[#This Row],[Winter Blanket]])</f>
        <v>400</v>
      </c>
      <c r="AK55" s="436">
        <f>IF(Table_NFI[[#This Row],[Winter Clothes Adult]]+Table_NFI[[#This Row],[Winter Clothes Children]]+Table_NFI[[#This Row],[Winter Items Other]]+Table_NFI[[#This Row],[Winter Blanket]]&gt;0,1,0)</f>
        <v>1</v>
      </c>
      <c r="AL55" s="439">
        <f>IF(NFI_Expiration=1,IF($A55&lt;VLOOKUP(V$5,NFI,5,0),1,0)*Table_NFI[[#This Row],[Jerry Can]],Table_NFI[Jerry Can])</f>
        <v>0</v>
      </c>
      <c r="AM55" s="781" t="str">
        <f>IFERROR(VLOOKUP(Table_NFI[[#This Row],[Camp Name]],CL,2,0),"")</f>
        <v/>
      </c>
      <c r="AN55" s="782" t="str">
        <f ca="1">IF(Table_NFI[[#This Row],[Pcode]]="","",IF(OFFSET(CampList[Opening Date],MATCH(Table_NFI[[#This Row],[Pcode]],CampList[CP_Pcode],0)-1,0,1,1)&gt;=NFI_Monitor_Date,1,0))</f>
        <v/>
      </c>
      <c r="AO55" s="781" t="str">
        <f>IFERROR(VLOOKUP(Table_NFI[[#This Row],[Camp Name]],CL,3,0),"")</f>
        <v/>
      </c>
      <c r="AP55" s="436" t="str">
        <f ca="1">IF(Table_NFI[[#This Row],[Pcode]]="","",OFFSET(CampList[Priority],MATCH(Table_NFI[[#This Row],[Pcode]],CampList[CP_Pcode],0)-1,0,1,1))</f>
        <v/>
      </c>
      <c r="AQ55" s="438" t="str">
        <f>IFERROR(Table_NFI[[#This Row],[Kitchen Set]]/VLOOKUP(Table_NFI[[#This Row],[Camp Name]],CL,4,0),"")</f>
        <v/>
      </c>
      <c r="AR55" s="779"/>
      <c r="AS55" s="783"/>
    </row>
    <row r="56" spans="1:45" s="136" customFormat="1" x14ac:dyDescent="0.25">
      <c r="A56" s="455">
        <f t="shared" si="0"/>
        <v>9.3000000000000007</v>
      </c>
      <c r="B56" s="778">
        <v>42030</v>
      </c>
      <c r="C56" s="779" t="s">
        <v>454</v>
      </c>
      <c r="D56" s="779" t="s">
        <v>508</v>
      </c>
      <c r="E56" s="779" t="s">
        <v>380</v>
      </c>
      <c r="F56" s="779" t="s">
        <v>529</v>
      </c>
      <c r="G56" s="816" t="s">
        <v>1418</v>
      </c>
      <c r="H56" s="436"/>
      <c r="I56" s="436"/>
      <c r="J56" s="439">
        <v>57</v>
      </c>
      <c r="K56" s="439"/>
      <c r="L56" s="437"/>
      <c r="M56" s="437"/>
      <c r="N56" s="437"/>
      <c r="O56" s="437">
        <v>77</v>
      </c>
      <c r="P56" s="439"/>
      <c r="Q56" s="439">
        <v>146</v>
      </c>
      <c r="R56" s="439"/>
      <c r="S56" s="439"/>
      <c r="T56" s="439"/>
      <c r="U56" s="439"/>
      <c r="V56" s="818">
        <v>200</v>
      </c>
      <c r="W56" s="439">
        <f>IF(NFI_Expiration=1,IF($A56&lt;VLOOKUP(H$5,NFI,5,0),1,0)*Table_NFI[[#This Row],[Hygiene Kit]],Table_NFI[Hygiene Kit])</f>
        <v>0</v>
      </c>
      <c r="X56" s="439">
        <f>IF(NFI_Expiration=1,IF($A56&lt;VLOOKUP(I$5,NFI,5,0),1,0)*Table_NFI[[#This Row],[NFI Core Kit]],Table_NFI[NFI Core Kit])</f>
        <v>0</v>
      </c>
      <c r="Y56" s="439">
        <f>IF(NFI_Expiration=1,IF($A56&lt;VLOOKUP(J$5,NFI,5,0),1,0)*Table_NFI[[#This Row],[Sanitary Kit]],Table_NFI[Sanitary Kit])</f>
        <v>57</v>
      </c>
      <c r="Z56" s="439">
        <f>IF(NFI_Expiration=1,IF($A56&lt;VLOOKUP(K$5,NFI,5,0),1,0)*Table_NFI[[#This Row],[Mosquito net]],Table_NFI[Mosquito net])</f>
        <v>0</v>
      </c>
      <c r="AA56" s="439">
        <f>IF(NFI_Expiration=1,IF($A56&lt;VLOOKUP(L$5,NFI,5,0),1,0)*Table_NFI[[#This Row],[Tarpaulin]],Table_NFI[[#This Row],[Tarpaulin]])</f>
        <v>0</v>
      </c>
      <c r="AB56" s="439">
        <f>IF(NFI_Expiration=1,IF($A56&lt;VLOOKUP(M$5,NFI,5,0),1,0)*Table_NFI[[#This Row],[Blanket]],Table_NFI[[#This Row],[Blanket]])</f>
        <v>0</v>
      </c>
      <c r="AC56" s="439">
        <f>IF(NFI_Expiration=1,IF($A56&lt;VLOOKUP(N$5,NFI,5,0),1,0)*Table_NFI[[#This Row],[Kitchen Set]],Table_NFI[Kitchen Set])</f>
        <v>0</v>
      </c>
      <c r="AD56" s="439">
        <f>IF(NFI_Expiration=1,IF($A56&lt;VLOOKUP(O$5,NFI,5,0),1,0)*Table_NFI[[#This Row],[Clothes Kit]],Table_NFI[Clothes Kit])</f>
        <v>77</v>
      </c>
      <c r="AE56" s="439">
        <f>IF(NFI_Expiration=1,IF($A56&lt;VLOOKUP(P$5,NFI,5,0),1,0)*Table_NFI[[#This Row],[Plastic Bucket]],Table_NFI[Plastic Bucket])</f>
        <v>0</v>
      </c>
      <c r="AF56" s="439">
        <f>IF(NFI_Expiration=1,IF($A56&lt;VLOOKUP(Q$5,NFI,5,0),1,0)*Table_NFI[[#This Row],[Plastic Mat]],Table_NFI[Plastic Mat])*IF(Table_NFI[[#This Row],[Distribution Date]]&gt;"2014-04-01",1,2.5)</f>
        <v>365</v>
      </c>
      <c r="AG56" s="439">
        <f>IF(NFI_Expiration=1,IF($A56&lt;VLOOKUP(R$5,NFI,5,0),1,0)*Table_NFI[[#This Row],[Winter Clothes Adult]],Table_NFI[Winter Clothes Adult])</f>
        <v>0</v>
      </c>
      <c r="AH56" s="439">
        <f>IF(NFI_Expiration=1,IF($A56&lt;VLOOKUP(S$5,NFI,5,0),1,0)*Table_NFI[[#This Row],[Winter Clothes Children]],Table_NFI[Winter Clothes Children])</f>
        <v>0</v>
      </c>
      <c r="AI56" s="439">
        <f>IF(NFI_Expiration=1,IF($A56&lt;VLOOKUP(T$5,NFI,5,0),1,0)*Table_NFI[[#This Row],[Winter Items Other]],Table_NFI[Winter Items Other])</f>
        <v>0</v>
      </c>
      <c r="AJ56" s="439">
        <f>IF(NFI_Expiration=1,IF($A56&lt;VLOOKUP(M$5,NFI,5,0),1,0)*Table_NFI[[#This Row],[Winter Blanket]],Table_NFI[[#This Row],[Winter Blanket]])</f>
        <v>0</v>
      </c>
      <c r="AK56" s="439">
        <f>IF(Table_NFI[[#This Row],[Winter Clothes Adult]]+Table_NFI[[#This Row],[Winter Clothes Children]]+Table_NFI[[#This Row],[Winter Items Other]]+Table_NFI[[#This Row],[Winter Blanket]]&gt;0,1,0)</f>
        <v>0</v>
      </c>
      <c r="AL56" s="439">
        <f>IF(NFI_Expiration=1,IF($A56&lt;VLOOKUP(V$5,NFI,5,0),1,0)*Table_NFI[[#This Row],[Jerry Can]],Table_NFI[Jerry Can])</f>
        <v>200</v>
      </c>
      <c r="AM56" s="791" t="str">
        <f>IFERROR(VLOOKUP(Table_NFI[[#This Row],[Camp Name]],CL,2,0),"")</f>
        <v/>
      </c>
      <c r="AN56" s="782" t="str">
        <f ca="1">IF(Table_NFI[[#This Row],[Pcode]]="","",IF(OFFSET(CampList[Opening Date],MATCH(Table_NFI[[#This Row],[Pcode]],CampList[CP_Pcode],0)-1,0,1,1)&gt;=NFI_Monitor_Date,1,0))</f>
        <v/>
      </c>
      <c r="AO56" s="791" t="str">
        <f>IFERROR(VLOOKUP(Table_NFI[[#This Row],[Camp Name]],CL,3,0),"")</f>
        <v/>
      </c>
      <c r="AP56" s="439" t="str">
        <f ca="1">IF(Table_NFI[[#This Row],[Pcode]]="","",OFFSET(CampList[Priority],MATCH(Table_NFI[[#This Row],[Pcode]],CampList[CP_Pcode],0)-1,0,1,1))</f>
        <v/>
      </c>
      <c r="AQ56" s="438" t="str">
        <f>IFERROR(Table_NFI[[#This Row],[Kitchen Set]]/VLOOKUP(Table_NFI[[#This Row],[Camp Name]],CL,4,0),"")</f>
        <v/>
      </c>
      <c r="AR56" s="779"/>
      <c r="AS56" s="783" t="s">
        <v>1419</v>
      </c>
    </row>
    <row r="57" spans="1:45" s="136" customFormat="1" x14ac:dyDescent="0.25">
      <c r="A57" s="455">
        <f t="shared" si="0"/>
        <v>9.7333333333333325</v>
      </c>
      <c r="B57" s="778">
        <v>42017</v>
      </c>
      <c r="C57" s="779" t="s">
        <v>454</v>
      </c>
      <c r="D57" s="779" t="s">
        <v>507</v>
      </c>
      <c r="E57" s="779"/>
      <c r="F57" s="779"/>
      <c r="G57" s="779"/>
      <c r="H57" s="436"/>
      <c r="I57" s="436"/>
      <c r="J57" s="436"/>
      <c r="K57" s="436"/>
      <c r="L57" s="437">
        <v>2</v>
      </c>
      <c r="M57" s="437"/>
      <c r="N57" s="437"/>
      <c r="O57" s="437"/>
      <c r="P57" s="439"/>
      <c r="Q57" s="439"/>
      <c r="R57" s="436"/>
      <c r="S57" s="436"/>
      <c r="T57" s="436"/>
      <c r="U57" s="436"/>
      <c r="V57" s="436"/>
      <c r="W57" s="436">
        <f>IF(NFI_Expiration=1,IF($A57&lt;VLOOKUP(H$5,NFI,5,0),1,0)*Table_NFI[[#This Row],[Hygiene Kit]],Table_NFI[Hygiene Kit])</f>
        <v>0</v>
      </c>
      <c r="X57" s="436">
        <f>IF(NFI_Expiration=1,IF($A57&lt;VLOOKUP(I$5,NFI,5,0),1,0)*Table_NFI[[#This Row],[NFI Core Kit]],Table_NFI[NFI Core Kit])</f>
        <v>0</v>
      </c>
      <c r="Y57" s="436">
        <f>IF(NFI_Expiration=1,IF($A57&lt;VLOOKUP(J$5,NFI,5,0),1,0)*Table_NFI[[#This Row],[Sanitary Kit]],Table_NFI[Sanitary Kit])</f>
        <v>0</v>
      </c>
      <c r="Z57" s="436">
        <f>IF(NFI_Expiration=1,IF($A57&lt;VLOOKUP(K$5,NFI,5,0),1,0)*Table_NFI[[#This Row],[Mosquito net]],Table_NFI[Mosquito net])</f>
        <v>0</v>
      </c>
      <c r="AA57" s="436">
        <f>IF(NFI_Expiration=1,IF($A57&lt;VLOOKUP(L$5,NFI,5,0),1,0)*Table_NFI[[#This Row],[Tarpaulin]],Table_NFI[[#This Row],[Tarpaulin]])</f>
        <v>2</v>
      </c>
      <c r="AB57" s="436">
        <f>IF(NFI_Expiration=1,IF($A57&lt;VLOOKUP(M$5,NFI,5,0),1,0)*Table_NFI[[#This Row],[Blanket]],Table_NFI[[#This Row],[Blanket]])</f>
        <v>0</v>
      </c>
      <c r="AC57" s="436">
        <f>IF(NFI_Expiration=1,IF($A57&lt;VLOOKUP(N$5,NFI,5,0),1,0)*Table_NFI[[#This Row],[Kitchen Set]],Table_NFI[Kitchen Set])</f>
        <v>0</v>
      </c>
      <c r="AD57" s="436">
        <f>IF(NFI_Expiration=1,IF($A57&lt;VLOOKUP(O$5,NFI,5,0),1,0)*Table_NFI[[#This Row],[Clothes Kit]],Table_NFI[Clothes Kit])</f>
        <v>0</v>
      </c>
      <c r="AE57" s="436">
        <f>IF(NFI_Expiration=1,IF($A57&lt;VLOOKUP(P$5,NFI,5,0),1,0)*Table_NFI[[#This Row],[Plastic Bucket]],Table_NFI[Plastic Bucket])</f>
        <v>0</v>
      </c>
      <c r="AF57" s="436">
        <f>IF(NFI_Expiration=1,IF($A57&lt;VLOOKUP(Q$5,NFI,5,0),1,0)*Table_NFI[[#This Row],[Plastic Mat]],Table_NFI[Plastic Mat])*IF(Table_NFI[[#This Row],[Distribution Date]]&gt;"2014-04-01",1,2.5)</f>
        <v>0</v>
      </c>
      <c r="AG57" s="436">
        <f>IF(NFI_Expiration=1,IF($A57&lt;VLOOKUP(R$5,NFI,5,0),1,0)*Table_NFI[[#This Row],[Winter Clothes Adult]],Table_NFI[Winter Clothes Adult])</f>
        <v>0</v>
      </c>
      <c r="AH57" s="436">
        <f>IF(NFI_Expiration=1,IF($A57&lt;VLOOKUP(S$5,NFI,5,0),1,0)*Table_NFI[[#This Row],[Winter Clothes Children]],Table_NFI[Winter Clothes Children])</f>
        <v>0</v>
      </c>
      <c r="AI57" s="436">
        <f>IF(NFI_Expiration=1,IF($A57&lt;VLOOKUP(T$5,NFI,5,0),1,0)*Table_NFI[[#This Row],[Winter Items Other]],Table_NFI[Winter Items Other])</f>
        <v>0</v>
      </c>
      <c r="AJ57" s="436">
        <f>IF(NFI_Expiration=1,IF($A57&lt;VLOOKUP(M$5,NFI,5,0),1,0)*Table_NFI[[#This Row],[Winter Blanket]],Table_NFI[[#This Row],[Winter Blanket]])</f>
        <v>0</v>
      </c>
      <c r="AK57" s="436">
        <f>IF(Table_NFI[[#This Row],[Winter Clothes Adult]]+Table_NFI[[#This Row],[Winter Clothes Children]]+Table_NFI[[#This Row],[Winter Items Other]]+Table_NFI[[#This Row],[Winter Blanket]]&gt;0,1,0)</f>
        <v>0</v>
      </c>
      <c r="AL57" s="439">
        <f>IF(NFI_Expiration=1,IF($A57&lt;VLOOKUP(V$5,NFI,5,0),1,0)*Table_NFI[[#This Row],[Jerry Can]],Table_NFI[Jerry Can])</f>
        <v>0</v>
      </c>
      <c r="AM57" s="781" t="str">
        <f>IFERROR(VLOOKUP(Table_NFI[[#This Row],[Camp Name]],CL,2,0),"")</f>
        <v/>
      </c>
      <c r="AN57" s="782" t="str">
        <f ca="1">IF(Table_NFI[[#This Row],[Pcode]]="","",IF(OFFSET(CampList[Opening Date],MATCH(Table_NFI[[#This Row],[Pcode]],CampList[CP_Pcode],0)-1,0,1,1)&gt;=NFI_Monitor_Date,1,0))</f>
        <v/>
      </c>
      <c r="AO57" s="781" t="str">
        <f>IFERROR(VLOOKUP(Table_NFI[[#This Row],[Camp Name]],CL,3,0),"")</f>
        <v/>
      </c>
      <c r="AP57" s="436" t="str">
        <f ca="1">IF(Table_NFI[[#This Row],[Pcode]]="","",OFFSET(CampList[Priority],MATCH(Table_NFI[[#This Row],[Pcode]],CampList[CP_Pcode],0)-1,0,1,1))</f>
        <v/>
      </c>
      <c r="AQ57" s="438" t="str">
        <f>IFERROR(Table_NFI[[#This Row],[Kitchen Set]]/VLOOKUP(Table_NFI[[#This Row],[Camp Name]],CL,4,0),"")</f>
        <v/>
      </c>
      <c r="AR57" s="779"/>
      <c r="AS57" s="783"/>
    </row>
    <row r="58" spans="1:45" s="784" customFormat="1" x14ac:dyDescent="0.25">
      <c r="A58" s="455">
        <f t="shared" si="0"/>
        <v>9.7333333333333325</v>
      </c>
      <c r="B58" s="778">
        <v>42017</v>
      </c>
      <c r="C58" s="779" t="s">
        <v>1101</v>
      </c>
      <c r="D58" s="779" t="s">
        <v>907</v>
      </c>
      <c r="E58" s="779" t="s">
        <v>380</v>
      </c>
      <c r="F58" s="779" t="s">
        <v>27</v>
      </c>
      <c r="G58" s="779" t="s">
        <v>28</v>
      </c>
      <c r="H58" s="436"/>
      <c r="I58" s="436"/>
      <c r="J58" s="436"/>
      <c r="K58" s="436"/>
      <c r="L58" s="437"/>
      <c r="M58" s="437"/>
      <c r="N58" s="437"/>
      <c r="O58" s="437"/>
      <c r="P58" s="439"/>
      <c r="Q58" s="439"/>
      <c r="R58" s="436">
        <v>293</v>
      </c>
      <c r="S58" s="436">
        <v>190</v>
      </c>
      <c r="T58" s="436"/>
      <c r="U58" s="436">
        <v>170</v>
      </c>
      <c r="V58" s="436"/>
      <c r="W58" s="436">
        <f>IF(NFI_Expiration=1,IF($A58&lt;VLOOKUP(H$5,NFI,5,0),1,0)*Table_NFI[[#This Row],[Hygiene Kit]],Table_NFI[Hygiene Kit])</f>
        <v>0</v>
      </c>
      <c r="X58" s="436">
        <f>IF(NFI_Expiration=1,IF($A58&lt;VLOOKUP(I$5,NFI,5,0),1,0)*Table_NFI[[#This Row],[NFI Core Kit]],Table_NFI[NFI Core Kit])</f>
        <v>0</v>
      </c>
      <c r="Y58" s="436">
        <f>IF(NFI_Expiration=1,IF($A58&lt;VLOOKUP(J$5,NFI,5,0),1,0)*Table_NFI[[#This Row],[Sanitary Kit]],Table_NFI[Sanitary Kit])</f>
        <v>0</v>
      </c>
      <c r="Z58" s="436">
        <f>IF(NFI_Expiration=1,IF($A58&lt;VLOOKUP(K$5,NFI,5,0),1,0)*Table_NFI[[#This Row],[Mosquito net]],Table_NFI[Mosquito net])</f>
        <v>0</v>
      </c>
      <c r="AA58" s="436">
        <f>IF(NFI_Expiration=1,IF($A58&lt;VLOOKUP(L$5,NFI,5,0),1,0)*Table_NFI[[#This Row],[Tarpaulin]],Table_NFI[[#This Row],[Tarpaulin]])</f>
        <v>0</v>
      </c>
      <c r="AB58" s="436">
        <f>IF(NFI_Expiration=1,IF($A58&lt;VLOOKUP(M$5,NFI,5,0),1,0)*Table_NFI[[#This Row],[Blanket]],Table_NFI[[#This Row],[Blanket]])</f>
        <v>0</v>
      </c>
      <c r="AC58" s="436">
        <f>IF(NFI_Expiration=1,IF($A58&lt;VLOOKUP(N$5,NFI,5,0),1,0)*Table_NFI[[#This Row],[Kitchen Set]],Table_NFI[Kitchen Set])</f>
        <v>0</v>
      </c>
      <c r="AD58" s="436">
        <f>IF(NFI_Expiration=1,IF($A58&lt;VLOOKUP(O$5,NFI,5,0),1,0)*Table_NFI[[#This Row],[Clothes Kit]],Table_NFI[Clothes Kit])</f>
        <v>0</v>
      </c>
      <c r="AE58" s="436">
        <f>IF(NFI_Expiration=1,IF($A58&lt;VLOOKUP(P$5,NFI,5,0),1,0)*Table_NFI[[#This Row],[Plastic Bucket]],Table_NFI[Plastic Bucket])</f>
        <v>0</v>
      </c>
      <c r="AF58" s="436">
        <f>IF(NFI_Expiration=1,IF($A58&lt;VLOOKUP(Q$5,NFI,5,0),1,0)*Table_NFI[[#This Row],[Plastic Mat]],Table_NFI[Plastic Mat])*IF(Table_NFI[[#This Row],[Distribution Date]]&gt;"2014-04-01",1,2.5)</f>
        <v>0</v>
      </c>
      <c r="AG58" s="436">
        <f>IF(NFI_Expiration=1,IF($A58&lt;VLOOKUP(R$5,NFI,5,0),1,0)*Table_NFI[[#This Row],[Winter Clothes Adult]],Table_NFI[Winter Clothes Adult])</f>
        <v>293</v>
      </c>
      <c r="AH58" s="436">
        <f>IF(NFI_Expiration=1,IF($A58&lt;VLOOKUP(S$5,NFI,5,0),1,0)*Table_NFI[[#This Row],[Winter Clothes Children]],Table_NFI[Winter Clothes Children])</f>
        <v>190</v>
      </c>
      <c r="AI58" s="436">
        <f>IF(NFI_Expiration=1,IF($A58&lt;VLOOKUP(T$5,NFI,5,0),1,0)*Table_NFI[[#This Row],[Winter Items Other]],Table_NFI[Winter Items Other])</f>
        <v>0</v>
      </c>
      <c r="AJ58" s="436">
        <f>IF(NFI_Expiration=1,IF($A58&lt;VLOOKUP(M$5,NFI,5,0),1,0)*Table_NFI[[#This Row],[Winter Blanket]],Table_NFI[[#This Row],[Winter Blanket]])</f>
        <v>170</v>
      </c>
      <c r="AK58" s="436">
        <f>IF(Table_NFI[[#This Row],[Winter Clothes Adult]]+Table_NFI[[#This Row],[Winter Clothes Children]]+Table_NFI[[#This Row],[Winter Items Other]]+Table_NFI[[#This Row],[Winter Blanket]]&gt;0,1,0)</f>
        <v>1</v>
      </c>
      <c r="AL58" s="439">
        <f>IF(NFI_Expiration=1,IF($A58&lt;VLOOKUP(V$5,NFI,5,0),1,0)*Table_NFI[[#This Row],[Jerry Can]],Table_NFI[Jerry Can])</f>
        <v>0</v>
      </c>
      <c r="AM58" s="781" t="str">
        <f>IFERROR(VLOOKUP(Table_NFI[[#This Row],[Camp Name]],CL,2,0),"")</f>
        <v>MMR001CMP042</v>
      </c>
      <c r="AN58" s="782">
        <f ca="1">IF(Table_NFI[[#This Row],[Pcode]]="","",IF(OFFSET(CampList[Opening Date],MATCH(Table_NFI[[#This Row],[Pcode]],CampList[CP_Pcode],0)-1,0,1,1)&gt;=NFI_Monitor_Date,1,0))</f>
        <v>0</v>
      </c>
      <c r="AO58" s="781" t="str">
        <f>IFERROR(VLOOKUP(Table_NFI[[#This Row],[Camp Name]],CL,3,0),"")</f>
        <v>Open</v>
      </c>
      <c r="AP58" s="436" t="str">
        <f ca="1">IF(Table_NFI[[#This Row],[Pcode]]="","",OFFSET(CampList[Priority],MATCH(Table_NFI[[#This Row],[Pcode]],CampList[CP_Pcode],0)-1,0,1,1))</f>
        <v>P1</v>
      </c>
      <c r="AQ58" s="438">
        <f>IFERROR(Table_NFI[[#This Row],[Kitchen Set]]/VLOOKUP(Table_NFI[[#This Row],[Camp Name]],CL,4,0),"")</f>
        <v>0</v>
      </c>
      <c r="AR58" s="779"/>
      <c r="AS58" s="783"/>
    </row>
    <row r="59" spans="1:45" s="784" customFormat="1" x14ac:dyDescent="0.25">
      <c r="A59" s="455">
        <f t="shared" si="0"/>
        <v>9.7333333333333325</v>
      </c>
      <c r="B59" s="778">
        <v>42017</v>
      </c>
      <c r="C59" s="779" t="s">
        <v>1101</v>
      </c>
      <c r="D59" s="779" t="s">
        <v>907</v>
      </c>
      <c r="E59" s="779" t="s">
        <v>380</v>
      </c>
      <c r="F59" s="779" t="s">
        <v>27</v>
      </c>
      <c r="G59" s="779" t="s">
        <v>365</v>
      </c>
      <c r="H59" s="436"/>
      <c r="I59" s="436"/>
      <c r="J59" s="436"/>
      <c r="K59" s="436"/>
      <c r="L59" s="437"/>
      <c r="M59" s="437"/>
      <c r="N59" s="437"/>
      <c r="O59" s="437"/>
      <c r="P59" s="439"/>
      <c r="Q59" s="439"/>
      <c r="R59" s="436">
        <v>350</v>
      </c>
      <c r="S59" s="436">
        <v>236</v>
      </c>
      <c r="T59" s="436"/>
      <c r="U59" s="436">
        <v>203</v>
      </c>
      <c r="V59" s="436"/>
      <c r="W59" s="436">
        <f>IF(NFI_Expiration=1,IF($A59&lt;VLOOKUP(H$5,NFI,5,0),1,0)*Table_NFI[[#This Row],[Hygiene Kit]],Table_NFI[Hygiene Kit])</f>
        <v>0</v>
      </c>
      <c r="X59" s="436">
        <f>IF(NFI_Expiration=1,IF($A59&lt;VLOOKUP(I$5,NFI,5,0),1,0)*Table_NFI[[#This Row],[NFI Core Kit]],Table_NFI[NFI Core Kit])</f>
        <v>0</v>
      </c>
      <c r="Y59" s="436">
        <f>IF(NFI_Expiration=1,IF($A59&lt;VLOOKUP(J$5,NFI,5,0),1,0)*Table_NFI[[#This Row],[Sanitary Kit]],Table_NFI[Sanitary Kit])</f>
        <v>0</v>
      </c>
      <c r="Z59" s="436">
        <f>IF(NFI_Expiration=1,IF($A59&lt;VLOOKUP(K$5,NFI,5,0),1,0)*Table_NFI[[#This Row],[Mosquito net]],Table_NFI[Mosquito net])</f>
        <v>0</v>
      </c>
      <c r="AA59" s="436">
        <f>IF(NFI_Expiration=1,IF($A59&lt;VLOOKUP(L$5,NFI,5,0),1,0)*Table_NFI[[#This Row],[Tarpaulin]],Table_NFI[[#This Row],[Tarpaulin]])</f>
        <v>0</v>
      </c>
      <c r="AB59" s="436">
        <f>IF(NFI_Expiration=1,IF($A59&lt;VLOOKUP(M$5,NFI,5,0),1,0)*Table_NFI[[#This Row],[Blanket]],Table_NFI[[#This Row],[Blanket]])</f>
        <v>0</v>
      </c>
      <c r="AC59" s="436">
        <f>IF(NFI_Expiration=1,IF($A59&lt;VLOOKUP(N$5,NFI,5,0),1,0)*Table_NFI[[#This Row],[Kitchen Set]],Table_NFI[Kitchen Set])</f>
        <v>0</v>
      </c>
      <c r="AD59" s="436">
        <f>IF(NFI_Expiration=1,IF($A59&lt;VLOOKUP(O$5,NFI,5,0),1,0)*Table_NFI[[#This Row],[Clothes Kit]],Table_NFI[Clothes Kit])</f>
        <v>0</v>
      </c>
      <c r="AE59" s="436">
        <f>IF(NFI_Expiration=1,IF($A59&lt;VLOOKUP(P$5,NFI,5,0),1,0)*Table_NFI[[#This Row],[Plastic Bucket]],Table_NFI[Plastic Bucket])</f>
        <v>0</v>
      </c>
      <c r="AF59" s="436">
        <f>IF(NFI_Expiration=1,IF($A59&lt;VLOOKUP(Q$5,NFI,5,0),1,0)*Table_NFI[[#This Row],[Plastic Mat]],Table_NFI[Plastic Mat])*IF(Table_NFI[[#This Row],[Distribution Date]]&gt;"2014-04-01",1,2.5)</f>
        <v>0</v>
      </c>
      <c r="AG59" s="436">
        <f>IF(NFI_Expiration=1,IF($A59&lt;VLOOKUP(R$5,NFI,5,0),1,0)*Table_NFI[[#This Row],[Winter Clothes Adult]],Table_NFI[Winter Clothes Adult])</f>
        <v>350</v>
      </c>
      <c r="AH59" s="436">
        <f>IF(NFI_Expiration=1,IF($A59&lt;VLOOKUP(S$5,NFI,5,0),1,0)*Table_NFI[[#This Row],[Winter Clothes Children]],Table_NFI[Winter Clothes Children])</f>
        <v>236</v>
      </c>
      <c r="AI59" s="436">
        <f>IF(NFI_Expiration=1,IF($A59&lt;VLOOKUP(T$5,NFI,5,0),1,0)*Table_NFI[[#This Row],[Winter Items Other]],Table_NFI[Winter Items Other])</f>
        <v>0</v>
      </c>
      <c r="AJ59" s="436">
        <f>IF(NFI_Expiration=1,IF($A59&lt;VLOOKUP(M$5,NFI,5,0),1,0)*Table_NFI[[#This Row],[Winter Blanket]],Table_NFI[[#This Row],[Winter Blanket]])</f>
        <v>203</v>
      </c>
      <c r="AK59" s="436">
        <f>IF(Table_NFI[[#This Row],[Winter Clothes Adult]]+Table_NFI[[#This Row],[Winter Clothes Children]]+Table_NFI[[#This Row],[Winter Items Other]]+Table_NFI[[#This Row],[Winter Blanket]]&gt;0,1,0)</f>
        <v>1</v>
      </c>
      <c r="AL59" s="439">
        <f>IF(NFI_Expiration=1,IF($A59&lt;VLOOKUP(V$5,NFI,5,0),1,0)*Table_NFI[[#This Row],[Jerry Can]],Table_NFI[Jerry Can])</f>
        <v>0</v>
      </c>
      <c r="AM59" s="781" t="str">
        <f>IFERROR(VLOOKUP(Table_NFI[[#This Row],[Camp Name]],CL,2,0),"")</f>
        <v>MMR001CMP195</v>
      </c>
      <c r="AN59" s="782">
        <f ca="1">IF(Table_NFI[[#This Row],[Pcode]]="","",IF(OFFSET(CampList[Opening Date],MATCH(Table_NFI[[#This Row],[Pcode]],CampList[CP_Pcode],0)-1,0,1,1)&gt;=NFI_Monitor_Date,1,0))</f>
        <v>0</v>
      </c>
      <c r="AO59" s="781" t="str">
        <f>IFERROR(VLOOKUP(Table_NFI[[#This Row],[Camp Name]],CL,3,0),"")</f>
        <v>Open</v>
      </c>
      <c r="AP59" s="436" t="str">
        <f ca="1">IF(Table_NFI[[#This Row],[Pcode]]="","",OFFSET(CampList[Priority],MATCH(Table_NFI[[#This Row],[Pcode]],CampList[CP_Pcode],0)-1,0,1,1))</f>
        <v>P1</v>
      </c>
      <c r="AQ59" s="438">
        <f>IFERROR(Table_NFI[[#This Row],[Kitchen Set]]/VLOOKUP(Table_NFI[[#This Row],[Camp Name]],CL,4,0),"")</f>
        <v>0</v>
      </c>
      <c r="AR59" s="779"/>
      <c r="AS59" s="783"/>
    </row>
    <row r="60" spans="1:45" s="784" customFormat="1" x14ac:dyDescent="0.25">
      <c r="A60" s="455">
        <f t="shared" si="0"/>
        <v>9.7333333333333325</v>
      </c>
      <c r="B60" s="778">
        <v>42017</v>
      </c>
      <c r="C60" s="779" t="s">
        <v>1101</v>
      </c>
      <c r="D60" s="779" t="s">
        <v>907</v>
      </c>
      <c r="E60" s="779" t="s">
        <v>380</v>
      </c>
      <c r="F60" s="779" t="s">
        <v>185</v>
      </c>
      <c r="G60" s="779" t="s">
        <v>229</v>
      </c>
      <c r="H60" s="436"/>
      <c r="I60" s="436"/>
      <c r="J60" s="436"/>
      <c r="K60" s="436"/>
      <c r="L60" s="437"/>
      <c r="M60" s="437"/>
      <c r="N60" s="437"/>
      <c r="O60" s="437"/>
      <c r="P60" s="439"/>
      <c r="Q60" s="439"/>
      <c r="R60" s="436">
        <v>195</v>
      </c>
      <c r="S60" s="436">
        <v>91</v>
      </c>
      <c r="T60" s="436"/>
      <c r="U60" s="436">
        <v>92</v>
      </c>
      <c r="V60" s="436"/>
      <c r="W60" s="436">
        <f>IF(NFI_Expiration=1,IF($A60&lt;VLOOKUP(H$5,NFI,5,0),1,0)*Table_NFI[[#This Row],[Hygiene Kit]],Table_NFI[Hygiene Kit])</f>
        <v>0</v>
      </c>
      <c r="X60" s="436">
        <f>IF(NFI_Expiration=1,IF($A60&lt;VLOOKUP(I$5,NFI,5,0),1,0)*Table_NFI[[#This Row],[NFI Core Kit]],Table_NFI[NFI Core Kit])</f>
        <v>0</v>
      </c>
      <c r="Y60" s="436">
        <f>IF(NFI_Expiration=1,IF($A60&lt;VLOOKUP(J$5,NFI,5,0),1,0)*Table_NFI[[#This Row],[Sanitary Kit]],Table_NFI[Sanitary Kit])</f>
        <v>0</v>
      </c>
      <c r="Z60" s="436">
        <f>IF(NFI_Expiration=1,IF($A60&lt;VLOOKUP(K$5,NFI,5,0),1,0)*Table_NFI[[#This Row],[Mosquito net]],Table_NFI[Mosquito net])</f>
        <v>0</v>
      </c>
      <c r="AA60" s="436">
        <f>IF(NFI_Expiration=1,IF($A60&lt;VLOOKUP(L$5,NFI,5,0),1,0)*Table_NFI[[#This Row],[Tarpaulin]],Table_NFI[[#This Row],[Tarpaulin]])</f>
        <v>0</v>
      </c>
      <c r="AB60" s="436">
        <f>IF(NFI_Expiration=1,IF($A60&lt;VLOOKUP(M$5,NFI,5,0),1,0)*Table_NFI[[#This Row],[Blanket]],Table_NFI[[#This Row],[Blanket]])</f>
        <v>0</v>
      </c>
      <c r="AC60" s="436">
        <f>IF(NFI_Expiration=1,IF($A60&lt;VLOOKUP(N$5,NFI,5,0),1,0)*Table_NFI[[#This Row],[Kitchen Set]],Table_NFI[Kitchen Set])</f>
        <v>0</v>
      </c>
      <c r="AD60" s="436">
        <f>IF(NFI_Expiration=1,IF($A60&lt;VLOOKUP(O$5,NFI,5,0),1,0)*Table_NFI[[#This Row],[Clothes Kit]],Table_NFI[Clothes Kit])</f>
        <v>0</v>
      </c>
      <c r="AE60" s="436">
        <f>IF(NFI_Expiration=1,IF($A60&lt;VLOOKUP(P$5,NFI,5,0),1,0)*Table_NFI[[#This Row],[Plastic Bucket]],Table_NFI[Plastic Bucket])</f>
        <v>0</v>
      </c>
      <c r="AF60" s="436">
        <f>IF(NFI_Expiration=1,IF($A60&lt;VLOOKUP(Q$5,NFI,5,0),1,0)*Table_NFI[[#This Row],[Plastic Mat]],Table_NFI[Plastic Mat])*IF(Table_NFI[[#This Row],[Distribution Date]]&gt;"2014-04-01",1,2.5)</f>
        <v>0</v>
      </c>
      <c r="AG60" s="436">
        <f>IF(NFI_Expiration=1,IF($A60&lt;VLOOKUP(R$5,NFI,5,0),1,0)*Table_NFI[[#This Row],[Winter Clothes Adult]],Table_NFI[Winter Clothes Adult])</f>
        <v>195</v>
      </c>
      <c r="AH60" s="436">
        <f>IF(NFI_Expiration=1,IF($A60&lt;VLOOKUP(S$5,NFI,5,0),1,0)*Table_NFI[[#This Row],[Winter Clothes Children]],Table_NFI[Winter Clothes Children])</f>
        <v>91</v>
      </c>
      <c r="AI60" s="436">
        <f>IF(NFI_Expiration=1,IF($A60&lt;VLOOKUP(T$5,NFI,5,0),1,0)*Table_NFI[[#This Row],[Winter Items Other]],Table_NFI[Winter Items Other])</f>
        <v>0</v>
      </c>
      <c r="AJ60" s="436">
        <f>IF(NFI_Expiration=1,IF($A60&lt;VLOOKUP(M$5,NFI,5,0),1,0)*Table_NFI[[#This Row],[Winter Blanket]],Table_NFI[[#This Row],[Winter Blanket]])</f>
        <v>92</v>
      </c>
      <c r="AK60" s="436">
        <f>IF(Table_NFI[[#This Row],[Winter Clothes Adult]]+Table_NFI[[#This Row],[Winter Clothes Children]]+Table_NFI[[#This Row],[Winter Items Other]]+Table_NFI[[#This Row],[Winter Blanket]]&gt;0,1,0)</f>
        <v>1</v>
      </c>
      <c r="AL60" s="439">
        <f>IF(NFI_Expiration=1,IF($A60&lt;VLOOKUP(V$5,NFI,5,0),1,0)*Table_NFI[[#This Row],[Jerry Can]],Table_NFI[Jerry Can])</f>
        <v>0</v>
      </c>
      <c r="AM60" s="781" t="str">
        <f>IFERROR(VLOOKUP(Table_NFI[[#This Row],[Camp Name]],CL,2,0),"")</f>
        <v>MMR001CMP072</v>
      </c>
      <c r="AN60" s="782">
        <f ca="1">IF(Table_NFI[[#This Row],[Pcode]]="","",IF(OFFSET(CampList[Opening Date],MATCH(Table_NFI[[#This Row],[Pcode]],CampList[CP_Pcode],0)-1,0,1,1)&gt;=NFI_Monitor_Date,1,0))</f>
        <v>0</v>
      </c>
      <c r="AO60" s="781" t="str">
        <f>IFERROR(VLOOKUP(Table_NFI[[#This Row],[Camp Name]],CL,3,0),"")</f>
        <v>Open</v>
      </c>
      <c r="AP60" s="436" t="str">
        <f ca="1">IF(Table_NFI[[#This Row],[Pcode]]="","",OFFSET(CampList[Priority],MATCH(Table_NFI[[#This Row],[Pcode]],CampList[CP_Pcode],0)-1,0,1,1))</f>
        <v>P3</v>
      </c>
      <c r="AQ60" s="438">
        <f>IFERROR(Table_NFI[[#This Row],[Kitchen Set]]/VLOOKUP(Table_NFI[[#This Row],[Camp Name]],CL,4,0),"")</f>
        <v>0</v>
      </c>
      <c r="AR60" s="779"/>
      <c r="AS60" s="783"/>
    </row>
    <row r="61" spans="1:45" s="784" customFormat="1" x14ac:dyDescent="0.25">
      <c r="A61" s="455">
        <f t="shared" si="0"/>
        <v>9.7333333333333325</v>
      </c>
      <c r="B61" s="778">
        <v>42017</v>
      </c>
      <c r="C61" s="779" t="s">
        <v>1101</v>
      </c>
      <c r="D61" s="779" t="s">
        <v>907</v>
      </c>
      <c r="E61" s="779" t="s">
        <v>380</v>
      </c>
      <c r="F61" s="779" t="s">
        <v>237</v>
      </c>
      <c r="G61" s="779" t="s">
        <v>273</v>
      </c>
      <c r="H61" s="436"/>
      <c r="I61" s="436"/>
      <c r="J61" s="436"/>
      <c r="K61" s="436"/>
      <c r="L61" s="437"/>
      <c r="M61" s="437"/>
      <c r="N61" s="437"/>
      <c r="O61" s="437"/>
      <c r="P61" s="439"/>
      <c r="Q61" s="439"/>
      <c r="R61" s="436">
        <v>323</v>
      </c>
      <c r="S61" s="436">
        <v>178</v>
      </c>
      <c r="T61" s="436"/>
      <c r="U61" s="436"/>
      <c r="V61" s="436"/>
      <c r="W61" s="436">
        <f>IF(NFI_Expiration=1,IF($A61&lt;VLOOKUP(H$5,NFI,5,0),1,0)*Table_NFI[[#This Row],[Hygiene Kit]],Table_NFI[Hygiene Kit])</f>
        <v>0</v>
      </c>
      <c r="X61" s="436">
        <f>IF(NFI_Expiration=1,IF($A61&lt;VLOOKUP(I$5,NFI,5,0),1,0)*Table_NFI[[#This Row],[NFI Core Kit]],Table_NFI[NFI Core Kit])</f>
        <v>0</v>
      </c>
      <c r="Y61" s="436">
        <f>IF(NFI_Expiration=1,IF($A61&lt;VLOOKUP(J$5,NFI,5,0),1,0)*Table_NFI[[#This Row],[Sanitary Kit]],Table_NFI[Sanitary Kit])</f>
        <v>0</v>
      </c>
      <c r="Z61" s="436">
        <f>IF(NFI_Expiration=1,IF($A61&lt;VLOOKUP(K$5,NFI,5,0),1,0)*Table_NFI[[#This Row],[Mosquito net]],Table_NFI[Mosquito net])</f>
        <v>0</v>
      </c>
      <c r="AA61" s="436">
        <f>IF(NFI_Expiration=1,IF($A61&lt;VLOOKUP(L$5,NFI,5,0),1,0)*Table_NFI[[#This Row],[Tarpaulin]],Table_NFI[[#This Row],[Tarpaulin]])</f>
        <v>0</v>
      </c>
      <c r="AB61" s="436">
        <f>IF(NFI_Expiration=1,IF($A61&lt;VLOOKUP(M$5,NFI,5,0),1,0)*Table_NFI[[#This Row],[Blanket]],Table_NFI[[#This Row],[Blanket]])</f>
        <v>0</v>
      </c>
      <c r="AC61" s="436">
        <f>IF(NFI_Expiration=1,IF($A61&lt;VLOOKUP(N$5,NFI,5,0),1,0)*Table_NFI[[#This Row],[Kitchen Set]],Table_NFI[Kitchen Set])</f>
        <v>0</v>
      </c>
      <c r="AD61" s="436">
        <f>IF(NFI_Expiration=1,IF($A61&lt;VLOOKUP(O$5,NFI,5,0),1,0)*Table_NFI[[#This Row],[Clothes Kit]],Table_NFI[Clothes Kit])</f>
        <v>0</v>
      </c>
      <c r="AE61" s="436">
        <f>IF(NFI_Expiration=1,IF($A61&lt;VLOOKUP(P$5,NFI,5,0),1,0)*Table_NFI[[#This Row],[Plastic Bucket]],Table_NFI[Plastic Bucket])</f>
        <v>0</v>
      </c>
      <c r="AF61" s="436">
        <f>IF(NFI_Expiration=1,IF($A61&lt;VLOOKUP(Q$5,NFI,5,0),1,0)*Table_NFI[[#This Row],[Plastic Mat]],Table_NFI[Plastic Mat])*IF(Table_NFI[[#This Row],[Distribution Date]]&gt;"2014-04-01",1,2.5)</f>
        <v>0</v>
      </c>
      <c r="AG61" s="436">
        <f>IF(NFI_Expiration=1,IF($A61&lt;VLOOKUP(R$5,NFI,5,0),1,0)*Table_NFI[[#This Row],[Winter Clothes Adult]],Table_NFI[Winter Clothes Adult])</f>
        <v>323</v>
      </c>
      <c r="AH61" s="436">
        <f>IF(NFI_Expiration=1,IF($A61&lt;VLOOKUP(S$5,NFI,5,0),1,0)*Table_NFI[[#This Row],[Winter Clothes Children]],Table_NFI[Winter Clothes Children])</f>
        <v>178</v>
      </c>
      <c r="AI61" s="436">
        <f>IF(NFI_Expiration=1,IF($A61&lt;VLOOKUP(T$5,NFI,5,0),1,0)*Table_NFI[[#This Row],[Winter Items Other]],Table_NFI[Winter Items Other])</f>
        <v>0</v>
      </c>
      <c r="AJ61" s="436">
        <f>IF(NFI_Expiration=1,IF($A61&lt;VLOOKUP(M$5,NFI,5,0),1,0)*Table_NFI[[#This Row],[Winter Blanket]],Table_NFI[[#This Row],[Winter Blanket]])</f>
        <v>0</v>
      </c>
      <c r="AK61" s="436">
        <f>IF(Table_NFI[[#This Row],[Winter Clothes Adult]]+Table_NFI[[#This Row],[Winter Clothes Children]]+Table_NFI[[#This Row],[Winter Items Other]]+Table_NFI[[#This Row],[Winter Blanket]]&gt;0,1,0)</f>
        <v>1</v>
      </c>
      <c r="AL61" s="439">
        <f>IF(NFI_Expiration=1,IF($A61&lt;VLOOKUP(V$5,NFI,5,0),1,0)*Table_NFI[[#This Row],[Jerry Can]],Table_NFI[Jerry Can])</f>
        <v>0</v>
      </c>
      <c r="AM61" s="781" t="str">
        <f>IFERROR(VLOOKUP(Table_NFI[[#This Row],[Camp Name]],CL,2,0),"")</f>
        <v>MMR001CMP162</v>
      </c>
      <c r="AN61" s="782">
        <f ca="1">IF(Table_NFI[[#This Row],[Pcode]]="","",IF(OFFSET(CampList[Opening Date],MATCH(Table_NFI[[#This Row],[Pcode]],CampList[CP_Pcode],0)-1,0,1,1)&gt;=NFI_Monitor_Date,1,0))</f>
        <v>0</v>
      </c>
      <c r="AO61" s="781" t="str">
        <f>IFERROR(VLOOKUP(Table_NFI[[#This Row],[Camp Name]],CL,3,0),"")</f>
        <v>Open</v>
      </c>
      <c r="AP61" s="436" t="str">
        <f ca="1">IF(Table_NFI[[#This Row],[Pcode]]="","",OFFSET(CampList[Priority],MATCH(Table_NFI[[#This Row],[Pcode]],CampList[CP_Pcode],0)-1,0,1,1))</f>
        <v>P4</v>
      </c>
      <c r="AQ61" s="438">
        <f>IFERROR(Table_NFI[[#This Row],[Kitchen Set]]/VLOOKUP(Table_NFI[[#This Row],[Camp Name]],CL,4,0),"")</f>
        <v>0</v>
      </c>
      <c r="AR61" s="779"/>
      <c r="AS61" s="783"/>
    </row>
    <row r="62" spans="1:45" s="784" customFormat="1" x14ac:dyDescent="0.25">
      <c r="A62" s="455">
        <f t="shared" si="0"/>
        <v>9.7333333333333325</v>
      </c>
      <c r="B62" s="778">
        <v>42017</v>
      </c>
      <c r="C62" s="779" t="s">
        <v>1101</v>
      </c>
      <c r="D62" s="779" t="s">
        <v>907</v>
      </c>
      <c r="E62" s="779" t="s">
        <v>380</v>
      </c>
      <c r="F62" s="779" t="s">
        <v>27</v>
      </c>
      <c r="G62" s="779" t="s">
        <v>870</v>
      </c>
      <c r="H62" s="436"/>
      <c r="I62" s="436"/>
      <c r="J62" s="436"/>
      <c r="K62" s="436"/>
      <c r="L62" s="437"/>
      <c r="M62" s="437"/>
      <c r="N62" s="437"/>
      <c r="O62" s="437"/>
      <c r="P62" s="439"/>
      <c r="Q62" s="439"/>
      <c r="R62" s="436">
        <v>187</v>
      </c>
      <c r="S62" s="436">
        <v>137</v>
      </c>
      <c r="T62" s="436"/>
      <c r="U62" s="436">
        <v>118</v>
      </c>
      <c r="V62" s="436"/>
      <c r="W62" s="436">
        <f>IF(NFI_Expiration=1,IF($A62&lt;VLOOKUP(H$5,NFI,5,0),1,0)*Table_NFI[[#This Row],[Hygiene Kit]],Table_NFI[Hygiene Kit])</f>
        <v>0</v>
      </c>
      <c r="X62" s="436">
        <f>IF(NFI_Expiration=1,IF($A62&lt;VLOOKUP(I$5,NFI,5,0),1,0)*Table_NFI[[#This Row],[NFI Core Kit]],Table_NFI[NFI Core Kit])</f>
        <v>0</v>
      </c>
      <c r="Y62" s="436">
        <f>IF(NFI_Expiration=1,IF($A62&lt;VLOOKUP(J$5,NFI,5,0),1,0)*Table_NFI[[#This Row],[Sanitary Kit]],Table_NFI[Sanitary Kit])</f>
        <v>0</v>
      </c>
      <c r="Z62" s="436">
        <f>IF(NFI_Expiration=1,IF($A62&lt;VLOOKUP(K$5,NFI,5,0),1,0)*Table_NFI[[#This Row],[Mosquito net]],Table_NFI[Mosquito net])</f>
        <v>0</v>
      </c>
      <c r="AA62" s="436">
        <f>IF(NFI_Expiration=1,IF($A62&lt;VLOOKUP(L$5,NFI,5,0),1,0)*Table_NFI[[#This Row],[Tarpaulin]],Table_NFI[[#This Row],[Tarpaulin]])</f>
        <v>0</v>
      </c>
      <c r="AB62" s="436">
        <f>IF(NFI_Expiration=1,IF($A62&lt;VLOOKUP(M$5,NFI,5,0),1,0)*Table_NFI[[#This Row],[Blanket]],Table_NFI[[#This Row],[Blanket]])</f>
        <v>0</v>
      </c>
      <c r="AC62" s="436">
        <f>IF(NFI_Expiration=1,IF($A62&lt;VLOOKUP(N$5,NFI,5,0),1,0)*Table_NFI[[#This Row],[Kitchen Set]],Table_NFI[Kitchen Set])</f>
        <v>0</v>
      </c>
      <c r="AD62" s="436">
        <f>IF(NFI_Expiration=1,IF($A62&lt;VLOOKUP(O$5,NFI,5,0),1,0)*Table_NFI[[#This Row],[Clothes Kit]],Table_NFI[Clothes Kit])</f>
        <v>0</v>
      </c>
      <c r="AE62" s="436">
        <f>IF(NFI_Expiration=1,IF($A62&lt;VLOOKUP(P$5,NFI,5,0),1,0)*Table_NFI[[#This Row],[Plastic Bucket]],Table_NFI[Plastic Bucket])</f>
        <v>0</v>
      </c>
      <c r="AF62" s="436">
        <f>IF(NFI_Expiration=1,IF($A62&lt;VLOOKUP(Q$5,NFI,5,0),1,0)*Table_NFI[[#This Row],[Plastic Mat]],Table_NFI[Plastic Mat])*IF(Table_NFI[[#This Row],[Distribution Date]]&gt;"2014-04-01",1,2.5)</f>
        <v>0</v>
      </c>
      <c r="AG62" s="436">
        <f>IF(NFI_Expiration=1,IF($A62&lt;VLOOKUP(R$5,NFI,5,0),1,0)*Table_NFI[[#This Row],[Winter Clothes Adult]],Table_NFI[Winter Clothes Adult])</f>
        <v>187</v>
      </c>
      <c r="AH62" s="436">
        <f>IF(NFI_Expiration=1,IF($A62&lt;VLOOKUP(S$5,NFI,5,0),1,0)*Table_NFI[[#This Row],[Winter Clothes Children]],Table_NFI[Winter Clothes Children])</f>
        <v>137</v>
      </c>
      <c r="AI62" s="436">
        <f>IF(NFI_Expiration=1,IF($A62&lt;VLOOKUP(T$5,NFI,5,0),1,0)*Table_NFI[[#This Row],[Winter Items Other]],Table_NFI[Winter Items Other])</f>
        <v>0</v>
      </c>
      <c r="AJ62" s="436">
        <f>IF(NFI_Expiration=1,IF($A62&lt;VLOOKUP(M$5,NFI,5,0),1,0)*Table_NFI[[#This Row],[Winter Blanket]],Table_NFI[[#This Row],[Winter Blanket]])</f>
        <v>118</v>
      </c>
      <c r="AK62" s="436">
        <f>IF(Table_NFI[[#This Row],[Winter Clothes Adult]]+Table_NFI[[#This Row],[Winter Clothes Children]]+Table_NFI[[#This Row],[Winter Items Other]]+Table_NFI[[#This Row],[Winter Blanket]]&gt;0,1,0)</f>
        <v>1</v>
      </c>
      <c r="AL62" s="439">
        <f>IF(NFI_Expiration=1,IF($A62&lt;VLOOKUP(V$5,NFI,5,0),1,0)*Table_NFI[[#This Row],[Jerry Can]],Table_NFI[Jerry Can])</f>
        <v>0</v>
      </c>
      <c r="AM62" s="781" t="str">
        <f>IFERROR(VLOOKUP(Table_NFI[[#This Row],[Camp Name]],CL,2,0),"")</f>
        <v>MMR001CMP210</v>
      </c>
      <c r="AN62" s="782">
        <f ca="1">IF(Table_NFI[[#This Row],[Pcode]]="","",IF(OFFSET(CampList[Opening Date],MATCH(Table_NFI[[#This Row],[Pcode]],CampList[CP_Pcode],0)-1,0,1,1)&gt;=NFI_Monitor_Date,1,0))</f>
        <v>0</v>
      </c>
      <c r="AO62" s="781" t="str">
        <f>IFERROR(VLOOKUP(Table_NFI[[#This Row],[Camp Name]],CL,3,0),"")</f>
        <v>Open</v>
      </c>
      <c r="AP62" s="436" t="str">
        <f ca="1">IF(Table_NFI[[#This Row],[Pcode]]="","",OFFSET(CampList[Priority],MATCH(Table_NFI[[#This Row],[Pcode]],CampList[CP_Pcode],0)-1,0,1,1))</f>
        <v>P1</v>
      </c>
      <c r="AQ62" s="438">
        <f>IFERROR(Table_NFI[[#This Row],[Kitchen Set]]/VLOOKUP(Table_NFI[[#This Row],[Camp Name]],CL,4,0),"")</f>
        <v>0</v>
      </c>
      <c r="AR62" s="779"/>
      <c r="AS62" s="783"/>
    </row>
    <row r="63" spans="1:45" s="784" customFormat="1" x14ac:dyDescent="0.25">
      <c r="A63" s="455">
        <f t="shared" si="0"/>
        <v>9.7333333333333325</v>
      </c>
      <c r="B63" s="778">
        <v>42017</v>
      </c>
      <c r="C63" s="779" t="s">
        <v>1101</v>
      </c>
      <c r="D63" s="779" t="s">
        <v>907</v>
      </c>
      <c r="E63" s="779" t="s">
        <v>380</v>
      </c>
      <c r="F63" s="779" t="s">
        <v>529</v>
      </c>
      <c r="G63" s="779" t="s">
        <v>118</v>
      </c>
      <c r="H63" s="436"/>
      <c r="I63" s="436"/>
      <c r="J63" s="436"/>
      <c r="K63" s="436"/>
      <c r="L63" s="437"/>
      <c r="M63" s="437"/>
      <c r="N63" s="437"/>
      <c r="O63" s="437"/>
      <c r="P63" s="439"/>
      <c r="Q63" s="439"/>
      <c r="R63" s="436">
        <v>26</v>
      </c>
      <c r="S63" s="436">
        <v>14</v>
      </c>
      <c r="T63" s="436"/>
      <c r="U63" s="436"/>
      <c r="V63" s="436"/>
      <c r="W63" s="436">
        <f>IF(NFI_Expiration=1,IF($A63&lt;VLOOKUP(H$5,NFI,5,0),1,0)*Table_NFI[[#This Row],[Hygiene Kit]],Table_NFI[Hygiene Kit])</f>
        <v>0</v>
      </c>
      <c r="X63" s="436">
        <f>IF(NFI_Expiration=1,IF($A63&lt;VLOOKUP(I$5,NFI,5,0),1,0)*Table_NFI[[#This Row],[NFI Core Kit]],Table_NFI[NFI Core Kit])</f>
        <v>0</v>
      </c>
      <c r="Y63" s="436">
        <f>IF(NFI_Expiration=1,IF($A63&lt;VLOOKUP(J$5,NFI,5,0),1,0)*Table_NFI[[#This Row],[Sanitary Kit]],Table_NFI[Sanitary Kit])</f>
        <v>0</v>
      </c>
      <c r="Z63" s="436">
        <f>IF(NFI_Expiration=1,IF($A63&lt;VLOOKUP(K$5,NFI,5,0),1,0)*Table_NFI[[#This Row],[Mosquito net]],Table_NFI[Mosquito net])</f>
        <v>0</v>
      </c>
      <c r="AA63" s="436">
        <f>IF(NFI_Expiration=1,IF($A63&lt;VLOOKUP(L$5,NFI,5,0),1,0)*Table_NFI[[#This Row],[Tarpaulin]],Table_NFI[[#This Row],[Tarpaulin]])</f>
        <v>0</v>
      </c>
      <c r="AB63" s="436">
        <f>IF(NFI_Expiration=1,IF($A63&lt;VLOOKUP(M$5,NFI,5,0),1,0)*Table_NFI[[#This Row],[Blanket]],Table_NFI[[#This Row],[Blanket]])</f>
        <v>0</v>
      </c>
      <c r="AC63" s="436">
        <f>IF(NFI_Expiration=1,IF($A63&lt;VLOOKUP(N$5,NFI,5,0),1,0)*Table_NFI[[#This Row],[Kitchen Set]],Table_NFI[Kitchen Set])</f>
        <v>0</v>
      </c>
      <c r="AD63" s="436">
        <f>IF(NFI_Expiration=1,IF($A63&lt;VLOOKUP(O$5,NFI,5,0),1,0)*Table_NFI[[#This Row],[Clothes Kit]],Table_NFI[Clothes Kit])</f>
        <v>0</v>
      </c>
      <c r="AE63" s="436">
        <f>IF(NFI_Expiration=1,IF($A63&lt;VLOOKUP(P$5,NFI,5,0),1,0)*Table_NFI[[#This Row],[Plastic Bucket]],Table_NFI[Plastic Bucket])</f>
        <v>0</v>
      </c>
      <c r="AF63" s="436">
        <f>IF(NFI_Expiration=1,IF($A63&lt;VLOOKUP(Q$5,NFI,5,0),1,0)*Table_NFI[[#This Row],[Plastic Mat]],Table_NFI[Plastic Mat])*IF(Table_NFI[[#This Row],[Distribution Date]]&gt;"2014-04-01",1,2.5)</f>
        <v>0</v>
      </c>
      <c r="AG63" s="436">
        <f>IF(NFI_Expiration=1,IF($A63&lt;VLOOKUP(R$5,NFI,5,0),1,0)*Table_NFI[[#This Row],[Winter Clothes Adult]],Table_NFI[Winter Clothes Adult])</f>
        <v>26</v>
      </c>
      <c r="AH63" s="436">
        <f>IF(NFI_Expiration=1,IF($A63&lt;VLOOKUP(S$5,NFI,5,0),1,0)*Table_NFI[[#This Row],[Winter Clothes Children]],Table_NFI[Winter Clothes Children])</f>
        <v>14</v>
      </c>
      <c r="AI63" s="436">
        <f>IF(NFI_Expiration=1,IF($A63&lt;VLOOKUP(T$5,NFI,5,0),1,0)*Table_NFI[[#This Row],[Winter Items Other]],Table_NFI[Winter Items Other])</f>
        <v>0</v>
      </c>
      <c r="AJ63" s="436">
        <f>IF(NFI_Expiration=1,IF($A63&lt;VLOOKUP(M$5,NFI,5,0),1,0)*Table_NFI[[#This Row],[Winter Blanket]],Table_NFI[[#This Row],[Winter Blanket]])</f>
        <v>0</v>
      </c>
      <c r="AK63" s="436">
        <f>IF(Table_NFI[[#This Row],[Winter Clothes Adult]]+Table_NFI[[#This Row],[Winter Clothes Children]]+Table_NFI[[#This Row],[Winter Items Other]]+Table_NFI[[#This Row],[Winter Blanket]]&gt;0,1,0)</f>
        <v>1</v>
      </c>
      <c r="AL63" s="439">
        <f>IF(NFI_Expiration=1,IF($A63&lt;VLOOKUP(V$5,NFI,5,0),1,0)*Table_NFI[[#This Row],[Jerry Can]],Table_NFI[Jerry Can])</f>
        <v>0</v>
      </c>
      <c r="AM63" s="781" t="str">
        <f>IFERROR(VLOOKUP(Table_NFI[[#This Row],[Camp Name]],CL,2,0),"")</f>
        <v>MMR001CMP182</v>
      </c>
      <c r="AN63" s="782">
        <f ca="1">IF(Table_NFI[[#This Row],[Pcode]]="","",IF(OFFSET(CampList[Opening Date],MATCH(Table_NFI[[#This Row],[Pcode]],CampList[CP_Pcode],0)-1,0,1,1)&gt;=NFI_Monitor_Date,1,0))</f>
        <v>0</v>
      </c>
      <c r="AO63" s="781" t="str">
        <f>IFERROR(VLOOKUP(Table_NFI[[#This Row],[Camp Name]],CL,3,0),"")</f>
        <v>Open</v>
      </c>
      <c r="AP63" s="436" t="str">
        <f ca="1">IF(Table_NFI[[#This Row],[Pcode]]="","",OFFSET(CampList[Priority],MATCH(Table_NFI[[#This Row],[Pcode]],CampList[CP_Pcode],0)-1,0,1,1))</f>
        <v>P4</v>
      </c>
      <c r="AQ63" s="438">
        <f>IFERROR(Table_NFI[[#This Row],[Kitchen Set]]/VLOOKUP(Table_NFI[[#This Row],[Camp Name]],CL,4,0),"")</f>
        <v>0</v>
      </c>
      <c r="AR63" s="779"/>
      <c r="AS63" s="783"/>
    </row>
    <row r="64" spans="1:45" s="784" customFormat="1" x14ac:dyDescent="0.25">
      <c r="A64" s="455">
        <f t="shared" si="0"/>
        <v>9.7333333333333325</v>
      </c>
      <c r="B64" s="778">
        <v>42017</v>
      </c>
      <c r="C64" s="779" t="s">
        <v>1101</v>
      </c>
      <c r="D64" s="779" t="s">
        <v>907</v>
      </c>
      <c r="E64" s="779" t="s">
        <v>380</v>
      </c>
      <c r="F64" s="779" t="s">
        <v>529</v>
      </c>
      <c r="G64" s="779" t="s">
        <v>124</v>
      </c>
      <c r="H64" s="436"/>
      <c r="I64" s="436"/>
      <c r="J64" s="436"/>
      <c r="K64" s="436"/>
      <c r="L64" s="437"/>
      <c r="M64" s="437"/>
      <c r="N64" s="437"/>
      <c r="O64" s="437"/>
      <c r="P64" s="439"/>
      <c r="Q64" s="439"/>
      <c r="R64" s="436">
        <v>34</v>
      </c>
      <c r="S64" s="436">
        <v>9</v>
      </c>
      <c r="T64" s="436"/>
      <c r="U64" s="436"/>
      <c r="V64" s="436"/>
      <c r="W64" s="436">
        <f>IF(NFI_Expiration=1,IF($A64&lt;VLOOKUP(H$5,NFI,5,0),1,0)*Table_NFI[[#This Row],[Hygiene Kit]],Table_NFI[Hygiene Kit])</f>
        <v>0</v>
      </c>
      <c r="X64" s="436">
        <f>IF(NFI_Expiration=1,IF($A64&lt;VLOOKUP(I$5,NFI,5,0),1,0)*Table_NFI[[#This Row],[NFI Core Kit]],Table_NFI[NFI Core Kit])</f>
        <v>0</v>
      </c>
      <c r="Y64" s="436">
        <f>IF(NFI_Expiration=1,IF($A64&lt;VLOOKUP(J$5,NFI,5,0),1,0)*Table_NFI[[#This Row],[Sanitary Kit]],Table_NFI[Sanitary Kit])</f>
        <v>0</v>
      </c>
      <c r="Z64" s="436">
        <f>IF(NFI_Expiration=1,IF($A64&lt;VLOOKUP(K$5,NFI,5,0),1,0)*Table_NFI[[#This Row],[Mosquito net]],Table_NFI[Mosquito net])</f>
        <v>0</v>
      </c>
      <c r="AA64" s="436">
        <f>IF(NFI_Expiration=1,IF($A64&lt;VLOOKUP(L$5,NFI,5,0),1,0)*Table_NFI[[#This Row],[Tarpaulin]],Table_NFI[[#This Row],[Tarpaulin]])</f>
        <v>0</v>
      </c>
      <c r="AB64" s="436">
        <f>IF(NFI_Expiration=1,IF($A64&lt;VLOOKUP(M$5,NFI,5,0),1,0)*Table_NFI[[#This Row],[Blanket]],Table_NFI[[#This Row],[Blanket]])</f>
        <v>0</v>
      </c>
      <c r="AC64" s="436">
        <f>IF(NFI_Expiration=1,IF($A64&lt;VLOOKUP(N$5,NFI,5,0),1,0)*Table_NFI[[#This Row],[Kitchen Set]],Table_NFI[Kitchen Set])</f>
        <v>0</v>
      </c>
      <c r="AD64" s="436">
        <f>IF(NFI_Expiration=1,IF($A64&lt;VLOOKUP(O$5,NFI,5,0),1,0)*Table_NFI[[#This Row],[Clothes Kit]],Table_NFI[Clothes Kit])</f>
        <v>0</v>
      </c>
      <c r="AE64" s="436">
        <f>IF(NFI_Expiration=1,IF($A64&lt;VLOOKUP(P$5,NFI,5,0),1,0)*Table_NFI[[#This Row],[Plastic Bucket]],Table_NFI[Plastic Bucket])</f>
        <v>0</v>
      </c>
      <c r="AF64" s="436">
        <f>IF(NFI_Expiration=1,IF($A64&lt;VLOOKUP(Q$5,NFI,5,0),1,0)*Table_NFI[[#This Row],[Plastic Mat]],Table_NFI[Plastic Mat])*IF(Table_NFI[[#This Row],[Distribution Date]]&gt;"2014-04-01",1,2.5)</f>
        <v>0</v>
      </c>
      <c r="AG64" s="436">
        <f>IF(NFI_Expiration=1,IF($A64&lt;VLOOKUP(R$5,NFI,5,0),1,0)*Table_NFI[[#This Row],[Winter Clothes Adult]],Table_NFI[Winter Clothes Adult])</f>
        <v>34</v>
      </c>
      <c r="AH64" s="436">
        <f>IF(NFI_Expiration=1,IF($A64&lt;VLOOKUP(S$5,NFI,5,0),1,0)*Table_NFI[[#This Row],[Winter Clothes Children]],Table_NFI[Winter Clothes Children])</f>
        <v>9</v>
      </c>
      <c r="AI64" s="436">
        <f>IF(NFI_Expiration=1,IF($A64&lt;VLOOKUP(T$5,NFI,5,0),1,0)*Table_NFI[[#This Row],[Winter Items Other]],Table_NFI[Winter Items Other])</f>
        <v>0</v>
      </c>
      <c r="AJ64" s="436">
        <f>IF(NFI_Expiration=1,IF($A64&lt;VLOOKUP(M$5,NFI,5,0),1,0)*Table_NFI[[#This Row],[Winter Blanket]],Table_NFI[[#This Row],[Winter Blanket]])</f>
        <v>0</v>
      </c>
      <c r="AK64" s="436">
        <f>IF(Table_NFI[[#This Row],[Winter Clothes Adult]]+Table_NFI[[#This Row],[Winter Clothes Children]]+Table_NFI[[#This Row],[Winter Items Other]]+Table_NFI[[#This Row],[Winter Blanket]]&gt;0,1,0)</f>
        <v>1</v>
      </c>
      <c r="AL64" s="439">
        <f>IF(NFI_Expiration=1,IF($A64&lt;VLOOKUP(V$5,NFI,5,0),1,0)*Table_NFI[[#This Row],[Jerry Can]],Table_NFI[Jerry Can])</f>
        <v>0</v>
      </c>
      <c r="AM64" s="781" t="str">
        <f>IFERROR(VLOOKUP(Table_NFI[[#This Row],[Camp Name]],CL,2,0),"")</f>
        <v>MMR001CMP183</v>
      </c>
      <c r="AN64" s="782">
        <f ca="1">IF(Table_NFI[[#This Row],[Pcode]]="","",IF(OFFSET(CampList[Opening Date],MATCH(Table_NFI[[#This Row],[Pcode]],CampList[CP_Pcode],0)-1,0,1,1)&gt;=NFI_Monitor_Date,1,0))</f>
        <v>0</v>
      </c>
      <c r="AO64" s="781" t="str">
        <f>IFERROR(VLOOKUP(Table_NFI[[#This Row],[Camp Name]],CL,3,0),"")</f>
        <v>Open</v>
      </c>
      <c r="AP64" s="436" t="str">
        <f ca="1">IF(Table_NFI[[#This Row],[Pcode]]="","",OFFSET(CampList[Priority],MATCH(Table_NFI[[#This Row],[Pcode]],CampList[CP_Pcode],0)-1,0,1,1))</f>
        <v>P4</v>
      </c>
      <c r="AQ64" s="438">
        <f>IFERROR(Table_NFI[[#This Row],[Kitchen Set]]/VLOOKUP(Table_NFI[[#This Row],[Camp Name]],CL,4,0),"")</f>
        <v>0</v>
      </c>
      <c r="AR64" s="779"/>
      <c r="AS64" s="783"/>
    </row>
    <row r="65" spans="1:45" s="784" customFormat="1" x14ac:dyDescent="0.25">
      <c r="A65" s="455">
        <f t="shared" si="0"/>
        <v>9.7333333333333325</v>
      </c>
      <c r="B65" s="778">
        <v>42017</v>
      </c>
      <c r="C65" s="779" t="s">
        <v>1101</v>
      </c>
      <c r="D65" s="779" t="s">
        <v>907</v>
      </c>
      <c r="E65" s="779" t="s">
        <v>380</v>
      </c>
      <c r="F65" s="779" t="s">
        <v>27</v>
      </c>
      <c r="G65" s="779" t="s">
        <v>1026</v>
      </c>
      <c r="H65" s="436"/>
      <c r="I65" s="436"/>
      <c r="J65" s="436"/>
      <c r="K65" s="436"/>
      <c r="L65" s="437"/>
      <c r="M65" s="437"/>
      <c r="N65" s="437"/>
      <c r="O65" s="437"/>
      <c r="P65" s="439"/>
      <c r="Q65" s="439"/>
      <c r="R65" s="436">
        <v>111</v>
      </c>
      <c r="S65" s="436">
        <v>56</v>
      </c>
      <c r="T65" s="436"/>
      <c r="U65" s="436">
        <v>58</v>
      </c>
      <c r="V65" s="436"/>
      <c r="W65" s="436">
        <f>IF(NFI_Expiration=1,IF($A65&lt;VLOOKUP(H$5,NFI,5,0),1,0)*Table_NFI[[#This Row],[Hygiene Kit]],Table_NFI[Hygiene Kit])</f>
        <v>0</v>
      </c>
      <c r="X65" s="436">
        <f>IF(NFI_Expiration=1,IF($A65&lt;VLOOKUP(I$5,NFI,5,0),1,0)*Table_NFI[[#This Row],[NFI Core Kit]],Table_NFI[NFI Core Kit])</f>
        <v>0</v>
      </c>
      <c r="Y65" s="436">
        <f>IF(NFI_Expiration=1,IF($A65&lt;VLOOKUP(J$5,NFI,5,0),1,0)*Table_NFI[[#This Row],[Sanitary Kit]],Table_NFI[Sanitary Kit])</f>
        <v>0</v>
      </c>
      <c r="Z65" s="436">
        <f>IF(NFI_Expiration=1,IF($A65&lt;VLOOKUP(K$5,NFI,5,0),1,0)*Table_NFI[[#This Row],[Mosquito net]],Table_NFI[Mosquito net])</f>
        <v>0</v>
      </c>
      <c r="AA65" s="436">
        <f>IF(NFI_Expiration=1,IF($A65&lt;VLOOKUP(L$5,NFI,5,0),1,0)*Table_NFI[[#This Row],[Tarpaulin]],Table_NFI[[#This Row],[Tarpaulin]])</f>
        <v>0</v>
      </c>
      <c r="AB65" s="436">
        <f>IF(NFI_Expiration=1,IF($A65&lt;VLOOKUP(M$5,NFI,5,0),1,0)*Table_NFI[[#This Row],[Blanket]],Table_NFI[[#This Row],[Blanket]])</f>
        <v>0</v>
      </c>
      <c r="AC65" s="436">
        <f>IF(NFI_Expiration=1,IF($A65&lt;VLOOKUP(N$5,NFI,5,0),1,0)*Table_NFI[[#This Row],[Kitchen Set]],Table_NFI[Kitchen Set])</f>
        <v>0</v>
      </c>
      <c r="AD65" s="436">
        <f>IF(NFI_Expiration=1,IF($A65&lt;VLOOKUP(O$5,NFI,5,0),1,0)*Table_NFI[[#This Row],[Clothes Kit]],Table_NFI[Clothes Kit])</f>
        <v>0</v>
      </c>
      <c r="AE65" s="436">
        <f>IF(NFI_Expiration=1,IF($A65&lt;VLOOKUP(P$5,NFI,5,0),1,0)*Table_NFI[[#This Row],[Plastic Bucket]],Table_NFI[Plastic Bucket])</f>
        <v>0</v>
      </c>
      <c r="AF65" s="436">
        <f>IF(NFI_Expiration=1,IF($A65&lt;VLOOKUP(Q$5,NFI,5,0),1,0)*Table_NFI[[#This Row],[Plastic Mat]],Table_NFI[Plastic Mat])*IF(Table_NFI[[#This Row],[Distribution Date]]&gt;"2014-04-01",1,2.5)</f>
        <v>0</v>
      </c>
      <c r="AG65" s="436">
        <f>IF(NFI_Expiration=1,IF($A65&lt;VLOOKUP(R$5,NFI,5,0),1,0)*Table_NFI[[#This Row],[Winter Clothes Adult]],Table_NFI[Winter Clothes Adult])</f>
        <v>111</v>
      </c>
      <c r="AH65" s="436">
        <f>IF(NFI_Expiration=1,IF($A65&lt;VLOOKUP(S$5,NFI,5,0),1,0)*Table_NFI[[#This Row],[Winter Clothes Children]],Table_NFI[Winter Clothes Children])</f>
        <v>56</v>
      </c>
      <c r="AI65" s="436">
        <f>IF(NFI_Expiration=1,IF($A65&lt;VLOOKUP(T$5,NFI,5,0),1,0)*Table_NFI[[#This Row],[Winter Items Other]],Table_NFI[Winter Items Other])</f>
        <v>0</v>
      </c>
      <c r="AJ65" s="436">
        <f>IF(NFI_Expiration=1,IF($A65&lt;VLOOKUP(M$5,NFI,5,0),1,0)*Table_NFI[[#This Row],[Winter Blanket]],Table_NFI[[#This Row],[Winter Blanket]])</f>
        <v>58</v>
      </c>
      <c r="AK65" s="436">
        <f>IF(Table_NFI[[#This Row],[Winter Clothes Adult]]+Table_NFI[[#This Row],[Winter Clothes Children]]+Table_NFI[[#This Row],[Winter Items Other]]+Table_NFI[[#This Row],[Winter Blanket]]&gt;0,1,0)</f>
        <v>1</v>
      </c>
      <c r="AL65" s="439">
        <f>IF(NFI_Expiration=1,IF($A65&lt;VLOOKUP(V$5,NFI,5,0),1,0)*Table_NFI[[#This Row],[Jerry Can]],Table_NFI[Jerry Can])</f>
        <v>0</v>
      </c>
      <c r="AM65" s="781" t="str">
        <f>IFERROR(VLOOKUP(Table_NFI[[#This Row],[Camp Name]],CL,2,0),"")</f>
        <v>MMR001CMP225</v>
      </c>
      <c r="AN65" s="782">
        <f ca="1">IF(Table_NFI[[#This Row],[Pcode]]="","",IF(OFFSET(CampList[Opening Date],MATCH(Table_NFI[[#This Row],[Pcode]],CampList[CP_Pcode],0)-1,0,1,1)&gt;=NFI_Monitor_Date,1,0))</f>
        <v>0</v>
      </c>
      <c r="AO65" s="781" t="str">
        <f>IFERROR(VLOOKUP(Table_NFI[[#This Row],[Camp Name]],CL,3,0),"")</f>
        <v>Open</v>
      </c>
      <c r="AP65" s="436" t="str">
        <f ca="1">IF(Table_NFI[[#This Row],[Pcode]]="","",OFFSET(CampList[Priority],MATCH(Table_NFI[[#This Row],[Pcode]],CampList[CP_Pcode],0)-1,0,1,1))</f>
        <v>P1</v>
      </c>
      <c r="AQ65" s="438">
        <f>IFERROR(Table_NFI[[#This Row],[Kitchen Set]]/VLOOKUP(Table_NFI[[#This Row],[Camp Name]],CL,4,0),"")</f>
        <v>0</v>
      </c>
      <c r="AR65" s="779"/>
      <c r="AS65" s="783"/>
    </row>
    <row r="66" spans="1:45" s="136" customFormat="1" x14ac:dyDescent="0.25">
      <c r="A66" s="455">
        <f t="shared" si="0"/>
        <v>9.7333333333333325</v>
      </c>
      <c r="B66" s="778">
        <v>42017</v>
      </c>
      <c r="C66" s="779" t="s">
        <v>1101</v>
      </c>
      <c r="D66" s="779" t="s">
        <v>907</v>
      </c>
      <c r="E66" s="779" t="s">
        <v>380</v>
      </c>
      <c r="F66" s="779" t="s">
        <v>185</v>
      </c>
      <c r="G66" s="779" t="s">
        <v>225</v>
      </c>
      <c r="H66" s="436"/>
      <c r="I66" s="436"/>
      <c r="J66" s="436"/>
      <c r="K66" s="436"/>
      <c r="L66" s="437"/>
      <c r="M66" s="437"/>
      <c r="N66" s="437"/>
      <c r="O66" s="437"/>
      <c r="P66" s="439"/>
      <c r="Q66" s="439"/>
      <c r="R66" s="436">
        <v>155</v>
      </c>
      <c r="S66" s="436">
        <v>73</v>
      </c>
      <c r="T66" s="436"/>
      <c r="U66" s="436">
        <v>96</v>
      </c>
      <c r="V66" s="436"/>
      <c r="W66" s="436">
        <f>IF(NFI_Expiration=1,IF($A66&lt;VLOOKUP(H$5,NFI,5,0),1,0)*Table_NFI[[#This Row],[Hygiene Kit]],Table_NFI[Hygiene Kit])</f>
        <v>0</v>
      </c>
      <c r="X66" s="436">
        <f>IF(NFI_Expiration=1,IF($A66&lt;VLOOKUP(I$5,NFI,5,0),1,0)*Table_NFI[[#This Row],[NFI Core Kit]],Table_NFI[NFI Core Kit])</f>
        <v>0</v>
      </c>
      <c r="Y66" s="436">
        <f>IF(NFI_Expiration=1,IF($A66&lt;VLOOKUP(J$5,NFI,5,0),1,0)*Table_NFI[[#This Row],[Sanitary Kit]],Table_NFI[Sanitary Kit])</f>
        <v>0</v>
      </c>
      <c r="Z66" s="436">
        <f>IF(NFI_Expiration=1,IF($A66&lt;VLOOKUP(K$5,NFI,5,0),1,0)*Table_NFI[[#This Row],[Mosquito net]],Table_NFI[Mosquito net])</f>
        <v>0</v>
      </c>
      <c r="AA66" s="436">
        <f>IF(NFI_Expiration=1,IF($A66&lt;VLOOKUP(L$5,NFI,5,0),1,0)*Table_NFI[[#This Row],[Tarpaulin]],Table_NFI[[#This Row],[Tarpaulin]])</f>
        <v>0</v>
      </c>
      <c r="AB66" s="436">
        <f>IF(NFI_Expiration=1,IF($A66&lt;VLOOKUP(M$5,NFI,5,0),1,0)*Table_NFI[[#This Row],[Blanket]],Table_NFI[[#This Row],[Blanket]])</f>
        <v>0</v>
      </c>
      <c r="AC66" s="436">
        <f>IF(NFI_Expiration=1,IF($A66&lt;VLOOKUP(N$5,NFI,5,0),1,0)*Table_NFI[[#This Row],[Kitchen Set]],Table_NFI[Kitchen Set])</f>
        <v>0</v>
      </c>
      <c r="AD66" s="436">
        <f>IF(NFI_Expiration=1,IF($A66&lt;VLOOKUP(O$5,NFI,5,0),1,0)*Table_NFI[[#This Row],[Clothes Kit]],Table_NFI[Clothes Kit])</f>
        <v>0</v>
      </c>
      <c r="AE66" s="436">
        <f>IF(NFI_Expiration=1,IF($A66&lt;VLOOKUP(P$5,NFI,5,0),1,0)*Table_NFI[[#This Row],[Plastic Bucket]],Table_NFI[Plastic Bucket])</f>
        <v>0</v>
      </c>
      <c r="AF66" s="436">
        <f>IF(NFI_Expiration=1,IF($A66&lt;VLOOKUP(Q$5,NFI,5,0),1,0)*Table_NFI[[#This Row],[Plastic Mat]],Table_NFI[Plastic Mat])*IF(Table_NFI[[#This Row],[Distribution Date]]&gt;"2014-04-01",1,2.5)</f>
        <v>0</v>
      </c>
      <c r="AG66" s="436">
        <f>IF(NFI_Expiration=1,IF($A66&lt;VLOOKUP(R$5,NFI,5,0),1,0)*Table_NFI[[#This Row],[Winter Clothes Adult]],Table_NFI[Winter Clothes Adult])</f>
        <v>155</v>
      </c>
      <c r="AH66" s="436">
        <f>IF(NFI_Expiration=1,IF($A66&lt;VLOOKUP(S$5,NFI,5,0),1,0)*Table_NFI[[#This Row],[Winter Clothes Children]],Table_NFI[Winter Clothes Children])</f>
        <v>73</v>
      </c>
      <c r="AI66" s="436">
        <f>IF(NFI_Expiration=1,IF($A66&lt;VLOOKUP(T$5,NFI,5,0),1,0)*Table_NFI[[#This Row],[Winter Items Other]],Table_NFI[Winter Items Other])</f>
        <v>0</v>
      </c>
      <c r="AJ66" s="436">
        <f>IF(NFI_Expiration=1,IF($A66&lt;VLOOKUP(M$5,NFI,5,0),1,0)*Table_NFI[[#This Row],[Winter Blanket]],Table_NFI[[#This Row],[Winter Blanket]])</f>
        <v>96</v>
      </c>
      <c r="AK66" s="436">
        <f>IF(Table_NFI[[#This Row],[Winter Clothes Adult]]+Table_NFI[[#This Row],[Winter Clothes Children]]+Table_NFI[[#This Row],[Winter Items Other]]+Table_NFI[[#This Row],[Winter Blanket]]&gt;0,1,0)</f>
        <v>1</v>
      </c>
      <c r="AL66" s="439">
        <f>IF(NFI_Expiration=1,IF($A66&lt;VLOOKUP(V$5,NFI,5,0),1,0)*Table_NFI[[#This Row],[Jerry Can]],Table_NFI[Jerry Can])</f>
        <v>0</v>
      </c>
      <c r="AM66" s="781" t="str">
        <f>IFERROR(VLOOKUP(Table_NFI[[#This Row],[Camp Name]],CL,2,0),"")</f>
        <v>MMR001CMP073</v>
      </c>
      <c r="AN66" s="782">
        <f ca="1">IF(Table_NFI[[#This Row],[Pcode]]="","",IF(OFFSET(CampList[Opening Date],MATCH(Table_NFI[[#This Row],[Pcode]],CampList[CP_Pcode],0)-1,0,1,1)&gt;=NFI_Monitor_Date,1,0))</f>
        <v>0</v>
      </c>
      <c r="AO66" s="781" t="str">
        <f>IFERROR(VLOOKUP(Table_NFI[[#This Row],[Camp Name]],CL,3,0),"")</f>
        <v>Open</v>
      </c>
      <c r="AP66" s="436" t="str">
        <f ca="1">IF(Table_NFI[[#This Row],[Pcode]]="","",OFFSET(CampList[Priority],MATCH(Table_NFI[[#This Row],[Pcode]],CampList[CP_Pcode],0)-1,0,1,1))</f>
        <v>P3</v>
      </c>
      <c r="AQ66" s="438">
        <f>IFERROR(Table_NFI[[#This Row],[Kitchen Set]]/VLOOKUP(Table_NFI[[#This Row],[Camp Name]],CL,4,0),"")</f>
        <v>0</v>
      </c>
      <c r="AR66" s="779"/>
      <c r="AS66" s="783"/>
    </row>
    <row r="67" spans="1:45" s="784" customFormat="1" x14ac:dyDescent="0.25">
      <c r="A67" s="455">
        <f t="shared" si="0"/>
        <v>9.7333333333333325</v>
      </c>
      <c r="B67" s="778">
        <v>42017</v>
      </c>
      <c r="C67" s="779" t="s">
        <v>1101</v>
      </c>
      <c r="D67" s="779" t="s">
        <v>907</v>
      </c>
      <c r="E67" s="779" t="s">
        <v>380</v>
      </c>
      <c r="F67" s="779" t="s">
        <v>813</v>
      </c>
      <c r="G67" s="779" t="s">
        <v>813</v>
      </c>
      <c r="H67" s="436"/>
      <c r="I67" s="436"/>
      <c r="J67" s="436"/>
      <c r="K67" s="436"/>
      <c r="L67" s="437"/>
      <c r="M67" s="437"/>
      <c r="N67" s="437"/>
      <c r="O67" s="437"/>
      <c r="P67" s="439"/>
      <c r="Q67" s="439"/>
      <c r="R67" s="436">
        <v>91</v>
      </c>
      <c r="S67" s="436">
        <v>32</v>
      </c>
      <c r="T67" s="436"/>
      <c r="U67" s="436">
        <v>36</v>
      </c>
      <c r="V67" s="436"/>
      <c r="W67" s="436">
        <f>IF(NFI_Expiration=1,IF($A67&lt;VLOOKUP(H$5,NFI,5,0),1,0)*Table_NFI[[#This Row],[Hygiene Kit]],Table_NFI[Hygiene Kit])</f>
        <v>0</v>
      </c>
      <c r="X67" s="436">
        <f>IF(NFI_Expiration=1,IF($A67&lt;VLOOKUP(I$5,NFI,5,0),1,0)*Table_NFI[[#This Row],[NFI Core Kit]],Table_NFI[NFI Core Kit])</f>
        <v>0</v>
      </c>
      <c r="Y67" s="436">
        <f>IF(NFI_Expiration=1,IF($A67&lt;VLOOKUP(J$5,NFI,5,0),1,0)*Table_NFI[[#This Row],[Sanitary Kit]],Table_NFI[Sanitary Kit])</f>
        <v>0</v>
      </c>
      <c r="Z67" s="436">
        <f>IF(NFI_Expiration=1,IF($A67&lt;VLOOKUP(K$5,NFI,5,0),1,0)*Table_NFI[[#This Row],[Mosquito net]],Table_NFI[Mosquito net])</f>
        <v>0</v>
      </c>
      <c r="AA67" s="436">
        <f>IF(NFI_Expiration=1,IF($A67&lt;VLOOKUP(L$5,NFI,5,0),1,0)*Table_NFI[[#This Row],[Tarpaulin]],Table_NFI[[#This Row],[Tarpaulin]])</f>
        <v>0</v>
      </c>
      <c r="AB67" s="436">
        <f>IF(NFI_Expiration=1,IF($A67&lt;VLOOKUP(M$5,NFI,5,0),1,0)*Table_NFI[[#This Row],[Blanket]],Table_NFI[[#This Row],[Blanket]])</f>
        <v>0</v>
      </c>
      <c r="AC67" s="436">
        <f>IF(NFI_Expiration=1,IF($A67&lt;VLOOKUP(N$5,NFI,5,0),1,0)*Table_NFI[[#This Row],[Kitchen Set]],Table_NFI[Kitchen Set])</f>
        <v>0</v>
      </c>
      <c r="AD67" s="436">
        <f>IF(NFI_Expiration=1,IF($A67&lt;VLOOKUP(O$5,NFI,5,0),1,0)*Table_NFI[[#This Row],[Clothes Kit]],Table_NFI[Clothes Kit])</f>
        <v>0</v>
      </c>
      <c r="AE67" s="436">
        <f>IF(NFI_Expiration=1,IF($A67&lt;VLOOKUP(P$5,NFI,5,0),1,0)*Table_NFI[[#This Row],[Plastic Bucket]],Table_NFI[Plastic Bucket])</f>
        <v>0</v>
      </c>
      <c r="AF67" s="436">
        <f>IF(NFI_Expiration=1,IF($A67&lt;VLOOKUP(Q$5,NFI,5,0),1,0)*Table_NFI[[#This Row],[Plastic Mat]],Table_NFI[Plastic Mat])*IF(Table_NFI[[#This Row],[Distribution Date]]&gt;"2014-04-01",1,2.5)</f>
        <v>0</v>
      </c>
      <c r="AG67" s="436">
        <f>IF(NFI_Expiration=1,IF($A67&lt;VLOOKUP(R$5,NFI,5,0),1,0)*Table_NFI[[#This Row],[Winter Clothes Adult]],Table_NFI[Winter Clothes Adult])</f>
        <v>91</v>
      </c>
      <c r="AH67" s="436">
        <f>IF(NFI_Expiration=1,IF($A67&lt;VLOOKUP(S$5,NFI,5,0),1,0)*Table_NFI[[#This Row],[Winter Clothes Children]],Table_NFI[Winter Clothes Children])</f>
        <v>32</v>
      </c>
      <c r="AI67" s="436">
        <f>IF(NFI_Expiration=1,IF($A67&lt;VLOOKUP(T$5,NFI,5,0),1,0)*Table_NFI[[#This Row],[Winter Items Other]],Table_NFI[Winter Items Other])</f>
        <v>0</v>
      </c>
      <c r="AJ67" s="436">
        <f>IF(NFI_Expiration=1,IF($A67&lt;VLOOKUP(M$5,NFI,5,0),1,0)*Table_NFI[[#This Row],[Winter Blanket]],Table_NFI[[#This Row],[Winter Blanket]])</f>
        <v>36</v>
      </c>
      <c r="AK67" s="436">
        <f>IF(Table_NFI[[#This Row],[Winter Clothes Adult]]+Table_NFI[[#This Row],[Winter Clothes Children]]+Table_NFI[[#This Row],[Winter Items Other]]+Table_NFI[[#This Row],[Winter Blanket]]&gt;0,1,0)</f>
        <v>1</v>
      </c>
      <c r="AL67" s="439">
        <f>IF(NFI_Expiration=1,IF($A67&lt;VLOOKUP(V$5,NFI,5,0),1,0)*Table_NFI[[#This Row],[Jerry Can]],Table_NFI[Jerry Can])</f>
        <v>0</v>
      </c>
      <c r="AM67" s="781" t="str">
        <f>IFERROR(VLOOKUP(Table_NFI[[#This Row],[Camp Name]],CL,2,0),"")</f>
        <v>MMR001CMP206</v>
      </c>
      <c r="AN67" s="782">
        <f ca="1">IF(Table_NFI[[#This Row],[Pcode]]="","",IF(OFFSET(CampList[Opening Date],MATCH(Table_NFI[[#This Row],[Pcode]],CampList[CP_Pcode],0)-1,0,1,1)&gt;=NFI_Monitor_Date,1,0))</f>
        <v>0</v>
      </c>
      <c r="AO67" s="781" t="str">
        <f>IFERROR(VLOOKUP(Table_NFI[[#This Row],[Camp Name]],CL,3,0),"")</f>
        <v>Open</v>
      </c>
      <c r="AP67" s="436" t="str">
        <f ca="1">IF(Table_NFI[[#This Row],[Pcode]]="","",OFFSET(CampList[Priority],MATCH(Table_NFI[[#This Row],[Pcode]],CampList[CP_Pcode],0)-1,0,1,1))</f>
        <v>P4</v>
      </c>
      <c r="AQ67" s="438">
        <f>IFERROR(Table_NFI[[#This Row],[Kitchen Set]]/VLOOKUP(Table_NFI[[#This Row],[Camp Name]],CL,4,0),"")</f>
        <v>0</v>
      </c>
      <c r="AR67" s="779"/>
      <c r="AS67" s="783"/>
    </row>
    <row r="68" spans="1:45" s="136" customFormat="1" x14ac:dyDescent="0.25">
      <c r="A68" s="455">
        <f t="shared" si="0"/>
        <v>9.7333333333333325</v>
      </c>
      <c r="B68" s="778">
        <v>42017</v>
      </c>
      <c r="C68" s="789" t="s">
        <v>454</v>
      </c>
      <c r="D68" s="789"/>
      <c r="E68" s="789" t="s">
        <v>380</v>
      </c>
      <c r="F68" s="789" t="s">
        <v>237</v>
      </c>
      <c r="G68" s="789" t="s">
        <v>1267</v>
      </c>
      <c r="H68" s="437"/>
      <c r="I68" s="437"/>
      <c r="J68" s="437"/>
      <c r="K68" s="437"/>
      <c r="L68" s="437">
        <v>2</v>
      </c>
      <c r="M68" s="437"/>
      <c r="N68" s="437"/>
      <c r="O68" s="437"/>
      <c r="P68" s="439"/>
      <c r="Q68" s="439"/>
      <c r="R68" s="439"/>
      <c r="S68" s="439"/>
      <c r="T68" s="439"/>
      <c r="U68" s="439"/>
      <c r="V68" s="439"/>
      <c r="W68" s="439">
        <f>IF(NFI_Expiration=1,IF($A68&lt;VLOOKUP(H$5,NFI,5,0),1,0)*Table_NFI[[#This Row],[Hygiene Kit]],Table_NFI[Hygiene Kit])</f>
        <v>0</v>
      </c>
      <c r="X68" s="439">
        <f>IF(NFI_Expiration=1,IF($A68&lt;VLOOKUP(I$5,NFI,5,0),1,0)*Table_NFI[[#This Row],[NFI Core Kit]],Table_NFI[NFI Core Kit])</f>
        <v>0</v>
      </c>
      <c r="Y68" s="439">
        <f>IF(NFI_Expiration=1,IF($A68&lt;VLOOKUP(J$5,NFI,5,0),1,0)*Table_NFI[[#This Row],[Sanitary Kit]],Table_NFI[Sanitary Kit])</f>
        <v>0</v>
      </c>
      <c r="Z68" s="439">
        <f>IF(NFI_Expiration=1,IF($A68&lt;VLOOKUP(K$5,NFI,5,0),1,0)*Table_NFI[[#This Row],[Mosquito net]],Table_NFI[Mosquito net])</f>
        <v>0</v>
      </c>
      <c r="AA68" s="439">
        <f>IF(NFI_Expiration=1,IF($A68&lt;VLOOKUP(L$5,NFI,5,0),1,0)*Table_NFI[[#This Row],[Tarpaulin]],Table_NFI[[#This Row],[Tarpaulin]])</f>
        <v>2</v>
      </c>
      <c r="AB68" s="439">
        <f>IF(NFI_Expiration=1,IF($A68&lt;VLOOKUP(M$5,NFI,5,0),1,0)*Table_NFI[[#This Row],[Blanket]],Table_NFI[[#This Row],[Blanket]])</f>
        <v>0</v>
      </c>
      <c r="AC68" s="439">
        <f>IF(NFI_Expiration=1,IF($A68&lt;VLOOKUP(N$5,NFI,5,0),1,0)*Table_NFI[[#This Row],[Kitchen Set]],Table_NFI[Kitchen Set])</f>
        <v>0</v>
      </c>
      <c r="AD68" s="439">
        <f>IF(NFI_Expiration=1,IF($A68&lt;VLOOKUP(O$5,NFI,5,0),1,0)*Table_NFI[[#This Row],[Clothes Kit]],Table_NFI[Clothes Kit])</f>
        <v>0</v>
      </c>
      <c r="AE68" s="439">
        <f>IF(NFI_Expiration=1,IF($A68&lt;VLOOKUP(P$5,NFI,5,0),1,0)*Table_NFI[[#This Row],[Plastic Bucket]],Table_NFI[Plastic Bucket])</f>
        <v>0</v>
      </c>
      <c r="AF68" s="439">
        <f>IF(NFI_Expiration=1,IF($A68&lt;VLOOKUP(Q$5,NFI,5,0),1,0)*Table_NFI[[#This Row],[Plastic Mat]],Table_NFI[Plastic Mat])*IF(Table_NFI[[#This Row],[Distribution Date]]&gt;"2014-04-01",1,2.5)</f>
        <v>0</v>
      </c>
      <c r="AG68" s="439">
        <f>IF(NFI_Expiration=1,IF($A68&lt;VLOOKUP(R$5,NFI,5,0),1,0)*Table_NFI[[#This Row],[Winter Clothes Adult]],Table_NFI[Winter Clothes Adult])</f>
        <v>0</v>
      </c>
      <c r="AH68" s="439">
        <f>IF(NFI_Expiration=1,IF($A68&lt;VLOOKUP(S$5,NFI,5,0),1,0)*Table_NFI[[#This Row],[Winter Clothes Children]],Table_NFI[Winter Clothes Children])</f>
        <v>0</v>
      </c>
      <c r="AI68" s="439">
        <f>IF(NFI_Expiration=1,IF($A68&lt;VLOOKUP(T$5,NFI,5,0),1,0)*Table_NFI[[#This Row],[Winter Items Other]],Table_NFI[Winter Items Other])</f>
        <v>0</v>
      </c>
      <c r="AJ68" s="439">
        <f>IF(NFI_Expiration=1,IF($A68&lt;VLOOKUP(M$5,NFI,5,0),1,0)*Table_NFI[[#This Row],[Winter Blanket]],Table_NFI[[#This Row],[Winter Blanket]])</f>
        <v>0</v>
      </c>
      <c r="AK68" s="439">
        <f>IF(Table_NFI[[#This Row],[Winter Clothes Adult]]+Table_NFI[[#This Row],[Winter Clothes Children]]+Table_NFI[[#This Row],[Winter Items Other]]+Table_NFI[[#This Row],[Winter Blanket]]&gt;0,1,0)</f>
        <v>0</v>
      </c>
      <c r="AL68" s="439">
        <f>IF(NFI_Expiration=1,IF($A68&lt;VLOOKUP(V$5,NFI,5,0),1,0)*Table_NFI[[#This Row],[Jerry Can]],Table_NFI[Jerry Can])</f>
        <v>0</v>
      </c>
      <c r="AM68" s="791" t="str">
        <f>IFERROR(VLOOKUP(Table_NFI[[#This Row],[Camp Name]],CL,2,0),"")</f>
        <v>MMR001CMP023</v>
      </c>
      <c r="AN68" s="782">
        <f ca="1">IF(Table_NFI[[#This Row],[Pcode]]="","",IF(OFFSET(CampList[Opening Date],MATCH(Table_NFI[[#This Row],[Pcode]],CampList[CP_Pcode],0)-1,0,1,1)&gt;=NFI_Monitor_Date,1,0))</f>
        <v>0</v>
      </c>
      <c r="AO68" s="791" t="str">
        <f>IFERROR(VLOOKUP(Table_NFI[[#This Row],[Camp Name]],CL,3,0),"")</f>
        <v>Open</v>
      </c>
      <c r="AP68" s="439" t="str">
        <f ca="1">IF(Table_NFI[[#This Row],[Pcode]]="","",OFFSET(CampList[Priority],MATCH(Table_NFI[[#This Row],[Pcode]],CampList[CP_Pcode],0)-1,0,1,1))</f>
        <v>P4</v>
      </c>
      <c r="AQ68" s="438">
        <f>IFERROR(Table_NFI[[#This Row],[Kitchen Set]]/VLOOKUP(Table_NFI[[#This Row],[Camp Name]],CL,4,0),"")</f>
        <v>0</v>
      </c>
      <c r="AR68" s="789"/>
      <c r="AS68" s="792"/>
    </row>
    <row r="69" spans="1:45" s="784" customFormat="1" x14ac:dyDescent="0.25">
      <c r="A69" s="455">
        <f t="shared" si="0"/>
        <v>9.7333333333333325</v>
      </c>
      <c r="B69" s="778">
        <v>42017</v>
      </c>
      <c r="C69" s="779" t="s">
        <v>1101</v>
      </c>
      <c r="D69" s="779" t="s">
        <v>907</v>
      </c>
      <c r="E69" s="779" t="s">
        <v>380</v>
      </c>
      <c r="F69" s="779" t="s">
        <v>529</v>
      </c>
      <c r="G69" s="779" t="s">
        <v>126</v>
      </c>
      <c r="H69" s="436"/>
      <c r="I69" s="436"/>
      <c r="J69" s="436"/>
      <c r="K69" s="436"/>
      <c r="L69" s="437"/>
      <c r="M69" s="437"/>
      <c r="N69" s="437"/>
      <c r="O69" s="437"/>
      <c r="P69" s="439"/>
      <c r="Q69" s="439"/>
      <c r="R69" s="436">
        <v>94</v>
      </c>
      <c r="S69" s="436">
        <v>58</v>
      </c>
      <c r="T69" s="436"/>
      <c r="U69" s="436"/>
      <c r="V69" s="436"/>
      <c r="W69" s="436">
        <f>IF(NFI_Expiration=1,IF($A69&lt;VLOOKUP(H$5,NFI,5,0),1,0)*Table_NFI[[#This Row],[Hygiene Kit]],Table_NFI[Hygiene Kit])</f>
        <v>0</v>
      </c>
      <c r="X69" s="436">
        <f>IF(NFI_Expiration=1,IF($A69&lt;VLOOKUP(I$5,NFI,5,0),1,0)*Table_NFI[[#This Row],[NFI Core Kit]],Table_NFI[NFI Core Kit])</f>
        <v>0</v>
      </c>
      <c r="Y69" s="436">
        <f>IF(NFI_Expiration=1,IF($A69&lt;VLOOKUP(J$5,NFI,5,0),1,0)*Table_NFI[[#This Row],[Sanitary Kit]],Table_NFI[Sanitary Kit])</f>
        <v>0</v>
      </c>
      <c r="Z69" s="436">
        <f>IF(NFI_Expiration=1,IF($A69&lt;VLOOKUP(K$5,NFI,5,0),1,0)*Table_NFI[[#This Row],[Mosquito net]],Table_NFI[Mosquito net])</f>
        <v>0</v>
      </c>
      <c r="AA69" s="436">
        <f>IF(NFI_Expiration=1,IF($A69&lt;VLOOKUP(L$5,NFI,5,0),1,0)*Table_NFI[[#This Row],[Tarpaulin]],Table_NFI[[#This Row],[Tarpaulin]])</f>
        <v>0</v>
      </c>
      <c r="AB69" s="436">
        <f>IF(NFI_Expiration=1,IF($A69&lt;VLOOKUP(M$5,NFI,5,0),1,0)*Table_NFI[[#This Row],[Blanket]],Table_NFI[[#This Row],[Blanket]])</f>
        <v>0</v>
      </c>
      <c r="AC69" s="436">
        <f>IF(NFI_Expiration=1,IF($A69&lt;VLOOKUP(N$5,NFI,5,0),1,0)*Table_NFI[[#This Row],[Kitchen Set]],Table_NFI[Kitchen Set])</f>
        <v>0</v>
      </c>
      <c r="AD69" s="436">
        <f>IF(NFI_Expiration=1,IF($A69&lt;VLOOKUP(O$5,NFI,5,0),1,0)*Table_NFI[[#This Row],[Clothes Kit]],Table_NFI[Clothes Kit])</f>
        <v>0</v>
      </c>
      <c r="AE69" s="436">
        <f>IF(NFI_Expiration=1,IF($A69&lt;VLOOKUP(P$5,NFI,5,0),1,0)*Table_NFI[[#This Row],[Plastic Bucket]],Table_NFI[Plastic Bucket])</f>
        <v>0</v>
      </c>
      <c r="AF69" s="436">
        <f>IF(NFI_Expiration=1,IF($A69&lt;VLOOKUP(Q$5,NFI,5,0),1,0)*Table_NFI[[#This Row],[Plastic Mat]],Table_NFI[Plastic Mat])*IF(Table_NFI[[#This Row],[Distribution Date]]&gt;"2014-04-01",1,2.5)</f>
        <v>0</v>
      </c>
      <c r="AG69" s="436">
        <f>IF(NFI_Expiration=1,IF($A69&lt;VLOOKUP(R$5,NFI,5,0),1,0)*Table_NFI[[#This Row],[Winter Clothes Adult]],Table_NFI[Winter Clothes Adult])</f>
        <v>94</v>
      </c>
      <c r="AH69" s="436">
        <f>IF(NFI_Expiration=1,IF($A69&lt;VLOOKUP(S$5,NFI,5,0),1,0)*Table_NFI[[#This Row],[Winter Clothes Children]],Table_NFI[Winter Clothes Children])</f>
        <v>58</v>
      </c>
      <c r="AI69" s="436">
        <f>IF(NFI_Expiration=1,IF($A69&lt;VLOOKUP(T$5,NFI,5,0),1,0)*Table_NFI[[#This Row],[Winter Items Other]],Table_NFI[Winter Items Other])</f>
        <v>0</v>
      </c>
      <c r="AJ69" s="436">
        <f>IF(NFI_Expiration=1,IF($A69&lt;VLOOKUP(M$5,NFI,5,0),1,0)*Table_NFI[[#This Row],[Winter Blanket]],Table_NFI[[#This Row],[Winter Blanket]])</f>
        <v>0</v>
      </c>
      <c r="AK69" s="436">
        <f>IF(Table_NFI[[#This Row],[Winter Clothes Adult]]+Table_NFI[[#This Row],[Winter Clothes Children]]+Table_NFI[[#This Row],[Winter Items Other]]+Table_NFI[[#This Row],[Winter Blanket]]&gt;0,1,0)</f>
        <v>1</v>
      </c>
      <c r="AL69" s="439">
        <f>IF(NFI_Expiration=1,IF($A69&lt;VLOOKUP(V$5,NFI,5,0),1,0)*Table_NFI[[#This Row],[Jerry Can]],Table_NFI[Jerry Can])</f>
        <v>0</v>
      </c>
      <c r="AM69" s="781" t="str">
        <f>IFERROR(VLOOKUP(Table_NFI[[#This Row],[Camp Name]],CL,2,0),"")</f>
        <v>MMR001CMP184</v>
      </c>
      <c r="AN69" s="782">
        <f ca="1">IF(Table_NFI[[#This Row],[Pcode]]="","",IF(OFFSET(CampList[Opening Date],MATCH(Table_NFI[[#This Row],[Pcode]],CampList[CP_Pcode],0)-1,0,1,1)&gt;=NFI_Monitor_Date,1,0))</f>
        <v>0</v>
      </c>
      <c r="AO69" s="781" t="str">
        <f>IFERROR(VLOOKUP(Table_NFI[[#This Row],[Camp Name]],CL,3,0),"")</f>
        <v>Open</v>
      </c>
      <c r="AP69" s="436" t="str">
        <f ca="1">IF(Table_NFI[[#This Row],[Pcode]]="","",OFFSET(CampList[Priority],MATCH(Table_NFI[[#This Row],[Pcode]],CampList[CP_Pcode],0)-1,0,1,1))</f>
        <v>P4</v>
      </c>
      <c r="AQ69" s="438">
        <f>IFERROR(Table_NFI[[#This Row],[Kitchen Set]]/VLOOKUP(Table_NFI[[#This Row],[Camp Name]],CL,4,0),"")</f>
        <v>0</v>
      </c>
      <c r="AR69" s="779"/>
      <c r="AS69" s="783"/>
    </row>
    <row r="70" spans="1:45" s="136" customFormat="1" x14ac:dyDescent="0.25">
      <c r="A70" s="455">
        <f t="shared" ref="A70:A133" si="1">IF(ISBLANK(B70),"",(Report_Date-B70)/30)</f>
        <v>9.7333333333333325</v>
      </c>
      <c r="B70" s="778">
        <v>42017</v>
      </c>
      <c r="C70" s="779" t="s">
        <v>1101</v>
      </c>
      <c r="D70" s="779" t="s">
        <v>907</v>
      </c>
      <c r="E70" s="779" t="s">
        <v>380</v>
      </c>
      <c r="F70" s="779" t="s">
        <v>529</v>
      </c>
      <c r="G70" s="779" t="s">
        <v>140</v>
      </c>
      <c r="H70" s="436"/>
      <c r="I70" s="436"/>
      <c r="J70" s="436"/>
      <c r="K70" s="436"/>
      <c r="L70" s="437"/>
      <c r="M70" s="437"/>
      <c r="N70" s="437"/>
      <c r="O70" s="437"/>
      <c r="P70" s="439"/>
      <c r="Q70" s="439"/>
      <c r="R70" s="436">
        <v>33</v>
      </c>
      <c r="S70" s="436">
        <v>8</v>
      </c>
      <c r="T70" s="436"/>
      <c r="U70" s="436"/>
      <c r="V70" s="436"/>
      <c r="W70" s="436">
        <f>IF(NFI_Expiration=1,IF($A70&lt;VLOOKUP(H$5,NFI,5,0),1,0)*Table_NFI[[#This Row],[Hygiene Kit]],Table_NFI[Hygiene Kit])</f>
        <v>0</v>
      </c>
      <c r="X70" s="436">
        <f>IF(NFI_Expiration=1,IF($A70&lt;VLOOKUP(I$5,NFI,5,0),1,0)*Table_NFI[[#This Row],[NFI Core Kit]],Table_NFI[NFI Core Kit])</f>
        <v>0</v>
      </c>
      <c r="Y70" s="436">
        <f>IF(NFI_Expiration=1,IF($A70&lt;VLOOKUP(J$5,NFI,5,0),1,0)*Table_NFI[[#This Row],[Sanitary Kit]],Table_NFI[Sanitary Kit])</f>
        <v>0</v>
      </c>
      <c r="Z70" s="436">
        <f>IF(NFI_Expiration=1,IF($A70&lt;VLOOKUP(K$5,NFI,5,0),1,0)*Table_NFI[[#This Row],[Mosquito net]],Table_NFI[Mosquito net])</f>
        <v>0</v>
      </c>
      <c r="AA70" s="436">
        <f>IF(NFI_Expiration=1,IF($A70&lt;VLOOKUP(L$5,NFI,5,0),1,0)*Table_NFI[[#This Row],[Tarpaulin]],Table_NFI[[#This Row],[Tarpaulin]])</f>
        <v>0</v>
      </c>
      <c r="AB70" s="436">
        <f>IF(NFI_Expiration=1,IF($A70&lt;VLOOKUP(M$5,NFI,5,0),1,0)*Table_NFI[[#This Row],[Blanket]],Table_NFI[[#This Row],[Blanket]])</f>
        <v>0</v>
      </c>
      <c r="AC70" s="436">
        <f>IF(NFI_Expiration=1,IF($A70&lt;VLOOKUP(N$5,NFI,5,0),1,0)*Table_NFI[[#This Row],[Kitchen Set]],Table_NFI[Kitchen Set])</f>
        <v>0</v>
      </c>
      <c r="AD70" s="436">
        <f>IF(NFI_Expiration=1,IF($A70&lt;VLOOKUP(O$5,NFI,5,0),1,0)*Table_NFI[[#This Row],[Clothes Kit]],Table_NFI[Clothes Kit])</f>
        <v>0</v>
      </c>
      <c r="AE70" s="436">
        <f>IF(NFI_Expiration=1,IF($A70&lt;VLOOKUP(P$5,NFI,5,0),1,0)*Table_NFI[[#This Row],[Plastic Bucket]],Table_NFI[Plastic Bucket])</f>
        <v>0</v>
      </c>
      <c r="AF70" s="436">
        <f>IF(NFI_Expiration=1,IF($A70&lt;VLOOKUP(Q$5,NFI,5,0),1,0)*Table_NFI[[#This Row],[Plastic Mat]],Table_NFI[Plastic Mat])*IF(Table_NFI[[#This Row],[Distribution Date]]&gt;"2014-04-01",1,2.5)</f>
        <v>0</v>
      </c>
      <c r="AG70" s="436">
        <f>IF(NFI_Expiration=1,IF($A70&lt;VLOOKUP(R$5,NFI,5,0),1,0)*Table_NFI[[#This Row],[Winter Clothes Adult]],Table_NFI[Winter Clothes Adult])</f>
        <v>33</v>
      </c>
      <c r="AH70" s="436">
        <f>IF(NFI_Expiration=1,IF($A70&lt;VLOOKUP(S$5,NFI,5,0),1,0)*Table_NFI[[#This Row],[Winter Clothes Children]],Table_NFI[Winter Clothes Children])</f>
        <v>8</v>
      </c>
      <c r="AI70" s="436">
        <f>IF(NFI_Expiration=1,IF($A70&lt;VLOOKUP(T$5,NFI,5,0),1,0)*Table_NFI[[#This Row],[Winter Items Other]],Table_NFI[Winter Items Other])</f>
        <v>0</v>
      </c>
      <c r="AJ70" s="436">
        <f>IF(NFI_Expiration=1,IF($A70&lt;VLOOKUP(M$5,NFI,5,0),1,0)*Table_NFI[[#This Row],[Winter Blanket]],Table_NFI[[#This Row],[Winter Blanket]])</f>
        <v>0</v>
      </c>
      <c r="AK70" s="436">
        <f>IF(Table_NFI[[#This Row],[Winter Clothes Adult]]+Table_NFI[[#This Row],[Winter Clothes Children]]+Table_NFI[[#This Row],[Winter Items Other]]+Table_NFI[[#This Row],[Winter Blanket]]&gt;0,1,0)</f>
        <v>1</v>
      </c>
      <c r="AL70" s="439">
        <f>IF(NFI_Expiration=1,IF($A70&lt;VLOOKUP(V$5,NFI,5,0),1,0)*Table_NFI[[#This Row],[Jerry Can]],Table_NFI[Jerry Can])</f>
        <v>0</v>
      </c>
      <c r="AM70" s="781" t="str">
        <f>IFERROR(VLOOKUP(Table_NFI[[#This Row],[Camp Name]],CL,2,0),"")</f>
        <v>MMR001CMP105</v>
      </c>
      <c r="AN70" s="782">
        <f ca="1">IF(Table_NFI[[#This Row],[Pcode]]="","",IF(OFFSET(CampList[Opening Date],MATCH(Table_NFI[[#This Row],[Pcode]],CampList[CP_Pcode],0)-1,0,1,1)&gt;=NFI_Monitor_Date,1,0))</f>
        <v>0</v>
      </c>
      <c r="AO70" s="781" t="str">
        <f>IFERROR(VLOOKUP(Table_NFI[[#This Row],[Camp Name]],CL,3,0),"")</f>
        <v>Open</v>
      </c>
      <c r="AP70" s="436" t="str">
        <f ca="1">IF(Table_NFI[[#This Row],[Pcode]]="","",OFFSET(CampList[Priority],MATCH(Table_NFI[[#This Row],[Pcode]],CampList[CP_Pcode],0)-1,0,1,1))</f>
        <v>P4</v>
      </c>
      <c r="AQ70" s="438">
        <f>IFERROR(Table_NFI[[#This Row],[Kitchen Set]]/VLOOKUP(Table_NFI[[#This Row],[Camp Name]],CL,4,0),"")</f>
        <v>0</v>
      </c>
      <c r="AR70" s="779"/>
      <c r="AS70" s="783"/>
    </row>
    <row r="71" spans="1:45" s="136" customFormat="1" x14ac:dyDescent="0.25">
      <c r="A71" s="455">
        <f t="shared" si="1"/>
        <v>9.8333333333333339</v>
      </c>
      <c r="B71" s="778">
        <v>42014</v>
      </c>
      <c r="C71" s="779" t="s">
        <v>454</v>
      </c>
      <c r="D71" s="779" t="s">
        <v>462</v>
      </c>
      <c r="E71" s="779" t="s">
        <v>380</v>
      </c>
      <c r="F71" s="779" t="s">
        <v>300</v>
      </c>
      <c r="G71" s="779"/>
      <c r="H71" s="436"/>
      <c r="I71" s="436"/>
      <c r="J71" s="436">
        <v>55</v>
      </c>
      <c r="K71" s="436">
        <v>110</v>
      </c>
      <c r="L71" s="437">
        <v>55</v>
      </c>
      <c r="M71" s="437"/>
      <c r="N71" s="437">
        <v>55</v>
      </c>
      <c r="O71" s="437"/>
      <c r="P71" s="439">
        <v>55</v>
      </c>
      <c r="Q71" s="439">
        <v>275</v>
      </c>
      <c r="R71" s="436"/>
      <c r="S71" s="436"/>
      <c r="T71" s="436"/>
      <c r="U71" s="436"/>
      <c r="V71" s="436"/>
      <c r="W71" s="436">
        <f>IF(NFI_Expiration=1,IF($A71&lt;VLOOKUP(H$5,NFI,5,0),1,0)*Table_NFI[[#This Row],[Hygiene Kit]],Table_NFI[Hygiene Kit])</f>
        <v>0</v>
      </c>
      <c r="X71" s="436">
        <f>IF(NFI_Expiration=1,IF($A71&lt;VLOOKUP(I$5,NFI,5,0),1,0)*Table_NFI[[#This Row],[NFI Core Kit]],Table_NFI[NFI Core Kit])</f>
        <v>0</v>
      </c>
      <c r="Y71" s="436">
        <f>IF(NFI_Expiration=1,IF($A71&lt;VLOOKUP(J$5,NFI,5,0),1,0)*Table_NFI[[#This Row],[Sanitary Kit]],Table_NFI[Sanitary Kit])</f>
        <v>55</v>
      </c>
      <c r="Z71" s="436">
        <f>IF(NFI_Expiration=1,IF($A71&lt;VLOOKUP(K$5,NFI,5,0),1,0)*Table_NFI[[#This Row],[Mosquito net]],Table_NFI[Mosquito net])</f>
        <v>110</v>
      </c>
      <c r="AA71" s="436">
        <f>IF(NFI_Expiration=1,IF($A71&lt;VLOOKUP(L$5,NFI,5,0),1,0)*Table_NFI[[#This Row],[Tarpaulin]],Table_NFI[[#This Row],[Tarpaulin]])</f>
        <v>55</v>
      </c>
      <c r="AB71" s="436">
        <f>IF(NFI_Expiration=1,IF($A71&lt;VLOOKUP(M$5,NFI,5,0),1,0)*Table_NFI[[#This Row],[Blanket]],Table_NFI[[#This Row],[Blanket]])</f>
        <v>0</v>
      </c>
      <c r="AC71" s="436">
        <f>IF(NFI_Expiration=1,IF($A71&lt;VLOOKUP(N$5,NFI,5,0),1,0)*Table_NFI[[#This Row],[Kitchen Set]],Table_NFI[Kitchen Set])</f>
        <v>55</v>
      </c>
      <c r="AD71" s="436">
        <f>IF(NFI_Expiration=1,IF($A71&lt;VLOOKUP(O$5,NFI,5,0),1,0)*Table_NFI[[#This Row],[Clothes Kit]],Table_NFI[Clothes Kit])</f>
        <v>0</v>
      </c>
      <c r="AE71" s="436">
        <f>IF(NFI_Expiration=1,IF($A71&lt;VLOOKUP(P$5,NFI,5,0),1,0)*Table_NFI[[#This Row],[Plastic Bucket]],Table_NFI[Plastic Bucket])</f>
        <v>55</v>
      </c>
      <c r="AF71" s="436">
        <f>IF(NFI_Expiration=1,IF($A71&lt;VLOOKUP(Q$5,NFI,5,0),1,0)*Table_NFI[[#This Row],[Plastic Mat]],Table_NFI[Plastic Mat])*IF(Table_NFI[[#This Row],[Distribution Date]]&gt;"2014-04-01",1,2.5)</f>
        <v>687.5</v>
      </c>
      <c r="AG71" s="436">
        <f>IF(NFI_Expiration=1,IF($A71&lt;VLOOKUP(R$5,NFI,5,0),1,0)*Table_NFI[[#This Row],[Winter Clothes Adult]],Table_NFI[Winter Clothes Adult])</f>
        <v>0</v>
      </c>
      <c r="AH71" s="436">
        <f>IF(NFI_Expiration=1,IF($A71&lt;VLOOKUP(S$5,NFI,5,0),1,0)*Table_NFI[[#This Row],[Winter Clothes Children]],Table_NFI[Winter Clothes Children])</f>
        <v>0</v>
      </c>
      <c r="AI71" s="436">
        <f>IF(NFI_Expiration=1,IF($A71&lt;VLOOKUP(T$5,NFI,5,0),1,0)*Table_NFI[[#This Row],[Winter Items Other]],Table_NFI[Winter Items Other])</f>
        <v>0</v>
      </c>
      <c r="AJ71" s="436">
        <f>IF(NFI_Expiration=1,IF($A71&lt;VLOOKUP(M$5,NFI,5,0),1,0)*Table_NFI[[#This Row],[Winter Blanket]],Table_NFI[[#This Row],[Winter Blanket]])</f>
        <v>0</v>
      </c>
      <c r="AK71" s="436">
        <f>IF(Table_NFI[[#This Row],[Winter Clothes Adult]]+Table_NFI[[#This Row],[Winter Clothes Children]]+Table_NFI[[#This Row],[Winter Items Other]]+Table_NFI[[#This Row],[Winter Blanket]]&gt;0,1,0)</f>
        <v>0</v>
      </c>
      <c r="AL71" s="439">
        <f>IF(NFI_Expiration=1,IF($A71&lt;VLOOKUP(V$5,NFI,5,0),1,0)*Table_NFI[[#This Row],[Jerry Can]],Table_NFI[Jerry Can])</f>
        <v>0</v>
      </c>
      <c r="AM71" s="781" t="str">
        <f>IFERROR(VLOOKUP(Table_NFI[[#This Row],[Camp Name]],CL,2,0),"")</f>
        <v/>
      </c>
      <c r="AN71" s="782" t="str">
        <f ca="1">IF(Table_NFI[[#This Row],[Pcode]]="","",IF(OFFSET(CampList[Opening Date],MATCH(Table_NFI[[#This Row],[Pcode]],CampList[CP_Pcode],0)-1,0,1,1)&gt;=NFI_Monitor_Date,1,0))</f>
        <v/>
      </c>
      <c r="AO71" s="781" t="str">
        <f>IFERROR(VLOOKUP(Table_NFI[[#This Row],[Camp Name]],CL,3,0),"")</f>
        <v/>
      </c>
      <c r="AP71" s="436" t="str">
        <f ca="1">IF(Table_NFI[[#This Row],[Pcode]]="","",OFFSET(CampList[Priority],MATCH(Table_NFI[[#This Row],[Pcode]],CampList[CP_Pcode],0)-1,0,1,1))</f>
        <v/>
      </c>
      <c r="AQ71" s="438" t="str">
        <f>IFERROR(Table_NFI[[#This Row],[Kitchen Set]]/VLOOKUP(Table_NFI[[#This Row],[Camp Name]],CL,4,0),"")</f>
        <v/>
      </c>
      <c r="AR71" s="779"/>
      <c r="AS71" s="783"/>
    </row>
    <row r="72" spans="1:45" s="136" customFormat="1" x14ac:dyDescent="0.25">
      <c r="A72" s="455">
        <f t="shared" si="1"/>
        <v>9.8333333333333339</v>
      </c>
      <c r="B72" s="778">
        <v>42014</v>
      </c>
      <c r="C72" s="779" t="s">
        <v>454</v>
      </c>
      <c r="D72" s="779" t="s">
        <v>454</v>
      </c>
      <c r="E72" s="779" t="s">
        <v>380</v>
      </c>
      <c r="F72" s="779" t="s">
        <v>300</v>
      </c>
      <c r="G72" s="779" t="s">
        <v>897</v>
      </c>
      <c r="H72" s="436"/>
      <c r="I72" s="436"/>
      <c r="J72" s="439">
        <v>57</v>
      </c>
      <c r="K72" s="439"/>
      <c r="L72" s="437"/>
      <c r="M72" s="437"/>
      <c r="N72" s="437"/>
      <c r="O72" s="437">
        <v>77</v>
      </c>
      <c r="P72" s="439"/>
      <c r="Q72" s="439">
        <v>146</v>
      </c>
      <c r="R72" s="439"/>
      <c r="S72" s="439"/>
      <c r="T72" s="439"/>
      <c r="U72" s="439"/>
      <c r="V72" s="818">
        <v>55</v>
      </c>
      <c r="W72" s="439">
        <f>IF(NFI_Expiration=1,IF($A72&lt;VLOOKUP(H$5,NFI,5,0),1,0)*Table_NFI[[#This Row],[Hygiene Kit]],Table_NFI[Hygiene Kit])</f>
        <v>0</v>
      </c>
      <c r="X72" s="439">
        <f>IF(NFI_Expiration=1,IF($A72&lt;VLOOKUP(I$5,NFI,5,0),1,0)*Table_NFI[[#This Row],[NFI Core Kit]],Table_NFI[NFI Core Kit])</f>
        <v>0</v>
      </c>
      <c r="Y72" s="439">
        <f>IF(NFI_Expiration=1,IF($A72&lt;VLOOKUP(J$5,NFI,5,0),1,0)*Table_NFI[[#This Row],[Sanitary Kit]],Table_NFI[Sanitary Kit])</f>
        <v>57</v>
      </c>
      <c r="Z72" s="439">
        <f>IF(NFI_Expiration=1,IF($A72&lt;VLOOKUP(K$5,NFI,5,0),1,0)*Table_NFI[[#This Row],[Mosquito net]],Table_NFI[Mosquito net])</f>
        <v>0</v>
      </c>
      <c r="AA72" s="439">
        <f>IF(NFI_Expiration=1,IF($A72&lt;VLOOKUP(L$5,NFI,5,0),1,0)*Table_NFI[[#This Row],[Tarpaulin]],Table_NFI[[#This Row],[Tarpaulin]])</f>
        <v>0</v>
      </c>
      <c r="AB72" s="439">
        <f>IF(NFI_Expiration=1,IF($A72&lt;VLOOKUP(M$5,NFI,5,0),1,0)*Table_NFI[[#This Row],[Blanket]],Table_NFI[[#This Row],[Blanket]])</f>
        <v>0</v>
      </c>
      <c r="AC72" s="439">
        <f>IF(NFI_Expiration=1,IF($A72&lt;VLOOKUP(N$5,NFI,5,0),1,0)*Table_NFI[[#This Row],[Kitchen Set]],Table_NFI[Kitchen Set])</f>
        <v>0</v>
      </c>
      <c r="AD72" s="439">
        <f>IF(NFI_Expiration=1,IF($A72&lt;VLOOKUP(O$5,NFI,5,0),1,0)*Table_NFI[[#This Row],[Clothes Kit]],Table_NFI[Clothes Kit])</f>
        <v>77</v>
      </c>
      <c r="AE72" s="439">
        <f>IF(NFI_Expiration=1,IF($A72&lt;VLOOKUP(P$5,NFI,5,0),1,0)*Table_NFI[[#This Row],[Plastic Bucket]],Table_NFI[Plastic Bucket])</f>
        <v>0</v>
      </c>
      <c r="AF72" s="439">
        <f>IF(NFI_Expiration=1,IF($A72&lt;VLOOKUP(Q$5,NFI,5,0),1,0)*Table_NFI[[#This Row],[Plastic Mat]],Table_NFI[Plastic Mat])*IF(Table_NFI[[#This Row],[Distribution Date]]&gt;"2014-04-01",1,2.5)</f>
        <v>365</v>
      </c>
      <c r="AG72" s="439">
        <f>IF(NFI_Expiration=1,IF($A72&lt;VLOOKUP(R$5,NFI,5,0),1,0)*Table_NFI[[#This Row],[Winter Clothes Adult]],Table_NFI[Winter Clothes Adult])</f>
        <v>0</v>
      </c>
      <c r="AH72" s="439">
        <f>IF(NFI_Expiration=1,IF($A72&lt;VLOOKUP(S$5,NFI,5,0),1,0)*Table_NFI[[#This Row],[Winter Clothes Children]],Table_NFI[Winter Clothes Children])</f>
        <v>0</v>
      </c>
      <c r="AI72" s="439">
        <f>IF(NFI_Expiration=1,IF($A72&lt;VLOOKUP(T$5,NFI,5,0),1,0)*Table_NFI[[#This Row],[Winter Items Other]],Table_NFI[Winter Items Other])</f>
        <v>0</v>
      </c>
      <c r="AJ72" s="439">
        <f>IF(NFI_Expiration=1,IF($A72&lt;VLOOKUP(M$5,NFI,5,0),1,0)*Table_NFI[[#This Row],[Winter Blanket]],Table_NFI[[#This Row],[Winter Blanket]])</f>
        <v>0</v>
      </c>
      <c r="AK72" s="439">
        <f>IF(Table_NFI[[#This Row],[Winter Clothes Adult]]+Table_NFI[[#This Row],[Winter Clothes Children]]+Table_NFI[[#This Row],[Winter Items Other]]+Table_NFI[[#This Row],[Winter Blanket]]&gt;0,1,0)</f>
        <v>0</v>
      </c>
      <c r="AL72" s="439">
        <f>IF(NFI_Expiration=1,IF($A72&lt;VLOOKUP(V$5,NFI,5,0),1,0)*Table_NFI[[#This Row],[Jerry Can]],Table_NFI[Jerry Can])</f>
        <v>55</v>
      </c>
      <c r="AM72" s="791" t="str">
        <f>IFERROR(VLOOKUP(Table_NFI[[#This Row],[Camp Name]],CL,2,0),"")</f>
        <v>MMR001CMP220</v>
      </c>
      <c r="AN72" s="782">
        <f ca="1">IF(Table_NFI[[#This Row],[Pcode]]="","",IF(OFFSET(CampList[Opening Date],MATCH(Table_NFI[[#This Row],[Pcode]],CampList[CP_Pcode],0)-1,0,1,1)&gt;=NFI_Monitor_Date,1,0))</f>
        <v>0</v>
      </c>
      <c r="AO72" s="791" t="str">
        <f>IFERROR(VLOOKUP(Table_NFI[[#This Row],[Camp Name]],CL,3,0),"")</f>
        <v>Closed</v>
      </c>
      <c r="AP72" s="439" t="str">
        <f ca="1">IF(Table_NFI[[#This Row],[Pcode]]="","",OFFSET(CampList[Priority],MATCH(Table_NFI[[#This Row],[Pcode]],CampList[CP_Pcode],0)-1,0,1,1))</f>
        <v>P3</v>
      </c>
      <c r="AQ72" s="438" t="str">
        <f>IFERROR(Table_NFI[[#This Row],[Kitchen Set]]/VLOOKUP(Table_NFI[[#This Row],[Camp Name]],CL,4,0),"")</f>
        <v/>
      </c>
      <c r="AR72" s="779"/>
      <c r="AS72" s="783" t="s">
        <v>1417</v>
      </c>
    </row>
    <row r="73" spans="1:45" s="136" customFormat="1" x14ac:dyDescent="0.25">
      <c r="A73" s="455">
        <f t="shared" si="1"/>
        <v>10.133333333333333</v>
      </c>
      <c r="B73" s="778">
        <v>42005</v>
      </c>
      <c r="C73" s="779" t="s">
        <v>454</v>
      </c>
      <c r="D73" s="779" t="s">
        <v>462</v>
      </c>
      <c r="E73" s="779" t="s">
        <v>380</v>
      </c>
      <c r="F73" s="779" t="s">
        <v>310</v>
      </c>
      <c r="G73" s="779" t="s">
        <v>347</v>
      </c>
      <c r="H73" s="436"/>
      <c r="I73" s="436"/>
      <c r="J73" s="436"/>
      <c r="K73" s="436"/>
      <c r="L73" s="437"/>
      <c r="M73" s="437"/>
      <c r="N73" s="437">
        <v>50</v>
      </c>
      <c r="O73" s="437"/>
      <c r="P73" s="439"/>
      <c r="Q73" s="439"/>
      <c r="R73" s="436"/>
      <c r="S73" s="436"/>
      <c r="T73" s="436"/>
      <c r="U73" s="436"/>
      <c r="V73" s="436"/>
      <c r="W73" s="436">
        <f>IF(NFI_Expiration=1,IF($A73&lt;VLOOKUP(H$5,NFI,5,0),1,0)*Table_NFI[[#This Row],[Hygiene Kit]],Table_NFI[Hygiene Kit])</f>
        <v>0</v>
      </c>
      <c r="X73" s="436">
        <f>IF(NFI_Expiration=1,IF($A73&lt;VLOOKUP(I$5,NFI,5,0),1,0)*Table_NFI[[#This Row],[NFI Core Kit]],Table_NFI[NFI Core Kit])</f>
        <v>0</v>
      </c>
      <c r="Y73" s="436">
        <f>IF(NFI_Expiration=1,IF($A73&lt;VLOOKUP(J$5,NFI,5,0),1,0)*Table_NFI[[#This Row],[Sanitary Kit]],Table_NFI[Sanitary Kit])</f>
        <v>0</v>
      </c>
      <c r="Z73" s="436">
        <f>IF(NFI_Expiration=1,IF($A73&lt;VLOOKUP(K$5,NFI,5,0),1,0)*Table_NFI[[#This Row],[Mosquito net]],Table_NFI[Mosquito net])</f>
        <v>0</v>
      </c>
      <c r="AA73" s="436">
        <f>IF(NFI_Expiration=1,IF($A73&lt;VLOOKUP(L$5,NFI,5,0),1,0)*Table_NFI[[#This Row],[Tarpaulin]],Table_NFI[[#This Row],[Tarpaulin]])</f>
        <v>0</v>
      </c>
      <c r="AB73" s="436">
        <f>IF(NFI_Expiration=1,IF($A73&lt;VLOOKUP(M$5,NFI,5,0),1,0)*Table_NFI[[#This Row],[Blanket]],Table_NFI[[#This Row],[Blanket]])</f>
        <v>0</v>
      </c>
      <c r="AC73" s="436">
        <f>IF(NFI_Expiration=1,IF($A73&lt;VLOOKUP(N$5,NFI,5,0),1,0)*Table_NFI[[#This Row],[Kitchen Set]],Table_NFI[Kitchen Set])</f>
        <v>50</v>
      </c>
      <c r="AD73" s="436">
        <f>IF(NFI_Expiration=1,IF($A73&lt;VLOOKUP(O$5,NFI,5,0),1,0)*Table_NFI[[#This Row],[Clothes Kit]],Table_NFI[Clothes Kit])</f>
        <v>0</v>
      </c>
      <c r="AE73" s="436">
        <f>IF(NFI_Expiration=1,IF($A73&lt;VLOOKUP(P$5,NFI,5,0),1,0)*Table_NFI[[#This Row],[Plastic Bucket]],Table_NFI[Plastic Bucket])</f>
        <v>0</v>
      </c>
      <c r="AF73" s="436">
        <f>IF(NFI_Expiration=1,IF($A73&lt;VLOOKUP(Q$5,NFI,5,0),1,0)*Table_NFI[[#This Row],[Plastic Mat]],Table_NFI[Plastic Mat])*IF(Table_NFI[[#This Row],[Distribution Date]]&gt;"2014-04-01",1,2.5)</f>
        <v>0</v>
      </c>
      <c r="AG73" s="436">
        <f>IF(NFI_Expiration=1,IF($A73&lt;VLOOKUP(R$5,NFI,5,0),1,0)*Table_NFI[[#This Row],[Winter Clothes Adult]],Table_NFI[Winter Clothes Adult])</f>
        <v>0</v>
      </c>
      <c r="AH73" s="436">
        <f>IF(NFI_Expiration=1,IF($A73&lt;VLOOKUP(S$5,NFI,5,0),1,0)*Table_NFI[[#This Row],[Winter Clothes Children]],Table_NFI[Winter Clothes Children])</f>
        <v>0</v>
      </c>
      <c r="AI73" s="436">
        <f>IF(NFI_Expiration=1,IF($A73&lt;VLOOKUP(T$5,NFI,5,0),1,0)*Table_NFI[[#This Row],[Winter Items Other]],Table_NFI[Winter Items Other])</f>
        <v>0</v>
      </c>
      <c r="AJ73" s="436">
        <f>IF(NFI_Expiration=1,IF($A73&lt;VLOOKUP(M$5,NFI,5,0),1,0)*Table_NFI[[#This Row],[Winter Blanket]],Table_NFI[[#This Row],[Winter Blanket]])</f>
        <v>0</v>
      </c>
      <c r="AK73" s="436">
        <f>IF(Table_NFI[[#This Row],[Winter Clothes Adult]]+Table_NFI[[#This Row],[Winter Clothes Children]]+Table_NFI[[#This Row],[Winter Items Other]]+Table_NFI[[#This Row],[Winter Blanket]]&gt;0,1,0)</f>
        <v>0</v>
      </c>
      <c r="AL73" s="439">
        <f>IF(NFI_Expiration=1,IF($A73&lt;VLOOKUP(V$5,NFI,5,0),1,0)*Table_NFI[[#This Row],[Jerry Can]],Table_NFI[Jerry Can])</f>
        <v>0</v>
      </c>
      <c r="AM73" s="781" t="str">
        <f>IFERROR(VLOOKUP(Table_NFI[[#This Row],[Camp Name]],CL,2,0),"")</f>
        <v>MMR001CMP041</v>
      </c>
      <c r="AN73" s="782">
        <f ca="1">IF(Table_NFI[[#This Row],[Pcode]]="","",IF(OFFSET(CampList[Opening Date],MATCH(Table_NFI[[#This Row],[Pcode]],CampList[CP_Pcode],0)-1,0,1,1)&gt;=NFI_Monitor_Date,1,0))</f>
        <v>0</v>
      </c>
      <c r="AO73" s="781" t="str">
        <f>IFERROR(VLOOKUP(Table_NFI[[#This Row],[Camp Name]],CL,3,0),"")</f>
        <v>Open</v>
      </c>
      <c r="AP73" s="436" t="str">
        <f ca="1">IF(Table_NFI[[#This Row],[Pcode]]="","",OFFSET(CampList[Priority],MATCH(Table_NFI[[#This Row],[Pcode]],CampList[CP_Pcode],0)-1,0,1,1))</f>
        <v>P1</v>
      </c>
      <c r="AQ73" s="438">
        <f>IFERROR(Table_NFI[[#This Row],[Kitchen Set]]/VLOOKUP(Table_NFI[[#This Row],[Camp Name]],CL,4,0),"")</f>
        <v>0.29069767441860467</v>
      </c>
      <c r="AR73" s="779"/>
      <c r="AS73" s="783"/>
    </row>
    <row r="74" spans="1:45" s="136" customFormat="1" x14ac:dyDescent="0.25">
      <c r="A74" s="455">
        <f t="shared" si="1"/>
        <v>10.199999999999999</v>
      </c>
      <c r="B74" s="778">
        <v>42003</v>
      </c>
      <c r="C74" s="779" t="s">
        <v>454</v>
      </c>
      <c r="D74" s="779" t="s">
        <v>462</v>
      </c>
      <c r="E74" s="779" t="s">
        <v>380</v>
      </c>
      <c r="F74" s="779" t="s">
        <v>310</v>
      </c>
      <c r="G74" s="779" t="s">
        <v>347</v>
      </c>
      <c r="H74" s="436"/>
      <c r="I74" s="436"/>
      <c r="J74" s="436">
        <v>120</v>
      </c>
      <c r="K74" s="436">
        <v>240</v>
      </c>
      <c r="L74" s="437">
        <v>135</v>
      </c>
      <c r="M74" s="437">
        <v>240</v>
      </c>
      <c r="N74" s="437">
        <v>170</v>
      </c>
      <c r="O74" s="437">
        <v>120</v>
      </c>
      <c r="P74" s="439">
        <v>120</v>
      </c>
      <c r="Q74" s="439">
        <v>600</v>
      </c>
      <c r="R74" s="436"/>
      <c r="S74" s="436"/>
      <c r="T74" s="436"/>
      <c r="U74" s="436"/>
      <c r="V74" s="436"/>
      <c r="W74" s="436">
        <f>IF(NFI_Expiration=1,IF($A74&lt;VLOOKUP(H$5,NFI,5,0),1,0)*Table_NFI[[#This Row],[Hygiene Kit]],Table_NFI[Hygiene Kit])</f>
        <v>0</v>
      </c>
      <c r="X74" s="436">
        <f>IF(NFI_Expiration=1,IF($A74&lt;VLOOKUP(I$5,NFI,5,0),1,0)*Table_NFI[[#This Row],[NFI Core Kit]],Table_NFI[NFI Core Kit])</f>
        <v>0</v>
      </c>
      <c r="Y74" s="436">
        <f>IF(NFI_Expiration=1,IF($A74&lt;VLOOKUP(J$5,NFI,5,0),1,0)*Table_NFI[[#This Row],[Sanitary Kit]],Table_NFI[Sanitary Kit])</f>
        <v>120</v>
      </c>
      <c r="Z74" s="436">
        <f>IF(NFI_Expiration=1,IF($A74&lt;VLOOKUP(K$5,NFI,5,0),1,0)*Table_NFI[[#This Row],[Mosquito net]],Table_NFI[Mosquito net])</f>
        <v>240</v>
      </c>
      <c r="AA74" s="436">
        <f>IF(NFI_Expiration=1,IF($A74&lt;VLOOKUP(L$5,NFI,5,0),1,0)*Table_NFI[[#This Row],[Tarpaulin]],Table_NFI[[#This Row],[Tarpaulin]])</f>
        <v>135</v>
      </c>
      <c r="AB74" s="436">
        <f>IF(NFI_Expiration=1,IF($A74&lt;VLOOKUP(M$5,NFI,5,0),1,0)*Table_NFI[[#This Row],[Blanket]],Table_NFI[[#This Row],[Blanket]])</f>
        <v>240</v>
      </c>
      <c r="AC74" s="436">
        <f>IF(NFI_Expiration=1,IF($A74&lt;VLOOKUP(N$5,NFI,5,0),1,0)*Table_NFI[[#This Row],[Kitchen Set]],Table_NFI[Kitchen Set])</f>
        <v>170</v>
      </c>
      <c r="AD74" s="436">
        <f>IF(NFI_Expiration=1,IF($A74&lt;VLOOKUP(O$5,NFI,5,0),1,0)*Table_NFI[[#This Row],[Clothes Kit]],Table_NFI[Clothes Kit])</f>
        <v>120</v>
      </c>
      <c r="AE74" s="436">
        <f>IF(NFI_Expiration=1,IF($A74&lt;VLOOKUP(P$5,NFI,5,0),1,0)*Table_NFI[[#This Row],[Plastic Bucket]],Table_NFI[Plastic Bucket])</f>
        <v>120</v>
      </c>
      <c r="AF74" s="436">
        <f>IF(NFI_Expiration=1,IF($A74&lt;VLOOKUP(Q$5,NFI,5,0),1,0)*Table_NFI[[#This Row],[Plastic Mat]],Table_NFI[Plastic Mat])*IF(Table_NFI[[#This Row],[Distribution Date]]&gt;"2014-04-01",1,2.5)</f>
        <v>1500</v>
      </c>
      <c r="AG74" s="436">
        <f>IF(NFI_Expiration=1,IF($A74&lt;VLOOKUP(R$5,NFI,5,0),1,0)*Table_NFI[[#This Row],[Winter Clothes Adult]],Table_NFI[Winter Clothes Adult])</f>
        <v>0</v>
      </c>
      <c r="AH74" s="436">
        <f>IF(NFI_Expiration=1,IF($A74&lt;VLOOKUP(S$5,NFI,5,0),1,0)*Table_NFI[[#This Row],[Winter Clothes Children]],Table_NFI[Winter Clothes Children])</f>
        <v>0</v>
      </c>
      <c r="AI74" s="436">
        <f>IF(NFI_Expiration=1,IF($A74&lt;VLOOKUP(T$5,NFI,5,0),1,0)*Table_NFI[[#This Row],[Winter Items Other]],Table_NFI[Winter Items Other])</f>
        <v>0</v>
      </c>
      <c r="AJ74" s="436">
        <f>IF(NFI_Expiration=1,IF($A74&lt;VLOOKUP(M$5,NFI,5,0),1,0)*Table_NFI[[#This Row],[Winter Blanket]],Table_NFI[[#This Row],[Winter Blanket]])</f>
        <v>0</v>
      </c>
      <c r="AK74" s="436">
        <f>IF(Table_NFI[[#This Row],[Winter Clothes Adult]]+Table_NFI[[#This Row],[Winter Clothes Children]]+Table_NFI[[#This Row],[Winter Items Other]]+Table_NFI[[#This Row],[Winter Blanket]]&gt;0,1,0)</f>
        <v>0</v>
      </c>
      <c r="AL74" s="439">
        <f>IF(NFI_Expiration=1,IF($A74&lt;VLOOKUP(V$5,NFI,5,0),1,0)*Table_NFI[[#This Row],[Jerry Can]],Table_NFI[Jerry Can])</f>
        <v>0</v>
      </c>
      <c r="AM74" s="781" t="str">
        <f>IFERROR(VLOOKUP(Table_NFI[[#This Row],[Camp Name]],CL,2,0),"")</f>
        <v>MMR001CMP041</v>
      </c>
      <c r="AN74" s="782">
        <f ca="1">IF(Table_NFI[[#This Row],[Pcode]]="","",IF(OFFSET(CampList[Opening Date],MATCH(Table_NFI[[#This Row],[Pcode]],CampList[CP_Pcode],0)-1,0,1,1)&gt;=NFI_Monitor_Date,1,0))</f>
        <v>0</v>
      </c>
      <c r="AO74" s="781" t="str">
        <f>IFERROR(VLOOKUP(Table_NFI[[#This Row],[Camp Name]],CL,3,0),"")</f>
        <v>Open</v>
      </c>
      <c r="AP74" s="436" t="str">
        <f ca="1">IF(Table_NFI[[#This Row],[Pcode]]="","",OFFSET(CampList[Priority],MATCH(Table_NFI[[#This Row],[Pcode]],CampList[CP_Pcode],0)-1,0,1,1))</f>
        <v>P1</v>
      </c>
      <c r="AQ74" s="438">
        <f>IFERROR(Table_NFI[[#This Row],[Kitchen Set]]/VLOOKUP(Table_NFI[[#This Row],[Camp Name]],CL,4,0),"")</f>
        <v>0.98837209302325579</v>
      </c>
      <c r="AR74" s="779"/>
      <c r="AS74" s="783"/>
    </row>
    <row r="75" spans="1:45" s="136" customFormat="1" x14ac:dyDescent="0.25">
      <c r="A75" s="455">
        <f t="shared" si="1"/>
        <v>10.566666666666666</v>
      </c>
      <c r="B75" s="778">
        <v>41992</v>
      </c>
      <c r="C75" s="779" t="s">
        <v>454</v>
      </c>
      <c r="D75" s="779" t="s">
        <v>462</v>
      </c>
      <c r="E75" s="779" t="s">
        <v>380</v>
      </c>
      <c r="F75" s="779" t="s">
        <v>310</v>
      </c>
      <c r="G75" s="779" t="s">
        <v>336</v>
      </c>
      <c r="H75" s="436"/>
      <c r="I75" s="436"/>
      <c r="J75" s="436"/>
      <c r="K75" s="436"/>
      <c r="L75" s="437"/>
      <c r="M75" s="437"/>
      <c r="N75" s="437"/>
      <c r="O75" s="437"/>
      <c r="P75" s="439"/>
      <c r="Q75" s="439"/>
      <c r="R75" s="436">
        <v>364</v>
      </c>
      <c r="S75" s="436">
        <v>543</v>
      </c>
      <c r="T75" s="436"/>
      <c r="U75" s="436">
        <v>362</v>
      </c>
      <c r="V75" s="436"/>
      <c r="W75" s="436">
        <f>IF(NFI_Expiration=1,IF($A75&lt;VLOOKUP(H$5,NFI,5,0),1,0)*Table_NFI[[#This Row],[Hygiene Kit]],Table_NFI[Hygiene Kit])</f>
        <v>0</v>
      </c>
      <c r="X75" s="436">
        <f>IF(NFI_Expiration=1,IF($A75&lt;VLOOKUP(I$5,NFI,5,0),1,0)*Table_NFI[[#This Row],[NFI Core Kit]],Table_NFI[NFI Core Kit])</f>
        <v>0</v>
      </c>
      <c r="Y75" s="436">
        <f>IF(NFI_Expiration=1,IF($A75&lt;VLOOKUP(J$5,NFI,5,0),1,0)*Table_NFI[[#This Row],[Sanitary Kit]],Table_NFI[Sanitary Kit])</f>
        <v>0</v>
      </c>
      <c r="Z75" s="436">
        <f>IF(NFI_Expiration=1,IF($A75&lt;VLOOKUP(K$5,NFI,5,0),1,0)*Table_NFI[[#This Row],[Mosquito net]],Table_NFI[Mosquito net])</f>
        <v>0</v>
      </c>
      <c r="AA75" s="436">
        <f>IF(NFI_Expiration=1,IF($A75&lt;VLOOKUP(L$5,NFI,5,0),1,0)*Table_NFI[[#This Row],[Tarpaulin]],Table_NFI[[#This Row],[Tarpaulin]])</f>
        <v>0</v>
      </c>
      <c r="AB75" s="436">
        <f>IF(NFI_Expiration=1,IF($A75&lt;VLOOKUP(M$5,NFI,5,0),1,0)*Table_NFI[[#This Row],[Blanket]],Table_NFI[[#This Row],[Blanket]])</f>
        <v>0</v>
      </c>
      <c r="AC75" s="436">
        <f>IF(NFI_Expiration=1,IF($A75&lt;VLOOKUP(N$5,NFI,5,0),1,0)*Table_NFI[[#This Row],[Kitchen Set]],Table_NFI[Kitchen Set])</f>
        <v>0</v>
      </c>
      <c r="AD75" s="436">
        <f>IF(NFI_Expiration=1,IF($A75&lt;VLOOKUP(O$5,NFI,5,0),1,0)*Table_NFI[[#This Row],[Clothes Kit]],Table_NFI[Clothes Kit])</f>
        <v>0</v>
      </c>
      <c r="AE75" s="436">
        <f>IF(NFI_Expiration=1,IF($A75&lt;VLOOKUP(P$5,NFI,5,0),1,0)*Table_NFI[[#This Row],[Plastic Bucket]],Table_NFI[Plastic Bucket])</f>
        <v>0</v>
      </c>
      <c r="AF75" s="436">
        <f>IF(NFI_Expiration=1,IF($A75&lt;VLOOKUP(Q$5,NFI,5,0),1,0)*Table_NFI[[#This Row],[Plastic Mat]],Table_NFI[Plastic Mat])*IF(Table_NFI[[#This Row],[Distribution Date]]&gt;"2014-04-01",1,2.5)</f>
        <v>0</v>
      </c>
      <c r="AG75" s="436">
        <f>IF(NFI_Expiration=1,IF($A75&lt;VLOOKUP(R$5,NFI,5,0),1,0)*Table_NFI[[#This Row],[Winter Clothes Adult]],Table_NFI[Winter Clothes Adult])</f>
        <v>364</v>
      </c>
      <c r="AH75" s="436">
        <f>IF(NFI_Expiration=1,IF($A75&lt;VLOOKUP(S$5,NFI,5,0),1,0)*Table_NFI[[#This Row],[Winter Clothes Children]],Table_NFI[Winter Clothes Children])</f>
        <v>543</v>
      </c>
      <c r="AI75" s="436">
        <f>IF(NFI_Expiration=1,IF($A75&lt;VLOOKUP(T$5,NFI,5,0),1,0)*Table_NFI[[#This Row],[Winter Items Other]],Table_NFI[Winter Items Other])</f>
        <v>0</v>
      </c>
      <c r="AJ75" s="436">
        <f>IF(NFI_Expiration=1,IF($A75&lt;VLOOKUP(M$5,NFI,5,0),1,0)*Table_NFI[[#This Row],[Winter Blanket]],Table_NFI[[#This Row],[Winter Blanket]])</f>
        <v>362</v>
      </c>
      <c r="AK75" s="436">
        <f>IF(Table_NFI[[#This Row],[Winter Clothes Adult]]+Table_NFI[[#This Row],[Winter Clothes Children]]+Table_NFI[[#This Row],[Winter Items Other]]+Table_NFI[[#This Row],[Winter Blanket]]&gt;0,1,0)</f>
        <v>1</v>
      </c>
      <c r="AL75" s="439">
        <f>IF(NFI_Expiration=1,IF($A75&lt;VLOOKUP(V$5,NFI,5,0),1,0)*Table_NFI[[#This Row],[Jerry Can]],Table_NFI[Jerry Can])</f>
        <v>0</v>
      </c>
      <c r="AM75" s="781" t="str">
        <f>IFERROR(VLOOKUP(Table_NFI[[#This Row],[Camp Name]],CL,2,0),"")</f>
        <v>MMR001CMP115</v>
      </c>
      <c r="AN75" s="782">
        <f ca="1">IF(Table_NFI[[#This Row],[Pcode]]="","",IF(OFFSET(CampList[Opening Date],MATCH(Table_NFI[[#This Row],[Pcode]],CampList[CP_Pcode],0)-1,0,1,1)&gt;=NFI_Monitor_Date,1,0))</f>
        <v>0</v>
      </c>
      <c r="AO75" s="781" t="str">
        <f>IFERROR(VLOOKUP(Table_NFI[[#This Row],[Camp Name]],CL,3,0),"")</f>
        <v>Open</v>
      </c>
      <c r="AP75" s="436" t="str">
        <f ca="1">IF(Table_NFI[[#This Row],[Pcode]]="","",OFFSET(CampList[Priority],MATCH(Table_NFI[[#This Row],[Pcode]],CampList[CP_Pcode],0)-1,0,1,1))</f>
        <v>P1</v>
      </c>
      <c r="AQ75" s="438">
        <f>IFERROR(Table_NFI[[#This Row],[Kitchen Set]]/VLOOKUP(Table_NFI[[#This Row],[Camp Name]],CL,4,0),"")</f>
        <v>0</v>
      </c>
      <c r="AR75" s="779"/>
      <c r="AS75" s="783"/>
    </row>
    <row r="76" spans="1:45" s="136" customFormat="1" x14ac:dyDescent="0.25">
      <c r="A76" s="455">
        <f t="shared" si="1"/>
        <v>10.566666666666666</v>
      </c>
      <c r="B76" s="778">
        <v>41992</v>
      </c>
      <c r="C76" s="779" t="s">
        <v>454</v>
      </c>
      <c r="D76" s="779"/>
      <c r="E76" s="779" t="s">
        <v>380</v>
      </c>
      <c r="F76" s="779" t="s">
        <v>27</v>
      </c>
      <c r="G76" s="779" t="s">
        <v>364</v>
      </c>
      <c r="H76" s="436"/>
      <c r="I76" s="436"/>
      <c r="J76" s="436"/>
      <c r="K76" s="436"/>
      <c r="L76" s="437"/>
      <c r="M76" s="437"/>
      <c r="N76" s="437"/>
      <c r="O76" s="437"/>
      <c r="P76" s="439"/>
      <c r="Q76" s="439"/>
      <c r="R76" s="436">
        <v>320</v>
      </c>
      <c r="S76" s="436">
        <v>465</v>
      </c>
      <c r="T76" s="436"/>
      <c r="U76" s="436">
        <v>310</v>
      </c>
      <c r="V76" s="436"/>
      <c r="W76" s="436">
        <f>IF(NFI_Expiration=1,IF($A76&lt;VLOOKUP(H$5,NFI,5,0),1,0)*Table_NFI[[#This Row],[Hygiene Kit]],Table_NFI[Hygiene Kit])</f>
        <v>0</v>
      </c>
      <c r="X76" s="436">
        <f>IF(NFI_Expiration=1,IF($A76&lt;VLOOKUP(I$5,NFI,5,0),1,0)*Table_NFI[[#This Row],[NFI Core Kit]],Table_NFI[NFI Core Kit])</f>
        <v>0</v>
      </c>
      <c r="Y76" s="436">
        <f>IF(NFI_Expiration=1,IF($A76&lt;VLOOKUP(J$5,NFI,5,0),1,0)*Table_NFI[[#This Row],[Sanitary Kit]],Table_NFI[Sanitary Kit])</f>
        <v>0</v>
      </c>
      <c r="Z76" s="436">
        <f>IF(NFI_Expiration=1,IF($A76&lt;VLOOKUP(K$5,NFI,5,0),1,0)*Table_NFI[[#This Row],[Mosquito net]],Table_NFI[Mosquito net])</f>
        <v>0</v>
      </c>
      <c r="AA76" s="436">
        <f>IF(NFI_Expiration=1,IF($A76&lt;VLOOKUP(L$5,NFI,5,0),1,0)*Table_NFI[[#This Row],[Tarpaulin]],Table_NFI[[#This Row],[Tarpaulin]])</f>
        <v>0</v>
      </c>
      <c r="AB76" s="436">
        <f>IF(NFI_Expiration=1,IF($A76&lt;VLOOKUP(M$5,NFI,5,0),1,0)*Table_NFI[[#This Row],[Blanket]],Table_NFI[[#This Row],[Blanket]])</f>
        <v>0</v>
      </c>
      <c r="AC76" s="436">
        <f>IF(NFI_Expiration=1,IF($A76&lt;VLOOKUP(N$5,NFI,5,0),1,0)*Table_NFI[[#This Row],[Kitchen Set]],Table_NFI[Kitchen Set])</f>
        <v>0</v>
      </c>
      <c r="AD76" s="436">
        <f>IF(NFI_Expiration=1,IF($A76&lt;VLOOKUP(O$5,NFI,5,0),1,0)*Table_NFI[[#This Row],[Clothes Kit]],Table_NFI[Clothes Kit])</f>
        <v>0</v>
      </c>
      <c r="AE76" s="436">
        <f>IF(NFI_Expiration=1,IF($A76&lt;VLOOKUP(P$5,NFI,5,0),1,0)*Table_NFI[[#This Row],[Plastic Bucket]],Table_NFI[Plastic Bucket])</f>
        <v>0</v>
      </c>
      <c r="AF76" s="436">
        <f>IF(NFI_Expiration=1,IF($A76&lt;VLOOKUP(Q$5,NFI,5,0),1,0)*Table_NFI[[#This Row],[Plastic Mat]],Table_NFI[Plastic Mat])*IF(Table_NFI[[#This Row],[Distribution Date]]&gt;"2014-04-01",1,2.5)</f>
        <v>0</v>
      </c>
      <c r="AG76" s="436">
        <f>IF(NFI_Expiration=1,IF($A76&lt;VLOOKUP(R$5,NFI,5,0),1,0)*Table_NFI[[#This Row],[Winter Clothes Adult]],Table_NFI[Winter Clothes Adult])</f>
        <v>320</v>
      </c>
      <c r="AH76" s="436">
        <f>IF(NFI_Expiration=1,IF($A76&lt;VLOOKUP(S$5,NFI,5,0),1,0)*Table_NFI[[#This Row],[Winter Clothes Children]],Table_NFI[Winter Clothes Children])</f>
        <v>465</v>
      </c>
      <c r="AI76" s="436">
        <f>IF(NFI_Expiration=1,IF($A76&lt;VLOOKUP(T$5,NFI,5,0),1,0)*Table_NFI[[#This Row],[Winter Items Other]],Table_NFI[Winter Items Other])</f>
        <v>0</v>
      </c>
      <c r="AJ76" s="436">
        <f>IF(NFI_Expiration=1,IF($A76&lt;VLOOKUP(M$5,NFI,5,0),1,0)*Table_NFI[[#This Row],[Winter Blanket]],Table_NFI[[#This Row],[Winter Blanket]])</f>
        <v>310</v>
      </c>
      <c r="AK76" s="436">
        <f>IF(Table_NFI[[#This Row],[Winter Clothes Adult]]+Table_NFI[[#This Row],[Winter Clothes Children]]+Table_NFI[[#This Row],[Winter Items Other]]+Table_NFI[[#This Row],[Winter Blanket]]&gt;0,1,0)</f>
        <v>1</v>
      </c>
      <c r="AL76" s="439">
        <f>IF(NFI_Expiration=1,IF($A76&lt;VLOOKUP(V$5,NFI,5,0),1,0)*Table_NFI[[#This Row],[Jerry Can]],Table_NFI[Jerry Can])</f>
        <v>0</v>
      </c>
      <c r="AM76" s="781" t="str">
        <f>IFERROR(VLOOKUP(Table_NFI[[#This Row],[Camp Name]],CL,2,0),"")</f>
        <v>MMR001CMP043</v>
      </c>
      <c r="AN76" s="782">
        <f ca="1">IF(Table_NFI[[#This Row],[Pcode]]="","",IF(OFFSET(CampList[Opening Date],MATCH(Table_NFI[[#This Row],[Pcode]],CampList[CP_Pcode],0)-1,0,1,1)&gt;=NFI_Monitor_Date,1,0))</f>
        <v>0</v>
      </c>
      <c r="AO76" s="781" t="str">
        <f>IFERROR(VLOOKUP(Table_NFI[[#This Row],[Camp Name]],CL,3,0),"")</f>
        <v>Open</v>
      </c>
      <c r="AP76" s="436" t="str">
        <f ca="1">IF(Table_NFI[[#This Row],[Pcode]]="","",OFFSET(CampList[Priority],MATCH(Table_NFI[[#This Row],[Pcode]],CampList[CP_Pcode],0)-1,0,1,1))</f>
        <v>P1</v>
      </c>
      <c r="AQ76" s="438">
        <f>IFERROR(Table_NFI[[#This Row],[Kitchen Set]]/VLOOKUP(Table_NFI[[#This Row],[Camp Name]],CL,4,0),"")</f>
        <v>0</v>
      </c>
      <c r="AR76" s="779"/>
      <c r="AS76" s="783"/>
    </row>
    <row r="77" spans="1:45" s="784" customFormat="1" x14ac:dyDescent="0.25">
      <c r="A77" s="455">
        <f t="shared" si="1"/>
        <v>10.566666666666666</v>
      </c>
      <c r="B77" s="778">
        <v>41992</v>
      </c>
      <c r="C77" s="779" t="s">
        <v>454</v>
      </c>
      <c r="D77" s="779"/>
      <c r="E77" s="779" t="s">
        <v>380</v>
      </c>
      <c r="F77" s="779" t="s">
        <v>310</v>
      </c>
      <c r="G77" s="779" t="s">
        <v>1266</v>
      </c>
      <c r="H77" s="436"/>
      <c r="I77" s="436"/>
      <c r="J77" s="436"/>
      <c r="K77" s="436"/>
      <c r="L77" s="437"/>
      <c r="M77" s="437"/>
      <c r="N77" s="437"/>
      <c r="O77" s="437"/>
      <c r="P77" s="439"/>
      <c r="Q77" s="439"/>
      <c r="R77" s="436">
        <v>384</v>
      </c>
      <c r="S77" s="436">
        <v>573</v>
      </c>
      <c r="T77" s="436"/>
      <c r="U77" s="436">
        <v>382</v>
      </c>
      <c r="V77" s="436"/>
      <c r="W77" s="436">
        <f>IF(NFI_Expiration=1,IF($A77&lt;VLOOKUP(H$5,NFI,5,0),1,0)*Table_NFI[[#This Row],[Hygiene Kit]],Table_NFI[Hygiene Kit])</f>
        <v>0</v>
      </c>
      <c r="X77" s="436">
        <f>IF(NFI_Expiration=1,IF($A77&lt;VLOOKUP(I$5,NFI,5,0),1,0)*Table_NFI[[#This Row],[NFI Core Kit]],Table_NFI[NFI Core Kit])</f>
        <v>0</v>
      </c>
      <c r="Y77" s="436">
        <f>IF(NFI_Expiration=1,IF($A77&lt;VLOOKUP(J$5,NFI,5,0),1,0)*Table_NFI[[#This Row],[Sanitary Kit]],Table_NFI[Sanitary Kit])</f>
        <v>0</v>
      </c>
      <c r="Z77" s="436">
        <f>IF(NFI_Expiration=1,IF($A77&lt;VLOOKUP(K$5,NFI,5,0),1,0)*Table_NFI[[#This Row],[Mosquito net]],Table_NFI[Mosquito net])</f>
        <v>0</v>
      </c>
      <c r="AA77" s="436">
        <f>IF(NFI_Expiration=1,IF($A77&lt;VLOOKUP(L$5,NFI,5,0),1,0)*Table_NFI[[#This Row],[Tarpaulin]],Table_NFI[[#This Row],[Tarpaulin]])</f>
        <v>0</v>
      </c>
      <c r="AB77" s="436">
        <f>IF(NFI_Expiration=1,IF($A77&lt;VLOOKUP(M$5,NFI,5,0),1,0)*Table_NFI[[#This Row],[Blanket]],Table_NFI[[#This Row],[Blanket]])</f>
        <v>0</v>
      </c>
      <c r="AC77" s="436">
        <f>IF(NFI_Expiration=1,IF($A77&lt;VLOOKUP(N$5,NFI,5,0),1,0)*Table_NFI[[#This Row],[Kitchen Set]],Table_NFI[Kitchen Set])</f>
        <v>0</v>
      </c>
      <c r="AD77" s="436">
        <f>IF(NFI_Expiration=1,IF($A77&lt;VLOOKUP(O$5,NFI,5,0),1,0)*Table_NFI[[#This Row],[Clothes Kit]],Table_NFI[Clothes Kit])</f>
        <v>0</v>
      </c>
      <c r="AE77" s="436">
        <f>IF(NFI_Expiration=1,IF($A77&lt;VLOOKUP(P$5,NFI,5,0),1,0)*Table_NFI[[#This Row],[Plastic Bucket]],Table_NFI[Plastic Bucket])</f>
        <v>0</v>
      </c>
      <c r="AF77" s="436">
        <f>IF(NFI_Expiration=1,IF($A77&lt;VLOOKUP(Q$5,NFI,5,0),1,0)*Table_NFI[[#This Row],[Plastic Mat]],Table_NFI[Plastic Mat])*IF(Table_NFI[[#This Row],[Distribution Date]]&gt;"2014-04-01",1,2.5)</f>
        <v>0</v>
      </c>
      <c r="AG77" s="436">
        <f>IF(NFI_Expiration=1,IF($A77&lt;VLOOKUP(R$5,NFI,5,0),1,0)*Table_NFI[[#This Row],[Winter Clothes Adult]],Table_NFI[Winter Clothes Adult])</f>
        <v>384</v>
      </c>
      <c r="AH77" s="436">
        <f>IF(NFI_Expiration=1,IF($A77&lt;VLOOKUP(S$5,NFI,5,0),1,0)*Table_NFI[[#This Row],[Winter Clothes Children]],Table_NFI[Winter Clothes Children])</f>
        <v>573</v>
      </c>
      <c r="AI77" s="436">
        <f>IF(NFI_Expiration=1,IF($A77&lt;VLOOKUP(T$5,NFI,5,0),1,0)*Table_NFI[[#This Row],[Winter Items Other]],Table_NFI[Winter Items Other])</f>
        <v>0</v>
      </c>
      <c r="AJ77" s="436">
        <f>IF(NFI_Expiration=1,IF($A77&lt;VLOOKUP(M$5,NFI,5,0),1,0)*Table_NFI[[#This Row],[Winter Blanket]],Table_NFI[[#This Row],[Winter Blanket]])</f>
        <v>382</v>
      </c>
      <c r="AK77" s="436">
        <f>IF(Table_NFI[[#This Row],[Winter Clothes Adult]]+Table_NFI[[#This Row],[Winter Clothes Children]]+Table_NFI[[#This Row],[Winter Items Other]]+Table_NFI[[#This Row],[Winter Blanket]]&gt;0,1,0)</f>
        <v>1</v>
      </c>
      <c r="AL77" s="439">
        <f>IF(NFI_Expiration=1,IF($A77&lt;VLOOKUP(V$5,NFI,5,0),1,0)*Table_NFI[[#This Row],[Jerry Can]],Table_NFI[Jerry Can])</f>
        <v>0</v>
      </c>
      <c r="AM77" s="781" t="str">
        <f>IFERROR(VLOOKUP(Table_NFI[[#This Row],[Camp Name]],CL,2,0),"")</f>
        <v>MMR001CMP120</v>
      </c>
      <c r="AN77" s="782">
        <f ca="1">IF(Table_NFI[[#This Row],[Pcode]]="","",IF(OFFSET(CampList[Opening Date],MATCH(Table_NFI[[#This Row],[Pcode]],CampList[CP_Pcode],0)-1,0,1,1)&gt;=NFI_Monitor_Date,1,0))</f>
        <v>0</v>
      </c>
      <c r="AO77" s="781" t="str">
        <f>IFERROR(VLOOKUP(Table_NFI[[#This Row],[Camp Name]],CL,3,0),"")</f>
        <v>Open</v>
      </c>
      <c r="AP77" s="436" t="str">
        <f ca="1">IF(Table_NFI[[#This Row],[Pcode]]="","",OFFSET(CampList[Priority],MATCH(Table_NFI[[#This Row],[Pcode]],CampList[CP_Pcode],0)-1,0,1,1))</f>
        <v>P1</v>
      </c>
      <c r="AQ77" s="438">
        <f>IFERROR(Table_NFI[[#This Row],[Kitchen Set]]/VLOOKUP(Table_NFI[[#This Row],[Camp Name]],CL,4,0),"")</f>
        <v>0</v>
      </c>
      <c r="AR77" s="779"/>
      <c r="AS77" s="783"/>
    </row>
    <row r="78" spans="1:45" s="136" customFormat="1" x14ac:dyDescent="0.25">
      <c r="A78" s="455">
        <f t="shared" si="1"/>
        <v>10.566666666666666</v>
      </c>
      <c r="B78" s="778">
        <v>41992</v>
      </c>
      <c r="C78" s="779" t="s">
        <v>454</v>
      </c>
      <c r="D78" s="779" t="s">
        <v>462</v>
      </c>
      <c r="E78" s="779" t="s">
        <v>380</v>
      </c>
      <c r="F78" s="779" t="s">
        <v>310</v>
      </c>
      <c r="G78" s="779" t="s">
        <v>1268</v>
      </c>
      <c r="H78" s="436"/>
      <c r="I78" s="436"/>
      <c r="J78" s="436"/>
      <c r="K78" s="436"/>
      <c r="L78" s="437"/>
      <c r="M78" s="437"/>
      <c r="N78" s="437"/>
      <c r="O78" s="437"/>
      <c r="P78" s="439"/>
      <c r="Q78" s="439"/>
      <c r="R78" s="436">
        <v>1292</v>
      </c>
      <c r="S78" s="436">
        <v>1938</v>
      </c>
      <c r="T78" s="436"/>
      <c r="U78" s="436">
        <v>1292</v>
      </c>
      <c r="V78" s="436"/>
      <c r="W78" s="436">
        <f>IF(NFI_Expiration=1,IF($A78&lt;VLOOKUP(H$5,NFI,5,0),1,0)*Table_NFI[[#This Row],[Hygiene Kit]],Table_NFI[Hygiene Kit])</f>
        <v>0</v>
      </c>
      <c r="X78" s="436">
        <f>IF(NFI_Expiration=1,IF($A78&lt;VLOOKUP(I$5,NFI,5,0),1,0)*Table_NFI[[#This Row],[NFI Core Kit]],Table_NFI[NFI Core Kit])</f>
        <v>0</v>
      </c>
      <c r="Y78" s="436">
        <f>IF(NFI_Expiration=1,IF($A78&lt;VLOOKUP(J$5,NFI,5,0),1,0)*Table_NFI[[#This Row],[Sanitary Kit]],Table_NFI[Sanitary Kit])</f>
        <v>0</v>
      </c>
      <c r="Z78" s="436">
        <f>IF(NFI_Expiration=1,IF($A78&lt;VLOOKUP(K$5,NFI,5,0),1,0)*Table_NFI[[#This Row],[Mosquito net]],Table_NFI[Mosquito net])</f>
        <v>0</v>
      </c>
      <c r="AA78" s="436">
        <f>IF(NFI_Expiration=1,IF($A78&lt;VLOOKUP(L$5,NFI,5,0),1,0)*Table_NFI[[#This Row],[Tarpaulin]],Table_NFI[[#This Row],[Tarpaulin]])</f>
        <v>0</v>
      </c>
      <c r="AB78" s="436">
        <f>IF(NFI_Expiration=1,IF($A78&lt;VLOOKUP(M$5,NFI,5,0),1,0)*Table_NFI[[#This Row],[Blanket]],Table_NFI[[#This Row],[Blanket]])</f>
        <v>0</v>
      </c>
      <c r="AC78" s="436">
        <f>IF(NFI_Expiration=1,IF($A78&lt;VLOOKUP(N$5,NFI,5,0),1,0)*Table_NFI[[#This Row],[Kitchen Set]],Table_NFI[Kitchen Set])</f>
        <v>0</v>
      </c>
      <c r="AD78" s="436">
        <f>IF(NFI_Expiration=1,IF($A78&lt;VLOOKUP(O$5,NFI,5,0),1,0)*Table_NFI[[#This Row],[Clothes Kit]],Table_NFI[Clothes Kit])</f>
        <v>0</v>
      </c>
      <c r="AE78" s="436">
        <f>IF(NFI_Expiration=1,IF($A78&lt;VLOOKUP(P$5,NFI,5,0),1,0)*Table_NFI[[#This Row],[Plastic Bucket]],Table_NFI[Plastic Bucket])</f>
        <v>0</v>
      </c>
      <c r="AF78" s="436">
        <f>IF(NFI_Expiration=1,IF($A78&lt;VLOOKUP(Q$5,NFI,5,0),1,0)*Table_NFI[[#This Row],[Plastic Mat]],Table_NFI[Plastic Mat])*IF(Table_NFI[[#This Row],[Distribution Date]]&gt;"2014-04-01",1,2.5)</f>
        <v>0</v>
      </c>
      <c r="AG78" s="436">
        <f>IF(NFI_Expiration=1,IF($A78&lt;VLOOKUP(R$5,NFI,5,0),1,0)*Table_NFI[[#This Row],[Winter Clothes Adult]],Table_NFI[Winter Clothes Adult])</f>
        <v>1292</v>
      </c>
      <c r="AH78" s="436">
        <f>IF(NFI_Expiration=1,IF($A78&lt;VLOOKUP(S$5,NFI,5,0),1,0)*Table_NFI[[#This Row],[Winter Clothes Children]],Table_NFI[Winter Clothes Children])</f>
        <v>1938</v>
      </c>
      <c r="AI78" s="436">
        <f>IF(NFI_Expiration=1,IF($A78&lt;VLOOKUP(T$5,NFI,5,0),1,0)*Table_NFI[[#This Row],[Winter Items Other]],Table_NFI[Winter Items Other])</f>
        <v>0</v>
      </c>
      <c r="AJ78" s="436">
        <f>IF(NFI_Expiration=1,IF($A78&lt;VLOOKUP(M$5,NFI,5,0),1,0)*Table_NFI[[#This Row],[Winter Blanket]],Table_NFI[[#This Row],[Winter Blanket]])</f>
        <v>1292</v>
      </c>
      <c r="AK78" s="436">
        <f>IF(Table_NFI[[#This Row],[Winter Clothes Adult]]+Table_NFI[[#This Row],[Winter Clothes Children]]+Table_NFI[[#This Row],[Winter Items Other]]+Table_NFI[[#This Row],[Winter Blanket]]&gt;0,1,0)</f>
        <v>1</v>
      </c>
      <c r="AL78" s="439">
        <f>IF(NFI_Expiration=1,IF($A78&lt;VLOOKUP(V$5,NFI,5,0),1,0)*Table_NFI[[#This Row],[Jerry Can]],Table_NFI[Jerry Can])</f>
        <v>0</v>
      </c>
      <c r="AM78" s="781" t="str">
        <f>IFERROR(VLOOKUP(Table_NFI[[#This Row],[Camp Name]],CL,2,0),"")</f>
        <v>MMR001CMP111</v>
      </c>
      <c r="AN78" s="782">
        <f ca="1">IF(Table_NFI[[#This Row],[Pcode]]="","",IF(OFFSET(CampList[Opening Date],MATCH(Table_NFI[[#This Row],[Pcode]],CampList[CP_Pcode],0)-1,0,1,1)&gt;=NFI_Monitor_Date,1,0))</f>
        <v>0</v>
      </c>
      <c r="AO78" s="781" t="str">
        <f>IFERROR(VLOOKUP(Table_NFI[[#This Row],[Camp Name]],CL,3,0),"")</f>
        <v>Open</v>
      </c>
      <c r="AP78" s="436" t="str">
        <f ca="1">IF(Table_NFI[[#This Row],[Pcode]]="","",OFFSET(CampList[Priority],MATCH(Table_NFI[[#This Row],[Pcode]],CampList[CP_Pcode],0)-1,0,1,1))</f>
        <v>P2</v>
      </c>
      <c r="AQ78" s="438">
        <f>IFERROR(Table_NFI[[#This Row],[Kitchen Set]]/VLOOKUP(Table_NFI[[#This Row],[Camp Name]],CL,4,0),"")</f>
        <v>0</v>
      </c>
      <c r="AR78" s="779"/>
      <c r="AS78" s="783"/>
    </row>
    <row r="79" spans="1:45" s="136" customFormat="1" x14ac:dyDescent="0.25">
      <c r="A79" s="455">
        <f t="shared" si="1"/>
        <v>11.033333333333333</v>
      </c>
      <c r="B79" s="778">
        <v>41978</v>
      </c>
      <c r="C79" s="779" t="s">
        <v>454</v>
      </c>
      <c r="D79" s="779" t="s">
        <v>508</v>
      </c>
      <c r="E79" s="779" t="s">
        <v>380</v>
      </c>
      <c r="F79" s="779" t="s">
        <v>310</v>
      </c>
      <c r="G79" s="779" t="s">
        <v>334</v>
      </c>
      <c r="H79" s="436"/>
      <c r="I79" s="436"/>
      <c r="J79" s="436"/>
      <c r="K79" s="436">
        <v>164</v>
      </c>
      <c r="L79" s="437"/>
      <c r="M79" s="437"/>
      <c r="N79" s="437"/>
      <c r="O79" s="437"/>
      <c r="P79" s="439"/>
      <c r="Q79" s="439"/>
      <c r="R79" s="436">
        <v>302</v>
      </c>
      <c r="S79" s="436">
        <v>440</v>
      </c>
      <c r="T79" s="436"/>
      <c r="U79" s="436">
        <v>297</v>
      </c>
      <c r="V79" s="436"/>
      <c r="W79" s="436">
        <f>IF(NFI_Expiration=1,IF($A79&lt;VLOOKUP(H$5,NFI,5,0),1,0)*Table_NFI[[#This Row],[Hygiene Kit]],Table_NFI[Hygiene Kit])</f>
        <v>0</v>
      </c>
      <c r="X79" s="436">
        <f>IF(NFI_Expiration=1,IF($A79&lt;VLOOKUP(I$5,NFI,5,0),1,0)*Table_NFI[[#This Row],[NFI Core Kit]],Table_NFI[NFI Core Kit])</f>
        <v>0</v>
      </c>
      <c r="Y79" s="436">
        <f>IF(NFI_Expiration=1,IF($A79&lt;VLOOKUP(J$5,NFI,5,0),1,0)*Table_NFI[[#This Row],[Sanitary Kit]],Table_NFI[Sanitary Kit])</f>
        <v>0</v>
      </c>
      <c r="Z79" s="436">
        <f>IF(NFI_Expiration=1,IF($A79&lt;VLOOKUP(K$5,NFI,5,0),1,0)*Table_NFI[[#This Row],[Mosquito net]],Table_NFI[Mosquito net])</f>
        <v>164</v>
      </c>
      <c r="AA79" s="436">
        <f>IF(NFI_Expiration=1,IF($A79&lt;VLOOKUP(L$5,NFI,5,0),1,0)*Table_NFI[[#This Row],[Tarpaulin]],Table_NFI[[#This Row],[Tarpaulin]])</f>
        <v>0</v>
      </c>
      <c r="AB79" s="436">
        <f>IF(NFI_Expiration=1,IF($A79&lt;VLOOKUP(M$5,NFI,5,0),1,0)*Table_NFI[[#This Row],[Blanket]],Table_NFI[[#This Row],[Blanket]])</f>
        <v>0</v>
      </c>
      <c r="AC79" s="436">
        <f>IF(NFI_Expiration=1,IF($A79&lt;VLOOKUP(N$5,NFI,5,0),1,0)*Table_NFI[[#This Row],[Kitchen Set]],Table_NFI[Kitchen Set])</f>
        <v>0</v>
      </c>
      <c r="AD79" s="436">
        <f>IF(NFI_Expiration=1,IF($A79&lt;VLOOKUP(O$5,NFI,5,0),1,0)*Table_NFI[[#This Row],[Clothes Kit]],Table_NFI[Clothes Kit])</f>
        <v>0</v>
      </c>
      <c r="AE79" s="436">
        <f>IF(NFI_Expiration=1,IF($A79&lt;VLOOKUP(P$5,NFI,5,0),1,0)*Table_NFI[[#This Row],[Plastic Bucket]],Table_NFI[Plastic Bucket])</f>
        <v>0</v>
      </c>
      <c r="AF79" s="436">
        <f>IF(NFI_Expiration=1,IF($A79&lt;VLOOKUP(Q$5,NFI,5,0),1,0)*Table_NFI[[#This Row],[Plastic Mat]],Table_NFI[Plastic Mat])*IF(Table_NFI[[#This Row],[Distribution Date]]&gt;"2014-04-01",1,2.5)</f>
        <v>0</v>
      </c>
      <c r="AG79" s="436">
        <f>IF(NFI_Expiration=1,IF($A79&lt;VLOOKUP(R$5,NFI,5,0),1,0)*Table_NFI[[#This Row],[Winter Clothes Adult]],Table_NFI[Winter Clothes Adult])</f>
        <v>302</v>
      </c>
      <c r="AH79" s="436">
        <f>IF(NFI_Expiration=1,IF($A79&lt;VLOOKUP(S$5,NFI,5,0),1,0)*Table_NFI[[#This Row],[Winter Clothes Children]],Table_NFI[Winter Clothes Children])</f>
        <v>440</v>
      </c>
      <c r="AI79" s="436">
        <f>IF(NFI_Expiration=1,IF($A79&lt;VLOOKUP(T$5,NFI,5,0),1,0)*Table_NFI[[#This Row],[Winter Items Other]],Table_NFI[Winter Items Other])</f>
        <v>0</v>
      </c>
      <c r="AJ79" s="436">
        <f>IF(NFI_Expiration=1,IF($A79&lt;VLOOKUP(M$5,NFI,5,0),1,0)*Table_NFI[[#This Row],[Winter Blanket]],Table_NFI[[#This Row],[Winter Blanket]])</f>
        <v>297</v>
      </c>
      <c r="AK79" s="436">
        <f>IF(Table_NFI[[#This Row],[Winter Clothes Adult]]+Table_NFI[[#This Row],[Winter Clothes Children]]+Table_NFI[[#This Row],[Winter Items Other]]+Table_NFI[[#This Row],[Winter Blanket]]&gt;0,1,0)</f>
        <v>1</v>
      </c>
      <c r="AL79" s="439">
        <f>IF(NFI_Expiration=1,IF($A79&lt;VLOOKUP(V$5,NFI,5,0),1,0)*Table_NFI[[#This Row],[Jerry Can]],Table_NFI[Jerry Can])</f>
        <v>0</v>
      </c>
      <c r="AM79" s="781" t="str">
        <f>IFERROR(VLOOKUP(Table_NFI[[#This Row],[Camp Name]],CL,2,0),"")</f>
        <v>MMR001CMP113</v>
      </c>
      <c r="AN79" s="782">
        <f ca="1">IF(Table_NFI[[#This Row],[Pcode]]="","",IF(OFFSET(CampList[Opening Date],MATCH(Table_NFI[[#This Row],[Pcode]],CampList[CP_Pcode],0)-1,0,1,1)&gt;=NFI_Monitor_Date,1,0))</f>
        <v>0</v>
      </c>
      <c r="AO79" s="781" t="str">
        <f>IFERROR(VLOOKUP(Table_NFI[[#This Row],[Camp Name]],CL,3,0),"")</f>
        <v>Open</v>
      </c>
      <c r="AP79" s="436" t="str">
        <f ca="1">IF(Table_NFI[[#This Row],[Pcode]]="","",OFFSET(CampList[Priority],MATCH(Table_NFI[[#This Row],[Pcode]],CampList[CP_Pcode],0)-1,0,1,1))</f>
        <v>P1</v>
      </c>
      <c r="AQ79" s="438">
        <f>IFERROR(Table_NFI[[#This Row],[Kitchen Set]]/VLOOKUP(Table_NFI[[#This Row],[Camp Name]],CL,4,0),"")</f>
        <v>0</v>
      </c>
      <c r="AR79" s="779"/>
      <c r="AS79" s="783"/>
    </row>
    <row r="80" spans="1:45" s="136" customFormat="1" x14ac:dyDescent="0.25">
      <c r="A80" s="455">
        <f t="shared" si="1"/>
        <v>11.033333333333333</v>
      </c>
      <c r="B80" s="778">
        <v>41978</v>
      </c>
      <c r="C80" s="779" t="s">
        <v>454</v>
      </c>
      <c r="D80" s="779" t="s">
        <v>508</v>
      </c>
      <c r="E80" s="779" t="s">
        <v>380</v>
      </c>
      <c r="F80" s="779" t="s">
        <v>310</v>
      </c>
      <c r="G80" s="779" t="s">
        <v>355</v>
      </c>
      <c r="H80" s="436"/>
      <c r="I80" s="436"/>
      <c r="J80" s="436"/>
      <c r="K80" s="436">
        <v>124</v>
      </c>
      <c r="L80" s="437"/>
      <c r="M80" s="437"/>
      <c r="N80" s="437"/>
      <c r="O80" s="437"/>
      <c r="P80" s="439"/>
      <c r="Q80" s="439"/>
      <c r="R80" s="436">
        <v>262</v>
      </c>
      <c r="S80" s="436">
        <v>400</v>
      </c>
      <c r="T80" s="436"/>
      <c r="U80" s="436">
        <v>257</v>
      </c>
      <c r="V80" s="436"/>
      <c r="W80" s="436">
        <f>IF(NFI_Expiration=1,IF($A80&lt;VLOOKUP(H$5,NFI,5,0),1,0)*Table_NFI[[#This Row],[Hygiene Kit]],Table_NFI[Hygiene Kit])</f>
        <v>0</v>
      </c>
      <c r="X80" s="436">
        <f>IF(NFI_Expiration=1,IF($A80&lt;VLOOKUP(I$5,NFI,5,0),1,0)*Table_NFI[[#This Row],[NFI Core Kit]],Table_NFI[NFI Core Kit])</f>
        <v>0</v>
      </c>
      <c r="Y80" s="436">
        <f>IF(NFI_Expiration=1,IF($A80&lt;VLOOKUP(J$5,NFI,5,0),1,0)*Table_NFI[[#This Row],[Sanitary Kit]],Table_NFI[Sanitary Kit])</f>
        <v>0</v>
      </c>
      <c r="Z80" s="436">
        <f>IF(NFI_Expiration=1,IF($A80&lt;VLOOKUP(K$5,NFI,5,0),1,0)*Table_NFI[[#This Row],[Mosquito net]],Table_NFI[Mosquito net])</f>
        <v>124</v>
      </c>
      <c r="AA80" s="436">
        <f>IF(NFI_Expiration=1,IF($A80&lt;VLOOKUP(L$5,NFI,5,0),1,0)*Table_NFI[[#This Row],[Tarpaulin]],Table_NFI[[#This Row],[Tarpaulin]])</f>
        <v>0</v>
      </c>
      <c r="AB80" s="436">
        <f>IF(NFI_Expiration=1,IF($A80&lt;VLOOKUP(M$5,NFI,5,0),1,0)*Table_NFI[[#This Row],[Blanket]],Table_NFI[[#This Row],[Blanket]])</f>
        <v>0</v>
      </c>
      <c r="AC80" s="436">
        <f>IF(NFI_Expiration=1,IF($A80&lt;VLOOKUP(N$5,NFI,5,0),1,0)*Table_NFI[[#This Row],[Kitchen Set]],Table_NFI[Kitchen Set])</f>
        <v>0</v>
      </c>
      <c r="AD80" s="436">
        <f>IF(NFI_Expiration=1,IF($A80&lt;VLOOKUP(O$5,NFI,5,0),1,0)*Table_NFI[[#This Row],[Clothes Kit]],Table_NFI[Clothes Kit])</f>
        <v>0</v>
      </c>
      <c r="AE80" s="436">
        <f>IF(NFI_Expiration=1,IF($A80&lt;VLOOKUP(P$5,NFI,5,0),1,0)*Table_NFI[[#This Row],[Plastic Bucket]],Table_NFI[Plastic Bucket])</f>
        <v>0</v>
      </c>
      <c r="AF80" s="436">
        <f>IF(NFI_Expiration=1,IF($A80&lt;VLOOKUP(Q$5,NFI,5,0),1,0)*Table_NFI[[#This Row],[Plastic Mat]],Table_NFI[Plastic Mat])*IF(Table_NFI[[#This Row],[Distribution Date]]&gt;"2014-04-01",1,2.5)</f>
        <v>0</v>
      </c>
      <c r="AG80" s="436">
        <f>IF(NFI_Expiration=1,IF($A80&lt;VLOOKUP(R$5,NFI,5,0),1,0)*Table_NFI[[#This Row],[Winter Clothes Adult]],Table_NFI[Winter Clothes Adult])</f>
        <v>262</v>
      </c>
      <c r="AH80" s="436">
        <f>IF(NFI_Expiration=1,IF($A80&lt;VLOOKUP(S$5,NFI,5,0),1,0)*Table_NFI[[#This Row],[Winter Clothes Children]],Table_NFI[Winter Clothes Children])</f>
        <v>400</v>
      </c>
      <c r="AI80" s="436">
        <f>IF(NFI_Expiration=1,IF($A80&lt;VLOOKUP(T$5,NFI,5,0),1,0)*Table_NFI[[#This Row],[Winter Items Other]],Table_NFI[Winter Items Other])</f>
        <v>0</v>
      </c>
      <c r="AJ80" s="436">
        <f>IF(NFI_Expiration=1,IF($A80&lt;VLOOKUP(M$5,NFI,5,0),1,0)*Table_NFI[[#This Row],[Winter Blanket]],Table_NFI[[#This Row],[Winter Blanket]])</f>
        <v>257</v>
      </c>
      <c r="AK80" s="436">
        <f>IF(Table_NFI[[#This Row],[Winter Clothes Adult]]+Table_NFI[[#This Row],[Winter Clothes Children]]+Table_NFI[[#This Row],[Winter Items Other]]+Table_NFI[[#This Row],[Winter Blanket]]&gt;0,1,0)</f>
        <v>1</v>
      </c>
      <c r="AL80" s="439">
        <f>IF(NFI_Expiration=1,IF($A80&lt;VLOOKUP(V$5,NFI,5,0),1,0)*Table_NFI[[#This Row],[Jerry Can]],Table_NFI[Jerry Can])</f>
        <v>0</v>
      </c>
      <c r="AM80" s="781" t="str">
        <f>IFERROR(VLOOKUP(Table_NFI[[#This Row],[Camp Name]],CL,2,0),"")</f>
        <v>MMR001CMP160</v>
      </c>
      <c r="AN80" s="782">
        <f ca="1">IF(Table_NFI[[#This Row],[Pcode]]="","",IF(OFFSET(CampList[Opening Date],MATCH(Table_NFI[[#This Row],[Pcode]],CampList[CP_Pcode],0)-1,0,1,1)&gt;=NFI_Monitor_Date,1,0))</f>
        <v>0</v>
      </c>
      <c r="AO80" s="781" t="str">
        <f>IFERROR(VLOOKUP(Table_NFI[[#This Row],[Camp Name]],CL,3,0),"")</f>
        <v>Open</v>
      </c>
      <c r="AP80" s="436" t="str">
        <f ca="1">IF(Table_NFI[[#This Row],[Pcode]]="","",OFFSET(CampList[Priority],MATCH(Table_NFI[[#This Row],[Pcode]],CampList[CP_Pcode],0)-1,0,1,1))</f>
        <v>P1</v>
      </c>
      <c r="AQ80" s="438">
        <f>IFERROR(Table_NFI[[#This Row],[Kitchen Set]]/VLOOKUP(Table_NFI[[#This Row],[Camp Name]],CL,4,0),"")</f>
        <v>0</v>
      </c>
      <c r="AR80" s="779"/>
      <c r="AS80" s="783"/>
    </row>
    <row r="81" spans="1:45" s="136" customFormat="1" x14ac:dyDescent="0.25">
      <c r="A81" s="455">
        <f t="shared" si="1"/>
        <v>11.433333333333334</v>
      </c>
      <c r="B81" s="778">
        <v>41966</v>
      </c>
      <c r="C81" s="779" t="s">
        <v>454</v>
      </c>
      <c r="D81" s="779" t="s">
        <v>462</v>
      </c>
      <c r="E81" s="779" t="s">
        <v>380</v>
      </c>
      <c r="F81" s="779" t="s">
        <v>237</v>
      </c>
      <c r="G81" s="779" t="s">
        <v>253</v>
      </c>
      <c r="H81" s="436"/>
      <c r="I81" s="436"/>
      <c r="J81" s="436"/>
      <c r="K81" s="436">
        <v>72</v>
      </c>
      <c r="L81" s="437">
        <v>36</v>
      </c>
      <c r="M81" s="437">
        <v>72</v>
      </c>
      <c r="N81" s="437">
        <v>36</v>
      </c>
      <c r="O81" s="437"/>
      <c r="P81" s="439">
        <v>36</v>
      </c>
      <c r="Q81" s="439">
        <v>180</v>
      </c>
      <c r="R81" s="436"/>
      <c r="S81" s="436"/>
      <c r="T81" s="436"/>
      <c r="U81" s="436"/>
      <c r="V81" s="436"/>
      <c r="W81" s="436">
        <f>IF(NFI_Expiration=1,IF($A81&lt;VLOOKUP(H$5,NFI,5,0),1,0)*Table_NFI[[#This Row],[Hygiene Kit]],Table_NFI[Hygiene Kit])</f>
        <v>0</v>
      </c>
      <c r="X81" s="436">
        <f>IF(NFI_Expiration=1,IF($A81&lt;VLOOKUP(I$5,NFI,5,0),1,0)*Table_NFI[[#This Row],[NFI Core Kit]],Table_NFI[NFI Core Kit])</f>
        <v>0</v>
      </c>
      <c r="Y81" s="436">
        <f>IF(NFI_Expiration=1,IF($A81&lt;VLOOKUP(J$5,NFI,5,0),1,0)*Table_NFI[[#This Row],[Sanitary Kit]],Table_NFI[Sanitary Kit])</f>
        <v>0</v>
      </c>
      <c r="Z81" s="436">
        <f>IF(NFI_Expiration=1,IF($A81&lt;VLOOKUP(K$5,NFI,5,0),1,0)*Table_NFI[[#This Row],[Mosquito net]],Table_NFI[Mosquito net])</f>
        <v>72</v>
      </c>
      <c r="AA81" s="436">
        <f>IF(NFI_Expiration=1,IF($A81&lt;VLOOKUP(L$5,NFI,5,0),1,0)*Table_NFI[[#This Row],[Tarpaulin]],Table_NFI[[#This Row],[Tarpaulin]])</f>
        <v>36</v>
      </c>
      <c r="AB81" s="436">
        <f>IF(NFI_Expiration=1,IF($A81&lt;VLOOKUP(M$5,NFI,5,0),1,0)*Table_NFI[[#This Row],[Blanket]],Table_NFI[[#This Row],[Blanket]])</f>
        <v>72</v>
      </c>
      <c r="AC81" s="436">
        <f>IF(NFI_Expiration=1,IF($A81&lt;VLOOKUP(N$5,NFI,5,0),1,0)*Table_NFI[[#This Row],[Kitchen Set]],Table_NFI[Kitchen Set])</f>
        <v>36</v>
      </c>
      <c r="AD81" s="436">
        <f>IF(NFI_Expiration=1,IF($A81&lt;VLOOKUP(O$5,NFI,5,0),1,0)*Table_NFI[[#This Row],[Clothes Kit]],Table_NFI[Clothes Kit])</f>
        <v>0</v>
      </c>
      <c r="AE81" s="436">
        <f>IF(NFI_Expiration=1,IF($A81&lt;VLOOKUP(P$5,NFI,5,0),1,0)*Table_NFI[[#This Row],[Plastic Bucket]],Table_NFI[Plastic Bucket])</f>
        <v>36</v>
      </c>
      <c r="AF81" s="436">
        <f>IF(NFI_Expiration=1,IF($A81&lt;VLOOKUP(Q$5,NFI,5,0),1,0)*Table_NFI[[#This Row],[Plastic Mat]],Table_NFI[Plastic Mat])*IF(Table_NFI[[#This Row],[Distribution Date]]&gt;"2014-04-01",1,2.5)</f>
        <v>450</v>
      </c>
      <c r="AG81" s="436">
        <f>IF(NFI_Expiration=1,IF($A81&lt;VLOOKUP(R$5,NFI,5,0),1,0)*Table_NFI[[#This Row],[Winter Clothes Adult]],Table_NFI[Winter Clothes Adult])</f>
        <v>0</v>
      </c>
      <c r="AH81" s="436">
        <f>IF(NFI_Expiration=1,IF($A81&lt;VLOOKUP(S$5,NFI,5,0),1,0)*Table_NFI[[#This Row],[Winter Clothes Children]],Table_NFI[Winter Clothes Children])</f>
        <v>0</v>
      </c>
      <c r="AI81" s="436">
        <f>IF(NFI_Expiration=1,IF($A81&lt;VLOOKUP(T$5,NFI,5,0),1,0)*Table_NFI[[#This Row],[Winter Items Other]],Table_NFI[Winter Items Other])</f>
        <v>0</v>
      </c>
      <c r="AJ81" s="436">
        <f>IF(NFI_Expiration=1,IF($A81&lt;VLOOKUP(M$5,NFI,5,0),1,0)*Table_NFI[[#This Row],[Winter Blanket]],Table_NFI[[#This Row],[Winter Blanket]])</f>
        <v>0</v>
      </c>
      <c r="AK81" s="436">
        <f>IF(Table_NFI[[#This Row],[Winter Clothes Adult]]+Table_NFI[[#This Row],[Winter Clothes Children]]+Table_NFI[[#This Row],[Winter Items Other]]+Table_NFI[[#This Row],[Winter Blanket]]&gt;0,1,0)</f>
        <v>0</v>
      </c>
      <c r="AL81" s="439">
        <f>IF(NFI_Expiration=1,IF($A81&lt;VLOOKUP(V$5,NFI,5,0),1,0)*Table_NFI[[#This Row],[Jerry Can]],Table_NFI[Jerry Can])</f>
        <v>0</v>
      </c>
      <c r="AM81" s="781" t="str">
        <f>IFERROR(VLOOKUP(Table_NFI[[#This Row],[Camp Name]],CL,2,0),"")</f>
        <v>MMR001CMP018</v>
      </c>
      <c r="AN81" s="782">
        <f ca="1">IF(Table_NFI[[#This Row],[Pcode]]="","",IF(OFFSET(CampList[Opening Date],MATCH(Table_NFI[[#This Row],[Pcode]],CampList[CP_Pcode],0)-1,0,1,1)&gt;=NFI_Monitor_Date,1,0))</f>
        <v>0</v>
      </c>
      <c r="AO81" s="781" t="str">
        <f>IFERROR(VLOOKUP(Table_NFI[[#This Row],[Camp Name]],CL,3,0),"")</f>
        <v>Open</v>
      </c>
      <c r="AP81" s="436" t="str">
        <f ca="1">IF(Table_NFI[[#This Row],[Pcode]]="","",OFFSET(CampList[Priority],MATCH(Table_NFI[[#This Row],[Pcode]],CampList[CP_Pcode],0)-1,0,1,1))</f>
        <v>P4</v>
      </c>
      <c r="AQ81" s="438">
        <f>IFERROR(Table_NFI[[#This Row],[Kitchen Set]]/VLOOKUP(Table_NFI[[#This Row],[Camp Name]],CL,4,0),"")</f>
        <v>0.17733990147783252</v>
      </c>
      <c r="AR81" s="779"/>
      <c r="AS81" s="783"/>
    </row>
    <row r="82" spans="1:45" s="136" customFormat="1" x14ac:dyDescent="0.25">
      <c r="A82" s="455">
        <f t="shared" si="1"/>
        <v>11.833333333333334</v>
      </c>
      <c r="B82" s="778">
        <v>41954</v>
      </c>
      <c r="C82" s="779" t="s">
        <v>454</v>
      </c>
      <c r="D82" s="779" t="s">
        <v>462</v>
      </c>
      <c r="E82" s="779" t="s">
        <v>380</v>
      </c>
      <c r="F82" s="779" t="s">
        <v>529</v>
      </c>
      <c r="G82" s="779" t="s">
        <v>88</v>
      </c>
      <c r="H82" s="436"/>
      <c r="I82" s="436"/>
      <c r="J82" s="436">
        <v>19</v>
      </c>
      <c r="K82" s="436">
        <v>38</v>
      </c>
      <c r="L82" s="437">
        <v>19</v>
      </c>
      <c r="M82" s="437">
        <v>38</v>
      </c>
      <c r="N82" s="437">
        <v>19</v>
      </c>
      <c r="O82" s="437"/>
      <c r="P82" s="439">
        <v>19</v>
      </c>
      <c r="Q82" s="439">
        <v>95</v>
      </c>
      <c r="R82" s="436"/>
      <c r="S82" s="436"/>
      <c r="T82" s="436"/>
      <c r="U82" s="436"/>
      <c r="V82" s="436"/>
      <c r="W82" s="436">
        <f>IF(NFI_Expiration=1,IF($A82&lt;VLOOKUP(H$5,NFI,5,0),1,0)*Table_NFI[[#This Row],[Hygiene Kit]],Table_NFI[Hygiene Kit])</f>
        <v>0</v>
      </c>
      <c r="X82" s="436">
        <f>IF(NFI_Expiration=1,IF($A82&lt;VLOOKUP(I$5,NFI,5,0),1,0)*Table_NFI[[#This Row],[NFI Core Kit]],Table_NFI[NFI Core Kit])</f>
        <v>0</v>
      </c>
      <c r="Y82" s="436">
        <f>IF(NFI_Expiration=1,IF($A82&lt;VLOOKUP(J$5,NFI,5,0),1,0)*Table_NFI[[#This Row],[Sanitary Kit]],Table_NFI[Sanitary Kit])</f>
        <v>19</v>
      </c>
      <c r="Z82" s="436">
        <f>IF(NFI_Expiration=1,IF($A82&lt;VLOOKUP(K$5,NFI,5,0),1,0)*Table_NFI[[#This Row],[Mosquito net]],Table_NFI[Mosquito net])</f>
        <v>38</v>
      </c>
      <c r="AA82" s="436">
        <f>IF(NFI_Expiration=1,IF($A82&lt;VLOOKUP(L$5,NFI,5,0),1,0)*Table_NFI[[#This Row],[Tarpaulin]],Table_NFI[[#This Row],[Tarpaulin]])</f>
        <v>19</v>
      </c>
      <c r="AB82" s="436">
        <f>IF(NFI_Expiration=1,IF($A82&lt;VLOOKUP(M$5,NFI,5,0),1,0)*Table_NFI[[#This Row],[Blanket]],Table_NFI[[#This Row],[Blanket]])</f>
        <v>38</v>
      </c>
      <c r="AC82" s="436">
        <f>IF(NFI_Expiration=1,IF($A82&lt;VLOOKUP(N$5,NFI,5,0),1,0)*Table_NFI[[#This Row],[Kitchen Set]],Table_NFI[Kitchen Set])</f>
        <v>19</v>
      </c>
      <c r="AD82" s="436">
        <f>IF(NFI_Expiration=1,IF($A82&lt;VLOOKUP(O$5,NFI,5,0),1,0)*Table_NFI[[#This Row],[Clothes Kit]],Table_NFI[Clothes Kit])</f>
        <v>0</v>
      </c>
      <c r="AE82" s="436">
        <f>IF(NFI_Expiration=1,IF($A82&lt;VLOOKUP(P$5,NFI,5,0),1,0)*Table_NFI[[#This Row],[Plastic Bucket]],Table_NFI[Plastic Bucket])</f>
        <v>19</v>
      </c>
      <c r="AF82" s="436">
        <f>IF(NFI_Expiration=1,IF($A82&lt;VLOOKUP(Q$5,NFI,5,0),1,0)*Table_NFI[[#This Row],[Plastic Mat]],Table_NFI[Plastic Mat])*IF(Table_NFI[[#This Row],[Distribution Date]]&gt;"2014-04-01",1,2.5)</f>
        <v>237.5</v>
      </c>
      <c r="AG82" s="436">
        <f>IF(NFI_Expiration=1,IF($A82&lt;VLOOKUP(R$5,NFI,5,0),1,0)*Table_NFI[[#This Row],[Winter Clothes Adult]],Table_NFI[Winter Clothes Adult])</f>
        <v>0</v>
      </c>
      <c r="AH82" s="436">
        <f>IF(NFI_Expiration=1,IF($A82&lt;VLOOKUP(S$5,NFI,5,0),1,0)*Table_NFI[[#This Row],[Winter Clothes Children]],Table_NFI[Winter Clothes Children])</f>
        <v>0</v>
      </c>
      <c r="AI82" s="436">
        <f>IF(NFI_Expiration=1,IF($A82&lt;VLOOKUP(T$5,NFI,5,0),1,0)*Table_NFI[[#This Row],[Winter Items Other]],Table_NFI[Winter Items Other])</f>
        <v>0</v>
      </c>
      <c r="AJ82" s="436">
        <f>IF(NFI_Expiration=1,IF($A82&lt;VLOOKUP(M$5,NFI,5,0),1,0)*Table_NFI[[#This Row],[Winter Blanket]],Table_NFI[[#This Row],[Winter Blanket]])</f>
        <v>0</v>
      </c>
      <c r="AK82" s="436">
        <f>IF(Table_NFI[[#This Row],[Winter Clothes Adult]]+Table_NFI[[#This Row],[Winter Clothes Children]]+Table_NFI[[#This Row],[Winter Items Other]]+Table_NFI[[#This Row],[Winter Blanket]]&gt;0,1,0)</f>
        <v>0</v>
      </c>
      <c r="AL82" s="439">
        <f>IF(NFI_Expiration=1,IF($A82&lt;VLOOKUP(V$5,NFI,5,0),1,0)*Table_NFI[[#This Row],[Jerry Can]],Table_NFI[Jerry Can])</f>
        <v>0</v>
      </c>
      <c r="AM82" s="781" t="str">
        <f>IFERROR(VLOOKUP(Table_NFI[[#This Row],[Camp Name]],CL,2,0),"")</f>
        <v>MMR001CMP148</v>
      </c>
      <c r="AN82" s="782">
        <f ca="1">IF(Table_NFI[[#This Row],[Pcode]]="","",IF(OFFSET(CampList[Opening Date],MATCH(Table_NFI[[#This Row],[Pcode]],CampList[CP_Pcode],0)-1,0,1,1)&gt;=NFI_Monitor_Date,1,0))</f>
        <v>0</v>
      </c>
      <c r="AO82" s="781" t="str">
        <f>IFERROR(VLOOKUP(Table_NFI[[#This Row],[Camp Name]],CL,3,0),"")</f>
        <v>Open</v>
      </c>
      <c r="AP82" s="436" t="str">
        <f ca="1">IF(Table_NFI[[#This Row],[Pcode]]="","",OFFSET(CampList[Priority],MATCH(Table_NFI[[#This Row],[Pcode]],CampList[CP_Pcode],0)-1,0,1,1))</f>
        <v>P4</v>
      </c>
      <c r="AQ82" s="438">
        <f>IFERROR(Table_NFI[[#This Row],[Kitchen Set]]/VLOOKUP(Table_NFI[[#This Row],[Camp Name]],CL,4,0),"")</f>
        <v>1.5833333333333333</v>
      </c>
      <c r="AR82" s="779"/>
      <c r="AS82" s="783"/>
    </row>
    <row r="83" spans="1:45" s="784" customFormat="1" x14ac:dyDescent="0.25">
      <c r="A83" s="455">
        <f t="shared" si="1"/>
        <v>11.866666666666667</v>
      </c>
      <c r="B83" s="778">
        <v>41953</v>
      </c>
      <c r="C83" s="779" t="s">
        <v>1101</v>
      </c>
      <c r="D83" s="779" t="s">
        <v>907</v>
      </c>
      <c r="E83" s="779" t="s">
        <v>380</v>
      </c>
      <c r="F83" s="779" t="s">
        <v>529</v>
      </c>
      <c r="G83" s="779" t="s">
        <v>613</v>
      </c>
      <c r="H83" s="436"/>
      <c r="I83" s="436"/>
      <c r="J83" s="436"/>
      <c r="K83" s="436"/>
      <c r="L83" s="437"/>
      <c r="M83" s="437"/>
      <c r="N83" s="437"/>
      <c r="O83" s="437"/>
      <c r="P83" s="439"/>
      <c r="Q83" s="439"/>
      <c r="R83" s="436">
        <v>50</v>
      </c>
      <c r="S83" s="436">
        <v>17</v>
      </c>
      <c r="T83" s="436"/>
      <c r="U83" s="436"/>
      <c r="V83" s="436"/>
      <c r="W83" s="436">
        <f>IF(NFI_Expiration=1,IF($A83&lt;VLOOKUP(H$5,NFI,5,0),1,0)*Table_NFI[[#This Row],[Hygiene Kit]],Table_NFI[Hygiene Kit])</f>
        <v>0</v>
      </c>
      <c r="X83" s="436">
        <f>IF(NFI_Expiration=1,IF($A83&lt;VLOOKUP(I$5,NFI,5,0),1,0)*Table_NFI[[#This Row],[NFI Core Kit]],Table_NFI[NFI Core Kit])</f>
        <v>0</v>
      </c>
      <c r="Y83" s="436">
        <f>IF(NFI_Expiration=1,IF($A83&lt;VLOOKUP(J$5,NFI,5,0),1,0)*Table_NFI[[#This Row],[Sanitary Kit]],Table_NFI[Sanitary Kit])</f>
        <v>0</v>
      </c>
      <c r="Z83" s="436">
        <f>IF(NFI_Expiration=1,IF($A83&lt;VLOOKUP(K$5,NFI,5,0),1,0)*Table_NFI[[#This Row],[Mosquito net]],Table_NFI[Mosquito net])</f>
        <v>0</v>
      </c>
      <c r="AA83" s="436">
        <f>IF(NFI_Expiration=1,IF($A83&lt;VLOOKUP(L$5,NFI,5,0),1,0)*Table_NFI[[#This Row],[Tarpaulin]],Table_NFI[[#This Row],[Tarpaulin]])</f>
        <v>0</v>
      </c>
      <c r="AB83" s="436">
        <f>IF(NFI_Expiration=1,IF($A83&lt;VLOOKUP(M$5,NFI,5,0),1,0)*Table_NFI[[#This Row],[Blanket]],Table_NFI[[#This Row],[Blanket]])</f>
        <v>0</v>
      </c>
      <c r="AC83" s="436">
        <f>IF(NFI_Expiration=1,IF($A83&lt;VLOOKUP(N$5,NFI,5,0),1,0)*Table_NFI[[#This Row],[Kitchen Set]],Table_NFI[Kitchen Set])</f>
        <v>0</v>
      </c>
      <c r="AD83" s="436">
        <f>IF(NFI_Expiration=1,IF($A83&lt;VLOOKUP(O$5,NFI,5,0),1,0)*Table_NFI[[#This Row],[Clothes Kit]],Table_NFI[Clothes Kit])</f>
        <v>0</v>
      </c>
      <c r="AE83" s="436">
        <f>IF(NFI_Expiration=1,IF($A83&lt;VLOOKUP(P$5,NFI,5,0),1,0)*Table_NFI[[#This Row],[Plastic Bucket]],Table_NFI[Plastic Bucket])</f>
        <v>0</v>
      </c>
      <c r="AF83" s="436">
        <f>IF(NFI_Expiration=1,IF($A83&lt;VLOOKUP(Q$5,NFI,5,0),1,0)*Table_NFI[[#This Row],[Plastic Mat]],Table_NFI[Plastic Mat])*IF(Table_NFI[[#This Row],[Distribution Date]]&gt;"2014-04-01",1,2.5)</f>
        <v>0</v>
      </c>
      <c r="AG83" s="436">
        <f>IF(NFI_Expiration=1,IF($A83&lt;VLOOKUP(R$5,NFI,5,0),1,0)*Table_NFI[[#This Row],[Winter Clothes Adult]],Table_NFI[Winter Clothes Adult])</f>
        <v>50</v>
      </c>
      <c r="AH83" s="436">
        <f>IF(NFI_Expiration=1,IF($A83&lt;VLOOKUP(S$5,NFI,5,0),1,0)*Table_NFI[[#This Row],[Winter Clothes Children]],Table_NFI[Winter Clothes Children])</f>
        <v>17</v>
      </c>
      <c r="AI83" s="436">
        <f>IF(NFI_Expiration=1,IF($A83&lt;VLOOKUP(T$5,NFI,5,0),1,0)*Table_NFI[[#This Row],[Winter Items Other]],Table_NFI[Winter Items Other])</f>
        <v>0</v>
      </c>
      <c r="AJ83" s="436">
        <f>IF(NFI_Expiration=1,IF($A83&lt;VLOOKUP(M$5,NFI,5,0),1,0)*Table_NFI[[#This Row],[Winter Blanket]],Table_NFI[[#This Row],[Winter Blanket]])</f>
        <v>0</v>
      </c>
      <c r="AK83" s="436">
        <f>IF(Table_NFI[[#This Row],[Winter Clothes Adult]]+Table_NFI[[#This Row],[Winter Clothes Children]]+Table_NFI[[#This Row],[Winter Items Other]]+Table_NFI[[#This Row],[Winter Blanket]]&gt;0,1,0)</f>
        <v>1</v>
      </c>
      <c r="AL83" s="439">
        <f>IF(NFI_Expiration=1,IF($A83&lt;VLOOKUP(V$5,NFI,5,0),1,0)*Table_NFI[[#This Row],[Jerry Can]],Table_NFI[Jerry Can])</f>
        <v>0</v>
      </c>
      <c r="AM83" s="781" t="str">
        <f>IFERROR(VLOOKUP(Table_NFI[[#This Row],[Camp Name]],CL,2,0),"")</f>
        <v>MMR001CMP192</v>
      </c>
      <c r="AN83" s="782">
        <f ca="1">IF(Table_NFI[[#This Row],[Pcode]]="","",IF(OFFSET(CampList[Opening Date],MATCH(Table_NFI[[#This Row],[Pcode]],CampList[CP_Pcode],0)-1,0,1,1)&gt;=NFI_Monitor_Date,1,0))</f>
        <v>0</v>
      </c>
      <c r="AO83" s="781" t="str">
        <f>IFERROR(VLOOKUP(Table_NFI[[#This Row],[Camp Name]],CL,3,0),"")</f>
        <v>Open</v>
      </c>
      <c r="AP83" s="436" t="str">
        <f ca="1">IF(Table_NFI[[#This Row],[Pcode]]="","",OFFSET(CampList[Priority],MATCH(Table_NFI[[#This Row],[Pcode]],CampList[CP_Pcode],0)-1,0,1,1))</f>
        <v>P4</v>
      </c>
      <c r="AQ83" s="438">
        <f>IFERROR(Table_NFI[[#This Row],[Kitchen Set]]/VLOOKUP(Table_NFI[[#This Row],[Camp Name]],CL,4,0),"")</f>
        <v>0</v>
      </c>
      <c r="AR83" s="779"/>
      <c r="AS83" s="783"/>
    </row>
    <row r="84" spans="1:45" s="136" customFormat="1" x14ac:dyDescent="0.25">
      <c r="A84" s="455">
        <f t="shared" si="1"/>
        <v>11.866666666666667</v>
      </c>
      <c r="B84" s="778">
        <v>41953</v>
      </c>
      <c r="C84" s="779" t="s">
        <v>1101</v>
      </c>
      <c r="D84" s="779" t="s">
        <v>907</v>
      </c>
      <c r="E84" s="779" t="s">
        <v>380</v>
      </c>
      <c r="F84" s="779" t="s">
        <v>529</v>
      </c>
      <c r="G84" s="779" t="s">
        <v>108</v>
      </c>
      <c r="H84" s="436"/>
      <c r="I84" s="436"/>
      <c r="J84" s="436"/>
      <c r="K84" s="436"/>
      <c r="L84" s="437"/>
      <c r="M84" s="437"/>
      <c r="N84" s="437"/>
      <c r="O84" s="437"/>
      <c r="P84" s="439"/>
      <c r="Q84" s="439"/>
      <c r="R84" s="436">
        <v>117</v>
      </c>
      <c r="S84" s="436">
        <v>65</v>
      </c>
      <c r="T84" s="436"/>
      <c r="U84" s="436"/>
      <c r="V84" s="436"/>
      <c r="W84" s="436">
        <f>IF(NFI_Expiration=1,IF($A84&lt;VLOOKUP(H$5,NFI,5,0),1,0)*Table_NFI[[#This Row],[Hygiene Kit]],Table_NFI[Hygiene Kit])</f>
        <v>0</v>
      </c>
      <c r="X84" s="436">
        <f>IF(NFI_Expiration=1,IF($A84&lt;VLOOKUP(I$5,NFI,5,0),1,0)*Table_NFI[[#This Row],[NFI Core Kit]],Table_NFI[NFI Core Kit])</f>
        <v>0</v>
      </c>
      <c r="Y84" s="436">
        <f>IF(NFI_Expiration=1,IF($A84&lt;VLOOKUP(J$5,NFI,5,0),1,0)*Table_NFI[[#This Row],[Sanitary Kit]],Table_NFI[Sanitary Kit])</f>
        <v>0</v>
      </c>
      <c r="Z84" s="436">
        <f>IF(NFI_Expiration=1,IF($A84&lt;VLOOKUP(K$5,NFI,5,0),1,0)*Table_NFI[[#This Row],[Mosquito net]],Table_NFI[Mosquito net])</f>
        <v>0</v>
      </c>
      <c r="AA84" s="436">
        <f>IF(NFI_Expiration=1,IF($A84&lt;VLOOKUP(L$5,NFI,5,0),1,0)*Table_NFI[[#This Row],[Tarpaulin]],Table_NFI[[#This Row],[Tarpaulin]])</f>
        <v>0</v>
      </c>
      <c r="AB84" s="436">
        <f>IF(NFI_Expiration=1,IF($A84&lt;VLOOKUP(M$5,NFI,5,0),1,0)*Table_NFI[[#This Row],[Blanket]],Table_NFI[[#This Row],[Blanket]])</f>
        <v>0</v>
      </c>
      <c r="AC84" s="436">
        <f>IF(NFI_Expiration=1,IF($A84&lt;VLOOKUP(N$5,NFI,5,0),1,0)*Table_NFI[[#This Row],[Kitchen Set]],Table_NFI[Kitchen Set])</f>
        <v>0</v>
      </c>
      <c r="AD84" s="436">
        <f>IF(NFI_Expiration=1,IF($A84&lt;VLOOKUP(O$5,NFI,5,0),1,0)*Table_NFI[[#This Row],[Clothes Kit]],Table_NFI[Clothes Kit])</f>
        <v>0</v>
      </c>
      <c r="AE84" s="436">
        <f>IF(NFI_Expiration=1,IF($A84&lt;VLOOKUP(P$5,NFI,5,0),1,0)*Table_NFI[[#This Row],[Plastic Bucket]],Table_NFI[Plastic Bucket])</f>
        <v>0</v>
      </c>
      <c r="AF84" s="436">
        <f>IF(NFI_Expiration=1,IF($A84&lt;VLOOKUP(Q$5,NFI,5,0),1,0)*Table_NFI[[#This Row],[Plastic Mat]],Table_NFI[Plastic Mat])*IF(Table_NFI[[#This Row],[Distribution Date]]&gt;"2014-04-01",1,2.5)</f>
        <v>0</v>
      </c>
      <c r="AG84" s="436">
        <f>IF(NFI_Expiration=1,IF($A84&lt;VLOOKUP(R$5,NFI,5,0),1,0)*Table_NFI[[#This Row],[Winter Clothes Adult]],Table_NFI[Winter Clothes Adult])</f>
        <v>117</v>
      </c>
      <c r="AH84" s="436">
        <f>IF(NFI_Expiration=1,IF($A84&lt;VLOOKUP(S$5,NFI,5,0),1,0)*Table_NFI[[#This Row],[Winter Clothes Children]],Table_NFI[Winter Clothes Children])</f>
        <v>65</v>
      </c>
      <c r="AI84" s="436">
        <f>IF(NFI_Expiration=1,IF($A84&lt;VLOOKUP(T$5,NFI,5,0),1,0)*Table_NFI[[#This Row],[Winter Items Other]],Table_NFI[Winter Items Other])</f>
        <v>0</v>
      </c>
      <c r="AJ84" s="436">
        <f>IF(NFI_Expiration=1,IF($A84&lt;VLOOKUP(M$5,NFI,5,0),1,0)*Table_NFI[[#This Row],[Winter Blanket]],Table_NFI[[#This Row],[Winter Blanket]])</f>
        <v>0</v>
      </c>
      <c r="AK84" s="436">
        <f>IF(Table_NFI[[#This Row],[Winter Clothes Adult]]+Table_NFI[[#This Row],[Winter Clothes Children]]+Table_NFI[[#This Row],[Winter Items Other]]+Table_NFI[[#This Row],[Winter Blanket]]&gt;0,1,0)</f>
        <v>1</v>
      </c>
      <c r="AL84" s="439">
        <f>IF(NFI_Expiration=1,IF($A84&lt;VLOOKUP(V$5,NFI,5,0),1,0)*Table_NFI[[#This Row],[Jerry Can]],Table_NFI[Jerry Can])</f>
        <v>0</v>
      </c>
      <c r="AM84" s="781" t="str">
        <f>IFERROR(VLOOKUP(Table_NFI[[#This Row],[Camp Name]],CL,2,0),"")</f>
        <v>MMR001CMP103</v>
      </c>
      <c r="AN84" s="782">
        <f ca="1">IF(Table_NFI[[#This Row],[Pcode]]="","",IF(OFFSET(CampList[Opening Date],MATCH(Table_NFI[[#This Row],[Pcode]],CampList[CP_Pcode],0)-1,0,1,1)&gt;=NFI_Monitor_Date,1,0))</f>
        <v>0</v>
      </c>
      <c r="AO84" s="781" t="str">
        <f>IFERROR(VLOOKUP(Table_NFI[[#This Row],[Camp Name]],CL,3,0),"")</f>
        <v>Open</v>
      </c>
      <c r="AP84" s="436" t="str">
        <f ca="1">IF(Table_NFI[[#This Row],[Pcode]]="","",OFFSET(CampList[Priority],MATCH(Table_NFI[[#This Row],[Pcode]],CampList[CP_Pcode],0)-1,0,1,1))</f>
        <v>P4</v>
      </c>
      <c r="AQ84" s="438">
        <f>IFERROR(Table_NFI[[#This Row],[Kitchen Set]]/VLOOKUP(Table_NFI[[#This Row],[Camp Name]],CL,4,0),"")</f>
        <v>0</v>
      </c>
      <c r="AR84" s="779"/>
      <c r="AS84" s="783"/>
    </row>
    <row r="85" spans="1:45" s="136" customFormat="1" x14ac:dyDescent="0.25">
      <c r="A85" s="455">
        <f t="shared" si="1"/>
        <v>11.866666666666667</v>
      </c>
      <c r="B85" s="778">
        <v>41953</v>
      </c>
      <c r="C85" s="779" t="s">
        <v>1101</v>
      </c>
      <c r="D85" s="779" t="s">
        <v>907</v>
      </c>
      <c r="E85" s="779" t="s">
        <v>380</v>
      </c>
      <c r="F85" s="779" t="s">
        <v>300</v>
      </c>
      <c r="G85" s="779" t="s">
        <v>897</v>
      </c>
      <c r="H85" s="436"/>
      <c r="I85" s="436"/>
      <c r="J85" s="436"/>
      <c r="K85" s="436"/>
      <c r="L85" s="437"/>
      <c r="M85" s="437"/>
      <c r="N85" s="437"/>
      <c r="O85" s="437"/>
      <c r="P85" s="439"/>
      <c r="Q85" s="439"/>
      <c r="R85" s="436">
        <v>52</v>
      </c>
      <c r="S85" s="436">
        <v>16</v>
      </c>
      <c r="T85" s="436"/>
      <c r="U85" s="436"/>
      <c r="V85" s="436"/>
      <c r="W85" s="436">
        <f>IF(NFI_Expiration=1,IF($A85&lt;VLOOKUP(H$5,NFI,5,0),1,0)*Table_NFI[[#This Row],[Hygiene Kit]],Table_NFI[Hygiene Kit])</f>
        <v>0</v>
      </c>
      <c r="X85" s="436">
        <f>IF(NFI_Expiration=1,IF($A85&lt;VLOOKUP(I$5,NFI,5,0),1,0)*Table_NFI[[#This Row],[NFI Core Kit]],Table_NFI[NFI Core Kit])</f>
        <v>0</v>
      </c>
      <c r="Y85" s="436">
        <f>IF(NFI_Expiration=1,IF($A85&lt;VLOOKUP(J$5,NFI,5,0),1,0)*Table_NFI[[#This Row],[Sanitary Kit]],Table_NFI[Sanitary Kit])</f>
        <v>0</v>
      </c>
      <c r="Z85" s="436">
        <f>IF(NFI_Expiration=1,IF($A85&lt;VLOOKUP(K$5,NFI,5,0),1,0)*Table_NFI[[#This Row],[Mosquito net]],Table_NFI[Mosquito net])</f>
        <v>0</v>
      </c>
      <c r="AA85" s="436">
        <f>IF(NFI_Expiration=1,IF($A85&lt;VLOOKUP(L$5,NFI,5,0),1,0)*Table_NFI[[#This Row],[Tarpaulin]],Table_NFI[[#This Row],[Tarpaulin]])</f>
        <v>0</v>
      </c>
      <c r="AB85" s="436">
        <f>IF(NFI_Expiration=1,IF($A85&lt;VLOOKUP(M$5,NFI,5,0),1,0)*Table_NFI[[#This Row],[Blanket]],Table_NFI[[#This Row],[Blanket]])</f>
        <v>0</v>
      </c>
      <c r="AC85" s="436">
        <f>IF(NFI_Expiration=1,IF($A85&lt;VLOOKUP(N$5,NFI,5,0),1,0)*Table_NFI[[#This Row],[Kitchen Set]],Table_NFI[Kitchen Set])</f>
        <v>0</v>
      </c>
      <c r="AD85" s="436">
        <f>IF(NFI_Expiration=1,IF($A85&lt;VLOOKUP(O$5,NFI,5,0),1,0)*Table_NFI[[#This Row],[Clothes Kit]],Table_NFI[Clothes Kit])</f>
        <v>0</v>
      </c>
      <c r="AE85" s="436">
        <f>IF(NFI_Expiration=1,IF($A85&lt;VLOOKUP(P$5,NFI,5,0),1,0)*Table_NFI[[#This Row],[Plastic Bucket]],Table_NFI[Plastic Bucket])</f>
        <v>0</v>
      </c>
      <c r="AF85" s="436">
        <f>IF(NFI_Expiration=1,IF($A85&lt;VLOOKUP(Q$5,NFI,5,0),1,0)*Table_NFI[[#This Row],[Plastic Mat]],Table_NFI[Plastic Mat])*IF(Table_NFI[[#This Row],[Distribution Date]]&gt;"2014-04-01",1,2.5)</f>
        <v>0</v>
      </c>
      <c r="AG85" s="436">
        <f>IF(NFI_Expiration=1,IF($A85&lt;VLOOKUP(R$5,NFI,5,0),1,0)*Table_NFI[[#This Row],[Winter Clothes Adult]],Table_NFI[Winter Clothes Adult])</f>
        <v>52</v>
      </c>
      <c r="AH85" s="436">
        <f>IF(NFI_Expiration=1,IF($A85&lt;VLOOKUP(S$5,NFI,5,0),1,0)*Table_NFI[[#This Row],[Winter Clothes Children]],Table_NFI[Winter Clothes Children])</f>
        <v>16</v>
      </c>
      <c r="AI85" s="436">
        <f>IF(NFI_Expiration=1,IF($A85&lt;VLOOKUP(T$5,NFI,5,0),1,0)*Table_NFI[[#This Row],[Winter Items Other]],Table_NFI[Winter Items Other])</f>
        <v>0</v>
      </c>
      <c r="AJ85" s="436">
        <f>IF(NFI_Expiration=1,IF($A85&lt;VLOOKUP(M$5,NFI,5,0),1,0)*Table_NFI[[#This Row],[Winter Blanket]],Table_NFI[[#This Row],[Winter Blanket]])</f>
        <v>0</v>
      </c>
      <c r="AK85" s="436">
        <f>IF(Table_NFI[[#This Row],[Winter Clothes Adult]]+Table_NFI[[#This Row],[Winter Clothes Children]]+Table_NFI[[#This Row],[Winter Items Other]]+Table_NFI[[#This Row],[Winter Blanket]]&gt;0,1,0)</f>
        <v>1</v>
      </c>
      <c r="AL85" s="439">
        <f>IF(NFI_Expiration=1,IF($A85&lt;VLOOKUP(V$5,NFI,5,0),1,0)*Table_NFI[[#This Row],[Jerry Can]],Table_NFI[Jerry Can])</f>
        <v>0</v>
      </c>
      <c r="AM85" s="781" t="str">
        <f>IFERROR(VLOOKUP(Table_NFI[[#This Row],[Camp Name]],CL,2,0),"")</f>
        <v>MMR001CMP220</v>
      </c>
      <c r="AN85" s="782">
        <f ca="1">IF(Table_NFI[[#This Row],[Pcode]]="","",IF(OFFSET(CampList[Opening Date],MATCH(Table_NFI[[#This Row],[Pcode]],CampList[CP_Pcode],0)-1,0,1,1)&gt;=NFI_Monitor_Date,1,0))</f>
        <v>0</v>
      </c>
      <c r="AO85" s="781" t="str">
        <f>IFERROR(VLOOKUP(Table_NFI[[#This Row],[Camp Name]],CL,3,0),"")</f>
        <v>Closed</v>
      </c>
      <c r="AP85" s="436" t="str">
        <f ca="1">IF(Table_NFI[[#This Row],[Pcode]]="","",OFFSET(CampList[Priority],MATCH(Table_NFI[[#This Row],[Pcode]],CampList[CP_Pcode],0)-1,0,1,1))</f>
        <v>P3</v>
      </c>
      <c r="AQ85" s="438" t="str">
        <f>IFERROR(Table_NFI[[#This Row],[Kitchen Set]]/VLOOKUP(Table_NFI[[#This Row],[Camp Name]],CL,4,0),"")</f>
        <v/>
      </c>
      <c r="AR85" s="779"/>
      <c r="AS85" s="783"/>
    </row>
    <row r="86" spans="1:45" s="136" customFormat="1" x14ac:dyDescent="0.25">
      <c r="A86" s="455">
        <f t="shared" si="1"/>
        <v>11.866666666666667</v>
      </c>
      <c r="B86" s="778">
        <v>41953</v>
      </c>
      <c r="C86" s="779" t="s">
        <v>1101</v>
      </c>
      <c r="D86" s="779" t="s">
        <v>907</v>
      </c>
      <c r="E86" s="779" t="s">
        <v>380</v>
      </c>
      <c r="F86" s="779" t="s">
        <v>300</v>
      </c>
      <c r="G86" s="779" t="s">
        <v>301</v>
      </c>
      <c r="H86" s="436"/>
      <c r="I86" s="436"/>
      <c r="J86" s="436"/>
      <c r="K86" s="436"/>
      <c r="L86" s="437"/>
      <c r="M86" s="437"/>
      <c r="N86" s="437"/>
      <c r="O86" s="437"/>
      <c r="P86" s="439"/>
      <c r="Q86" s="439"/>
      <c r="R86" s="436">
        <v>72</v>
      </c>
      <c r="S86" s="436">
        <v>11</v>
      </c>
      <c r="T86" s="436"/>
      <c r="U86" s="436"/>
      <c r="V86" s="436"/>
      <c r="W86" s="436">
        <f>IF(NFI_Expiration=1,IF($A86&lt;VLOOKUP(H$5,NFI,5,0),1,0)*Table_NFI[[#This Row],[Hygiene Kit]],Table_NFI[Hygiene Kit])</f>
        <v>0</v>
      </c>
      <c r="X86" s="436">
        <f>IF(NFI_Expiration=1,IF($A86&lt;VLOOKUP(I$5,NFI,5,0),1,0)*Table_NFI[[#This Row],[NFI Core Kit]],Table_NFI[NFI Core Kit])</f>
        <v>0</v>
      </c>
      <c r="Y86" s="436">
        <f>IF(NFI_Expiration=1,IF($A86&lt;VLOOKUP(J$5,NFI,5,0),1,0)*Table_NFI[[#This Row],[Sanitary Kit]],Table_NFI[Sanitary Kit])</f>
        <v>0</v>
      </c>
      <c r="Z86" s="436">
        <f>IF(NFI_Expiration=1,IF($A86&lt;VLOOKUP(K$5,NFI,5,0),1,0)*Table_NFI[[#This Row],[Mosquito net]],Table_NFI[Mosquito net])</f>
        <v>0</v>
      </c>
      <c r="AA86" s="436">
        <f>IF(NFI_Expiration=1,IF($A86&lt;VLOOKUP(L$5,NFI,5,0),1,0)*Table_NFI[[#This Row],[Tarpaulin]],Table_NFI[[#This Row],[Tarpaulin]])</f>
        <v>0</v>
      </c>
      <c r="AB86" s="436">
        <f>IF(NFI_Expiration=1,IF($A86&lt;VLOOKUP(M$5,NFI,5,0),1,0)*Table_NFI[[#This Row],[Blanket]],Table_NFI[[#This Row],[Blanket]])</f>
        <v>0</v>
      </c>
      <c r="AC86" s="436">
        <f>IF(NFI_Expiration=1,IF($A86&lt;VLOOKUP(N$5,NFI,5,0),1,0)*Table_NFI[[#This Row],[Kitchen Set]],Table_NFI[Kitchen Set])</f>
        <v>0</v>
      </c>
      <c r="AD86" s="436">
        <f>IF(NFI_Expiration=1,IF($A86&lt;VLOOKUP(O$5,NFI,5,0),1,0)*Table_NFI[[#This Row],[Clothes Kit]],Table_NFI[Clothes Kit])</f>
        <v>0</v>
      </c>
      <c r="AE86" s="436">
        <f>IF(NFI_Expiration=1,IF($A86&lt;VLOOKUP(P$5,NFI,5,0),1,0)*Table_NFI[[#This Row],[Plastic Bucket]],Table_NFI[Plastic Bucket])</f>
        <v>0</v>
      </c>
      <c r="AF86" s="436">
        <f>IF(NFI_Expiration=1,IF($A86&lt;VLOOKUP(Q$5,NFI,5,0),1,0)*Table_NFI[[#This Row],[Plastic Mat]],Table_NFI[Plastic Mat])*IF(Table_NFI[[#This Row],[Distribution Date]]&gt;"2014-04-01",1,2.5)</f>
        <v>0</v>
      </c>
      <c r="AG86" s="436">
        <f>IF(NFI_Expiration=1,IF($A86&lt;VLOOKUP(R$5,NFI,5,0),1,0)*Table_NFI[[#This Row],[Winter Clothes Adult]],Table_NFI[Winter Clothes Adult])</f>
        <v>72</v>
      </c>
      <c r="AH86" s="436">
        <f>IF(NFI_Expiration=1,IF($A86&lt;VLOOKUP(S$5,NFI,5,0),1,0)*Table_NFI[[#This Row],[Winter Clothes Children]],Table_NFI[Winter Clothes Children])</f>
        <v>11</v>
      </c>
      <c r="AI86" s="436">
        <f>IF(NFI_Expiration=1,IF($A86&lt;VLOOKUP(T$5,NFI,5,0),1,0)*Table_NFI[[#This Row],[Winter Items Other]],Table_NFI[Winter Items Other])</f>
        <v>0</v>
      </c>
      <c r="AJ86" s="436">
        <f>IF(NFI_Expiration=1,IF($A86&lt;VLOOKUP(M$5,NFI,5,0),1,0)*Table_NFI[[#This Row],[Winter Blanket]],Table_NFI[[#This Row],[Winter Blanket]])</f>
        <v>0</v>
      </c>
      <c r="AK86" s="436">
        <f>IF(Table_NFI[[#This Row],[Winter Clothes Adult]]+Table_NFI[[#This Row],[Winter Clothes Children]]+Table_NFI[[#This Row],[Winter Items Other]]+Table_NFI[[#This Row],[Winter Blanket]]&gt;0,1,0)</f>
        <v>1</v>
      </c>
      <c r="AL86" s="439">
        <f>IF(NFI_Expiration=1,IF($A86&lt;VLOOKUP(V$5,NFI,5,0),1,0)*Table_NFI[[#This Row],[Jerry Can]],Table_NFI[Jerry Can])</f>
        <v>0</v>
      </c>
      <c r="AM86" s="781" t="str">
        <f>IFERROR(VLOOKUP(Table_NFI[[#This Row],[Camp Name]],CL,2,0),"")</f>
        <v>MMR001CMP075</v>
      </c>
      <c r="AN86" s="782">
        <f ca="1">IF(Table_NFI[[#This Row],[Pcode]]="","",IF(OFFSET(CampList[Opening Date],MATCH(Table_NFI[[#This Row],[Pcode]],CampList[CP_Pcode],0)-1,0,1,1)&gt;=NFI_Monitor_Date,1,0))</f>
        <v>0</v>
      </c>
      <c r="AO86" s="781" t="str">
        <f>IFERROR(VLOOKUP(Table_NFI[[#This Row],[Camp Name]],CL,3,0),"")</f>
        <v>Open</v>
      </c>
      <c r="AP86" s="436" t="str">
        <f ca="1">IF(Table_NFI[[#This Row],[Pcode]]="","",OFFSET(CampList[Priority],MATCH(Table_NFI[[#This Row],[Pcode]],CampList[CP_Pcode],0)-1,0,1,1))</f>
        <v>P3</v>
      </c>
      <c r="AQ86" s="438">
        <f>IFERROR(Table_NFI[[#This Row],[Kitchen Set]]/VLOOKUP(Table_NFI[[#This Row],[Camp Name]],CL,4,0),"")</f>
        <v>0</v>
      </c>
      <c r="AR86" s="779"/>
      <c r="AS86" s="783"/>
    </row>
    <row r="87" spans="1:45" s="136" customFormat="1" x14ac:dyDescent="0.25">
      <c r="A87" s="455">
        <f t="shared" si="1"/>
        <v>12.1</v>
      </c>
      <c r="B87" s="778">
        <v>41946</v>
      </c>
      <c r="C87" s="779" t="s">
        <v>454</v>
      </c>
      <c r="D87" s="779" t="s">
        <v>507</v>
      </c>
      <c r="E87" s="779" t="s">
        <v>380</v>
      </c>
      <c r="F87" s="779" t="s">
        <v>310</v>
      </c>
      <c r="G87" s="779" t="s">
        <v>313</v>
      </c>
      <c r="H87" s="436"/>
      <c r="I87" s="436"/>
      <c r="J87" s="436">
        <v>15</v>
      </c>
      <c r="K87" s="436">
        <v>30</v>
      </c>
      <c r="L87" s="437">
        <v>15</v>
      </c>
      <c r="M87" s="437">
        <v>30</v>
      </c>
      <c r="N87" s="437">
        <v>15</v>
      </c>
      <c r="O87" s="437"/>
      <c r="P87" s="439">
        <v>15</v>
      </c>
      <c r="Q87" s="439">
        <v>75</v>
      </c>
      <c r="R87" s="436"/>
      <c r="S87" s="436"/>
      <c r="T87" s="436"/>
      <c r="U87" s="436"/>
      <c r="V87" s="436"/>
      <c r="W87" s="436">
        <f>IF(NFI_Expiration=1,IF($A87&lt;VLOOKUP(H$5,NFI,5,0),1,0)*Table_NFI[[#This Row],[Hygiene Kit]],Table_NFI[Hygiene Kit])</f>
        <v>0</v>
      </c>
      <c r="X87" s="436">
        <f>IF(NFI_Expiration=1,IF($A87&lt;VLOOKUP(I$5,NFI,5,0),1,0)*Table_NFI[[#This Row],[NFI Core Kit]],Table_NFI[NFI Core Kit])</f>
        <v>0</v>
      </c>
      <c r="Y87" s="436">
        <f>IF(NFI_Expiration=1,IF($A87&lt;VLOOKUP(J$5,NFI,5,0),1,0)*Table_NFI[[#This Row],[Sanitary Kit]],Table_NFI[Sanitary Kit])</f>
        <v>0</v>
      </c>
      <c r="Z87" s="436">
        <f>IF(NFI_Expiration=1,IF($A87&lt;VLOOKUP(K$5,NFI,5,0),1,0)*Table_NFI[[#This Row],[Mosquito net]],Table_NFI[Mosquito net])</f>
        <v>0</v>
      </c>
      <c r="AA87" s="436">
        <f>IF(NFI_Expiration=1,IF($A87&lt;VLOOKUP(L$5,NFI,5,0),1,0)*Table_NFI[[#This Row],[Tarpaulin]],Table_NFI[[#This Row],[Tarpaulin]])</f>
        <v>0</v>
      </c>
      <c r="AB87" s="436">
        <f>IF(NFI_Expiration=1,IF($A87&lt;VLOOKUP(M$5,NFI,5,0),1,0)*Table_NFI[[#This Row],[Blanket]],Table_NFI[[#This Row],[Blanket]])</f>
        <v>0</v>
      </c>
      <c r="AC87" s="436">
        <f>IF(NFI_Expiration=1,IF($A87&lt;VLOOKUP(N$5,NFI,5,0),1,0)*Table_NFI[[#This Row],[Kitchen Set]],Table_NFI[Kitchen Set])</f>
        <v>0</v>
      </c>
      <c r="AD87" s="436">
        <f>IF(NFI_Expiration=1,IF($A87&lt;VLOOKUP(O$5,NFI,5,0),1,0)*Table_NFI[[#This Row],[Clothes Kit]],Table_NFI[Clothes Kit])</f>
        <v>0</v>
      </c>
      <c r="AE87" s="436">
        <f>IF(NFI_Expiration=1,IF($A87&lt;VLOOKUP(P$5,NFI,5,0),1,0)*Table_NFI[[#This Row],[Plastic Bucket]],Table_NFI[Plastic Bucket])</f>
        <v>0</v>
      </c>
      <c r="AF87" s="436">
        <f>IF(NFI_Expiration=1,IF($A87&lt;VLOOKUP(Q$5,NFI,5,0),1,0)*Table_NFI[[#This Row],[Plastic Mat]],Table_NFI[Plastic Mat])*IF(Table_NFI[[#This Row],[Distribution Date]]&gt;"2014-04-01",1,2.5)</f>
        <v>0</v>
      </c>
      <c r="AG87" s="436">
        <f>IF(NFI_Expiration=1,IF($A87&lt;VLOOKUP(R$5,NFI,5,0),1,0)*Table_NFI[[#This Row],[Winter Clothes Adult]],Table_NFI[Winter Clothes Adult])</f>
        <v>0</v>
      </c>
      <c r="AH87" s="436">
        <f>IF(NFI_Expiration=1,IF($A87&lt;VLOOKUP(S$5,NFI,5,0),1,0)*Table_NFI[[#This Row],[Winter Clothes Children]],Table_NFI[Winter Clothes Children])</f>
        <v>0</v>
      </c>
      <c r="AI87" s="436">
        <f>IF(NFI_Expiration=1,IF($A87&lt;VLOOKUP(T$5,NFI,5,0),1,0)*Table_NFI[[#This Row],[Winter Items Other]],Table_NFI[Winter Items Other])</f>
        <v>0</v>
      </c>
      <c r="AJ87" s="436">
        <f>IF(NFI_Expiration=1,IF($A87&lt;VLOOKUP(M$5,NFI,5,0),1,0)*Table_NFI[[#This Row],[Winter Blanket]],Table_NFI[[#This Row],[Winter Blanket]])</f>
        <v>0</v>
      </c>
      <c r="AK87" s="436">
        <f>IF(Table_NFI[[#This Row],[Winter Clothes Adult]]+Table_NFI[[#This Row],[Winter Clothes Children]]+Table_NFI[[#This Row],[Winter Items Other]]+Table_NFI[[#This Row],[Winter Blanket]]&gt;0,1,0)</f>
        <v>0</v>
      </c>
      <c r="AL87" s="439">
        <f>IF(NFI_Expiration=1,IF($A87&lt;VLOOKUP(V$5,NFI,5,0),1,0)*Table_NFI[[#This Row],[Jerry Can]],Table_NFI[Jerry Can])</f>
        <v>0</v>
      </c>
      <c r="AM87" s="781" t="str">
        <f>IFERROR(VLOOKUP(Table_NFI[[#This Row],[Camp Name]],CL,2,0),"")</f>
        <v>MMR001CMP028</v>
      </c>
      <c r="AN87" s="782">
        <f ca="1">IF(Table_NFI[[#This Row],[Pcode]]="","",IF(OFFSET(CampList[Opening Date],MATCH(Table_NFI[[#This Row],[Pcode]],CampList[CP_Pcode],0)-1,0,1,1)&gt;=NFI_Monitor_Date,1,0))</f>
        <v>0</v>
      </c>
      <c r="AO87" s="781" t="str">
        <f>IFERROR(VLOOKUP(Table_NFI[[#This Row],[Camp Name]],CL,3,0),"")</f>
        <v>Open</v>
      </c>
      <c r="AP87" s="436" t="str">
        <f ca="1">IF(Table_NFI[[#This Row],[Pcode]]="","",OFFSET(CampList[Priority],MATCH(Table_NFI[[#This Row],[Pcode]],CampList[CP_Pcode],0)-1,0,1,1))</f>
        <v>P4</v>
      </c>
      <c r="AQ87" s="438">
        <f>IFERROR(Table_NFI[[#This Row],[Kitchen Set]]/VLOOKUP(Table_NFI[[#This Row],[Camp Name]],CL,4,0),"")</f>
        <v>0.13636363636363635</v>
      </c>
      <c r="AR87" s="779"/>
      <c r="AS87" s="783"/>
    </row>
    <row r="88" spans="1:45" s="784" customFormat="1" x14ac:dyDescent="0.25">
      <c r="A88" s="455">
        <f t="shared" si="1"/>
        <v>12.2</v>
      </c>
      <c r="B88" s="778">
        <v>41943</v>
      </c>
      <c r="C88" s="779" t="s">
        <v>454</v>
      </c>
      <c r="D88" s="779"/>
      <c r="E88" s="779" t="s">
        <v>380</v>
      </c>
      <c r="F88" s="779" t="s">
        <v>529</v>
      </c>
      <c r="G88" s="779" t="s">
        <v>62</v>
      </c>
      <c r="H88" s="436"/>
      <c r="I88" s="436"/>
      <c r="J88" s="436">
        <v>77</v>
      </c>
      <c r="K88" s="436">
        <v>154</v>
      </c>
      <c r="L88" s="437">
        <v>77</v>
      </c>
      <c r="M88" s="437">
        <v>154</v>
      </c>
      <c r="N88" s="437">
        <v>77</v>
      </c>
      <c r="O88" s="437"/>
      <c r="P88" s="439">
        <v>77</v>
      </c>
      <c r="Q88" s="439">
        <v>385</v>
      </c>
      <c r="R88" s="436"/>
      <c r="S88" s="436"/>
      <c r="T88" s="436"/>
      <c r="U88" s="436"/>
      <c r="V88" s="436"/>
      <c r="W88" s="436">
        <f>IF(NFI_Expiration=1,IF($A88&lt;VLOOKUP(H$5,NFI,5,0),1,0)*Table_NFI[[#This Row],[Hygiene Kit]],Table_NFI[Hygiene Kit])</f>
        <v>0</v>
      </c>
      <c r="X88" s="436">
        <f>IF(NFI_Expiration=1,IF($A88&lt;VLOOKUP(I$5,NFI,5,0),1,0)*Table_NFI[[#This Row],[NFI Core Kit]],Table_NFI[NFI Core Kit])</f>
        <v>0</v>
      </c>
      <c r="Y88" s="436">
        <f>IF(NFI_Expiration=1,IF($A88&lt;VLOOKUP(J$5,NFI,5,0),1,0)*Table_NFI[[#This Row],[Sanitary Kit]],Table_NFI[Sanitary Kit])</f>
        <v>0</v>
      </c>
      <c r="Z88" s="436">
        <f>IF(NFI_Expiration=1,IF($A88&lt;VLOOKUP(K$5,NFI,5,0),1,0)*Table_NFI[[#This Row],[Mosquito net]],Table_NFI[Mosquito net])</f>
        <v>0</v>
      </c>
      <c r="AA88" s="436">
        <f>IF(NFI_Expiration=1,IF($A88&lt;VLOOKUP(L$5,NFI,5,0),1,0)*Table_NFI[[#This Row],[Tarpaulin]],Table_NFI[[#This Row],[Tarpaulin]])</f>
        <v>0</v>
      </c>
      <c r="AB88" s="436">
        <f>IF(NFI_Expiration=1,IF($A88&lt;VLOOKUP(M$5,NFI,5,0),1,0)*Table_NFI[[#This Row],[Blanket]],Table_NFI[[#This Row],[Blanket]])</f>
        <v>0</v>
      </c>
      <c r="AC88" s="436">
        <f>IF(NFI_Expiration=1,IF($A88&lt;VLOOKUP(N$5,NFI,5,0),1,0)*Table_NFI[[#This Row],[Kitchen Set]],Table_NFI[Kitchen Set])</f>
        <v>0</v>
      </c>
      <c r="AD88" s="436">
        <f>IF(NFI_Expiration=1,IF($A88&lt;VLOOKUP(O$5,NFI,5,0),1,0)*Table_NFI[[#This Row],[Clothes Kit]],Table_NFI[Clothes Kit])</f>
        <v>0</v>
      </c>
      <c r="AE88" s="436">
        <f>IF(NFI_Expiration=1,IF($A88&lt;VLOOKUP(P$5,NFI,5,0),1,0)*Table_NFI[[#This Row],[Plastic Bucket]],Table_NFI[Plastic Bucket])</f>
        <v>0</v>
      </c>
      <c r="AF88" s="436">
        <f>IF(NFI_Expiration=1,IF($A88&lt;VLOOKUP(Q$5,NFI,5,0),1,0)*Table_NFI[[#This Row],[Plastic Mat]],Table_NFI[Plastic Mat])*IF(Table_NFI[[#This Row],[Distribution Date]]&gt;"2014-04-01",1,2.5)</f>
        <v>0</v>
      </c>
      <c r="AG88" s="436">
        <f>IF(NFI_Expiration=1,IF($A88&lt;VLOOKUP(R$5,NFI,5,0),1,0)*Table_NFI[[#This Row],[Winter Clothes Adult]],Table_NFI[Winter Clothes Adult])</f>
        <v>0</v>
      </c>
      <c r="AH88" s="436">
        <f>IF(NFI_Expiration=1,IF($A88&lt;VLOOKUP(S$5,NFI,5,0),1,0)*Table_NFI[[#This Row],[Winter Clothes Children]],Table_NFI[Winter Clothes Children])</f>
        <v>0</v>
      </c>
      <c r="AI88" s="436">
        <f>IF(NFI_Expiration=1,IF($A88&lt;VLOOKUP(T$5,NFI,5,0),1,0)*Table_NFI[[#This Row],[Winter Items Other]],Table_NFI[Winter Items Other])</f>
        <v>0</v>
      </c>
      <c r="AJ88" s="436">
        <f>IF(NFI_Expiration=1,IF($A88&lt;VLOOKUP(M$5,NFI,5,0),1,0)*Table_NFI[[#This Row],[Winter Blanket]],Table_NFI[[#This Row],[Winter Blanket]])</f>
        <v>0</v>
      </c>
      <c r="AK88" s="436">
        <f>IF(Table_NFI[[#This Row],[Winter Clothes Adult]]+Table_NFI[[#This Row],[Winter Clothes Children]]+Table_NFI[[#This Row],[Winter Items Other]]+Table_NFI[[#This Row],[Winter Blanket]]&gt;0,1,0)</f>
        <v>0</v>
      </c>
      <c r="AL88" s="439">
        <f>IF(NFI_Expiration=1,IF($A88&lt;VLOOKUP(V$5,NFI,5,0),1,0)*Table_NFI[[#This Row],[Jerry Can]],Table_NFI[Jerry Can])</f>
        <v>0</v>
      </c>
      <c r="AM88" s="781" t="str">
        <f>IFERROR(VLOOKUP(Table_NFI[[#This Row],[Camp Name]],CL,2,0),"")</f>
        <v>MMR001CMP179</v>
      </c>
      <c r="AN88" s="782">
        <f ca="1">IF(Table_NFI[[#This Row],[Pcode]]="","",IF(OFFSET(CampList[Opening Date],MATCH(Table_NFI[[#This Row],[Pcode]],CampList[CP_Pcode],0)-1,0,1,1)&gt;=NFI_Monitor_Date,1,0))</f>
        <v>0</v>
      </c>
      <c r="AO88" s="781" t="str">
        <f>IFERROR(VLOOKUP(Table_NFI[[#This Row],[Camp Name]],CL,3,0),"")</f>
        <v>Open</v>
      </c>
      <c r="AP88" s="436" t="str">
        <f ca="1">IF(Table_NFI[[#This Row],[Pcode]]="","",OFFSET(CampList[Priority],MATCH(Table_NFI[[#This Row],[Pcode]],CampList[CP_Pcode],0)-1,0,1,1))</f>
        <v>P4</v>
      </c>
      <c r="AQ88" s="438">
        <f>IFERROR(Table_NFI[[#This Row],[Kitchen Set]]/VLOOKUP(Table_NFI[[#This Row],[Camp Name]],CL,4,0),"")</f>
        <v>1.013157894736842</v>
      </c>
      <c r="AR88" s="779"/>
      <c r="AS88" s="783"/>
    </row>
    <row r="89" spans="1:45" s="136" customFormat="1" x14ac:dyDescent="0.25">
      <c r="A89" s="455">
        <f t="shared" si="1"/>
        <v>12.2</v>
      </c>
      <c r="B89" s="778">
        <v>41943</v>
      </c>
      <c r="C89" s="779" t="s">
        <v>454</v>
      </c>
      <c r="D89" s="779"/>
      <c r="E89" s="779" t="s">
        <v>380</v>
      </c>
      <c r="F89" s="779" t="s">
        <v>529</v>
      </c>
      <c r="G89" s="779" t="s">
        <v>120</v>
      </c>
      <c r="H89" s="436"/>
      <c r="I89" s="436"/>
      <c r="J89" s="436">
        <v>59</v>
      </c>
      <c r="K89" s="436">
        <v>118</v>
      </c>
      <c r="L89" s="437">
        <v>59</v>
      </c>
      <c r="M89" s="437">
        <v>118</v>
      </c>
      <c r="N89" s="437">
        <v>59</v>
      </c>
      <c r="O89" s="437"/>
      <c r="P89" s="439">
        <v>59</v>
      </c>
      <c r="Q89" s="439">
        <v>295</v>
      </c>
      <c r="R89" s="436"/>
      <c r="S89" s="436"/>
      <c r="T89" s="436"/>
      <c r="U89" s="436"/>
      <c r="V89" s="436"/>
      <c r="W89" s="436">
        <f>IF(NFI_Expiration=1,IF($A89&lt;VLOOKUP(H$5,NFI,5,0),1,0)*Table_NFI[[#This Row],[Hygiene Kit]],Table_NFI[Hygiene Kit])</f>
        <v>0</v>
      </c>
      <c r="X89" s="436">
        <f>IF(NFI_Expiration=1,IF($A89&lt;VLOOKUP(I$5,NFI,5,0),1,0)*Table_NFI[[#This Row],[NFI Core Kit]],Table_NFI[NFI Core Kit])</f>
        <v>0</v>
      </c>
      <c r="Y89" s="436">
        <f>IF(NFI_Expiration=1,IF($A89&lt;VLOOKUP(J$5,NFI,5,0),1,0)*Table_NFI[[#This Row],[Sanitary Kit]],Table_NFI[Sanitary Kit])</f>
        <v>0</v>
      </c>
      <c r="Z89" s="436">
        <f>IF(NFI_Expiration=1,IF($A89&lt;VLOOKUP(K$5,NFI,5,0),1,0)*Table_NFI[[#This Row],[Mosquito net]],Table_NFI[Mosquito net])</f>
        <v>0</v>
      </c>
      <c r="AA89" s="436">
        <f>IF(NFI_Expiration=1,IF($A89&lt;VLOOKUP(L$5,NFI,5,0),1,0)*Table_NFI[[#This Row],[Tarpaulin]],Table_NFI[[#This Row],[Tarpaulin]])</f>
        <v>0</v>
      </c>
      <c r="AB89" s="436">
        <f>IF(NFI_Expiration=1,IF($A89&lt;VLOOKUP(M$5,NFI,5,0),1,0)*Table_NFI[[#This Row],[Blanket]],Table_NFI[[#This Row],[Blanket]])</f>
        <v>0</v>
      </c>
      <c r="AC89" s="436">
        <f>IF(NFI_Expiration=1,IF($A89&lt;VLOOKUP(N$5,NFI,5,0),1,0)*Table_NFI[[#This Row],[Kitchen Set]],Table_NFI[Kitchen Set])</f>
        <v>0</v>
      </c>
      <c r="AD89" s="436">
        <f>IF(NFI_Expiration=1,IF($A89&lt;VLOOKUP(O$5,NFI,5,0),1,0)*Table_NFI[[#This Row],[Clothes Kit]],Table_NFI[Clothes Kit])</f>
        <v>0</v>
      </c>
      <c r="AE89" s="436">
        <f>IF(NFI_Expiration=1,IF($A89&lt;VLOOKUP(P$5,NFI,5,0),1,0)*Table_NFI[[#This Row],[Plastic Bucket]],Table_NFI[Plastic Bucket])</f>
        <v>0</v>
      </c>
      <c r="AF89" s="436">
        <f>IF(NFI_Expiration=1,IF($A89&lt;VLOOKUP(Q$5,NFI,5,0),1,0)*Table_NFI[[#This Row],[Plastic Mat]],Table_NFI[Plastic Mat])*IF(Table_NFI[[#This Row],[Distribution Date]]&gt;"2014-04-01",1,2.5)</f>
        <v>0</v>
      </c>
      <c r="AG89" s="436">
        <f>IF(NFI_Expiration=1,IF($A89&lt;VLOOKUP(R$5,NFI,5,0),1,0)*Table_NFI[[#This Row],[Winter Clothes Adult]],Table_NFI[Winter Clothes Adult])</f>
        <v>0</v>
      </c>
      <c r="AH89" s="436">
        <f>IF(NFI_Expiration=1,IF($A89&lt;VLOOKUP(S$5,NFI,5,0),1,0)*Table_NFI[[#This Row],[Winter Clothes Children]],Table_NFI[Winter Clothes Children])</f>
        <v>0</v>
      </c>
      <c r="AI89" s="436">
        <f>IF(NFI_Expiration=1,IF($A89&lt;VLOOKUP(T$5,NFI,5,0),1,0)*Table_NFI[[#This Row],[Winter Items Other]],Table_NFI[Winter Items Other])</f>
        <v>0</v>
      </c>
      <c r="AJ89" s="436">
        <f>IF(NFI_Expiration=1,IF($A89&lt;VLOOKUP(M$5,NFI,5,0),1,0)*Table_NFI[[#This Row],[Winter Blanket]],Table_NFI[[#This Row],[Winter Blanket]])</f>
        <v>0</v>
      </c>
      <c r="AK89" s="436">
        <f>IF(Table_NFI[[#This Row],[Winter Clothes Adult]]+Table_NFI[[#This Row],[Winter Clothes Children]]+Table_NFI[[#This Row],[Winter Items Other]]+Table_NFI[[#This Row],[Winter Blanket]]&gt;0,1,0)</f>
        <v>0</v>
      </c>
      <c r="AL89" s="439">
        <f>IF(NFI_Expiration=1,IF($A89&lt;VLOOKUP(V$5,NFI,5,0),1,0)*Table_NFI[[#This Row],[Jerry Can]],Table_NFI[Jerry Can])</f>
        <v>0</v>
      </c>
      <c r="AM89" s="781" t="str">
        <f>IFERROR(VLOOKUP(Table_NFI[[#This Row],[Camp Name]],CL,2,0),"")</f>
        <v>MMR001CMP168</v>
      </c>
      <c r="AN89" s="782">
        <f ca="1">IF(Table_NFI[[#This Row],[Pcode]]="","",IF(OFFSET(CampList[Opening Date],MATCH(Table_NFI[[#This Row],[Pcode]],CampList[CP_Pcode],0)-1,0,1,1)&gt;=NFI_Monitor_Date,1,0))</f>
        <v>0</v>
      </c>
      <c r="AO89" s="781" t="str">
        <f>IFERROR(VLOOKUP(Table_NFI[[#This Row],[Camp Name]],CL,3,0),"")</f>
        <v>Open</v>
      </c>
      <c r="AP89" s="436" t="str">
        <f ca="1">IF(Table_NFI[[#This Row],[Pcode]]="","",OFFSET(CampList[Priority],MATCH(Table_NFI[[#This Row],[Pcode]],CampList[CP_Pcode],0)-1,0,1,1))</f>
        <v>P4</v>
      </c>
      <c r="AQ89" s="438">
        <f>IFERROR(Table_NFI[[#This Row],[Kitchen Set]]/VLOOKUP(Table_NFI[[#This Row],[Camp Name]],CL,4,0),"")</f>
        <v>0.78666666666666663</v>
      </c>
      <c r="AR89" s="779"/>
      <c r="AS89" s="783"/>
    </row>
    <row r="90" spans="1:45" s="186" customFormat="1" x14ac:dyDescent="0.25">
      <c r="A90" s="455">
        <f t="shared" si="1"/>
        <v>12.2</v>
      </c>
      <c r="B90" s="778">
        <v>41943</v>
      </c>
      <c r="C90" s="779" t="s">
        <v>454</v>
      </c>
      <c r="D90" s="779"/>
      <c r="E90" s="779" t="s">
        <v>380</v>
      </c>
      <c r="F90" s="779" t="s">
        <v>529</v>
      </c>
      <c r="G90" s="779" t="s">
        <v>41</v>
      </c>
      <c r="H90" s="436"/>
      <c r="I90" s="436"/>
      <c r="J90" s="436">
        <v>67</v>
      </c>
      <c r="K90" s="436">
        <v>134</v>
      </c>
      <c r="L90" s="437">
        <v>67</v>
      </c>
      <c r="M90" s="437">
        <v>134</v>
      </c>
      <c r="N90" s="437">
        <v>67</v>
      </c>
      <c r="O90" s="437"/>
      <c r="P90" s="439">
        <v>67</v>
      </c>
      <c r="Q90" s="439">
        <v>335</v>
      </c>
      <c r="R90" s="436"/>
      <c r="S90" s="436"/>
      <c r="T90" s="436"/>
      <c r="U90" s="436"/>
      <c r="V90" s="701"/>
      <c r="W90" s="436">
        <f>IF(NFI_Expiration=1,IF($A90&lt;VLOOKUP(H$5,NFI,5,0),1,0)*Table_NFI[[#This Row],[Hygiene Kit]],Table_NFI[Hygiene Kit])</f>
        <v>0</v>
      </c>
      <c r="X90" s="436">
        <f>IF(NFI_Expiration=1,IF($A90&lt;VLOOKUP(I$5,NFI,5,0),1,0)*Table_NFI[[#This Row],[NFI Core Kit]],Table_NFI[NFI Core Kit])</f>
        <v>0</v>
      </c>
      <c r="Y90" s="436">
        <f>IF(NFI_Expiration=1,IF($A90&lt;VLOOKUP(J$5,NFI,5,0),1,0)*Table_NFI[[#This Row],[Sanitary Kit]],Table_NFI[Sanitary Kit])</f>
        <v>0</v>
      </c>
      <c r="Z90" s="436">
        <f>IF(NFI_Expiration=1,IF($A90&lt;VLOOKUP(K$5,NFI,5,0),1,0)*Table_NFI[[#This Row],[Mosquito net]],Table_NFI[Mosquito net])</f>
        <v>0</v>
      </c>
      <c r="AA90" s="436">
        <f>IF(NFI_Expiration=1,IF($A90&lt;VLOOKUP(L$5,NFI,5,0),1,0)*Table_NFI[[#This Row],[Tarpaulin]],Table_NFI[[#This Row],[Tarpaulin]])</f>
        <v>0</v>
      </c>
      <c r="AB90" s="436">
        <f>IF(NFI_Expiration=1,IF($A90&lt;VLOOKUP(M$5,NFI,5,0),1,0)*Table_NFI[[#This Row],[Blanket]],Table_NFI[[#This Row],[Blanket]])</f>
        <v>0</v>
      </c>
      <c r="AC90" s="436">
        <f>IF(NFI_Expiration=1,IF($A90&lt;VLOOKUP(N$5,NFI,5,0),1,0)*Table_NFI[[#This Row],[Kitchen Set]],Table_NFI[Kitchen Set])</f>
        <v>0</v>
      </c>
      <c r="AD90" s="436">
        <f>IF(NFI_Expiration=1,IF($A90&lt;VLOOKUP(O$5,NFI,5,0),1,0)*Table_NFI[[#This Row],[Clothes Kit]],Table_NFI[Clothes Kit])</f>
        <v>0</v>
      </c>
      <c r="AE90" s="436">
        <f>IF(NFI_Expiration=1,IF($A90&lt;VLOOKUP(P$5,NFI,5,0),1,0)*Table_NFI[[#This Row],[Plastic Bucket]],Table_NFI[Plastic Bucket])</f>
        <v>0</v>
      </c>
      <c r="AF90" s="436">
        <f>IF(NFI_Expiration=1,IF($A90&lt;VLOOKUP(Q$5,NFI,5,0),1,0)*Table_NFI[[#This Row],[Plastic Mat]],Table_NFI[Plastic Mat])*IF(Table_NFI[[#This Row],[Distribution Date]]&gt;"2014-04-01",1,2.5)</f>
        <v>0</v>
      </c>
      <c r="AG90" s="436">
        <f>IF(NFI_Expiration=1,IF($A90&lt;VLOOKUP(R$5,NFI,5,0),1,0)*Table_NFI[[#This Row],[Winter Clothes Adult]],Table_NFI[Winter Clothes Adult])</f>
        <v>0</v>
      </c>
      <c r="AH90" s="436">
        <f>IF(NFI_Expiration=1,IF($A90&lt;VLOOKUP(S$5,NFI,5,0),1,0)*Table_NFI[[#This Row],[Winter Clothes Children]],Table_NFI[Winter Clothes Children])</f>
        <v>0</v>
      </c>
      <c r="AI90" s="436">
        <f>IF(NFI_Expiration=1,IF($A90&lt;VLOOKUP(T$5,NFI,5,0),1,0)*Table_NFI[[#This Row],[Winter Items Other]],Table_NFI[Winter Items Other])</f>
        <v>0</v>
      </c>
      <c r="AJ90" s="436">
        <f>IF(NFI_Expiration=1,IF($A90&lt;VLOOKUP(M$5,NFI,5,0),1,0)*Table_NFI[[#This Row],[Winter Blanket]],Table_NFI[[#This Row],[Winter Blanket]])</f>
        <v>0</v>
      </c>
      <c r="AK90" s="436">
        <f>IF(Table_NFI[[#This Row],[Winter Clothes Adult]]+Table_NFI[[#This Row],[Winter Clothes Children]]+Table_NFI[[#This Row],[Winter Items Other]]+Table_NFI[[#This Row],[Winter Blanket]]&gt;0,1,0)</f>
        <v>0</v>
      </c>
      <c r="AL90" s="493">
        <f>IF(NFI_Expiration=1,IF($A90&lt;VLOOKUP(V$5,NFI,5,0),1,0)*Table_NFI[[#This Row],[Jerry Can]],Table_NFI[Jerry Can])</f>
        <v>0</v>
      </c>
      <c r="AM90" s="781" t="str">
        <f>IFERROR(VLOOKUP(Table_NFI[[#This Row],[Camp Name]],CL,2,0),"")</f>
        <v>MMR001CMP176</v>
      </c>
      <c r="AN90" s="782">
        <f ca="1">IF(Table_NFI[[#This Row],[Pcode]]="","",IF(OFFSET(CampList[Opening Date],MATCH(Table_NFI[[#This Row],[Pcode]],CampList[CP_Pcode],0)-1,0,1,1)&gt;=NFI_Monitor_Date,1,0))</f>
        <v>0</v>
      </c>
      <c r="AO90" s="781" t="str">
        <f>IFERROR(VLOOKUP(Table_NFI[[#This Row],[Camp Name]],CL,3,0),"")</f>
        <v>Open</v>
      </c>
      <c r="AP90" s="436" t="str">
        <f ca="1">IF(Table_NFI[[#This Row],[Pcode]]="","",OFFSET(CampList[Priority],MATCH(Table_NFI[[#This Row],[Pcode]],CampList[CP_Pcode],0)-1,0,1,1))</f>
        <v>P4</v>
      </c>
      <c r="AQ90" s="438">
        <f>IFERROR(Table_NFI[[#This Row],[Kitchen Set]]/VLOOKUP(Table_NFI[[#This Row],[Camp Name]],CL,4,0),"")</f>
        <v>1</v>
      </c>
      <c r="AR90" s="779"/>
      <c r="AS90" s="783"/>
    </row>
    <row r="91" spans="1:45" s="136" customFormat="1" x14ac:dyDescent="0.25">
      <c r="A91" s="455">
        <f t="shared" si="1"/>
        <v>12.2</v>
      </c>
      <c r="B91" s="778">
        <v>41943</v>
      </c>
      <c r="C91" s="779" t="s">
        <v>454</v>
      </c>
      <c r="D91" s="779"/>
      <c r="E91" s="779" t="s">
        <v>380</v>
      </c>
      <c r="F91" s="779" t="s">
        <v>529</v>
      </c>
      <c r="G91" s="779" t="s">
        <v>43</v>
      </c>
      <c r="H91" s="436"/>
      <c r="I91" s="436"/>
      <c r="J91" s="436">
        <v>14</v>
      </c>
      <c r="K91" s="436">
        <v>28</v>
      </c>
      <c r="L91" s="437">
        <v>14</v>
      </c>
      <c r="M91" s="437">
        <v>28</v>
      </c>
      <c r="N91" s="437">
        <v>14</v>
      </c>
      <c r="O91" s="437"/>
      <c r="P91" s="439">
        <v>14</v>
      </c>
      <c r="Q91" s="439">
        <v>70</v>
      </c>
      <c r="R91" s="436"/>
      <c r="S91" s="436"/>
      <c r="T91" s="436"/>
      <c r="U91" s="436"/>
      <c r="V91" s="436"/>
      <c r="W91" s="436">
        <f>IF(NFI_Expiration=1,IF($A91&lt;VLOOKUP(H$5,NFI,5,0),1,0)*Table_NFI[[#This Row],[Hygiene Kit]],Table_NFI[Hygiene Kit])</f>
        <v>0</v>
      </c>
      <c r="X91" s="436">
        <f>IF(NFI_Expiration=1,IF($A91&lt;VLOOKUP(I$5,NFI,5,0),1,0)*Table_NFI[[#This Row],[NFI Core Kit]],Table_NFI[NFI Core Kit])</f>
        <v>0</v>
      </c>
      <c r="Y91" s="436">
        <f>IF(NFI_Expiration=1,IF($A91&lt;VLOOKUP(J$5,NFI,5,0),1,0)*Table_NFI[[#This Row],[Sanitary Kit]],Table_NFI[Sanitary Kit])</f>
        <v>0</v>
      </c>
      <c r="Z91" s="436">
        <f>IF(NFI_Expiration=1,IF($A91&lt;VLOOKUP(K$5,NFI,5,0),1,0)*Table_NFI[[#This Row],[Mosquito net]],Table_NFI[Mosquito net])</f>
        <v>0</v>
      </c>
      <c r="AA91" s="436">
        <f>IF(NFI_Expiration=1,IF($A91&lt;VLOOKUP(L$5,NFI,5,0),1,0)*Table_NFI[[#This Row],[Tarpaulin]],Table_NFI[[#This Row],[Tarpaulin]])</f>
        <v>0</v>
      </c>
      <c r="AB91" s="436">
        <f>IF(NFI_Expiration=1,IF($A91&lt;VLOOKUP(M$5,NFI,5,0),1,0)*Table_NFI[[#This Row],[Blanket]],Table_NFI[[#This Row],[Blanket]])</f>
        <v>0</v>
      </c>
      <c r="AC91" s="436">
        <f>IF(NFI_Expiration=1,IF($A91&lt;VLOOKUP(N$5,NFI,5,0),1,0)*Table_NFI[[#This Row],[Kitchen Set]],Table_NFI[Kitchen Set])</f>
        <v>0</v>
      </c>
      <c r="AD91" s="436">
        <f>IF(NFI_Expiration=1,IF($A91&lt;VLOOKUP(O$5,NFI,5,0),1,0)*Table_NFI[[#This Row],[Clothes Kit]],Table_NFI[Clothes Kit])</f>
        <v>0</v>
      </c>
      <c r="AE91" s="436">
        <f>IF(NFI_Expiration=1,IF($A91&lt;VLOOKUP(P$5,NFI,5,0),1,0)*Table_NFI[[#This Row],[Plastic Bucket]],Table_NFI[Plastic Bucket])</f>
        <v>0</v>
      </c>
      <c r="AF91" s="436">
        <f>IF(NFI_Expiration=1,IF($A91&lt;VLOOKUP(Q$5,NFI,5,0),1,0)*Table_NFI[[#This Row],[Plastic Mat]],Table_NFI[Plastic Mat])*IF(Table_NFI[[#This Row],[Distribution Date]]&gt;"2014-04-01",1,2.5)</f>
        <v>0</v>
      </c>
      <c r="AG91" s="436">
        <f>IF(NFI_Expiration=1,IF($A91&lt;VLOOKUP(R$5,NFI,5,0),1,0)*Table_NFI[[#This Row],[Winter Clothes Adult]],Table_NFI[Winter Clothes Adult])</f>
        <v>0</v>
      </c>
      <c r="AH91" s="436">
        <f>IF(NFI_Expiration=1,IF($A91&lt;VLOOKUP(S$5,NFI,5,0),1,0)*Table_NFI[[#This Row],[Winter Clothes Children]],Table_NFI[Winter Clothes Children])</f>
        <v>0</v>
      </c>
      <c r="AI91" s="436">
        <f>IF(NFI_Expiration=1,IF($A91&lt;VLOOKUP(T$5,NFI,5,0),1,0)*Table_NFI[[#This Row],[Winter Items Other]],Table_NFI[Winter Items Other])</f>
        <v>0</v>
      </c>
      <c r="AJ91" s="436">
        <f>IF(NFI_Expiration=1,IF($A91&lt;VLOOKUP(M$5,NFI,5,0),1,0)*Table_NFI[[#This Row],[Winter Blanket]],Table_NFI[[#This Row],[Winter Blanket]])</f>
        <v>0</v>
      </c>
      <c r="AK91" s="436">
        <f>IF(Table_NFI[[#This Row],[Winter Clothes Adult]]+Table_NFI[[#This Row],[Winter Clothes Children]]+Table_NFI[[#This Row],[Winter Items Other]]+Table_NFI[[#This Row],[Winter Blanket]]&gt;0,1,0)</f>
        <v>0</v>
      </c>
      <c r="AL91" s="439">
        <f>IF(NFI_Expiration=1,IF($A91&lt;VLOOKUP(V$5,NFI,5,0),1,0)*Table_NFI[[#This Row],[Jerry Can]],Table_NFI[Jerry Can])</f>
        <v>0</v>
      </c>
      <c r="AM91" s="781" t="str">
        <f>IFERROR(VLOOKUP(Table_NFI[[#This Row],[Camp Name]],CL,2,0),"")</f>
        <v>MMR001CMP190</v>
      </c>
      <c r="AN91" s="782">
        <f ca="1">IF(Table_NFI[[#This Row],[Pcode]]="","",IF(OFFSET(CampList[Opening Date],MATCH(Table_NFI[[#This Row],[Pcode]],CampList[CP_Pcode],0)-1,0,1,1)&gt;=NFI_Monitor_Date,1,0))</f>
        <v>0</v>
      </c>
      <c r="AO91" s="781" t="str">
        <f>IFERROR(VLOOKUP(Table_NFI[[#This Row],[Camp Name]],CL,3,0),"")</f>
        <v>Open</v>
      </c>
      <c r="AP91" s="436" t="str">
        <f ca="1">IF(Table_NFI[[#This Row],[Pcode]]="","",OFFSET(CampList[Priority],MATCH(Table_NFI[[#This Row],[Pcode]],CampList[CP_Pcode],0)-1,0,1,1))</f>
        <v>P4</v>
      </c>
      <c r="AQ91" s="438">
        <f>IFERROR(Table_NFI[[#This Row],[Kitchen Set]]/VLOOKUP(Table_NFI[[#This Row],[Camp Name]],CL,4,0),"")</f>
        <v>1</v>
      </c>
      <c r="AR91" s="779"/>
      <c r="AS91" s="783"/>
    </row>
    <row r="92" spans="1:45" s="784" customFormat="1" x14ac:dyDescent="0.25">
      <c r="A92" s="455">
        <f t="shared" si="1"/>
        <v>12.2</v>
      </c>
      <c r="B92" s="778">
        <v>41943</v>
      </c>
      <c r="C92" s="779" t="s">
        <v>454</v>
      </c>
      <c r="D92" s="779"/>
      <c r="E92" s="779" t="s">
        <v>380</v>
      </c>
      <c r="F92" s="779" t="s">
        <v>529</v>
      </c>
      <c r="G92" s="779" t="s">
        <v>52</v>
      </c>
      <c r="H92" s="436"/>
      <c r="I92" s="436"/>
      <c r="J92" s="436">
        <v>38</v>
      </c>
      <c r="K92" s="436">
        <v>76</v>
      </c>
      <c r="L92" s="437">
        <v>38</v>
      </c>
      <c r="M92" s="437">
        <v>76</v>
      </c>
      <c r="N92" s="437">
        <v>38</v>
      </c>
      <c r="O92" s="437"/>
      <c r="P92" s="439">
        <v>38</v>
      </c>
      <c r="Q92" s="439">
        <v>190</v>
      </c>
      <c r="R92" s="436"/>
      <c r="S92" s="436"/>
      <c r="T92" s="436"/>
      <c r="U92" s="436"/>
      <c r="V92" s="436"/>
      <c r="W92" s="436">
        <f>IF(NFI_Expiration=1,IF($A92&lt;VLOOKUP(H$5,NFI,5,0),1,0)*Table_NFI[[#This Row],[Hygiene Kit]],Table_NFI[Hygiene Kit])</f>
        <v>0</v>
      </c>
      <c r="X92" s="436">
        <f>IF(NFI_Expiration=1,IF($A92&lt;VLOOKUP(I$5,NFI,5,0),1,0)*Table_NFI[[#This Row],[NFI Core Kit]],Table_NFI[NFI Core Kit])</f>
        <v>0</v>
      </c>
      <c r="Y92" s="436">
        <f>IF(NFI_Expiration=1,IF($A92&lt;VLOOKUP(J$5,NFI,5,0),1,0)*Table_NFI[[#This Row],[Sanitary Kit]],Table_NFI[Sanitary Kit])</f>
        <v>0</v>
      </c>
      <c r="Z92" s="436">
        <f>IF(NFI_Expiration=1,IF($A92&lt;VLOOKUP(K$5,NFI,5,0),1,0)*Table_NFI[[#This Row],[Mosquito net]],Table_NFI[Mosquito net])</f>
        <v>0</v>
      </c>
      <c r="AA92" s="436">
        <f>IF(NFI_Expiration=1,IF($A92&lt;VLOOKUP(L$5,NFI,5,0),1,0)*Table_NFI[[#This Row],[Tarpaulin]],Table_NFI[[#This Row],[Tarpaulin]])</f>
        <v>0</v>
      </c>
      <c r="AB92" s="436">
        <f>IF(NFI_Expiration=1,IF($A92&lt;VLOOKUP(M$5,NFI,5,0),1,0)*Table_NFI[[#This Row],[Blanket]],Table_NFI[[#This Row],[Blanket]])</f>
        <v>0</v>
      </c>
      <c r="AC92" s="436">
        <f>IF(NFI_Expiration=1,IF($A92&lt;VLOOKUP(N$5,NFI,5,0),1,0)*Table_NFI[[#This Row],[Kitchen Set]],Table_NFI[Kitchen Set])</f>
        <v>0</v>
      </c>
      <c r="AD92" s="436">
        <f>IF(NFI_Expiration=1,IF($A92&lt;VLOOKUP(O$5,NFI,5,0),1,0)*Table_NFI[[#This Row],[Clothes Kit]],Table_NFI[Clothes Kit])</f>
        <v>0</v>
      </c>
      <c r="AE92" s="436">
        <f>IF(NFI_Expiration=1,IF($A92&lt;VLOOKUP(P$5,NFI,5,0),1,0)*Table_NFI[[#This Row],[Plastic Bucket]],Table_NFI[Plastic Bucket])</f>
        <v>0</v>
      </c>
      <c r="AF92" s="436">
        <f>IF(NFI_Expiration=1,IF($A92&lt;VLOOKUP(Q$5,NFI,5,0),1,0)*Table_NFI[[#This Row],[Plastic Mat]],Table_NFI[Plastic Mat])*IF(Table_NFI[[#This Row],[Distribution Date]]&gt;"2014-04-01",1,2.5)</f>
        <v>0</v>
      </c>
      <c r="AG92" s="436">
        <f>IF(NFI_Expiration=1,IF($A92&lt;VLOOKUP(R$5,NFI,5,0),1,0)*Table_NFI[[#This Row],[Winter Clothes Adult]],Table_NFI[Winter Clothes Adult])</f>
        <v>0</v>
      </c>
      <c r="AH92" s="436">
        <f>IF(NFI_Expiration=1,IF($A92&lt;VLOOKUP(S$5,NFI,5,0),1,0)*Table_NFI[[#This Row],[Winter Clothes Children]],Table_NFI[Winter Clothes Children])</f>
        <v>0</v>
      </c>
      <c r="AI92" s="436">
        <f>IF(NFI_Expiration=1,IF($A92&lt;VLOOKUP(T$5,NFI,5,0),1,0)*Table_NFI[[#This Row],[Winter Items Other]],Table_NFI[Winter Items Other])</f>
        <v>0</v>
      </c>
      <c r="AJ92" s="436">
        <f>IF(NFI_Expiration=1,IF($A92&lt;VLOOKUP(M$5,NFI,5,0),1,0)*Table_NFI[[#This Row],[Winter Blanket]],Table_NFI[[#This Row],[Winter Blanket]])</f>
        <v>0</v>
      </c>
      <c r="AK92" s="436">
        <f>IF(Table_NFI[[#This Row],[Winter Clothes Adult]]+Table_NFI[[#This Row],[Winter Clothes Children]]+Table_NFI[[#This Row],[Winter Items Other]]+Table_NFI[[#This Row],[Winter Blanket]]&gt;0,1,0)</f>
        <v>0</v>
      </c>
      <c r="AL92" s="439">
        <f>IF(NFI_Expiration=1,IF($A92&lt;VLOOKUP(V$5,NFI,5,0),1,0)*Table_NFI[[#This Row],[Jerry Can]],Table_NFI[Jerry Can])</f>
        <v>0</v>
      </c>
      <c r="AM92" s="781" t="str">
        <f>IFERROR(VLOOKUP(Table_NFI[[#This Row],[Camp Name]],CL,2,0),"")</f>
        <v>MMR001CMP169</v>
      </c>
      <c r="AN92" s="782">
        <f ca="1">IF(Table_NFI[[#This Row],[Pcode]]="","",IF(OFFSET(CampList[Opening Date],MATCH(Table_NFI[[#This Row],[Pcode]],CampList[CP_Pcode],0)-1,0,1,1)&gt;=NFI_Monitor_Date,1,0))</f>
        <v>0</v>
      </c>
      <c r="AO92" s="781" t="str">
        <f>IFERROR(VLOOKUP(Table_NFI[[#This Row],[Camp Name]],CL,3,0),"")</f>
        <v>Open</v>
      </c>
      <c r="AP92" s="436" t="str">
        <f ca="1">IF(Table_NFI[[#This Row],[Pcode]]="","",OFFSET(CampList[Priority],MATCH(Table_NFI[[#This Row],[Pcode]],CampList[CP_Pcode],0)-1,0,1,1))</f>
        <v>P4</v>
      </c>
      <c r="AQ92" s="438">
        <f>IFERROR(Table_NFI[[#This Row],[Kitchen Set]]/VLOOKUP(Table_NFI[[#This Row],[Camp Name]],CL,4,0),"")</f>
        <v>1.0857142857142856</v>
      </c>
      <c r="AR92" s="779"/>
      <c r="AS92" s="783"/>
    </row>
    <row r="93" spans="1:45" s="784" customFormat="1" x14ac:dyDescent="0.25">
      <c r="A93" s="455">
        <f t="shared" si="1"/>
        <v>12.2</v>
      </c>
      <c r="B93" s="778">
        <v>41943</v>
      </c>
      <c r="C93" s="779" t="s">
        <v>454</v>
      </c>
      <c r="D93" s="779"/>
      <c r="E93" s="779" t="s">
        <v>380</v>
      </c>
      <c r="F93" s="779" t="s">
        <v>529</v>
      </c>
      <c r="G93" s="779" t="s">
        <v>72</v>
      </c>
      <c r="H93" s="436"/>
      <c r="I93" s="436"/>
      <c r="J93" s="436">
        <v>5</v>
      </c>
      <c r="K93" s="436">
        <v>10</v>
      </c>
      <c r="L93" s="437">
        <v>5</v>
      </c>
      <c r="M93" s="437">
        <v>10</v>
      </c>
      <c r="N93" s="437">
        <v>5</v>
      </c>
      <c r="O93" s="437"/>
      <c r="P93" s="439">
        <v>5</v>
      </c>
      <c r="Q93" s="439">
        <v>25</v>
      </c>
      <c r="R93" s="436"/>
      <c r="S93" s="436"/>
      <c r="T93" s="436"/>
      <c r="U93" s="436"/>
      <c r="V93" s="436"/>
      <c r="W93" s="436">
        <f>IF(NFI_Expiration=1,IF($A93&lt;VLOOKUP(H$5,NFI,5,0),1,0)*Table_NFI[[#This Row],[Hygiene Kit]],Table_NFI[Hygiene Kit])</f>
        <v>0</v>
      </c>
      <c r="X93" s="436">
        <f>IF(NFI_Expiration=1,IF($A93&lt;VLOOKUP(I$5,NFI,5,0),1,0)*Table_NFI[[#This Row],[NFI Core Kit]],Table_NFI[NFI Core Kit])</f>
        <v>0</v>
      </c>
      <c r="Y93" s="436">
        <f>IF(NFI_Expiration=1,IF($A93&lt;VLOOKUP(J$5,NFI,5,0),1,0)*Table_NFI[[#This Row],[Sanitary Kit]],Table_NFI[Sanitary Kit])</f>
        <v>0</v>
      </c>
      <c r="Z93" s="436">
        <f>IF(NFI_Expiration=1,IF($A93&lt;VLOOKUP(K$5,NFI,5,0),1,0)*Table_NFI[[#This Row],[Mosquito net]],Table_NFI[Mosquito net])</f>
        <v>0</v>
      </c>
      <c r="AA93" s="436">
        <f>IF(NFI_Expiration=1,IF($A93&lt;VLOOKUP(L$5,NFI,5,0),1,0)*Table_NFI[[#This Row],[Tarpaulin]],Table_NFI[[#This Row],[Tarpaulin]])</f>
        <v>0</v>
      </c>
      <c r="AB93" s="436">
        <f>IF(NFI_Expiration=1,IF($A93&lt;VLOOKUP(M$5,NFI,5,0),1,0)*Table_NFI[[#This Row],[Blanket]],Table_NFI[[#This Row],[Blanket]])</f>
        <v>0</v>
      </c>
      <c r="AC93" s="436">
        <f>IF(NFI_Expiration=1,IF($A93&lt;VLOOKUP(N$5,NFI,5,0),1,0)*Table_NFI[[#This Row],[Kitchen Set]],Table_NFI[Kitchen Set])</f>
        <v>0</v>
      </c>
      <c r="AD93" s="436">
        <f>IF(NFI_Expiration=1,IF($A93&lt;VLOOKUP(O$5,NFI,5,0),1,0)*Table_NFI[[#This Row],[Clothes Kit]],Table_NFI[Clothes Kit])</f>
        <v>0</v>
      </c>
      <c r="AE93" s="436">
        <f>IF(NFI_Expiration=1,IF($A93&lt;VLOOKUP(P$5,NFI,5,0),1,0)*Table_NFI[[#This Row],[Plastic Bucket]],Table_NFI[Plastic Bucket])</f>
        <v>0</v>
      </c>
      <c r="AF93" s="436">
        <f>IF(NFI_Expiration=1,IF($A93&lt;VLOOKUP(Q$5,NFI,5,0),1,0)*Table_NFI[[#This Row],[Plastic Mat]],Table_NFI[Plastic Mat])*IF(Table_NFI[[#This Row],[Distribution Date]]&gt;"2014-04-01",1,2.5)</f>
        <v>0</v>
      </c>
      <c r="AG93" s="436">
        <f>IF(NFI_Expiration=1,IF($A93&lt;VLOOKUP(R$5,NFI,5,0),1,0)*Table_NFI[[#This Row],[Winter Clothes Adult]],Table_NFI[Winter Clothes Adult])</f>
        <v>0</v>
      </c>
      <c r="AH93" s="436">
        <f>IF(NFI_Expiration=1,IF($A93&lt;VLOOKUP(S$5,NFI,5,0),1,0)*Table_NFI[[#This Row],[Winter Clothes Children]],Table_NFI[Winter Clothes Children])</f>
        <v>0</v>
      </c>
      <c r="AI93" s="436">
        <f>IF(NFI_Expiration=1,IF($A93&lt;VLOOKUP(T$5,NFI,5,0),1,0)*Table_NFI[[#This Row],[Winter Items Other]],Table_NFI[Winter Items Other])</f>
        <v>0</v>
      </c>
      <c r="AJ93" s="436">
        <f>IF(NFI_Expiration=1,IF($A93&lt;VLOOKUP(M$5,NFI,5,0),1,0)*Table_NFI[[#This Row],[Winter Blanket]],Table_NFI[[#This Row],[Winter Blanket]])</f>
        <v>0</v>
      </c>
      <c r="AK93" s="436">
        <f>IF(Table_NFI[[#This Row],[Winter Clothes Adult]]+Table_NFI[[#This Row],[Winter Clothes Children]]+Table_NFI[[#This Row],[Winter Items Other]]+Table_NFI[[#This Row],[Winter Blanket]]&gt;0,1,0)</f>
        <v>0</v>
      </c>
      <c r="AL93" s="439">
        <f>IF(NFI_Expiration=1,IF($A93&lt;VLOOKUP(V$5,NFI,5,0),1,0)*Table_NFI[[#This Row],[Jerry Can]],Table_NFI[Jerry Can])</f>
        <v>0</v>
      </c>
      <c r="AM93" s="781" t="str">
        <f>IFERROR(VLOOKUP(Table_NFI[[#This Row],[Camp Name]],CL,2,0),"")</f>
        <v>MMR001CMP109</v>
      </c>
      <c r="AN93" s="782">
        <f ca="1">IF(Table_NFI[[#This Row],[Pcode]]="","",IF(OFFSET(CampList[Opening Date],MATCH(Table_NFI[[#This Row],[Pcode]],CampList[CP_Pcode],0)-1,0,1,1)&gt;=NFI_Monitor_Date,1,0))</f>
        <v>0</v>
      </c>
      <c r="AO93" s="781" t="str">
        <f>IFERROR(VLOOKUP(Table_NFI[[#This Row],[Camp Name]],CL,3,0),"")</f>
        <v>Open</v>
      </c>
      <c r="AP93" s="436" t="str">
        <f ca="1">IF(Table_NFI[[#This Row],[Pcode]]="","",OFFSET(CampList[Priority],MATCH(Table_NFI[[#This Row],[Pcode]],CampList[CP_Pcode],0)-1,0,1,1))</f>
        <v>P4</v>
      </c>
      <c r="AQ93" s="438">
        <f>IFERROR(Table_NFI[[#This Row],[Kitchen Set]]/VLOOKUP(Table_NFI[[#This Row],[Camp Name]],CL,4,0),"")</f>
        <v>0.83333333333333337</v>
      </c>
      <c r="AR93" s="779"/>
      <c r="AS93" s="783"/>
    </row>
    <row r="94" spans="1:45" s="784" customFormat="1" x14ac:dyDescent="0.25">
      <c r="A94" s="455">
        <f t="shared" si="1"/>
        <v>12.2</v>
      </c>
      <c r="B94" s="778">
        <v>41943</v>
      </c>
      <c r="C94" s="779" t="s">
        <v>454</v>
      </c>
      <c r="D94" s="779"/>
      <c r="E94" s="779" t="s">
        <v>380</v>
      </c>
      <c r="F94" s="779" t="s">
        <v>529</v>
      </c>
      <c r="G94" s="779" t="s">
        <v>76</v>
      </c>
      <c r="H94" s="436"/>
      <c r="I94" s="436"/>
      <c r="J94" s="436">
        <v>67</v>
      </c>
      <c r="K94" s="436">
        <v>134</v>
      </c>
      <c r="L94" s="437">
        <v>67</v>
      </c>
      <c r="M94" s="437">
        <v>134</v>
      </c>
      <c r="N94" s="437">
        <v>67</v>
      </c>
      <c r="O94" s="437"/>
      <c r="P94" s="439">
        <v>67</v>
      </c>
      <c r="Q94" s="439">
        <v>335</v>
      </c>
      <c r="R94" s="436"/>
      <c r="S94" s="436"/>
      <c r="T94" s="436"/>
      <c r="U94" s="436"/>
      <c r="V94" s="436"/>
      <c r="W94" s="436">
        <f>IF(NFI_Expiration=1,IF($A94&lt;VLOOKUP(H$5,NFI,5,0),1,0)*Table_NFI[[#This Row],[Hygiene Kit]],Table_NFI[Hygiene Kit])</f>
        <v>0</v>
      </c>
      <c r="X94" s="436">
        <f>IF(NFI_Expiration=1,IF($A94&lt;VLOOKUP(I$5,NFI,5,0),1,0)*Table_NFI[[#This Row],[NFI Core Kit]],Table_NFI[NFI Core Kit])</f>
        <v>0</v>
      </c>
      <c r="Y94" s="436">
        <f>IF(NFI_Expiration=1,IF($A94&lt;VLOOKUP(J$5,NFI,5,0),1,0)*Table_NFI[[#This Row],[Sanitary Kit]],Table_NFI[Sanitary Kit])</f>
        <v>0</v>
      </c>
      <c r="Z94" s="436">
        <f>IF(NFI_Expiration=1,IF($A94&lt;VLOOKUP(K$5,NFI,5,0),1,0)*Table_NFI[[#This Row],[Mosquito net]],Table_NFI[Mosquito net])</f>
        <v>0</v>
      </c>
      <c r="AA94" s="436">
        <f>IF(NFI_Expiration=1,IF($A94&lt;VLOOKUP(L$5,NFI,5,0),1,0)*Table_NFI[[#This Row],[Tarpaulin]],Table_NFI[[#This Row],[Tarpaulin]])</f>
        <v>0</v>
      </c>
      <c r="AB94" s="436">
        <f>IF(NFI_Expiration=1,IF($A94&lt;VLOOKUP(M$5,NFI,5,0),1,0)*Table_NFI[[#This Row],[Blanket]],Table_NFI[[#This Row],[Blanket]])</f>
        <v>0</v>
      </c>
      <c r="AC94" s="436">
        <f>IF(NFI_Expiration=1,IF($A94&lt;VLOOKUP(N$5,NFI,5,0),1,0)*Table_NFI[[#This Row],[Kitchen Set]],Table_NFI[Kitchen Set])</f>
        <v>0</v>
      </c>
      <c r="AD94" s="436">
        <f>IF(NFI_Expiration=1,IF($A94&lt;VLOOKUP(O$5,NFI,5,0),1,0)*Table_NFI[[#This Row],[Clothes Kit]],Table_NFI[Clothes Kit])</f>
        <v>0</v>
      </c>
      <c r="AE94" s="436">
        <f>IF(NFI_Expiration=1,IF($A94&lt;VLOOKUP(P$5,NFI,5,0),1,0)*Table_NFI[[#This Row],[Plastic Bucket]],Table_NFI[Plastic Bucket])</f>
        <v>0</v>
      </c>
      <c r="AF94" s="436">
        <f>IF(NFI_Expiration=1,IF($A94&lt;VLOOKUP(Q$5,NFI,5,0),1,0)*Table_NFI[[#This Row],[Plastic Mat]],Table_NFI[Plastic Mat])*IF(Table_NFI[[#This Row],[Distribution Date]]&gt;"2014-04-01",1,2.5)</f>
        <v>0</v>
      </c>
      <c r="AG94" s="436">
        <f>IF(NFI_Expiration=1,IF($A94&lt;VLOOKUP(R$5,NFI,5,0),1,0)*Table_NFI[[#This Row],[Winter Clothes Adult]],Table_NFI[Winter Clothes Adult])</f>
        <v>0</v>
      </c>
      <c r="AH94" s="436">
        <f>IF(NFI_Expiration=1,IF($A94&lt;VLOOKUP(S$5,NFI,5,0),1,0)*Table_NFI[[#This Row],[Winter Clothes Children]],Table_NFI[Winter Clothes Children])</f>
        <v>0</v>
      </c>
      <c r="AI94" s="436">
        <f>IF(NFI_Expiration=1,IF($A94&lt;VLOOKUP(T$5,NFI,5,0),1,0)*Table_NFI[[#This Row],[Winter Items Other]],Table_NFI[Winter Items Other])</f>
        <v>0</v>
      </c>
      <c r="AJ94" s="436">
        <f>IF(NFI_Expiration=1,IF($A94&lt;VLOOKUP(M$5,NFI,5,0),1,0)*Table_NFI[[#This Row],[Winter Blanket]],Table_NFI[[#This Row],[Winter Blanket]])</f>
        <v>0</v>
      </c>
      <c r="AK94" s="436">
        <f>IF(Table_NFI[[#This Row],[Winter Clothes Adult]]+Table_NFI[[#This Row],[Winter Clothes Children]]+Table_NFI[[#This Row],[Winter Items Other]]+Table_NFI[[#This Row],[Winter Blanket]]&gt;0,1,0)</f>
        <v>0</v>
      </c>
      <c r="AL94" s="439">
        <f>IF(NFI_Expiration=1,IF($A94&lt;VLOOKUP(V$5,NFI,5,0),1,0)*Table_NFI[[#This Row],[Jerry Can]],Table_NFI[Jerry Can])</f>
        <v>0</v>
      </c>
      <c r="AM94" s="781" t="str">
        <f>IFERROR(VLOOKUP(Table_NFI[[#This Row],[Camp Name]],CL,2,0),"")</f>
        <v>MMR001CMP174</v>
      </c>
      <c r="AN94" s="782">
        <f ca="1">IF(Table_NFI[[#This Row],[Pcode]]="","",IF(OFFSET(CampList[Opening Date],MATCH(Table_NFI[[#This Row],[Pcode]],CampList[CP_Pcode],0)-1,0,1,1)&gt;=NFI_Monitor_Date,1,0))</f>
        <v>0</v>
      </c>
      <c r="AO94" s="781" t="str">
        <f>IFERROR(VLOOKUP(Table_NFI[[#This Row],[Camp Name]],CL,3,0),"")</f>
        <v>Open</v>
      </c>
      <c r="AP94" s="436" t="str">
        <f ca="1">IF(Table_NFI[[#This Row],[Pcode]]="","",OFFSET(CampList[Priority],MATCH(Table_NFI[[#This Row],[Pcode]],CampList[CP_Pcode],0)-1,0,1,1))</f>
        <v>P4</v>
      </c>
      <c r="AQ94" s="438">
        <f>IFERROR(Table_NFI[[#This Row],[Kitchen Set]]/VLOOKUP(Table_NFI[[#This Row],[Camp Name]],CL,4,0),"")</f>
        <v>1.0307692307692307</v>
      </c>
      <c r="AR94" s="779"/>
      <c r="AS94" s="783"/>
    </row>
    <row r="95" spans="1:45" s="784" customFormat="1" x14ac:dyDescent="0.25">
      <c r="A95" s="455">
        <f t="shared" si="1"/>
        <v>12.2</v>
      </c>
      <c r="B95" s="778">
        <v>41943</v>
      </c>
      <c r="C95" s="779" t="s">
        <v>454</v>
      </c>
      <c r="D95" s="779"/>
      <c r="E95" s="779" t="s">
        <v>380</v>
      </c>
      <c r="F95" s="779" t="s">
        <v>529</v>
      </c>
      <c r="G95" s="779" t="s">
        <v>44</v>
      </c>
      <c r="H95" s="436"/>
      <c r="I95" s="436"/>
      <c r="J95" s="436">
        <v>10</v>
      </c>
      <c r="K95" s="436">
        <v>20</v>
      </c>
      <c r="L95" s="437">
        <v>10</v>
      </c>
      <c r="M95" s="437">
        <v>20</v>
      </c>
      <c r="N95" s="437">
        <v>10</v>
      </c>
      <c r="O95" s="437"/>
      <c r="P95" s="439">
        <v>10</v>
      </c>
      <c r="Q95" s="439">
        <v>50</v>
      </c>
      <c r="R95" s="436"/>
      <c r="S95" s="436"/>
      <c r="T95" s="436"/>
      <c r="U95" s="436"/>
      <c r="V95" s="436"/>
      <c r="W95" s="436">
        <f>IF(NFI_Expiration=1,IF($A95&lt;VLOOKUP(H$5,NFI,5,0),1,0)*Table_NFI[[#This Row],[Hygiene Kit]],Table_NFI[Hygiene Kit])</f>
        <v>0</v>
      </c>
      <c r="X95" s="436">
        <f>IF(NFI_Expiration=1,IF($A95&lt;VLOOKUP(I$5,NFI,5,0),1,0)*Table_NFI[[#This Row],[NFI Core Kit]],Table_NFI[NFI Core Kit])</f>
        <v>0</v>
      </c>
      <c r="Y95" s="436">
        <f>IF(NFI_Expiration=1,IF($A95&lt;VLOOKUP(J$5,NFI,5,0),1,0)*Table_NFI[[#This Row],[Sanitary Kit]],Table_NFI[Sanitary Kit])</f>
        <v>0</v>
      </c>
      <c r="Z95" s="436">
        <f>IF(NFI_Expiration=1,IF($A95&lt;VLOOKUP(K$5,NFI,5,0),1,0)*Table_NFI[[#This Row],[Mosquito net]],Table_NFI[Mosquito net])</f>
        <v>0</v>
      </c>
      <c r="AA95" s="436">
        <f>IF(NFI_Expiration=1,IF($A95&lt;VLOOKUP(L$5,NFI,5,0),1,0)*Table_NFI[[#This Row],[Tarpaulin]],Table_NFI[[#This Row],[Tarpaulin]])</f>
        <v>0</v>
      </c>
      <c r="AB95" s="436">
        <f>IF(NFI_Expiration=1,IF($A95&lt;VLOOKUP(M$5,NFI,5,0),1,0)*Table_NFI[[#This Row],[Blanket]],Table_NFI[[#This Row],[Blanket]])</f>
        <v>0</v>
      </c>
      <c r="AC95" s="436">
        <f>IF(NFI_Expiration=1,IF($A95&lt;VLOOKUP(N$5,NFI,5,0),1,0)*Table_NFI[[#This Row],[Kitchen Set]],Table_NFI[Kitchen Set])</f>
        <v>0</v>
      </c>
      <c r="AD95" s="436">
        <f>IF(NFI_Expiration=1,IF($A95&lt;VLOOKUP(O$5,NFI,5,0),1,0)*Table_NFI[[#This Row],[Clothes Kit]],Table_NFI[Clothes Kit])</f>
        <v>0</v>
      </c>
      <c r="AE95" s="436">
        <f>IF(NFI_Expiration=1,IF($A95&lt;VLOOKUP(P$5,NFI,5,0),1,0)*Table_NFI[[#This Row],[Plastic Bucket]],Table_NFI[Plastic Bucket])</f>
        <v>0</v>
      </c>
      <c r="AF95" s="436">
        <f>IF(NFI_Expiration=1,IF($A95&lt;VLOOKUP(Q$5,NFI,5,0),1,0)*Table_NFI[[#This Row],[Plastic Mat]],Table_NFI[Plastic Mat])*IF(Table_NFI[[#This Row],[Distribution Date]]&gt;"2014-04-01",1,2.5)</f>
        <v>0</v>
      </c>
      <c r="AG95" s="436">
        <f>IF(NFI_Expiration=1,IF($A95&lt;VLOOKUP(R$5,NFI,5,0),1,0)*Table_NFI[[#This Row],[Winter Clothes Adult]],Table_NFI[Winter Clothes Adult])</f>
        <v>0</v>
      </c>
      <c r="AH95" s="436">
        <f>IF(NFI_Expiration=1,IF($A95&lt;VLOOKUP(S$5,NFI,5,0),1,0)*Table_NFI[[#This Row],[Winter Clothes Children]],Table_NFI[Winter Clothes Children])</f>
        <v>0</v>
      </c>
      <c r="AI95" s="436">
        <f>IF(NFI_Expiration=1,IF($A95&lt;VLOOKUP(T$5,NFI,5,0),1,0)*Table_NFI[[#This Row],[Winter Items Other]],Table_NFI[Winter Items Other])</f>
        <v>0</v>
      </c>
      <c r="AJ95" s="436">
        <f>IF(NFI_Expiration=1,IF($A95&lt;VLOOKUP(M$5,NFI,5,0),1,0)*Table_NFI[[#This Row],[Winter Blanket]],Table_NFI[[#This Row],[Winter Blanket]])</f>
        <v>0</v>
      </c>
      <c r="AK95" s="436">
        <f>IF(Table_NFI[[#This Row],[Winter Clothes Adult]]+Table_NFI[[#This Row],[Winter Clothes Children]]+Table_NFI[[#This Row],[Winter Items Other]]+Table_NFI[[#This Row],[Winter Blanket]]&gt;0,1,0)</f>
        <v>0</v>
      </c>
      <c r="AL95" s="439">
        <f>IF(NFI_Expiration=1,IF($A95&lt;VLOOKUP(V$5,NFI,5,0),1,0)*Table_NFI[[#This Row],[Jerry Can]],Table_NFI[Jerry Can])</f>
        <v>0</v>
      </c>
      <c r="AM95" s="781" t="str">
        <f>IFERROR(VLOOKUP(Table_NFI[[#This Row],[Camp Name]],CL,2,0),"")</f>
        <v>MMR001CMP191</v>
      </c>
      <c r="AN95" s="782">
        <f ca="1">IF(Table_NFI[[#This Row],[Pcode]]="","",IF(OFFSET(CampList[Opening Date],MATCH(Table_NFI[[#This Row],[Pcode]],CampList[CP_Pcode],0)-1,0,1,1)&gt;=NFI_Monitor_Date,1,0))</f>
        <v>0</v>
      </c>
      <c r="AO95" s="781" t="str">
        <f>IFERROR(VLOOKUP(Table_NFI[[#This Row],[Camp Name]],CL,3,0),"")</f>
        <v>Open</v>
      </c>
      <c r="AP95" s="436" t="str">
        <f ca="1">IF(Table_NFI[[#This Row],[Pcode]]="","",OFFSET(CampList[Priority],MATCH(Table_NFI[[#This Row],[Pcode]],CampList[CP_Pcode],0)-1,0,1,1))</f>
        <v>P4</v>
      </c>
      <c r="AQ95" s="438">
        <f>IFERROR(Table_NFI[[#This Row],[Kitchen Set]]/VLOOKUP(Table_NFI[[#This Row],[Camp Name]],CL,4,0),"")</f>
        <v>0.76923076923076927</v>
      </c>
      <c r="AR95" s="779"/>
      <c r="AS95" s="783"/>
    </row>
    <row r="96" spans="1:45" s="784" customFormat="1" x14ac:dyDescent="0.25">
      <c r="A96" s="455">
        <f t="shared" si="1"/>
        <v>12.2</v>
      </c>
      <c r="B96" s="778">
        <v>41943</v>
      </c>
      <c r="C96" s="779" t="s">
        <v>454</v>
      </c>
      <c r="D96" s="779"/>
      <c r="E96" s="779" t="s">
        <v>380</v>
      </c>
      <c r="F96" s="779" t="s">
        <v>529</v>
      </c>
      <c r="G96" s="779" t="s">
        <v>1072</v>
      </c>
      <c r="H96" s="436"/>
      <c r="I96" s="436"/>
      <c r="J96" s="436">
        <v>64</v>
      </c>
      <c r="K96" s="436">
        <v>128</v>
      </c>
      <c r="L96" s="437">
        <v>64</v>
      </c>
      <c r="M96" s="437">
        <v>128</v>
      </c>
      <c r="N96" s="437">
        <v>64</v>
      </c>
      <c r="O96" s="437"/>
      <c r="P96" s="439">
        <v>64</v>
      </c>
      <c r="Q96" s="439">
        <v>320</v>
      </c>
      <c r="R96" s="436"/>
      <c r="S96" s="436"/>
      <c r="T96" s="436"/>
      <c r="U96" s="436"/>
      <c r="V96" s="436"/>
      <c r="W96" s="436">
        <f>IF(NFI_Expiration=1,IF($A96&lt;VLOOKUP(H$5,NFI,5,0),1,0)*Table_NFI[[#This Row],[Hygiene Kit]],Table_NFI[Hygiene Kit])</f>
        <v>0</v>
      </c>
      <c r="X96" s="436">
        <f>IF(NFI_Expiration=1,IF($A96&lt;VLOOKUP(I$5,NFI,5,0),1,0)*Table_NFI[[#This Row],[NFI Core Kit]],Table_NFI[NFI Core Kit])</f>
        <v>0</v>
      </c>
      <c r="Y96" s="436">
        <f>IF(NFI_Expiration=1,IF($A96&lt;VLOOKUP(J$5,NFI,5,0),1,0)*Table_NFI[[#This Row],[Sanitary Kit]],Table_NFI[Sanitary Kit])</f>
        <v>0</v>
      </c>
      <c r="Z96" s="436">
        <f>IF(NFI_Expiration=1,IF($A96&lt;VLOOKUP(K$5,NFI,5,0),1,0)*Table_NFI[[#This Row],[Mosquito net]],Table_NFI[Mosquito net])</f>
        <v>0</v>
      </c>
      <c r="AA96" s="436">
        <f>IF(NFI_Expiration=1,IF($A96&lt;VLOOKUP(L$5,NFI,5,0),1,0)*Table_NFI[[#This Row],[Tarpaulin]],Table_NFI[[#This Row],[Tarpaulin]])</f>
        <v>0</v>
      </c>
      <c r="AB96" s="436">
        <f>IF(NFI_Expiration=1,IF($A96&lt;VLOOKUP(M$5,NFI,5,0),1,0)*Table_NFI[[#This Row],[Blanket]],Table_NFI[[#This Row],[Blanket]])</f>
        <v>0</v>
      </c>
      <c r="AC96" s="436">
        <f>IF(NFI_Expiration=1,IF($A96&lt;VLOOKUP(N$5,NFI,5,0),1,0)*Table_NFI[[#This Row],[Kitchen Set]],Table_NFI[Kitchen Set])</f>
        <v>0</v>
      </c>
      <c r="AD96" s="436">
        <f>IF(NFI_Expiration=1,IF($A96&lt;VLOOKUP(O$5,NFI,5,0),1,0)*Table_NFI[[#This Row],[Clothes Kit]],Table_NFI[Clothes Kit])</f>
        <v>0</v>
      </c>
      <c r="AE96" s="436">
        <f>IF(NFI_Expiration=1,IF($A96&lt;VLOOKUP(P$5,NFI,5,0),1,0)*Table_NFI[[#This Row],[Plastic Bucket]],Table_NFI[Plastic Bucket])</f>
        <v>0</v>
      </c>
      <c r="AF96" s="436">
        <f>IF(NFI_Expiration=1,IF($A96&lt;VLOOKUP(Q$5,NFI,5,0),1,0)*Table_NFI[[#This Row],[Plastic Mat]],Table_NFI[Plastic Mat])*IF(Table_NFI[[#This Row],[Distribution Date]]&gt;"2014-04-01",1,2.5)</f>
        <v>0</v>
      </c>
      <c r="AG96" s="436">
        <f>IF(NFI_Expiration=1,IF($A96&lt;VLOOKUP(R$5,NFI,5,0),1,0)*Table_NFI[[#This Row],[Winter Clothes Adult]],Table_NFI[Winter Clothes Adult])</f>
        <v>0</v>
      </c>
      <c r="AH96" s="436">
        <f>IF(NFI_Expiration=1,IF($A96&lt;VLOOKUP(S$5,NFI,5,0),1,0)*Table_NFI[[#This Row],[Winter Clothes Children]],Table_NFI[Winter Clothes Children])</f>
        <v>0</v>
      </c>
      <c r="AI96" s="436">
        <f>IF(NFI_Expiration=1,IF($A96&lt;VLOOKUP(T$5,NFI,5,0),1,0)*Table_NFI[[#This Row],[Winter Items Other]],Table_NFI[Winter Items Other])</f>
        <v>0</v>
      </c>
      <c r="AJ96" s="436">
        <f>IF(NFI_Expiration=1,IF($A96&lt;VLOOKUP(M$5,NFI,5,0),1,0)*Table_NFI[[#This Row],[Winter Blanket]],Table_NFI[[#This Row],[Winter Blanket]])</f>
        <v>0</v>
      </c>
      <c r="AK96" s="436">
        <f>IF(Table_NFI[[#This Row],[Winter Clothes Adult]]+Table_NFI[[#This Row],[Winter Clothes Children]]+Table_NFI[[#This Row],[Winter Items Other]]+Table_NFI[[#This Row],[Winter Blanket]]&gt;0,1,0)</f>
        <v>0</v>
      </c>
      <c r="AL96" s="439">
        <f>IF(NFI_Expiration=1,IF($A96&lt;VLOOKUP(V$5,NFI,5,0),1,0)*Table_NFI[[#This Row],[Jerry Can]],Table_NFI[Jerry Can])</f>
        <v>0</v>
      </c>
      <c r="AM96" s="781" t="str">
        <f>IFERROR(VLOOKUP(Table_NFI[[#This Row],[Camp Name]],CL,2,0),"")</f>
        <v>MMR001CMP229</v>
      </c>
      <c r="AN96" s="782">
        <f ca="1">IF(Table_NFI[[#This Row],[Pcode]]="","",IF(OFFSET(CampList[Opening Date],MATCH(Table_NFI[[#This Row],[Pcode]],CampList[CP_Pcode],0)-1,0,1,1)&gt;=NFI_Monitor_Date,1,0))</f>
        <v>0</v>
      </c>
      <c r="AO96" s="781" t="str">
        <f>IFERROR(VLOOKUP(Table_NFI[[#This Row],[Camp Name]],CL,3,0),"")</f>
        <v>Open</v>
      </c>
      <c r="AP96" s="436" t="str">
        <f ca="1">IF(Table_NFI[[#This Row],[Pcode]]="","",OFFSET(CampList[Priority],MATCH(Table_NFI[[#This Row],[Pcode]],CampList[CP_Pcode],0)-1,0,1,1))</f>
        <v>P4</v>
      </c>
      <c r="AQ96" s="438">
        <f>IFERROR(Table_NFI[[#This Row],[Kitchen Set]]/VLOOKUP(Table_NFI[[#This Row],[Camp Name]],CL,4,0),"")</f>
        <v>0.55172413793103448</v>
      </c>
      <c r="AR96" s="779"/>
      <c r="AS96" s="783"/>
    </row>
    <row r="97" spans="1:45" s="784" customFormat="1" x14ac:dyDescent="0.25">
      <c r="A97" s="455">
        <f t="shared" si="1"/>
        <v>12.2</v>
      </c>
      <c r="B97" s="778">
        <v>41943</v>
      </c>
      <c r="C97" s="779" t="s">
        <v>454</v>
      </c>
      <c r="D97" s="779"/>
      <c r="E97" s="779" t="s">
        <v>380</v>
      </c>
      <c r="F97" s="779" t="s">
        <v>529</v>
      </c>
      <c r="G97" s="779" t="s">
        <v>90</v>
      </c>
      <c r="H97" s="436"/>
      <c r="I97" s="436"/>
      <c r="J97" s="436">
        <v>25</v>
      </c>
      <c r="K97" s="436">
        <v>50</v>
      </c>
      <c r="L97" s="437">
        <v>25</v>
      </c>
      <c r="M97" s="437">
        <v>50</v>
      </c>
      <c r="N97" s="437">
        <v>25</v>
      </c>
      <c r="O97" s="437"/>
      <c r="P97" s="439">
        <v>25</v>
      </c>
      <c r="Q97" s="439">
        <v>125</v>
      </c>
      <c r="R97" s="436"/>
      <c r="S97" s="436"/>
      <c r="T97" s="436"/>
      <c r="U97" s="436"/>
      <c r="V97" s="436"/>
      <c r="W97" s="436">
        <f>IF(NFI_Expiration=1,IF($A97&lt;VLOOKUP(H$5,NFI,5,0),1,0)*Table_NFI[[#This Row],[Hygiene Kit]],Table_NFI[Hygiene Kit])</f>
        <v>0</v>
      </c>
      <c r="X97" s="436">
        <f>IF(NFI_Expiration=1,IF($A97&lt;VLOOKUP(I$5,NFI,5,0),1,0)*Table_NFI[[#This Row],[NFI Core Kit]],Table_NFI[NFI Core Kit])</f>
        <v>0</v>
      </c>
      <c r="Y97" s="436">
        <f>IF(NFI_Expiration=1,IF($A97&lt;VLOOKUP(J$5,NFI,5,0),1,0)*Table_NFI[[#This Row],[Sanitary Kit]],Table_NFI[Sanitary Kit])</f>
        <v>0</v>
      </c>
      <c r="Z97" s="436">
        <f>IF(NFI_Expiration=1,IF($A97&lt;VLOOKUP(K$5,NFI,5,0),1,0)*Table_NFI[[#This Row],[Mosquito net]],Table_NFI[Mosquito net])</f>
        <v>0</v>
      </c>
      <c r="AA97" s="436">
        <f>IF(NFI_Expiration=1,IF($A97&lt;VLOOKUP(L$5,NFI,5,0),1,0)*Table_NFI[[#This Row],[Tarpaulin]],Table_NFI[[#This Row],[Tarpaulin]])</f>
        <v>0</v>
      </c>
      <c r="AB97" s="436">
        <f>IF(NFI_Expiration=1,IF($A97&lt;VLOOKUP(M$5,NFI,5,0),1,0)*Table_NFI[[#This Row],[Blanket]],Table_NFI[[#This Row],[Blanket]])</f>
        <v>0</v>
      </c>
      <c r="AC97" s="436">
        <f>IF(NFI_Expiration=1,IF($A97&lt;VLOOKUP(N$5,NFI,5,0),1,0)*Table_NFI[[#This Row],[Kitchen Set]],Table_NFI[Kitchen Set])</f>
        <v>0</v>
      </c>
      <c r="AD97" s="436">
        <f>IF(NFI_Expiration=1,IF($A97&lt;VLOOKUP(O$5,NFI,5,0),1,0)*Table_NFI[[#This Row],[Clothes Kit]],Table_NFI[Clothes Kit])</f>
        <v>0</v>
      </c>
      <c r="AE97" s="436">
        <f>IF(NFI_Expiration=1,IF($A97&lt;VLOOKUP(P$5,NFI,5,0),1,0)*Table_NFI[[#This Row],[Plastic Bucket]],Table_NFI[Plastic Bucket])</f>
        <v>0</v>
      </c>
      <c r="AF97" s="436">
        <f>IF(NFI_Expiration=1,IF($A97&lt;VLOOKUP(Q$5,NFI,5,0),1,0)*Table_NFI[[#This Row],[Plastic Mat]],Table_NFI[Plastic Mat])*IF(Table_NFI[[#This Row],[Distribution Date]]&gt;"2014-04-01",1,2.5)</f>
        <v>0</v>
      </c>
      <c r="AG97" s="436">
        <f>IF(NFI_Expiration=1,IF($A97&lt;VLOOKUP(R$5,NFI,5,0),1,0)*Table_NFI[[#This Row],[Winter Clothes Adult]],Table_NFI[Winter Clothes Adult])</f>
        <v>0</v>
      </c>
      <c r="AH97" s="436">
        <f>IF(NFI_Expiration=1,IF($A97&lt;VLOOKUP(S$5,NFI,5,0),1,0)*Table_NFI[[#This Row],[Winter Clothes Children]],Table_NFI[Winter Clothes Children])</f>
        <v>0</v>
      </c>
      <c r="AI97" s="436">
        <f>IF(NFI_Expiration=1,IF($A97&lt;VLOOKUP(T$5,NFI,5,0),1,0)*Table_NFI[[#This Row],[Winter Items Other]],Table_NFI[Winter Items Other])</f>
        <v>0</v>
      </c>
      <c r="AJ97" s="436">
        <f>IF(NFI_Expiration=1,IF($A97&lt;VLOOKUP(M$5,NFI,5,0),1,0)*Table_NFI[[#This Row],[Winter Blanket]],Table_NFI[[#This Row],[Winter Blanket]])</f>
        <v>0</v>
      </c>
      <c r="AK97" s="436">
        <f>IF(Table_NFI[[#This Row],[Winter Clothes Adult]]+Table_NFI[[#This Row],[Winter Clothes Children]]+Table_NFI[[#This Row],[Winter Items Other]]+Table_NFI[[#This Row],[Winter Blanket]]&gt;0,1,0)</f>
        <v>0</v>
      </c>
      <c r="AL97" s="439">
        <f>IF(NFI_Expiration=1,IF($A97&lt;VLOOKUP(V$5,NFI,5,0),1,0)*Table_NFI[[#This Row],[Jerry Can]],Table_NFI[Jerry Can])</f>
        <v>0</v>
      </c>
      <c r="AM97" s="781" t="str">
        <f>IFERROR(VLOOKUP(Table_NFI[[#This Row],[Camp Name]],CL,2,0),"")</f>
        <v>MMR001CMP181</v>
      </c>
      <c r="AN97" s="782">
        <f ca="1">IF(Table_NFI[[#This Row],[Pcode]]="","",IF(OFFSET(CampList[Opening Date],MATCH(Table_NFI[[#This Row],[Pcode]],CampList[CP_Pcode],0)-1,0,1,1)&gt;=NFI_Monitor_Date,1,0))</f>
        <v>0</v>
      </c>
      <c r="AO97" s="781" t="str">
        <f>IFERROR(VLOOKUP(Table_NFI[[#This Row],[Camp Name]],CL,3,0),"")</f>
        <v>Open</v>
      </c>
      <c r="AP97" s="436" t="str">
        <f ca="1">IF(Table_NFI[[#This Row],[Pcode]]="","",OFFSET(CampList[Priority],MATCH(Table_NFI[[#This Row],[Pcode]],CampList[CP_Pcode],0)-1,0,1,1))</f>
        <v>P4</v>
      </c>
      <c r="AQ97" s="438">
        <f>IFERROR(Table_NFI[[#This Row],[Kitchen Set]]/VLOOKUP(Table_NFI[[#This Row],[Camp Name]],CL,4,0),"")</f>
        <v>1</v>
      </c>
      <c r="AR97" s="779"/>
      <c r="AS97" s="783"/>
    </row>
    <row r="98" spans="1:45" s="784" customFormat="1" x14ac:dyDescent="0.25">
      <c r="A98" s="455">
        <f t="shared" si="1"/>
        <v>12.2</v>
      </c>
      <c r="B98" s="778">
        <v>41943</v>
      </c>
      <c r="C98" s="779" t="s">
        <v>454</v>
      </c>
      <c r="D98" s="779"/>
      <c r="E98" s="779" t="s">
        <v>380</v>
      </c>
      <c r="F98" s="779" t="s">
        <v>529</v>
      </c>
      <c r="G98" s="779" t="s">
        <v>92</v>
      </c>
      <c r="H98" s="436"/>
      <c r="I98" s="436"/>
      <c r="J98" s="436">
        <v>15</v>
      </c>
      <c r="K98" s="436">
        <v>30</v>
      </c>
      <c r="L98" s="437">
        <v>15</v>
      </c>
      <c r="M98" s="437">
        <v>30</v>
      </c>
      <c r="N98" s="437">
        <v>15</v>
      </c>
      <c r="O98" s="437"/>
      <c r="P98" s="439">
        <v>15</v>
      </c>
      <c r="Q98" s="439">
        <v>75</v>
      </c>
      <c r="R98" s="436"/>
      <c r="S98" s="436"/>
      <c r="T98" s="436"/>
      <c r="U98" s="436"/>
      <c r="V98" s="436"/>
      <c r="W98" s="436">
        <f>IF(NFI_Expiration=1,IF($A98&lt;VLOOKUP(H$5,NFI,5,0),1,0)*Table_NFI[[#This Row],[Hygiene Kit]],Table_NFI[Hygiene Kit])</f>
        <v>0</v>
      </c>
      <c r="X98" s="436">
        <f>IF(NFI_Expiration=1,IF($A98&lt;VLOOKUP(I$5,NFI,5,0),1,0)*Table_NFI[[#This Row],[NFI Core Kit]],Table_NFI[NFI Core Kit])</f>
        <v>0</v>
      </c>
      <c r="Y98" s="436">
        <f>IF(NFI_Expiration=1,IF($A98&lt;VLOOKUP(J$5,NFI,5,0),1,0)*Table_NFI[[#This Row],[Sanitary Kit]],Table_NFI[Sanitary Kit])</f>
        <v>0</v>
      </c>
      <c r="Z98" s="436">
        <f>IF(NFI_Expiration=1,IF($A98&lt;VLOOKUP(K$5,NFI,5,0),1,0)*Table_NFI[[#This Row],[Mosquito net]],Table_NFI[Mosquito net])</f>
        <v>0</v>
      </c>
      <c r="AA98" s="436">
        <f>IF(NFI_Expiration=1,IF($A98&lt;VLOOKUP(L$5,NFI,5,0),1,0)*Table_NFI[[#This Row],[Tarpaulin]],Table_NFI[[#This Row],[Tarpaulin]])</f>
        <v>0</v>
      </c>
      <c r="AB98" s="436">
        <f>IF(NFI_Expiration=1,IF($A98&lt;VLOOKUP(M$5,NFI,5,0),1,0)*Table_NFI[[#This Row],[Blanket]],Table_NFI[[#This Row],[Blanket]])</f>
        <v>0</v>
      </c>
      <c r="AC98" s="436">
        <f>IF(NFI_Expiration=1,IF($A98&lt;VLOOKUP(N$5,NFI,5,0),1,0)*Table_NFI[[#This Row],[Kitchen Set]],Table_NFI[Kitchen Set])</f>
        <v>0</v>
      </c>
      <c r="AD98" s="436">
        <f>IF(NFI_Expiration=1,IF($A98&lt;VLOOKUP(O$5,NFI,5,0),1,0)*Table_NFI[[#This Row],[Clothes Kit]],Table_NFI[Clothes Kit])</f>
        <v>0</v>
      </c>
      <c r="AE98" s="436">
        <f>IF(NFI_Expiration=1,IF($A98&lt;VLOOKUP(P$5,NFI,5,0),1,0)*Table_NFI[[#This Row],[Plastic Bucket]],Table_NFI[Plastic Bucket])</f>
        <v>0</v>
      </c>
      <c r="AF98" s="436">
        <f>IF(NFI_Expiration=1,IF($A98&lt;VLOOKUP(Q$5,NFI,5,0),1,0)*Table_NFI[[#This Row],[Plastic Mat]],Table_NFI[Plastic Mat])*IF(Table_NFI[[#This Row],[Distribution Date]]&gt;"2014-04-01",1,2.5)</f>
        <v>0</v>
      </c>
      <c r="AG98" s="436">
        <f>IF(NFI_Expiration=1,IF($A98&lt;VLOOKUP(R$5,NFI,5,0),1,0)*Table_NFI[[#This Row],[Winter Clothes Adult]],Table_NFI[Winter Clothes Adult])</f>
        <v>0</v>
      </c>
      <c r="AH98" s="436">
        <f>IF(NFI_Expiration=1,IF($A98&lt;VLOOKUP(S$5,NFI,5,0),1,0)*Table_NFI[[#This Row],[Winter Clothes Children]],Table_NFI[Winter Clothes Children])</f>
        <v>0</v>
      </c>
      <c r="AI98" s="436">
        <f>IF(NFI_Expiration=1,IF($A98&lt;VLOOKUP(T$5,NFI,5,0),1,0)*Table_NFI[[#This Row],[Winter Items Other]],Table_NFI[Winter Items Other])</f>
        <v>0</v>
      </c>
      <c r="AJ98" s="436">
        <f>IF(NFI_Expiration=1,IF($A98&lt;VLOOKUP(M$5,NFI,5,0),1,0)*Table_NFI[[#This Row],[Winter Blanket]],Table_NFI[[#This Row],[Winter Blanket]])</f>
        <v>0</v>
      </c>
      <c r="AK98" s="436">
        <f>IF(Table_NFI[[#This Row],[Winter Clothes Adult]]+Table_NFI[[#This Row],[Winter Clothes Children]]+Table_NFI[[#This Row],[Winter Items Other]]+Table_NFI[[#This Row],[Winter Blanket]]&gt;0,1,0)</f>
        <v>0</v>
      </c>
      <c r="AL98" s="439">
        <f>IF(NFI_Expiration=1,IF($A98&lt;VLOOKUP(V$5,NFI,5,0),1,0)*Table_NFI[[#This Row],[Jerry Can]],Table_NFI[Jerry Can])</f>
        <v>0</v>
      </c>
      <c r="AM98" s="781" t="str">
        <f>IFERROR(VLOOKUP(Table_NFI[[#This Row],[Camp Name]],CL,2,0),"")</f>
        <v>MMR001CMP167</v>
      </c>
      <c r="AN98" s="782">
        <f ca="1">IF(Table_NFI[[#This Row],[Pcode]]="","",IF(OFFSET(CampList[Opening Date],MATCH(Table_NFI[[#This Row],[Pcode]],CampList[CP_Pcode],0)-1,0,1,1)&gt;=NFI_Monitor_Date,1,0))</f>
        <v>0</v>
      </c>
      <c r="AO98" s="781" t="str">
        <f>IFERROR(VLOOKUP(Table_NFI[[#This Row],[Camp Name]],CL,3,0),"")</f>
        <v>Open</v>
      </c>
      <c r="AP98" s="436" t="str">
        <f ca="1">IF(Table_NFI[[#This Row],[Pcode]]="","",OFFSET(CampList[Priority],MATCH(Table_NFI[[#This Row],[Pcode]],CampList[CP_Pcode],0)-1,0,1,1))</f>
        <v>P4</v>
      </c>
      <c r="AQ98" s="438">
        <f>IFERROR(Table_NFI[[#This Row],[Kitchen Set]]/VLOOKUP(Table_NFI[[#This Row],[Camp Name]],CL,4,0),"")</f>
        <v>1</v>
      </c>
      <c r="AR98" s="779"/>
      <c r="AS98" s="783"/>
    </row>
    <row r="99" spans="1:45" s="784" customFormat="1" x14ac:dyDescent="0.25">
      <c r="A99" s="455">
        <f t="shared" si="1"/>
        <v>12.2</v>
      </c>
      <c r="B99" s="778">
        <v>41943</v>
      </c>
      <c r="C99" s="779" t="s">
        <v>1101</v>
      </c>
      <c r="D99" s="779" t="s">
        <v>907</v>
      </c>
      <c r="E99" s="779" t="s">
        <v>380</v>
      </c>
      <c r="F99" s="779" t="s">
        <v>899</v>
      </c>
      <c r="G99" s="779" t="s">
        <v>901</v>
      </c>
      <c r="H99" s="436"/>
      <c r="I99" s="436"/>
      <c r="J99" s="436"/>
      <c r="K99" s="436"/>
      <c r="L99" s="437"/>
      <c r="M99" s="437"/>
      <c r="N99" s="437"/>
      <c r="O99" s="437"/>
      <c r="P99" s="439"/>
      <c r="Q99" s="439"/>
      <c r="R99" s="436">
        <v>20</v>
      </c>
      <c r="S99" s="436">
        <v>8</v>
      </c>
      <c r="T99" s="436"/>
      <c r="U99" s="436"/>
      <c r="V99" s="436"/>
      <c r="W99" s="436">
        <f>IF(NFI_Expiration=1,IF($A99&lt;VLOOKUP(H$5,NFI,5,0),1,0)*Table_NFI[[#This Row],[Hygiene Kit]],Table_NFI[Hygiene Kit])</f>
        <v>0</v>
      </c>
      <c r="X99" s="436">
        <f>IF(NFI_Expiration=1,IF($A99&lt;VLOOKUP(I$5,NFI,5,0),1,0)*Table_NFI[[#This Row],[NFI Core Kit]],Table_NFI[NFI Core Kit])</f>
        <v>0</v>
      </c>
      <c r="Y99" s="436">
        <f>IF(NFI_Expiration=1,IF($A99&lt;VLOOKUP(J$5,NFI,5,0),1,0)*Table_NFI[[#This Row],[Sanitary Kit]],Table_NFI[Sanitary Kit])</f>
        <v>0</v>
      </c>
      <c r="Z99" s="436">
        <f>IF(NFI_Expiration=1,IF($A99&lt;VLOOKUP(K$5,NFI,5,0),1,0)*Table_NFI[[#This Row],[Mosquito net]],Table_NFI[Mosquito net])</f>
        <v>0</v>
      </c>
      <c r="AA99" s="436">
        <f>IF(NFI_Expiration=1,IF($A99&lt;VLOOKUP(L$5,NFI,5,0),1,0)*Table_NFI[[#This Row],[Tarpaulin]],Table_NFI[[#This Row],[Tarpaulin]])</f>
        <v>0</v>
      </c>
      <c r="AB99" s="436">
        <f>IF(NFI_Expiration=1,IF($A99&lt;VLOOKUP(M$5,NFI,5,0),1,0)*Table_NFI[[#This Row],[Blanket]],Table_NFI[[#This Row],[Blanket]])</f>
        <v>0</v>
      </c>
      <c r="AC99" s="436">
        <f>IF(NFI_Expiration=1,IF($A99&lt;VLOOKUP(N$5,NFI,5,0),1,0)*Table_NFI[[#This Row],[Kitchen Set]],Table_NFI[Kitchen Set])</f>
        <v>0</v>
      </c>
      <c r="AD99" s="436">
        <f>IF(NFI_Expiration=1,IF($A99&lt;VLOOKUP(O$5,NFI,5,0),1,0)*Table_NFI[[#This Row],[Clothes Kit]],Table_NFI[Clothes Kit])</f>
        <v>0</v>
      </c>
      <c r="AE99" s="436">
        <f>IF(NFI_Expiration=1,IF($A99&lt;VLOOKUP(P$5,NFI,5,0),1,0)*Table_NFI[[#This Row],[Plastic Bucket]],Table_NFI[Plastic Bucket])</f>
        <v>0</v>
      </c>
      <c r="AF99" s="436">
        <f>IF(NFI_Expiration=1,IF($A99&lt;VLOOKUP(Q$5,NFI,5,0),1,0)*Table_NFI[[#This Row],[Plastic Mat]],Table_NFI[Plastic Mat])*IF(Table_NFI[[#This Row],[Distribution Date]]&gt;"2014-04-01",1,2.5)</f>
        <v>0</v>
      </c>
      <c r="AG99" s="436">
        <f>IF(NFI_Expiration=1,IF($A99&lt;VLOOKUP(R$5,NFI,5,0),1,0)*Table_NFI[[#This Row],[Winter Clothes Adult]],Table_NFI[Winter Clothes Adult])</f>
        <v>0</v>
      </c>
      <c r="AH99" s="436">
        <f>IF(NFI_Expiration=1,IF($A99&lt;VLOOKUP(S$5,NFI,5,0),1,0)*Table_NFI[[#This Row],[Winter Clothes Children]],Table_NFI[Winter Clothes Children])</f>
        <v>0</v>
      </c>
      <c r="AI99" s="436">
        <f>IF(NFI_Expiration=1,IF($A99&lt;VLOOKUP(T$5,NFI,5,0),1,0)*Table_NFI[[#This Row],[Winter Items Other]],Table_NFI[Winter Items Other])</f>
        <v>0</v>
      </c>
      <c r="AJ99" s="436">
        <f>IF(NFI_Expiration=1,IF($A99&lt;VLOOKUP(M$5,NFI,5,0),1,0)*Table_NFI[[#This Row],[Winter Blanket]],Table_NFI[[#This Row],[Winter Blanket]])</f>
        <v>0</v>
      </c>
      <c r="AK99" s="436">
        <f>IF(Table_NFI[[#This Row],[Winter Clothes Adult]]+Table_NFI[[#This Row],[Winter Clothes Children]]+Table_NFI[[#This Row],[Winter Items Other]]+Table_NFI[[#This Row],[Winter Blanket]]&gt;0,1,0)</f>
        <v>1</v>
      </c>
      <c r="AL99" s="439">
        <f>IF(NFI_Expiration=1,IF($A99&lt;VLOOKUP(V$5,NFI,5,0),1,0)*Table_NFI[[#This Row],[Jerry Can]],Table_NFI[Jerry Can])</f>
        <v>0</v>
      </c>
      <c r="AM99" s="781" t="str">
        <f>IFERROR(VLOOKUP(Table_NFI[[#This Row],[Camp Name]],CL,2,0),"")</f>
        <v>MMR001CMP221</v>
      </c>
      <c r="AN99" s="782">
        <f ca="1">IF(Table_NFI[[#This Row],[Pcode]]="","",IF(OFFSET(CampList[Opening Date],MATCH(Table_NFI[[#This Row],[Pcode]],CampList[CP_Pcode],0)-1,0,1,1)&gt;=NFI_Monitor_Date,1,0))</f>
        <v>0</v>
      </c>
      <c r="AO99" s="781" t="str">
        <f>IFERROR(VLOOKUP(Table_NFI[[#This Row],[Camp Name]],CL,3,0),"")</f>
        <v>Closed</v>
      </c>
      <c r="AP99" s="436" t="str">
        <f ca="1">IF(Table_NFI[[#This Row],[Pcode]]="","",OFFSET(CampList[Priority],MATCH(Table_NFI[[#This Row],[Pcode]],CampList[CP_Pcode],0)-1,0,1,1))</f>
        <v>P3</v>
      </c>
      <c r="AQ99" s="438" t="str">
        <f>IFERROR(Table_NFI[[#This Row],[Kitchen Set]]/VLOOKUP(Table_NFI[[#This Row],[Camp Name]],CL,4,0),"")</f>
        <v/>
      </c>
      <c r="AR99" s="779"/>
      <c r="AS99" s="783"/>
    </row>
    <row r="100" spans="1:45" s="784" customFormat="1" x14ac:dyDescent="0.25">
      <c r="A100" s="455">
        <f t="shared" si="1"/>
        <v>12.2</v>
      </c>
      <c r="B100" s="778">
        <v>41943</v>
      </c>
      <c r="C100" s="779" t="s">
        <v>1101</v>
      </c>
      <c r="D100" s="779" t="s">
        <v>907</v>
      </c>
      <c r="E100" s="779" t="s">
        <v>380</v>
      </c>
      <c r="F100" s="779" t="s">
        <v>529</v>
      </c>
      <c r="G100" s="779" t="s">
        <v>100</v>
      </c>
      <c r="H100" s="436"/>
      <c r="I100" s="436"/>
      <c r="J100" s="436"/>
      <c r="K100" s="436"/>
      <c r="L100" s="437"/>
      <c r="M100" s="437"/>
      <c r="N100" s="437"/>
      <c r="O100" s="437"/>
      <c r="P100" s="439"/>
      <c r="Q100" s="439"/>
      <c r="R100" s="436">
        <v>11</v>
      </c>
      <c r="S100" s="436">
        <v>15</v>
      </c>
      <c r="T100" s="436"/>
      <c r="U100" s="436"/>
      <c r="V100" s="436"/>
      <c r="W100" s="436">
        <f>IF(NFI_Expiration=1,IF($A100&lt;VLOOKUP(H$5,NFI,5,0),1,0)*Table_NFI[[#This Row],[Hygiene Kit]],Table_NFI[Hygiene Kit])</f>
        <v>0</v>
      </c>
      <c r="X100" s="436">
        <f>IF(NFI_Expiration=1,IF($A100&lt;VLOOKUP(I$5,NFI,5,0),1,0)*Table_NFI[[#This Row],[NFI Core Kit]],Table_NFI[NFI Core Kit])</f>
        <v>0</v>
      </c>
      <c r="Y100" s="436">
        <f>IF(NFI_Expiration=1,IF($A100&lt;VLOOKUP(J$5,NFI,5,0),1,0)*Table_NFI[[#This Row],[Sanitary Kit]],Table_NFI[Sanitary Kit])</f>
        <v>0</v>
      </c>
      <c r="Z100" s="436">
        <f>IF(NFI_Expiration=1,IF($A100&lt;VLOOKUP(K$5,NFI,5,0),1,0)*Table_NFI[[#This Row],[Mosquito net]],Table_NFI[Mosquito net])</f>
        <v>0</v>
      </c>
      <c r="AA100" s="436">
        <f>IF(NFI_Expiration=1,IF($A100&lt;VLOOKUP(L$5,NFI,5,0),1,0)*Table_NFI[[#This Row],[Tarpaulin]],Table_NFI[[#This Row],[Tarpaulin]])</f>
        <v>0</v>
      </c>
      <c r="AB100" s="436">
        <f>IF(NFI_Expiration=1,IF($A100&lt;VLOOKUP(M$5,NFI,5,0),1,0)*Table_NFI[[#This Row],[Blanket]],Table_NFI[[#This Row],[Blanket]])</f>
        <v>0</v>
      </c>
      <c r="AC100" s="436">
        <f>IF(NFI_Expiration=1,IF($A100&lt;VLOOKUP(N$5,NFI,5,0),1,0)*Table_NFI[[#This Row],[Kitchen Set]],Table_NFI[Kitchen Set])</f>
        <v>0</v>
      </c>
      <c r="AD100" s="436">
        <f>IF(NFI_Expiration=1,IF($A100&lt;VLOOKUP(O$5,NFI,5,0),1,0)*Table_NFI[[#This Row],[Clothes Kit]],Table_NFI[Clothes Kit])</f>
        <v>0</v>
      </c>
      <c r="AE100" s="436">
        <f>IF(NFI_Expiration=1,IF($A100&lt;VLOOKUP(P$5,NFI,5,0),1,0)*Table_NFI[[#This Row],[Plastic Bucket]],Table_NFI[Plastic Bucket])</f>
        <v>0</v>
      </c>
      <c r="AF100" s="436">
        <f>IF(NFI_Expiration=1,IF($A100&lt;VLOOKUP(Q$5,NFI,5,0),1,0)*Table_NFI[[#This Row],[Plastic Mat]],Table_NFI[Plastic Mat])*IF(Table_NFI[[#This Row],[Distribution Date]]&gt;"2014-04-01",1,2.5)</f>
        <v>0</v>
      </c>
      <c r="AG100" s="436">
        <f>IF(NFI_Expiration=1,IF($A100&lt;VLOOKUP(R$5,NFI,5,0),1,0)*Table_NFI[[#This Row],[Winter Clothes Adult]],Table_NFI[Winter Clothes Adult])</f>
        <v>0</v>
      </c>
      <c r="AH100" s="436">
        <f>IF(NFI_Expiration=1,IF($A100&lt;VLOOKUP(S$5,NFI,5,0),1,0)*Table_NFI[[#This Row],[Winter Clothes Children]],Table_NFI[Winter Clothes Children])</f>
        <v>0</v>
      </c>
      <c r="AI100" s="436">
        <f>IF(NFI_Expiration=1,IF($A100&lt;VLOOKUP(T$5,NFI,5,0),1,0)*Table_NFI[[#This Row],[Winter Items Other]],Table_NFI[Winter Items Other])</f>
        <v>0</v>
      </c>
      <c r="AJ100" s="436">
        <f>IF(NFI_Expiration=1,IF($A100&lt;VLOOKUP(M$5,NFI,5,0),1,0)*Table_NFI[[#This Row],[Winter Blanket]],Table_NFI[[#This Row],[Winter Blanket]])</f>
        <v>0</v>
      </c>
      <c r="AK100" s="436">
        <f>IF(Table_NFI[[#This Row],[Winter Clothes Adult]]+Table_NFI[[#This Row],[Winter Clothes Children]]+Table_NFI[[#This Row],[Winter Items Other]]+Table_NFI[[#This Row],[Winter Blanket]]&gt;0,1,0)</f>
        <v>1</v>
      </c>
      <c r="AL100" s="439">
        <f>IF(NFI_Expiration=1,IF($A100&lt;VLOOKUP(V$5,NFI,5,0),1,0)*Table_NFI[[#This Row],[Jerry Can]],Table_NFI[Jerry Can])</f>
        <v>0</v>
      </c>
      <c r="AM100" s="781" t="str">
        <f>IFERROR(VLOOKUP(Table_NFI[[#This Row],[Camp Name]],CL,2,0),"")</f>
        <v>MMR001CMP091</v>
      </c>
      <c r="AN100" s="782">
        <f ca="1">IF(Table_NFI[[#This Row],[Pcode]]="","",IF(OFFSET(CampList[Opening Date],MATCH(Table_NFI[[#This Row],[Pcode]],CampList[CP_Pcode],0)-1,0,1,1)&gt;=NFI_Monitor_Date,1,0))</f>
        <v>0</v>
      </c>
      <c r="AO100" s="781" t="str">
        <f>IFERROR(VLOOKUP(Table_NFI[[#This Row],[Camp Name]],CL,3,0),"")</f>
        <v>Open</v>
      </c>
      <c r="AP100" s="436" t="str">
        <f ca="1">IF(Table_NFI[[#This Row],[Pcode]]="","",OFFSET(CampList[Priority],MATCH(Table_NFI[[#This Row],[Pcode]],CampList[CP_Pcode],0)-1,0,1,1))</f>
        <v>P4</v>
      </c>
      <c r="AQ100" s="438">
        <f>IFERROR(Table_NFI[[#This Row],[Kitchen Set]]/VLOOKUP(Table_NFI[[#This Row],[Camp Name]],CL,4,0),"")</f>
        <v>0</v>
      </c>
      <c r="AR100" s="779"/>
      <c r="AS100" s="783"/>
    </row>
    <row r="101" spans="1:45" s="784" customFormat="1" x14ac:dyDescent="0.25">
      <c r="A101" s="455">
        <f t="shared" si="1"/>
        <v>12.2</v>
      </c>
      <c r="B101" s="778">
        <v>41943</v>
      </c>
      <c r="C101" s="779" t="s">
        <v>454</v>
      </c>
      <c r="D101" s="779"/>
      <c r="E101" s="779" t="s">
        <v>380</v>
      </c>
      <c r="F101" s="779" t="s">
        <v>529</v>
      </c>
      <c r="G101" s="779" t="s">
        <v>100</v>
      </c>
      <c r="H101" s="436"/>
      <c r="I101" s="436"/>
      <c r="J101" s="436">
        <v>5</v>
      </c>
      <c r="K101" s="436">
        <v>10</v>
      </c>
      <c r="L101" s="437">
        <v>5</v>
      </c>
      <c r="M101" s="437">
        <v>10</v>
      </c>
      <c r="N101" s="437">
        <v>5</v>
      </c>
      <c r="O101" s="437"/>
      <c r="P101" s="439">
        <v>5</v>
      </c>
      <c r="Q101" s="439">
        <v>25</v>
      </c>
      <c r="R101" s="436"/>
      <c r="S101" s="436"/>
      <c r="T101" s="436"/>
      <c r="U101" s="436"/>
      <c r="V101" s="436"/>
      <c r="W101" s="436">
        <f>IF(NFI_Expiration=1,IF($A101&lt;VLOOKUP(H$5,NFI,5,0),1,0)*Table_NFI[[#This Row],[Hygiene Kit]],Table_NFI[Hygiene Kit])</f>
        <v>0</v>
      </c>
      <c r="X101" s="436">
        <f>IF(NFI_Expiration=1,IF($A101&lt;VLOOKUP(I$5,NFI,5,0),1,0)*Table_NFI[[#This Row],[NFI Core Kit]],Table_NFI[NFI Core Kit])</f>
        <v>0</v>
      </c>
      <c r="Y101" s="436">
        <f>IF(NFI_Expiration=1,IF($A101&lt;VLOOKUP(J$5,NFI,5,0),1,0)*Table_NFI[[#This Row],[Sanitary Kit]],Table_NFI[Sanitary Kit])</f>
        <v>0</v>
      </c>
      <c r="Z101" s="436">
        <f>IF(NFI_Expiration=1,IF($A101&lt;VLOOKUP(K$5,NFI,5,0),1,0)*Table_NFI[[#This Row],[Mosquito net]],Table_NFI[Mosquito net])</f>
        <v>0</v>
      </c>
      <c r="AA101" s="436">
        <f>IF(NFI_Expiration=1,IF($A101&lt;VLOOKUP(L$5,NFI,5,0),1,0)*Table_NFI[[#This Row],[Tarpaulin]],Table_NFI[[#This Row],[Tarpaulin]])</f>
        <v>0</v>
      </c>
      <c r="AB101" s="436">
        <f>IF(NFI_Expiration=1,IF($A101&lt;VLOOKUP(M$5,NFI,5,0),1,0)*Table_NFI[[#This Row],[Blanket]],Table_NFI[[#This Row],[Blanket]])</f>
        <v>0</v>
      </c>
      <c r="AC101" s="436">
        <f>IF(NFI_Expiration=1,IF($A101&lt;VLOOKUP(N$5,NFI,5,0),1,0)*Table_NFI[[#This Row],[Kitchen Set]],Table_NFI[Kitchen Set])</f>
        <v>0</v>
      </c>
      <c r="AD101" s="436">
        <f>IF(NFI_Expiration=1,IF($A101&lt;VLOOKUP(O$5,NFI,5,0),1,0)*Table_NFI[[#This Row],[Clothes Kit]],Table_NFI[Clothes Kit])</f>
        <v>0</v>
      </c>
      <c r="AE101" s="436">
        <f>IF(NFI_Expiration=1,IF($A101&lt;VLOOKUP(P$5,NFI,5,0),1,0)*Table_NFI[[#This Row],[Plastic Bucket]],Table_NFI[Plastic Bucket])</f>
        <v>0</v>
      </c>
      <c r="AF101" s="436">
        <f>IF(NFI_Expiration=1,IF($A101&lt;VLOOKUP(Q$5,NFI,5,0),1,0)*Table_NFI[[#This Row],[Plastic Mat]],Table_NFI[Plastic Mat])*IF(Table_NFI[[#This Row],[Distribution Date]]&gt;"2014-04-01",1,2.5)</f>
        <v>0</v>
      </c>
      <c r="AG101" s="436">
        <f>IF(NFI_Expiration=1,IF($A101&lt;VLOOKUP(R$5,NFI,5,0),1,0)*Table_NFI[[#This Row],[Winter Clothes Adult]],Table_NFI[Winter Clothes Adult])</f>
        <v>0</v>
      </c>
      <c r="AH101" s="436">
        <f>IF(NFI_Expiration=1,IF($A101&lt;VLOOKUP(S$5,NFI,5,0),1,0)*Table_NFI[[#This Row],[Winter Clothes Children]],Table_NFI[Winter Clothes Children])</f>
        <v>0</v>
      </c>
      <c r="AI101" s="436">
        <f>IF(NFI_Expiration=1,IF($A101&lt;VLOOKUP(T$5,NFI,5,0),1,0)*Table_NFI[[#This Row],[Winter Items Other]],Table_NFI[Winter Items Other])</f>
        <v>0</v>
      </c>
      <c r="AJ101" s="436">
        <f>IF(NFI_Expiration=1,IF($A101&lt;VLOOKUP(M$5,NFI,5,0),1,0)*Table_NFI[[#This Row],[Winter Blanket]],Table_NFI[[#This Row],[Winter Blanket]])</f>
        <v>0</v>
      </c>
      <c r="AK101" s="436">
        <f>IF(Table_NFI[[#This Row],[Winter Clothes Adult]]+Table_NFI[[#This Row],[Winter Clothes Children]]+Table_NFI[[#This Row],[Winter Items Other]]+Table_NFI[[#This Row],[Winter Blanket]]&gt;0,1,0)</f>
        <v>0</v>
      </c>
      <c r="AL101" s="439">
        <f>IF(NFI_Expiration=1,IF($A101&lt;VLOOKUP(V$5,NFI,5,0),1,0)*Table_NFI[[#This Row],[Jerry Can]],Table_NFI[Jerry Can])</f>
        <v>0</v>
      </c>
      <c r="AM101" s="781" t="str">
        <f>IFERROR(VLOOKUP(Table_NFI[[#This Row],[Camp Name]],CL,2,0),"")</f>
        <v>MMR001CMP091</v>
      </c>
      <c r="AN101" s="782">
        <f ca="1">IF(Table_NFI[[#This Row],[Pcode]]="","",IF(OFFSET(CampList[Opening Date],MATCH(Table_NFI[[#This Row],[Pcode]],CampList[CP_Pcode],0)-1,0,1,1)&gt;=NFI_Monitor_Date,1,0))</f>
        <v>0</v>
      </c>
      <c r="AO101" s="781" t="str">
        <f>IFERROR(VLOOKUP(Table_NFI[[#This Row],[Camp Name]],CL,3,0),"")</f>
        <v>Open</v>
      </c>
      <c r="AP101" s="436" t="str">
        <f ca="1">IF(Table_NFI[[#This Row],[Pcode]]="","",OFFSET(CampList[Priority],MATCH(Table_NFI[[#This Row],[Pcode]],CampList[CP_Pcode],0)-1,0,1,1))</f>
        <v>P4</v>
      </c>
      <c r="AQ101" s="438">
        <f>IFERROR(Table_NFI[[#This Row],[Kitchen Set]]/VLOOKUP(Table_NFI[[#This Row],[Camp Name]],CL,4,0),"")</f>
        <v>1</v>
      </c>
      <c r="AR101" s="779"/>
      <c r="AS101" s="783"/>
    </row>
    <row r="102" spans="1:45" s="784" customFormat="1" x14ac:dyDescent="0.25">
      <c r="A102" s="455">
        <f t="shared" si="1"/>
        <v>12.2</v>
      </c>
      <c r="B102" s="778">
        <v>41943</v>
      </c>
      <c r="C102" s="779" t="s">
        <v>454</v>
      </c>
      <c r="D102" s="779"/>
      <c r="E102" s="779" t="s">
        <v>380</v>
      </c>
      <c r="F102" s="779" t="s">
        <v>529</v>
      </c>
      <c r="G102" s="779" t="s">
        <v>613</v>
      </c>
      <c r="H102" s="436"/>
      <c r="I102" s="436"/>
      <c r="J102" s="436">
        <v>17</v>
      </c>
      <c r="K102" s="436">
        <v>34</v>
      </c>
      <c r="L102" s="437">
        <v>17</v>
      </c>
      <c r="M102" s="437">
        <v>34</v>
      </c>
      <c r="N102" s="437">
        <v>17</v>
      </c>
      <c r="O102" s="437"/>
      <c r="P102" s="439">
        <v>17</v>
      </c>
      <c r="Q102" s="439">
        <v>85</v>
      </c>
      <c r="R102" s="436"/>
      <c r="S102" s="436"/>
      <c r="T102" s="436"/>
      <c r="U102" s="436"/>
      <c r="V102" s="436"/>
      <c r="W102" s="436">
        <f>IF(NFI_Expiration=1,IF($A102&lt;VLOOKUP(H$5,NFI,5,0),1,0)*Table_NFI[[#This Row],[Hygiene Kit]],Table_NFI[Hygiene Kit])</f>
        <v>0</v>
      </c>
      <c r="X102" s="436">
        <f>IF(NFI_Expiration=1,IF($A102&lt;VLOOKUP(I$5,NFI,5,0),1,0)*Table_NFI[[#This Row],[NFI Core Kit]],Table_NFI[NFI Core Kit])</f>
        <v>0</v>
      </c>
      <c r="Y102" s="436">
        <f>IF(NFI_Expiration=1,IF($A102&lt;VLOOKUP(J$5,NFI,5,0),1,0)*Table_NFI[[#This Row],[Sanitary Kit]],Table_NFI[Sanitary Kit])</f>
        <v>0</v>
      </c>
      <c r="Z102" s="436">
        <f>IF(NFI_Expiration=1,IF($A102&lt;VLOOKUP(K$5,NFI,5,0),1,0)*Table_NFI[[#This Row],[Mosquito net]],Table_NFI[Mosquito net])</f>
        <v>0</v>
      </c>
      <c r="AA102" s="436">
        <f>IF(NFI_Expiration=1,IF($A102&lt;VLOOKUP(L$5,NFI,5,0),1,0)*Table_NFI[[#This Row],[Tarpaulin]],Table_NFI[[#This Row],[Tarpaulin]])</f>
        <v>0</v>
      </c>
      <c r="AB102" s="436">
        <f>IF(NFI_Expiration=1,IF($A102&lt;VLOOKUP(M$5,NFI,5,0),1,0)*Table_NFI[[#This Row],[Blanket]],Table_NFI[[#This Row],[Blanket]])</f>
        <v>0</v>
      </c>
      <c r="AC102" s="436">
        <f>IF(NFI_Expiration=1,IF($A102&lt;VLOOKUP(N$5,NFI,5,0),1,0)*Table_NFI[[#This Row],[Kitchen Set]],Table_NFI[Kitchen Set])</f>
        <v>0</v>
      </c>
      <c r="AD102" s="436">
        <f>IF(NFI_Expiration=1,IF($A102&lt;VLOOKUP(O$5,NFI,5,0),1,0)*Table_NFI[[#This Row],[Clothes Kit]],Table_NFI[Clothes Kit])</f>
        <v>0</v>
      </c>
      <c r="AE102" s="436">
        <f>IF(NFI_Expiration=1,IF($A102&lt;VLOOKUP(P$5,NFI,5,0),1,0)*Table_NFI[[#This Row],[Plastic Bucket]],Table_NFI[Plastic Bucket])</f>
        <v>0</v>
      </c>
      <c r="AF102" s="436">
        <f>IF(NFI_Expiration=1,IF($A102&lt;VLOOKUP(Q$5,NFI,5,0),1,0)*Table_NFI[[#This Row],[Plastic Mat]],Table_NFI[Plastic Mat])*IF(Table_NFI[[#This Row],[Distribution Date]]&gt;"2014-04-01",1,2.5)</f>
        <v>0</v>
      </c>
      <c r="AG102" s="436">
        <f>IF(NFI_Expiration=1,IF($A102&lt;VLOOKUP(R$5,NFI,5,0),1,0)*Table_NFI[[#This Row],[Winter Clothes Adult]],Table_NFI[Winter Clothes Adult])</f>
        <v>0</v>
      </c>
      <c r="AH102" s="436">
        <f>IF(NFI_Expiration=1,IF($A102&lt;VLOOKUP(S$5,NFI,5,0),1,0)*Table_NFI[[#This Row],[Winter Clothes Children]],Table_NFI[Winter Clothes Children])</f>
        <v>0</v>
      </c>
      <c r="AI102" s="436">
        <f>IF(NFI_Expiration=1,IF($A102&lt;VLOOKUP(T$5,NFI,5,0),1,0)*Table_NFI[[#This Row],[Winter Items Other]],Table_NFI[Winter Items Other])</f>
        <v>0</v>
      </c>
      <c r="AJ102" s="436">
        <f>IF(NFI_Expiration=1,IF($A102&lt;VLOOKUP(M$5,NFI,5,0),1,0)*Table_NFI[[#This Row],[Winter Blanket]],Table_NFI[[#This Row],[Winter Blanket]])</f>
        <v>0</v>
      </c>
      <c r="AK102" s="436">
        <f>IF(Table_NFI[[#This Row],[Winter Clothes Adult]]+Table_NFI[[#This Row],[Winter Clothes Children]]+Table_NFI[[#This Row],[Winter Items Other]]+Table_NFI[[#This Row],[Winter Blanket]]&gt;0,1,0)</f>
        <v>0</v>
      </c>
      <c r="AL102" s="439">
        <f>IF(NFI_Expiration=1,IF($A102&lt;VLOOKUP(V$5,NFI,5,0),1,0)*Table_NFI[[#This Row],[Jerry Can]],Table_NFI[Jerry Can])</f>
        <v>0</v>
      </c>
      <c r="AM102" s="781" t="str">
        <f>IFERROR(VLOOKUP(Table_NFI[[#This Row],[Camp Name]],CL,2,0),"")</f>
        <v>MMR001CMP192</v>
      </c>
      <c r="AN102" s="782">
        <f ca="1">IF(Table_NFI[[#This Row],[Pcode]]="","",IF(OFFSET(CampList[Opening Date],MATCH(Table_NFI[[#This Row],[Pcode]],CampList[CP_Pcode],0)-1,0,1,1)&gt;=NFI_Monitor_Date,1,0))</f>
        <v>0</v>
      </c>
      <c r="AO102" s="781" t="str">
        <f>IFERROR(VLOOKUP(Table_NFI[[#This Row],[Camp Name]],CL,3,0),"")</f>
        <v>Open</v>
      </c>
      <c r="AP102" s="436" t="str">
        <f ca="1">IF(Table_NFI[[#This Row],[Pcode]]="","",OFFSET(CampList[Priority],MATCH(Table_NFI[[#This Row],[Pcode]],CampList[CP_Pcode],0)-1,0,1,1))</f>
        <v>P4</v>
      </c>
      <c r="AQ102" s="438">
        <f>IFERROR(Table_NFI[[#This Row],[Kitchen Set]]/VLOOKUP(Table_NFI[[#This Row],[Camp Name]],CL,4,0),"")</f>
        <v>1</v>
      </c>
      <c r="AR102" s="779"/>
      <c r="AS102" s="783"/>
    </row>
    <row r="103" spans="1:45" s="784" customFormat="1" x14ac:dyDescent="0.25">
      <c r="A103" s="455">
        <f t="shared" si="1"/>
        <v>12.2</v>
      </c>
      <c r="B103" s="778">
        <v>41943</v>
      </c>
      <c r="C103" s="779" t="s">
        <v>454</v>
      </c>
      <c r="D103" s="779"/>
      <c r="E103" s="779" t="s">
        <v>380</v>
      </c>
      <c r="F103" s="779" t="s">
        <v>529</v>
      </c>
      <c r="G103" s="779" t="s">
        <v>108</v>
      </c>
      <c r="H103" s="436"/>
      <c r="I103" s="436"/>
      <c r="J103" s="436">
        <v>36</v>
      </c>
      <c r="K103" s="436">
        <v>72</v>
      </c>
      <c r="L103" s="437">
        <v>36</v>
      </c>
      <c r="M103" s="437">
        <v>72</v>
      </c>
      <c r="N103" s="437">
        <v>36</v>
      </c>
      <c r="O103" s="437"/>
      <c r="P103" s="439">
        <v>36</v>
      </c>
      <c r="Q103" s="439">
        <v>180</v>
      </c>
      <c r="R103" s="436"/>
      <c r="S103" s="436"/>
      <c r="T103" s="436"/>
      <c r="U103" s="436"/>
      <c r="V103" s="436"/>
      <c r="W103" s="436">
        <f>IF(NFI_Expiration=1,IF($A103&lt;VLOOKUP(H$5,NFI,5,0),1,0)*Table_NFI[[#This Row],[Hygiene Kit]],Table_NFI[Hygiene Kit])</f>
        <v>0</v>
      </c>
      <c r="X103" s="436">
        <f>IF(NFI_Expiration=1,IF($A103&lt;VLOOKUP(I$5,NFI,5,0),1,0)*Table_NFI[[#This Row],[NFI Core Kit]],Table_NFI[NFI Core Kit])</f>
        <v>0</v>
      </c>
      <c r="Y103" s="436">
        <f>IF(NFI_Expiration=1,IF($A103&lt;VLOOKUP(J$5,NFI,5,0),1,0)*Table_NFI[[#This Row],[Sanitary Kit]],Table_NFI[Sanitary Kit])</f>
        <v>0</v>
      </c>
      <c r="Z103" s="436">
        <f>IF(NFI_Expiration=1,IF($A103&lt;VLOOKUP(K$5,NFI,5,0),1,0)*Table_NFI[[#This Row],[Mosquito net]],Table_NFI[Mosquito net])</f>
        <v>0</v>
      </c>
      <c r="AA103" s="436">
        <f>IF(NFI_Expiration=1,IF($A103&lt;VLOOKUP(L$5,NFI,5,0),1,0)*Table_NFI[[#This Row],[Tarpaulin]],Table_NFI[[#This Row],[Tarpaulin]])</f>
        <v>0</v>
      </c>
      <c r="AB103" s="436">
        <f>IF(NFI_Expiration=1,IF($A103&lt;VLOOKUP(M$5,NFI,5,0),1,0)*Table_NFI[[#This Row],[Blanket]],Table_NFI[[#This Row],[Blanket]])</f>
        <v>0</v>
      </c>
      <c r="AC103" s="436">
        <f>IF(NFI_Expiration=1,IF($A103&lt;VLOOKUP(N$5,NFI,5,0),1,0)*Table_NFI[[#This Row],[Kitchen Set]],Table_NFI[Kitchen Set])</f>
        <v>0</v>
      </c>
      <c r="AD103" s="436">
        <f>IF(NFI_Expiration=1,IF($A103&lt;VLOOKUP(O$5,NFI,5,0),1,0)*Table_NFI[[#This Row],[Clothes Kit]],Table_NFI[Clothes Kit])</f>
        <v>0</v>
      </c>
      <c r="AE103" s="436">
        <f>IF(NFI_Expiration=1,IF($A103&lt;VLOOKUP(P$5,NFI,5,0),1,0)*Table_NFI[[#This Row],[Plastic Bucket]],Table_NFI[Plastic Bucket])</f>
        <v>0</v>
      </c>
      <c r="AF103" s="436">
        <f>IF(NFI_Expiration=1,IF($A103&lt;VLOOKUP(Q$5,NFI,5,0),1,0)*Table_NFI[[#This Row],[Plastic Mat]],Table_NFI[Plastic Mat])*IF(Table_NFI[[#This Row],[Distribution Date]]&gt;"2014-04-01",1,2.5)</f>
        <v>0</v>
      </c>
      <c r="AG103" s="436">
        <f>IF(NFI_Expiration=1,IF($A103&lt;VLOOKUP(R$5,NFI,5,0),1,0)*Table_NFI[[#This Row],[Winter Clothes Adult]],Table_NFI[Winter Clothes Adult])</f>
        <v>0</v>
      </c>
      <c r="AH103" s="436">
        <f>IF(NFI_Expiration=1,IF($A103&lt;VLOOKUP(S$5,NFI,5,0),1,0)*Table_NFI[[#This Row],[Winter Clothes Children]],Table_NFI[Winter Clothes Children])</f>
        <v>0</v>
      </c>
      <c r="AI103" s="436">
        <f>IF(NFI_Expiration=1,IF($A103&lt;VLOOKUP(T$5,NFI,5,0),1,0)*Table_NFI[[#This Row],[Winter Items Other]],Table_NFI[Winter Items Other])</f>
        <v>0</v>
      </c>
      <c r="AJ103" s="436">
        <f>IF(NFI_Expiration=1,IF($A103&lt;VLOOKUP(M$5,NFI,5,0),1,0)*Table_NFI[[#This Row],[Winter Blanket]],Table_NFI[[#This Row],[Winter Blanket]])</f>
        <v>0</v>
      </c>
      <c r="AK103" s="436">
        <f>IF(Table_NFI[[#This Row],[Winter Clothes Adult]]+Table_NFI[[#This Row],[Winter Clothes Children]]+Table_NFI[[#This Row],[Winter Items Other]]+Table_NFI[[#This Row],[Winter Blanket]]&gt;0,1,0)</f>
        <v>0</v>
      </c>
      <c r="AL103" s="439">
        <f>IF(NFI_Expiration=1,IF($A103&lt;VLOOKUP(V$5,NFI,5,0),1,0)*Table_NFI[[#This Row],[Jerry Can]],Table_NFI[Jerry Can])</f>
        <v>0</v>
      </c>
      <c r="AM103" s="781" t="str">
        <f>IFERROR(VLOOKUP(Table_NFI[[#This Row],[Camp Name]],CL,2,0),"")</f>
        <v>MMR001CMP103</v>
      </c>
      <c r="AN103" s="782">
        <f ca="1">IF(Table_NFI[[#This Row],[Pcode]]="","",IF(OFFSET(CampList[Opening Date],MATCH(Table_NFI[[#This Row],[Pcode]],CampList[CP_Pcode],0)-1,0,1,1)&gt;=NFI_Monitor_Date,1,0))</f>
        <v>0</v>
      </c>
      <c r="AO103" s="781" t="str">
        <f>IFERROR(VLOOKUP(Table_NFI[[#This Row],[Camp Name]],CL,3,0),"")</f>
        <v>Open</v>
      </c>
      <c r="AP103" s="436" t="str">
        <f ca="1">IF(Table_NFI[[#This Row],[Pcode]]="","",OFFSET(CampList[Priority],MATCH(Table_NFI[[#This Row],[Pcode]],CampList[CP_Pcode],0)-1,0,1,1))</f>
        <v>P4</v>
      </c>
      <c r="AQ103" s="438">
        <f>IFERROR(Table_NFI[[#This Row],[Kitchen Set]]/VLOOKUP(Table_NFI[[#This Row],[Camp Name]],CL,4,0),"")</f>
        <v>0.66666666666666663</v>
      </c>
      <c r="AR103" s="779"/>
      <c r="AS103" s="783" t="s">
        <v>1119</v>
      </c>
    </row>
    <row r="104" spans="1:45" s="784" customFormat="1" x14ac:dyDescent="0.25">
      <c r="A104" s="455">
        <f t="shared" si="1"/>
        <v>12.2</v>
      </c>
      <c r="B104" s="778">
        <v>41943</v>
      </c>
      <c r="C104" s="779" t="s">
        <v>454</v>
      </c>
      <c r="D104" s="779"/>
      <c r="E104" s="779" t="s">
        <v>380</v>
      </c>
      <c r="F104" s="779" t="s">
        <v>529</v>
      </c>
      <c r="G104" s="779" t="s">
        <v>118</v>
      </c>
      <c r="H104" s="436"/>
      <c r="I104" s="436"/>
      <c r="J104" s="436">
        <v>12</v>
      </c>
      <c r="K104" s="436">
        <v>24</v>
      </c>
      <c r="L104" s="437">
        <v>12</v>
      </c>
      <c r="M104" s="437">
        <v>24</v>
      </c>
      <c r="N104" s="437">
        <v>12</v>
      </c>
      <c r="O104" s="437"/>
      <c r="P104" s="439">
        <v>12</v>
      </c>
      <c r="Q104" s="439">
        <v>60</v>
      </c>
      <c r="R104" s="436"/>
      <c r="S104" s="436"/>
      <c r="T104" s="436"/>
      <c r="U104" s="436"/>
      <c r="V104" s="436"/>
      <c r="W104" s="436">
        <f>IF(NFI_Expiration=1,IF($A104&lt;VLOOKUP(H$5,NFI,5,0),1,0)*Table_NFI[[#This Row],[Hygiene Kit]],Table_NFI[Hygiene Kit])</f>
        <v>0</v>
      </c>
      <c r="X104" s="436">
        <f>IF(NFI_Expiration=1,IF($A104&lt;VLOOKUP(I$5,NFI,5,0),1,0)*Table_NFI[[#This Row],[NFI Core Kit]],Table_NFI[NFI Core Kit])</f>
        <v>0</v>
      </c>
      <c r="Y104" s="436">
        <f>IF(NFI_Expiration=1,IF($A104&lt;VLOOKUP(J$5,NFI,5,0),1,0)*Table_NFI[[#This Row],[Sanitary Kit]],Table_NFI[Sanitary Kit])</f>
        <v>0</v>
      </c>
      <c r="Z104" s="436">
        <f>IF(NFI_Expiration=1,IF($A104&lt;VLOOKUP(K$5,NFI,5,0),1,0)*Table_NFI[[#This Row],[Mosquito net]],Table_NFI[Mosquito net])</f>
        <v>0</v>
      </c>
      <c r="AA104" s="436">
        <f>IF(NFI_Expiration=1,IF($A104&lt;VLOOKUP(L$5,NFI,5,0),1,0)*Table_NFI[[#This Row],[Tarpaulin]],Table_NFI[[#This Row],[Tarpaulin]])</f>
        <v>0</v>
      </c>
      <c r="AB104" s="436">
        <f>IF(NFI_Expiration=1,IF($A104&lt;VLOOKUP(M$5,NFI,5,0),1,0)*Table_NFI[[#This Row],[Blanket]],Table_NFI[[#This Row],[Blanket]])</f>
        <v>0</v>
      </c>
      <c r="AC104" s="436">
        <f>IF(NFI_Expiration=1,IF($A104&lt;VLOOKUP(N$5,NFI,5,0),1,0)*Table_NFI[[#This Row],[Kitchen Set]],Table_NFI[Kitchen Set])</f>
        <v>0</v>
      </c>
      <c r="AD104" s="436">
        <f>IF(NFI_Expiration=1,IF($A104&lt;VLOOKUP(O$5,NFI,5,0),1,0)*Table_NFI[[#This Row],[Clothes Kit]],Table_NFI[Clothes Kit])</f>
        <v>0</v>
      </c>
      <c r="AE104" s="436">
        <f>IF(NFI_Expiration=1,IF($A104&lt;VLOOKUP(P$5,NFI,5,0),1,0)*Table_NFI[[#This Row],[Plastic Bucket]],Table_NFI[Plastic Bucket])</f>
        <v>0</v>
      </c>
      <c r="AF104" s="436">
        <f>IF(NFI_Expiration=1,IF($A104&lt;VLOOKUP(Q$5,NFI,5,0),1,0)*Table_NFI[[#This Row],[Plastic Mat]],Table_NFI[Plastic Mat])*IF(Table_NFI[[#This Row],[Distribution Date]]&gt;"2014-04-01",1,2.5)</f>
        <v>0</v>
      </c>
      <c r="AG104" s="436">
        <f>IF(NFI_Expiration=1,IF($A104&lt;VLOOKUP(R$5,NFI,5,0),1,0)*Table_NFI[[#This Row],[Winter Clothes Adult]],Table_NFI[Winter Clothes Adult])</f>
        <v>0</v>
      </c>
      <c r="AH104" s="436">
        <f>IF(NFI_Expiration=1,IF($A104&lt;VLOOKUP(S$5,NFI,5,0),1,0)*Table_NFI[[#This Row],[Winter Clothes Children]],Table_NFI[Winter Clothes Children])</f>
        <v>0</v>
      </c>
      <c r="AI104" s="436">
        <f>IF(NFI_Expiration=1,IF($A104&lt;VLOOKUP(T$5,NFI,5,0),1,0)*Table_NFI[[#This Row],[Winter Items Other]],Table_NFI[Winter Items Other])</f>
        <v>0</v>
      </c>
      <c r="AJ104" s="436">
        <f>IF(NFI_Expiration=1,IF($A104&lt;VLOOKUP(M$5,NFI,5,0),1,0)*Table_NFI[[#This Row],[Winter Blanket]],Table_NFI[[#This Row],[Winter Blanket]])</f>
        <v>0</v>
      </c>
      <c r="AK104" s="436">
        <f>IF(Table_NFI[[#This Row],[Winter Clothes Adult]]+Table_NFI[[#This Row],[Winter Clothes Children]]+Table_NFI[[#This Row],[Winter Items Other]]+Table_NFI[[#This Row],[Winter Blanket]]&gt;0,1,0)</f>
        <v>0</v>
      </c>
      <c r="AL104" s="439">
        <f>IF(NFI_Expiration=1,IF($A104&lt;VLOOKUP(V$5,NFI,5,0),1,0)*Table_NFI[[#This Row],[Jerry Can]],Table_NFI[Jerry Can])</f>
        <v>0</v>
      </c>
      <c r="AM104" s="781" t="str">
        <f>IFERROR(VLOOKUP(Table_NFI[[#This Row],[Camp Name]],CL,2,0),"")</f>
        <v>MMR001CMP182</v>
      </c>
      <c r="AN104" s="782">
        <f ca="1">IF(Table_NFI[[#This Row],[Pcode]]="","",IF(OFFSET(CampList[Opening Date],MATCH(Table_NFI[[#This Row],[Pcode]],CampList[CP_Pcode],0)-1,0,1,1)&gt;=NFI_Monitor_Date,1,0))</f>
        <v>0</v>
      </c>
      <c r="AO104" s="781" t="str">
        <f>IFERROR(VLOOKUP(Table_NFI[[#This Row],[Camp Name]],CL,3,0),"")</f>
        <v>Open</v>
      </c>
      <c r="AP104" s="436" t="str">
        <f ca="1">IF(Table_NFI[[#This Row],[Pcode]]="","",OFFSET(CampList[Priority],MATCH(Table_NFI[[#This Row],[Pcode]],CampList[CP_Pcode],0)-1,0,1,1))</f>
        <v>P4</v>
      </c>
      <c r="AQ104" s="438">
        <f>IFERROR(Table_NFI[[#This Row],[Kitchen Set]]/VLOOKUP(Table_NFI[[#This Row],[Camp Name]],CL,4,0),"")</f>
        <v>1.2</v>
      </c>
      <c r="AR104" s="779"/>
      <c r="AS104" s="783"/>
    </row>
    <row r="105" spans="1:45" s="784" customFormat="1" x14ac:dyDescent="0.25">
      <c r="A105" s="455">
        <f t="shared" si="1"/>
        <v>12.2</v>
      </c>
      <c r="B105" s="778">
        <v>41943</v>
      </c>
      <c r="C105" s="779" t="s">
        <v>454</v>
      </c>
      <c r="D105" s="779"/>
      <c r="E105" s="779" t="s">
        <v>380</v>
      </c>
      <c r="F105" s="779" t="s">
        <v>529</v>
      </c>
      <c r="G105" s="779" t="s">
        <v>124</v>
      </c>
      <c r="H105" s="436"/>
      <c r="I105" s="436"/>
      <c r="J105" s="436">
        <v>9</v>
      </c>
      <c r="K105" s="436">
        <v>18</v>
      </c>
      <c r="L105" s="437">
        <v>9</v>
      </c>
      <c r="M105" s="437">
        <v>18</v>
      </c>
      <c r="N105" s="437">
        <v>9</v>
      </c>
      <c r="O105" s="437"/>
      <c r="P105" s="439">
        <v>9</v>
      </c>
      <c r="Q105" s="439">
        <v>45</v>
      </c>
      <c r="R105" s="436"/>
      <c r="S105" s="436"/>
      <c r="T105" s="436"/>
      <c r="U105" s="436"/>
      <c r="V105" s="436"/>
      <c r="W105" s="436">
        <f>IF(NFI_Expiration=1,IF($A105&lt;VLOOKUP(H$5,NFI,5,0),1,0)*Table_NFI[[#This Row],[Hygiene Kit]],Table_NFI[Hygiene Kit])</f>
        <v>0</v>
      </c>
      <c r="X105" s="436">
        <f>IF(NFI_Expiration=1,IF($A105&lt;VLOOKUP(I$5,NFI,5,0),1,0)*Table_NFI[[#This Row],[NFI Core Kit]],Table_NFI[NFI Core Kit])</f>
        <v>0</v>
      </c>
      <c r="Y105" s="436">
        <f>IF(NFI_Expiration=1,IF($A105&lt;VLOOKUP(J$5,NFI,5,0),1,0)*Table_NFI[[#This Row],[Sanitary Kit]],Table_NFI[Sanitary Kit])</f>
        <v>0</v>
      </c>
      <c r="Z105" s="436">
        <f>IF(NFI_Expiration=1,IF($A105&lt;VLOOKUP(K$5,NFI,5,0),1,0)*Table_NFI[[#This Row],[Mosquito net]],Table_NFI[Mosquito net])</f>
        <v>0</v>
      </c>
      <c r="AA105" s="436">
        <f>IF(NFI_Expiration=1,IF($A105&lt;VLOOKUP(L$5,NFI,5,0),1,0)*Table_NFI[[#This Row],[Tarpaulin]],Table_NFI[[#This Row],[Tarpaulin]])</f>
        <v>0</v>
      </c>
      <c r="AB105" s="436">
        <f>IF(NFI_Expiration=1,IF($A105&lt;VLOOKUP(M$5,NFI,5,0),1,0)*Table_NFI[[#This Row],[Blanket]],Table_NFI[[#This Row],[Blanket]])</f>
        <v>0</v>
      </c>
      <c r="AC105" s="436">
        <f>IF(NFI_Expiration=1,IF($A105&lt;VLOOKUP(N$5,NFI,5,0),1,0)*Table_NFI[[#This Row],[Kitchen Set]],Table_NFI[Kitchen Set])</f>
        <v>0</v>
      </c>
      <c r="AD105" s="436">
        <f>IF(NFI_Expiration=1,IF($A105&lt;VLOOKUP(O$5,NFI,5,0),1,0)*Table_NFI[[#This Row],[Clothes Kit]],Table_NFI[Clothes Kit])</f>
        <v>0</v>
      </c>
      <c r="AE105" s="436">
        <f>IF(NFI_Expiration=1,IF($A105&lt;VLOOKUP(P$5,NFI,5,0),1,0)*Table_NFI[[#This Row],[Plastic Bucket]],Table_NFI[Plastic Bucket])</f>
        <v>0</v>
      </c>
      <c r="AF105" s="436">
        <f>IF(NFI_Expiration=1,IF($A105&lt;VLOOKUP(Q$5,NFI,5,0),1,0)*Table_NFI[[#This Row],[Plastic Mat]],Table_NFI[Plastic Mat])*IF(Table_NFI[[#This Row],[Distribution Date]]&gt;"2014-04-01",1,2.5)</f>
        <v>0</v>
      </c>
      <c r="AG105" s="436">
        <f>IF(NFI_Expiration=1,IF($A105&lt;VLOOKUP(R$5,NFI,5,0),1,0)*Table_NFI[[#This Row],[Winter Clothes Adult]],Table_NFI[Winter Clothes Adult])</f>
        <v>0</v>
      </c>
      <c r="AH105" s="436">
        <f>IF(NFI_Expiration=1,IF($A105&lt;VLOOKUP(S$5,NFI,5,0),1,0)*Table_NFI[[#This Row],[Winter Clothes Children]],Table_NFI[Winter Clothes Children])</f>
        <v>0</v>
      </c>
      <c r="AI105" s="436">
        <f>IF(NFI_Expiration=1,IF($A105&lt;VLOOKUP(T$5,NFI,5,0),1,0)*Table_NFI[[#This Row],[Winter Items Other]],Table_NFI[Winter Items Other])</f>
        <v>0</v>
      </c>
      <c r="AJ105" s="436">
        <f>IF(NFI_Expiration=1,IF($A105&lt;VLOOKUP(M$5,NFI,5,0),1,0)*Table_NFI[[#This Row],[Winter Blanket]],Table_NFI[[#This Row],[Winter Blanket]])</f>
        <v>0</v>
      </c>
      <c r="AK105" s="436">
        <f>IF(Table_NFI[[#This Row],[Winter Clothes Adult]]+Table_NFI[[#This Row],[Winter Clothes Children]]+Table_NFI[[#This Row],[Winter Items Other]]+Table_NFI[[#This Row],[Winter Blanket]]&gt;0,1,0)</f>
        <v>0</v>
      </c>
      <c r="AL105" s="439">
        <f>IF(NFI_Expiration=1,IF($A105&lt;VLOOKUP(V$5,NFI,5,0),1,0)*Table_NFI[[#This Row],[Jerry Can]],Table_NFI[Jerry Can])</f>
        <v>0</v>
      </c>
      <c r="AM105" s="781" t="str">
        <f>IFERROR(VLOOKUP(Table_NFI[[#This Row],[Camp Name]],CL,2,0),"")</f>
        <v>MMR001CMP183</v>
      </c>
      <c r="AN105" s="782">
        <f ca="1">IF(Table_NFI[[#This Row],[Pcode]]="","",IF(OFFSET(CampList[Opening Date],MATCH(Table_NFI[[#This Row],[Pcode]],CampList[CP_Pcode],0)-1,0,1,1)&gt;=NFI_Monitor_Date,1,0))</f>
        <v>0</v>
      </c>
      <c r="AO105" s="781" t="str">
        <f>IFERROR(VLOOKUP(Table_NFI[[#This Row],[Camp Name]],CL,3,0),"")</f>
        <v>Open</v>
      </c>
      <c r="AP105" s="436" t="str">
        <f ca="1">IF(Table_NFI[[#This Row],[Pcode]]="","",OFFSET(CampList[Priority],MATCH(Table_NFI[[#This Row],[Pcode]],CampList[CP_Pcode],0)-1,0,1,1))</f>
        <v>P4</v>
      </c>
      <c r="AQ105" s="438">
        <f>IFERROR(Table_NFI[[#This Row],[Kitchen Set]]/VLOOKUP(Table_NFI[[#This Row],[Camp Name]],CL,4,0),"")</f>
        <v>1.125</v>
      </c>
      <c r="AR105" s="779"/>
      <c r="AS105" s="783"/>
    </row>
    <row r="106" spans="1:45" s="784" customFormat="1" x14ac:dyDescent="0.25">
      <c r="A106" s="455">
        <f t="shared" si="1"/>
        <v>12.2</v>
      </c>
      <c r="B106" s="778">
        <v>41943</v>
      </c>
      <c r="C106" s="779" t="s">
        <v>454</v>
      </c>
      <c r="D106" s="779"/>
      <c r="E106" s="779" t="s">
        <v>380</v>
      </c>
      <c r="F106" s="779" t="s">
        <v>529</v>
      </c>
      <c r="G106" s="779" t="s">
        <v>126</v>
      </c>
      <c r="H106" s="436"/>
      <c r="I106" s="436"/>
      <c r="J106" s="436">
        <v>38</v>
      </c>
      <c r="K106" s="436">
        <v>76</v>
      </c>
      <c r="L106" s="437">
        <v>38</v>
      </c>
      <c r="M106" s="437">
        <v>76</v>
      </c>
      <c r="N106" s="437">
        <v>38</v>
      </c>
      <c r="O106" s="437"/>
      <c r="P106" s="439">
        <v>38</v>
      </c>
      <c r="Q106" s="439">
        <v>190</v>
      </c>
      <c r="R106" s="436"/>
      <c r="S106" s="436"/>
      <c r="T106" s="436"/>
      <c r="U106" s="436"/>
      <c r="V106" s="436"/>
      <c r="W106" s="436">
        <f>IF(NFI_Expiration=1,IF($A106&lt;VLOOKUP(H$5,NFI,5,0),1,0)*Table_NFI[[#This Row],[Hygiene Kit]],Table_NFI[Hygiene Kit])</f>
        <v>0</v>
      </c>
      <c r="X106" s="436">
        <f>IF(NFI_Expiration=1,IF($A106&lt;VLOOKUP(I$5,NFI,5,0),1,0)*Table_NFI[[#This Row],[NFI Core Kit]],Table_NFI[NFI Core Kit])</f>
        <v>0</v>
      </c>
      <c r="Y106" s="436">
        <f>IF(NFI_Expiration=1,IF($A106&lt;VLOOKUP(J$5,NFI,5,0),1,0)*Table_NFI[[#This Row],[Sanitary Kit]],Table_NFI[Sanitary Kit])</f>
        <v>0</v>
      </c>
      <c r="Z106" s="436">
        <f>IF(NFI_Expiration=1,IF($A106&lt;VLOOKUP(K$5,NFI,5,0),1,0)*Table_NFI[[#This Row],[Mosquito net]],Table_NFI[Mosquito net])</f>
        <v>0</v>
      </c>
      <c r="AA106" s="436">
        <f>IF(NFI_Expiration=1,IF($A106&lt;VLOOKUP(L$5,NFI,5,0),1,0)*Table_NFI[[#This Row],[Tarpaulin]],Table_NFI[[#This Row],[Tarpaulin]])</f>
        <v>0</v>
      </c>
      <c r="AB106" s="436">
        <f>IF(NFI_Expiration=1,IF($A106&lt;VLOOKUP(M$5,NFI,5,0),1,0)*Table_NFI[[#This Row],[Blanket]],Table_NFI[[#This Row],[Blanket]])</f>
        <v>0</v>
      </c>
      <c r="AC106" s="436">
        <f>IF(NFI_Expiration=1,IF($A106&lt;VLOOKUP(N$5,NFI,5,0),1,0)*Table_NFI[[#This Row],[Kitchen Set]],Table_NFI[Kitchen Set])</f>
        <v>0</v>
      </c>
      <c r="AD106" s="436">
        <f>IF(NFI_Expiration=1,IF($A106&lt;VLOOKUP(O$5,NFI,5,0),1,0)*Table_NFI[[#This Row],[Clothes Kit]],Table_NFI[Clothes Kit])</f>
        <v>0</v>
      </c>
      <c r="AE106" s="436">
        <f>IF(NFI_Expiration=1,IF($A106&lt;VLOOKUP(P$5,NFI,5,0),1,0)*Table_NFI[[#This Row],[Plastic Bucket]],Table_NFI[Plastic Bucket])</f>
        <v>0</v>
      </c>
      <c r="AF106" s="436">
        <f>IF(NFI_Expiration=1,IF($A106&lt;VLOOKUP(Q$5,NFI,5,0),1,0)*Table_NFI[[#This Row],[Plastic Mat]],Table_NFI[Plastic Mat])*IF(Table_NFI[[#This Row],[Distribution Date]]&gt;"2014-04-01",1,2.5)</f>
        <v>0</v>
      </c>
      <c r="AG106" s="436">
        <f>IF(NFI_Expiration=1,IF($A106&lt;VLOOKUP(R$5,NFI,5,0),1,0)*Table_NFI[[#This Row],[Winter Clothes Adult]],Table_NFI[Winter Clothes Adult])</f>
        <v>0</v>
      </c>
      <c r="AH106" s="436">
        <f>IF(NFI_Expiration=1,IF($A106&lt;VLOOKUP(S$5,NFI,5,0),1,0)*Table_NFI[[#This Row],[Winter Clothes Children]],Table_NFI[Winter Clothes Children])</f>
        <v>0</v>
      </c>
      <c r="AI106" s="436">
        <f>IF(NFI_Expiration=1,IF($A106&lt;VLOOKUP(T$5,NFI,5,0),1,0)*Table_NFI[[#This Row],[Winter Items Other]],Table_NFI[Winter Items Other])</f>
        <v>0</v>
      </c>
      <c r="AJ106" s="436">
        <f>IF(NFI_Expiration=1,IF($A106&lt;VLOOKUP(M$5,NFI,5,0),1,0)*Table_NFI[[#This Row],[Winter Blanket]],Table_NFI[[#This Row],[Winter Blanket]])</f>
        <v>0</v>
      </c>
      <c r="AK106" s="436">
        <f>IF(Table_NFI[[#This Row],[Winter Clothes Adult]]+Table_NFI[[#This Row],[Winter Clothes Children]]+Table_NFI[[#This Row],[Winter Items Other]]+Table_NFI[[#This Row],[Winter Blanket]]&gt;0,1,0)</f>
        <v>0</v>
      </c>
      <c r="AL106" s="439">
        <f>IF(NFI_Expiration=1,IF($A106&lt;VLOOKUP(V$5,NFI,5,0),1,0)*Table_NFI[[#This Row],[Jerry Can]],Table_NFI[Jerry Can])</f>
        <v>0</v>
      </c>
      <c r="AM106" s="781" t="str">
        <f>IFERROR(VLOOKUP(Table_NFI[[#This Row],[Camp Name]],CL,2,0),"")</f>
        <v>MMR001CMP184</v>
      </c>
      <c r="AN106" s="782">
        <f ca="1">IF(Table_NFI[[#This Row],[Pcode]]="","",IF(OFFSET(CampList[Opening Date],MATCH(Table_NFI[[#This Row],[Pcode]],CampList[CP_Pcode],0)-1,0,1,1)&gt;=NFI_Monitor_Date,1,0))</f>
        <v>0</v>
      </c>
      <c r="AO106" s="781" t="str">
        <f>IFERROR(VLOOKUP(Table_NFI[[#This Row],[Camp Name]],CL,3,0),"")</f>
        <v>Open</v>
      </c>
      <c r="AP106" s="436" t="str">
        <f ca="1">IF(Table_NFI[[#This Row],[Pcode]]="","",OFFSET(CampList[Priority],MATCH(Table_NFI[[#This Row],[Pcode]],CampList[CP_Pcode],0)-1,0,1,1))</f>
        <v>P4</v>
      </c>
      <c r="AQ106" s="438">
        <f>IFERROR(Table_NFI[[#This Row],[Kitchen Set]]/VLOOKUP(Table_NFI[[#This Row],[Camp Name]],CL,4,0),"")</f>
        <v>0.92682926829268297</v>
      </c>
      <c r="AR106" s="779"/>
      <c r="AS106" s="783"/>
    </row>
    <row r="107" spans="1:45" s="784" customFormat="1" x14ac:dyDescent="0.25">
      <c r="A107" s="455">
        <f t="shared" si="1"/>
        <v>12.2</v>
      </c>
      <c r="B107" s="778">
        <v>41943</v>
      </c>
      <c r="C107" s="779" t="s">
        <v>454</v>
      </c>
      <c r="D107" s="779"/>
      <c r="E107" s="779" t="s">
        <v>380</v>
      </c>
      <c r="F107" s="779" t="s">
        <v>529</v>
      </c>
      <c r="G107" s="779" t="s">
        <v>140</v>
      </c>
      <c r="H107" s="436"/>
      <c r="I107" s="436"/>
      <c r="J107" s="436">
        <v>10</v>
      </c>
      <c r="K107" s="436">
        <v>20</v>
      </c>
      <c r="L107" s="437">
        <v>10</v>
      </c>
      <c r="M107" s="437">
        <v>20</v>
      </c>
      <c r="N107" s="437">
        <v>10</v>
      </c>
      <c r="O107" s="437"/>
      <c r="P107" s="439">
        <v>10</v>
      </c>
      <c r="Q107" s="439">
        <v>50</v>
      </c>
      <c r="R107" s="436"/>
      <c r="S107" s="436"/>
      <c r="T107" s="436"/>
      <c r="U107" s="436"/>
      <c r="V107" s="436"/>
      <c r="W107" s="436">
        <f>IF(NFI_Expiration=1,IF($A107&lt;VLOOKUP(H$5,NFI,5,0),1,0)*Table_NFI[[#This Row],[Hygiene Kit]],Table_NFI[Hygiene Kit])</f>
        <v>0</v>
      </c>
      <c r="X107" s="436">
        <f>IF(NFI_Expiration=1,IF($A107&lt;VLOOKUP(I$5,NFI,5,0),1,0)*Table_NFI[[#This Row],[NFI Core Kit]],Table_NFI[NFI Core Kit])</f>
        <v>0</v>
      </c>
      <c r="Y107" s="436">
        <f>IF(NFI_Expiration=1,IF($A107&lt;VLOOKUP(J$5,NFI,5,0),1,0)*Table_NFI[[#This Row],[Sanitary Kit]],Table_NFI[Sanitary Kit])</f>
        <v>0</v>
      </c>
      <c r="Z107" s="436">
        <f>IF(NFI_Expiration=1,IF($A107&lt;VLOOKUP(K$5,NFI,5,0),1,0)*Table_NFI[[#This Row],[Mosquito net]],Table_NFI[Mosquito net])</f>
        <v>0</v>
      </c>
      <c r="AA107" s="436">
        <f>IF(NFI_Expiration=1,IF($A107&lt;VLOOKUP(L$5,NFI,5,0),1,0)*Table_NFI[[#This Row],[Tarpaulin]],Table_NFI[[#This Row],[Tarpaulin]])</f>
        <v>0</v>
      </c>
      <c r="AB107" s="436">
        <f>IF(NFI_Expiration=1,IF($A107&lt;VLOOKUP(M$5,NFI,5,0),1,0)*Table_NFI[[#This Row],[Blanket]],Table_NFI[[#This Row],[Blanket]])</f>
        <v>0</v>
      </c>
      <c r="AC107" s="436">
        <f>IF(NFI_Expiration=1,IF($A107&lt;VLOOKUP(N$5,NFI,5,0),1,0)*Table_NFI[[#This Row],[Kitchen Set]],Table_NFI[Kitchen Set])</f>
        <v>0</v>
      </c>
      <c r="AD107" s="436">
        <f>IF(NFI_Expiration=1,IF($A107&lt;VLOOKUP(O$5,NFI,5,0),1,0)*Table_NFI[[#This Row],[Clothes Kit]],Table_NFI[Clothes Kit])</f>
        <v>0</v>
      </c>
      <c r="AE107" s="436">
        <f>IF(NFI_Expiration=1,IF($A107&lt;VLOOKUP(P$5,NFI,5,0),1,0)*Table_NFI[[#This Row],[Plastic Bucket]],Table_NFI[Plastic Bucket])</f>
        <v>0</v>
      </c>
      <c r="AF107" s="436">
        <f>IF(NFI_Expiration=1,IF($A107&lt;VLOOKUP(Q$5,NFI,5,0),1,0)*Table_NFI[[#This Row],[Plastic Mat]],Table_NFI[Plastic Mat])*IF(Table_NFI[[#This Row],[Distribution Date]]&gt;"2014-04-01",1,2.5)</f>
        <v>0</v>
      </c>
      <c r="AG107" s="436">
        <f>IF(NFI_Expiration=1,IF($A107&lt;VLOOKUP(R$5,NFI,5,0),1,0)*Table_NFI[[#This Row],[Winter Clothes Adult]],Table_NFI[Winter Clothes Adult])</f>
        <v>0</v>
      </c>
      <c r="AH107" s="436">
        <f>IF(NFI_Expiration=1,IF($A107&lt;VLOOKUP(S$5,NFI,5,0),1,0)*Table_NFI[[#This Row],[Winter Clothes Children]],Table_NFI[Winter Clothes Children])</f>
        <v>0</v>
      </c>
      <c r="AI107" s="436">
        <f>IF(NFI_Expiration=1,IF($A107&lt;VLOOKUP(T$5,NFI,5,0),1,0)*Table_NFI[[#This Row],[Winter Items Other]],Table_NFI[Winter Items Other])</f>
        <v>0</v>
      </c>
      <c r="AJ107" s="436">
        <f>IF(NFI_Expiration=1,IF($A107&lt;VLOOKUP(M$5,NFI,5,0),1,0)*Table_NFI[[#This Row],[Winter Blanket]],Table_NFI[[#This Row],[Winter Blanket]])</f>
        <v>0</v>
      </c>
      <c r="AK107" s="436">
        <f>IF(Table_NFI[[#This Row],[Winter Clothes Adult]]+Table_NFI[[#This Row],[Winter Clothes Children]]+Table_NFI[[#This Row],[Winter Items Other]]+Table_NFI[[#This Row],[Winter Blanket]]&gt;0,1,0)</f>
        <v>0</v>
      </c>
      <c r="AL107" s="439">
        <f>IF(NFI_Expiration=1,IF($A107&lt;VLOOKUP(V$5,NFI,5,0),1,0)*Table_NFI[[#This Row],[Jerry Can]],Table_NFI[Jerry Can])</f>
        <v>0</v>
      </c>
      <c r="AM107" s="781" t="str">
        <f>IFERROR(VLOOKUP(Table_NFI[[#This Row],[Camp Name]],CL,2,0),"")</f>
        <v>MMR001CMP105</v>
      </c>
      <c r="AN107" s="782">
        <f ca="1">IF(Table_NFI[[#This Row],[Pcode]]="","",IF(OFFSET(CampList[Opening Date],MATCH(Table_NFI[[#This Row],[Pcode]],CampList[CP_Pcode],0)-1,0,1,1)&gt;=NFI_Monitor_Date,1,0))</f>
        <v>0</v>
      </c>
      <c r="AO107" s="781" t="str">
        <f>IFERROR(VLOOKUP(Table_NFI[[#This Row],[Camp Name]],CL,3,0),"")</f>
        <v>Open</v>
      </c>
      <c r="AP107" s="436" t="str">
        <f ca="1">IF(Table_NFI[[#This Row],[Pcode]]="","",OFFSET(CampList[Priority],MATCH(Table_NFI[[#This Row],[Pcode]],CampList[CP_Pcode],0)-1,0,1,1))</f>
        <v>P4</v>
      </c>
      <c r="AQ107" s="438">
        <f>IFERROR(Table_NFI[[#This Row],[Kitchen Set]]/VLOOKUP(Table_NFI[[#This Row],[Camp Name]],CL,4,0),"")</f>
        <v>0.5</v>
      </c>
      <c r="AR107" s="779"/>
      <c r="AS107" s="783"/>
    </row>
    <row r="108" spans="1:45" s="784" customFormat="1" x14ac:dyDescent="0.25">
      <c r="A108" s="455">
        <f t="shared" si="1"/>
        <v>12.233333333333333</v>
      </c>
      <c r="B108" s="778">
        <v>41942</v>
      </c>
      <c r="C108" s="789" t="s">
        <v>454</v>
      </c>
      <c r="D108" s="789"/>
      <c r="E108" s="789" t="s">
        <v>380</v>
      </c>
      <c r="F108" s="789" t="s">
        <v>5</v>
      </c>
      <c r="G108" s="789" t="s">
        <v>514</v>
      </c>
      <c r="H108" s="437"/>
      <c r="I108" s="437"/>
      <c r="J108" s="437"/>
      <c r="K108" s="437"/>
      <c r="L108" s="437"/>
      <c r="M108" s="437"/>
      <c r="N108" s="437"/>
      <c r="O108" s="437"/>
      <c r="P108" s="439"/>
      <c r="Q108" s="439"/>
      <c r="R108" s="439"/>
      <c r="S108" s="439"/>
      <c r="T108" s="439"/>
      <c r="U108" s="439"/>
      <c r="V108" s="439"/>
      <c r="W108" s="439">
        <f>IF(NFI_Expiration=1,IF($A108&lt;VLOOKUP(H$5,NFI,5,0),1,0)*Table_NFI[[#This Row],[Hygiene Kit]],Table_NFI[Hygiene Kit])</f>
        <v>0</v>
      </c>
      <c r="X108" s="439">
        <f>IF(NFI_Expiration=1,IF($A108&lt;VLOOKUP(I$5,NFI,5,0),1,0)*Table_NFI[[#This Row],[NFI Core Kit]],Table_NFI[NFI Core Kit])</f>
        <v>0</v>
      </c>
      <c r="Y108" s="439">
        <f>IF(NFI_Expiration=1,IF($A108&lt;VLOOKUP(J$5,NFI,5,0),1,0)*Table_NFI[[#This Row],[Sanitary Kit]],Table_NFI[Sanitary Kit])</f>
        <v>0</v>
      </c>
      <c r="Z108" s="439">
        <f>IF(NFI_Expiration=1,IF($A108&lt;VLOOKUP(K$5,NFI,5,0),1,0)*Table_NFI[[#This Row],[Mosquito net]],Table_NFI[Mosquito net])</f>
        <v>0</v>
      </c>
      <c r="AA108" s="439">
        <f>IF(NFI_Expiration=1,IF($A108&lt;VLOOKUP(L$5,NFI,5,0),1,0)*Table_NFI[[#This Row],[Tarpaulin]],Table_NFI[[#This Row],[Tarpaulin]])</f>
        <v>0</v>
      </c>
      <c r="AB108" s="439">
        <f>IF(NFI_Expiration=1,IF($A108&lt;VLOOKUP(M$5,NFI,5,0),1,0)*Table_NFI[[#This Row],[Blanket]],Table_NFI[[#This Row],[Blanket]])</f>
        <v>0</v>
      </c>
      <c r="AC108" s="439">
        <f>IF(NFI_Expiration=1,IF($A108&lt;VLOOKUP(N$5,NFI,5,0),1,0)*Table_NFI[[#This Row],[Kitchen Set]],Table_NFI[Kitchen Set])</f>
        <v>0</v>
      </c>
      <c r="AD108" s="439">
        <f>IF(NFI_Expiration=1,IF($A108&lt;VLOOKUP(O$5,NFI,5,0),1,0)*Table_NFI[[#This Row],[Clothes Kit]],Table_NFI[Clothes Kit])</f>
        <v>0</v>
      </c>
      <c r="AE108" s="439">
        <f>IF(NFI_Expiration=1,IF($A108&lt;VLOOKUP(P$5,NFI,5,0),1,0)*Table_NFI[[#This Row],[Plastic Bucket]],Table_NFI[Plastic Bucket])</f>
        <v>0</v>
      </c>
      <c r="AF108" s="439">
        <f>IF(NFI_Expiration=1,IF($A108&lt;VLOOKUP(Q$5,NFI,5,0),1,0)*Table_NFI[[#This Row],[Plastic Mat]],Table_NFI[Plastic Mat])*IF(Table_NFI[[#This Row],[Distribution Date]]&gt;"2014-04-01",1,2.5)</f>
        <v>0</v>
      </c>
      <c r="AG108" s="439">
        <f>IF(NFI_Expiration=1,IF($A108&lt;VLOOKUP(R$5,NFI,5,0),1,0)*Table_NFI[[#This Row],[Winter Clothes Adult]],Table_NFI[Winter Clothes Adult])</f>
        <v>0</v>
      </c>
      <c r="AH108" s="439">
        <f>IF(NFI_Expiration=1,IF($A108&lt;VLOOKUP(S$5,NFI,5,0),1,0)*Table_NFI[[#This Row],[Winter Clothes Children]],Table_NFI[Winter Clothes Children])</f>
        <v>0</v>
      </c>
      <c r="AI108" s="439">
        <f>IF(NFI_Expiration=1,IF($A108&lt;VLOOKUP(T$5,NFI,5,0),1,0)*Table_NFI[[#This Row],[Winter Items Other]],Table_NFI[Winter Items Other])</f>
        <v>0</v>
      </c>
      <c r="AJ108" s="439">
        <f>IF(NFI_Expiration=1,IF($A108&lt;VLOOKUP(M$5,NFI,5,0),1,0)*Table_NFI[[#This Row],[Winter Blanket]],Table_NFI[[#This Row],[Winter Blanket]])</f>
        <v>0</v>
      </c>
      <c r="AK108" s="439">
        <f>IF(Table_NFI[[#This Row],[Winter Clothes Adult]]+Table_NFI[[#This Row],[Winter Clothes Children]]+Table_NFI[[#This Row],[Winter Items Other]]+Table_NFI[[#This Row],[Winter Blanket]]&gt;0,1,0)</f>
        <v>0</v>
      </c>
      <c r="AL108" s="439">
        <f>IF(NFI_Expiration=1,IF($A108&lt;VLOOKUP(V$5,NFI,5,0),1,0)*Table_NFI[[#This Row],[Jerry Can]],Table_NFI[Jerry Can])</f>
        <v>0</v>
      </c>
      <c r="AM108" s="791" t="str">
        <f>IFERROR(VLOOKUP(Table_NFI[[#This Row],[Camp Name]],CL,2,0),"")</f>
        <v>MMR001CMP194</v>
      </c>
      <c r="AN108" s="782">
        <f ca="1">IF(Table_NFI[[#This Row],[Pcode]]="","",IF(OFFSET(CampList[Opening Date],MATCH(Table_NFI[[#This Row],[Pcode]],CampList[CP_Pcode],0)-1,0,1,1)&gt;=NFI_Monitor_Date,1,0))</f>
        <v>0</v>
      </c>
      <c r="AO108" s="791" t="s">
        <v>849</v>
      </c>
      <c r="AP108" s="439" t="str">
        <f ca="1">IF(Table_NFI[[#This Row],[Pcode]]="","",OFFSET(CampList[Priority],MATCH(Table_NFI[[#This Row],[Pcode]],CampList[CP_Pcode],0)-1,0,1,1))</f>
        <v>P4</v>
      </c>
      <c r="AQ108" s="438">
        <f>IFERROR(Table_NFI[[#This Row],[Kitchen Set]]/VLOOKUP(Table_NFI[[#This Row],[Camp Name]],CL,4,0),"")</f>
        <v>0</v>
      </c>
      <c r="AR108" s="789"/>
      <c r="AS108" s="792"/>
    </row>
    <row r="109" spans="1:45" s="136" customFormat="1" x14ac:dyDescent="0.25">
      <c r="A109" s="455">
        <f t="shared" si="1"/>
        <v>12.4</v>
      </c>
      <c r="B109" s="778">
        <v>41937</v>
      </c>
      <c r="C109" s="779" t="s">
        <v>1101</v>
      </c>
      <c r="D109" s="779" t="s">
        <v>907</v>
      </c>
      <c r="E109" s="779" t="s">
        <v>380</v>
      </c>
      <c r="F109" s="779" t="s">
        <v>529</v>
      </c>
      <c r="G109" s="779" t="s">
        <v>62</v>
      </c>
      <c r="H109" s="436"/>
      <c r="I109" s="436"/>
      <c r="J109" s="436"/>
      <c r="K109" s="436"/>
      <c r="L109" s="437"/>
      <c r="M109" s="437"/>
      <c r="N109" s="437"/>
      <c r="O109" s="437"/>
      <c r="P109" s="439"/>
      <c r="Q109" s="439"/>
      <c r="R109" s="436">
        <v>229</v>
      </c>
      <c r="S109" s="436">
        <v>126</v>
      </c>
      <c r="T109" s="436"/>
      <c r="U109" s="436"/>
      <c r="V109" s="436"/>
      <c r="W109" s="436">
        <f>IF(NFI_Expiration=1,IF($A109&lt;VLOOKUP(H$5,NFI,5,0),1,0)*Table_NFI[[#This Row],[Hygiene Kit]],Table_NFI[Hygiene Kit])</f>
        <v>0</v>
      </c>
      <c r="X109" s="436">
        <f>IF(NFI_Expiration=1,IF($A109&lt;VLOOKUP(I$5,NFI,5,0),1,0)*Table_NFI[[#This Row],[NFI Core Kit]],Table_NFI[NFI Core Kit])</f>
        <v>0</v>
      </c>
      <c r="Y109" s="436">
        <f>IF(NFI_Expiration=1,IF($A109&lt;VLOOKUP(J$5,NFI,5,0),1,0)*Table_NFI[[#This Row],[Sanitary Kit]],Table_NFI[Sanitary Kit])</f>
        <v>0</v>
      </c>
      <c r="Z109" s="436">
        <f>IF(NFI_Expiration=1,IF($A109&lt;VLOOKUP(K$5,NFI,5,0),1,0)*Table_NFI[[#This Row],[Mosquito net]],Table_NFI[Mosquito net])</f>
        <v>0</v>
      </c>
      <c r="AA109" s="436">
        <f>IF(NFI_Expiration=1,IF($A109&lt;VLOOKUP(L$5,NFI,5,0),1,0)*Table_NFI[[#This Row],[Tarpaulin]],Table_NFI[[#This Row],[Tarpaulin]])</f>
        <v>0</v>
      </c>
      <c r="AB109" s="436">
        <f>IF(NFI_Expiration=1,IF($A109&lt;VLOOKUP(M$5,NFI,5,0),1,0)*Table_NFI[[#This Row],[Blanket]],Table_NFI[[#This Row],[Blanket]])</f>
        <v>0</v>
      </c>
      <c r="AC109" s="436">
        <f>IF(NFI_Expiration=1,IF($A109&lt;VLOOKUP(N$5,NFI,5,0),1,0)*Table_NFI[[#This Row],[Kitchen Set]],Table_NFI[Kitchen Set])</f>
        <v>0</v>
      </c>
      <c r="AD109" s="436">
        <f>IF(NFI_Expiration=1,IF($A109&lt;VLOOKUP(O$5,NFI,5,0),1,0)*Table_NFI[[#This Row],[Clothes Kit]],Table_NFI[Clothes Kit])</f>
        <v>0</v>
      </c>
      <c r="AE109" s="436">
        <f>IF(NFI_Expiration=1,IF($A109&lt;VLOOKUP(P$5,NFI,5,0),1,0)*Table_NFI[[#This Row],[Plastic Bucket]],Table_NFI[Plastic Bucket])</f>
        <v>0</v>
      </c>
      <c r="AF109" s="436">
        <f>IF(NFI_Expiration=1,IF($A109&lt;VLOOKUP(Q$5,NFI,5,0),1,0)*Table_NFI[[#This Row],[Plastic Mat]],Table_NFI[Plastic Mat])*IF(Table_NFI[[#This Row],[Distribution Date]]&gt;"2014-04-01",1,2.5)</f>
        <v>0</v>
      </c>
      <c r="AG109" s="436">
        <f>IF(NFI_Expiration=1,IF($A109&lt;VLOOKUP(R$5,NFI,5,0),1,0)*Table_NFI[[#This Row],[Winter Clothes Adult]],Table_NFI[Winter Clothes Adult])</f>
        <v>0</v>
      </c>
      <c r="AH109" s="436">
        <f>IF(NFI_Expiration=1,IF($A109&lt;VLOOKUP(S$5,NFI,5,0),1,0)*Table_NFI[[#This Row],[Winter Clothes Children]],Table_NFI[Winter Clothes Children])</f>
        <v>0</v>
      </c>
      <c r="AI109" s="436">
        <f>IF(NFI_Expiration=1,IF($A109&lt;VLOOKUP(T$5,NFI,5,0),1,0)*Table_NFI[[#This Row],[Winter Items Other]],Table_NFI[Winter Items Other])</f>
        <v>0</v>
      </c>
      <c r="AJ109" s="436">
        <f>IF(NFI_Expiration=1,IF($A109&lt;VLOOKUP(M$5,NFI,5,0),1,0)*Table_NFI[[#This Row],[Winter Blanket]],Table_NFI[[#This Row],[Winter Blanket]])</f>
        <v>0</v>
      </c>
      <c r="AK109" s="436">
        <f>IF(Table_NFI[[#This Row],[Winter Clothes Adult]]+Table_NFI[[#This Row],[Winter Clothes Children]]+Table_NFI[[#This Row],[Winter Items Other]]+Table_NFI[[#This Row],[Winter Blanket]]&gt;0,1,0)</f>
        <v>1</v>
      </c>
      <c r="AL109" s="439">
        <f>IF(NFI_Expiration=1,IF($A109&lt;VLOOKUP(V$5,NFI,5,0),1,0)*Table_NFI[[#This Row],[Jerry Can]],Table_NFI[Jerry Can])</f>
        <v>0</v>
      </c>
      <c r="AM109" s="781" t="str">
        <f>IFERROR(VLOOKUP(Table_NFI[[#This Row],[Camp Name]],CL,2,0),"")</f>
        <v>MMR001CMP179</v>
      </c>
      <c r="AN109" s="782">
        <f ca="1">IF(Table_NFI[[#This Row],[Pcode]]="","",IF(OFFSET(CampList[Opening Date],MATCH(Table_NFI[[#This Row],[Pcode]],CampList[CP_Pcode],0)-1,0,1,1)&gt;=NFI_Monitor_Date,1,0))</f>
        <v>0</v>
      </c>
      <c r="AO109" s="781" t="str">
        <f>IFERROR(VLOOKUP(Table_NFI[[#This Row],[Camp Name]],CL,3,0),"")</f>
        <v>Open</v>
      </c>
      <c r="AP109" s="436" t="str">
        <f ca="1">IF(Table_NFI[[#This Row],[Pcode]]="","",OFFSET(CampList[Priority],MATCH(Table_NFI[[#This Row],[Pcode]],CampList[CP_Pcode],0)-1,0,1,1))</f>
        <v>P4</v>
      </c>
      <c r="AQ109" s="438">
        <f>IFERROR(Table_NFI[[#This Row],[Kitchen Set]]/VLOOKUP(Table_NFI[[#This Row],[Camp Name]],CL,4,0),"")</f>
        <v>0</v>
      </c>
      <c r="AR109" s="779"/>
      <c r="AS109" s="783"/>
    </row>
    <row r="110" spans="1:45" s="784" customFormat="1" x14ac:dyDescent="0.25">
      <c r="A110" s="455">
        <f t="shared" si="1"/>
        <v>12.4</v>
      </c>
      <c r="B110" s="778">
        <v>41937</v>
      </c>
      <c r="C110" s="779" t="s">
        <v>1101</v>
      </c>
      <c r="D110" s="779" t="s">
        <v>907</v>
      </c>
      <c r="E110" s="779" t="s">
        <v>380</v>
      </c>
      <c r="F110" s="779" t="s">
        <v>529</v>
      </c>
      <c r="G110" s="779" t="s">
        <v>120</v>
      </c>
      <c r="H110" s="436"/>
      <c r="I110" s="436"/>
      <c r="J110" s="436"/>
      <c r="K110" s="436"/>
      <c r="L110" s="437"/>
      <c r="M110" s="437"/>
      <c r="N110" s="437"/>
      <c r="O110" s="437"/>
      <c r="P110" s="439"/>
      <c r="Q110" s="439"/>
      <c r="R110" s="436">
        <v>223</v>
      </c>
      <c r="S110" s="436">
        <v>96</v>
      </c>
      <c r="T110" s="436"/>
      <c r="U110" s="436"/>
      <c r="V110" s="436"/>
      <c r="W110" s="436">
        <f>IF(NFI_Expiration=1,IF($A110&lt;VLOOKUP(H$5,NFI,5,0),1,0)*Table_NFI[[#This Row],[Hygiene Kit]],Table_NFI[Hygiene Kit])</f>
        <v>0</v>
      </c>
      <c r="X110" s="436">
        <f>IF(NFI_Expiration=1,IF($A110&lt;VLOOKUP(I$5,NFI,5,0),1,0)*Table_NFI[[#This Row],[NFI Core Kit]],Table_NFI[NFI Core Kit])</f>
        <v>0</v>
      </c>
      <c r="Y110" s="436">
        <f>IF(NFI_Expiration=1,IF($A110&lt;VLOOKUP(J$5,NFI,5,0),1,0)*Table_NFI[[#This Row],[Sanitary Kit]],Table_NFI[Sanitary Kit])</f>
        <v>0</v>
      </c>
      <c r="Z110" s="436">
        <f>IF(NFI_Expiration=1,IF($A110&lt;VLOOKUP(K$5,NFI,5,0),1,0)*Table_NFI[[#This Row],[Mosquito net]],Table_NFI[Mosquito net])</f>
        <v>0</v>
      </c>
      <c r="AA110" s="436">
        <f>IF(NFI_Expiration=1,IF($A110&lt;VLOOKUP(L$5,NFI,5,0),1,0)*Table_NFI[[#This Row],[Tarpaulin]],Table_NFI[[#This Row],[Tarpaulin]])</f>
        <v>0</v>
      </c>
      <c r="AB110" s="436">
        <f>IF(NFI_Expiration=1,IF($A110&lt;VLOOKUP(M$5,NFI,5,0),1,0)*Table_NFI[[#This Row],[Blanket]],Table_NFI[[#This Row],[Blanket]])</f>
        <v>0</v>
      </c>
      <c r="AC110" s="436">
        <f>IF(NFI_Expiration=1,IF($A110&lt;VLOOKUP(N$5,NFI,5,0),1,0)*Table_NFI[[#This Row],[Kitchen Set]],Table_NFI[Kitchen Set])</f>
        <v>0</v>
      </c>
      <c r="AD110" s="436">
        <f>IF(NFI_Expiration=1,IF($A110&lt;VLOOKUP(O$5,NFI,5,0),1,0)*Table_NFI[[#This Row],[Clothes Kit]],Table_NFI[Clothes Kit])</f>
        <v>0</v>
      </c>
      <c r="AE110" s="436">
        <f>IF(NFI_Expiration=1,IF($A110&lt;VLOOKUP(P$5,NFI,5,0),1,0)*Table_NFI[[#This Row],[Plastic Bucket]],Table_NFI[Plastic Bucket])</f>
        <v>0</v>
      </c>
      <c r="AF110" s="436">
        <f>IF(NFI_Expiration=1,IF($A110&lt;VLOOKUP(Q$5,NFI,5,0),1,0)*Table_NFI[[#This Row],[Plastic Mat]],Table_NFI[Plastic Mat])*IF(Table_NFI[[#This Row],[Distribution Date]]&gt;"2014-04-01",1,2.5)</f>
        <v>0</v>
      </c>
      <c r="AG110" s="436">
        <f>IF(NFI_Expiration=1,IF($A110&lt;VLOOKUP(R$5,NFI,5,0),1,0)*Table_NFI[[#This Row],[Winter Clothes Adult]],Table_NFI[Winter Clothes Adult])</f>
        <v>0</v>
      </c>
      <c r="AH110" s="436">
        <f>IF(NFI_Expiration=1,IF($A110&lt;VLOOKUP(S$5,NFI,5,0),1,0)*Table_NFI[[#This Row],[Winter Clothes Children]],Table_NFI[Winter Clothes Children])</f>
        <v>0</v>
      </c>
      <c r="AI110" s="436">
        <f>IF(NFI_Expiration=1,IF($A110&lt;VLOOKUP(T$5,NFI,5,0),1,0)*Table_NFI[[#This Row],[Winter Items Other]],Table_NFI[Winter Items Other])</f>
        <v>0</v>
      </c>
      <c r="AJ110" s="436">
        <f>IF(NFI_Expiration=1,IF($A110&lt;VLOOKUP(M$5,NFI,5,0),1,0)*Table_NFI[[#This Row],[Winter Blanket]],Table_NFI[[#This Row],[Winter Blanket]])</f>
        <v>0</v>
      </c>
      <c r="AK110" s="436">
        <f>IF(Table_NFI[[#This Row],[Winter Clothes Adult]]+Table_NFI[[#This Row],[Winter Clothes Children]]+Table_NFI[[#This Row],[Winter Items Other]]+Table_NFI[[#This Row],[Winter Blanket]]&gt;0,1,0)</f>
        <v>1</v>
      </c>
      <c r="AL110" s="439">
        <f>IF(NFI_Expiration=1,IF($A110&lt;VLOOKUP(V$5,NFI,5,0),1,0)*Table_NFI[[#This Row],[Jerry Can]],Table_NFI[Jerry Can])</f>
        <v>0</v>
      </c>
      <c r="AM110" s="781" t="str">
        <f>IFERROR(VLOOKUP(Table_NFI[[#This Row],[Camp Name]],CL,2,0),"")</f>
        <v>MMR001CMP168</v>
      </c>
      <c r="AN110" s="782">
        <f ca="1">IF(Table_NFI[[#This Row],[Pcode]]="","",IF(OFFSET(CampList[Opening Date],MATCH(Table_NFI[[#This Row],[Pcode]],CampList[CP_Pcode],0)-1,0,1,1)&gt;=NFI_Monitor_Date,1,0))</f>
        <v>0</v>
      </c>
      <c r="AO110" s="781" t="str">
        <f>IFERROR(VLOOKUP(Table_NFI[[#This Row],[Camp Name]],CL,3,0),"")</f>
        <v>Open</v>
      </c>
      <c r="AP110" s="436" t="str">
        <f ca="1">IF(Table_NFI[[#This Row],[Pcode]]="","",OFFSET(CampList[Priority],MATCH(Table_NFI[[#This Row],[Pcode]],CampList[CP_Pcode],0)-1,0,1,1))</f>
        <v>P4</v>
      </c>
      <c r="AQ110" s="438">
        <f>IFERROR(Table_NFI[[#This Row],[Kitchen Set]]/VLOOKUP(Table_NFI[[#This Row],[Camp Name]],CL,4,0),"")</f>
        <v>0</v>
      </c>
      <c r="AR110" s="779"/>
      <c r="AS110" s="783"/>
    </row>
    <row r="111" spans="1:45" s="784" customFormat="1" x14ac:dyDescent="0.25">
      <c r="A111" s="455">
        <f t="shared" si="1"/>
        <v>12.4</v>
      </c>
      <c r="B111" s="778">
        <v>41937</v>
      </c>
      <c r="C111" s="779" t="s">
        <v>1101</v>
      </c>
      <c r="D111" s="779" t="s">
        <v>907</v>
      </c>
      <c r="E111" s="779" t="s">
        <v>380</v>
      </c>
      <c r="F111" s="779" t="s">
        <v>529</v>
      </c>
      <c r="G111" s="779" t="s">
        <v>41</v>
      </c>
      <c r="H111" s="436"/>
      <c r="I111" s="436"/>
      <c r="J111" s="436"/>
      <c r="K111" s="436"/>
      <c r="L111" s="437"/>
      <c r="M111" s="437"/>
      <c r="N111" s="437"/>
      <c r="O111" s="437"/>
      <c r="P111" s="439"/>
      <c r="Q111" s="439"/>
      <c r="R111" s="436">
        <v>232</v>
      </c>
      <c r="S111" s="436">
        <v>105</v>
      </c>
      <c r="T111" s="436"/>
      <c r="U111" s="436"/>
      <c r="V111" s="436"/>
      <c r="W111" s="436">
        <f>IF(NFI_Expiration=1,IF($A111&lt;VLOOKUP(H$5,NFI,5,0),1,0)*Table_NFI[[#This Row],[Hygiene Kit]],Table_NFI[Hygiene Kit])</f>
        <v>0</v>
      </c>
      <c r="X111" s="436">
        <f>IF(NFI_Expiration=1,IF($A111&lt;VLOOKUP(I$5,NFI,5,0),1,0)*Table_NFI[[#This Row],[NFI Core Kit]],Table_NFI[NFI Core Kit])</f>
        <v>0</v>
      </c>
      <c r="Y111" s="436">
        <f>IF(NFI_Expiration=1,IF($A111&lt;VLOOKUP(J$5,NFI,5,0),1,0)*Table_NFI[[#This Row],[Sanitary Kit]],Table_NFI[Sanitary Kit])</f>
        <v>0</v>
      </c>
      <c r="Z111" s="436">
        <f>IF(NFI_Expiration=1,IF($A111&lt;VLOOKUP(K$5,NFI,5,0),1,0)*Table_NFI[[#This Row],[Mosquito net]],Table_NFI[Mosquito net])</f>
        <v>0</v>
      </c>
      <c r="AA111" s="436">
        <f>IF(NFI_Expiration=1,IF($A111&lt;VLOOKUP(L$5,NFI,5,0),1,0)*Table_NFI[[#This Row],[Tarpaulin]],Table_NFI[[#This Row],[Tarpaulin]])</f>
        <v>0</v>
      </c>
      <c r="AB111" s="436">
        <f>IF(NFI_Expiration=1,IF($A111&lt;VLOOKUP(M$5,NFI,5,0),1,0)*Table_NFI[[#This Row],[Blanket]],Table_NFI[[#This Row],[Blanket]])</f>
        <v>0</v>
      </c>
      <c r="AC111" s="436">
        <f>IF(NFI_Expiration=1,IF($A111&lt;VLOOKUP(N$5,NFI,5,0),1,0)*Table_NFI[[#This Row],[Kitchen Set]],Table_NFI[Kitchen Set])</f>
        <v>0</v>
      </c>
      <c r="AD111" s="436">
        <f>IF(NFI_Expiration=1,IF($A111&lt;VLOOKUP(O$5,NFI,5,0),1,0)*Table_NFI[[#This Row],[Clothes Kit]],Table_NFI[Clothes Kit])</f>
        <v>0</v>
      </c>
      <c r="AE111" s="436">
        <f>IF(NFI_Expiration=1,IF($A111&lt;VLOOKUP(P$5,NFI,5,0),1,0)*Table_NFI[[#This Row],[Plastic Bucket]],Table_NFI[Plastic Bucket])</f>
        <v>0</v>
      </c>
      <c r="AF111" s="436">
        <f>IF(NFI_Expiration=1,IF($A111&lt;VLOOKUP(Q$5,NFI,5,0),1,0)*Table_NFI[[#This Row],[Plastic Mat]],Table_NFI[Plastic Mat])*IF(Table_NFI[[#This Row],[Distribution Date]]&gt;"2014-04-01",1,2.5)</f>
        <v>0</v>
      </c>
      <c r="AG111" s="436">
        <f>IF(NFI_Expiration=1,IF($A111&lt;VLOOKUP(R$5,NFI,5,0),1,0)*Table_NFI[[#This Row],[Winter Clothes Adult]],Table_NFI[Winter Clothes Adult])</f>
        <v>0</v>
      </c>
      <c r="AH111" s="436">
        <f>IF(NFI_Expiration=1,IF($A111&lt;VLOOKUP(S$5,NFI,5,0),1,0)*Table_NFI[[#This Row],[Winter Clothes Children]],Table_NFI[Winter Clothes Children])</f>
        <v>0</v>
      </c>
      <c r="AI111" s="436">
        <f>IF(NFI_Expiration=1,IF($A111&lt;VLOOKUP(T$5,NFI,5,0),1,0)*Table_NFI[[#This Row],[Winter Items Other]],Table_NFI[Winter Items Other])</f>
        <v>0</v>
      </c>
      <c r="AJ111" s="436">
        <f>IF(NFI_Expiration=1,IF($A111&lt;VLOOKUP(M$5,NFI,5,0),1,0)*Table_NFI[[#This Row],[Winter Blanket]],Table_NFI[[#This Row],[Winter Blanket]])</f>
        <v>0</v>
      </c>
      <c r="AK111" s="436">
        <f>IF(Table_NFI[[#This Row],[Winter Clothes Adult]]+Table_NFI[[#This Row],[Winter Clothes Children]]+Table_NFI[[#This Row],[Winter Items Other]]+Table_NFI[[#This Row],[Winter Blanket]]&gt;0,1,0)</f>
        <v>1</v>
      </c>
      <c r="AL111" s="439">
        <f>IF(NFI_Expiration=1,IF($A111&lt;VLOOKUP(V$5,NFI,5,0),1,0)*Table_NFI[[#This Row],[Jerry Can]],Table_NFI[Jerry Can])</f>
        <v>0</v>
      </c>
      <c r="AM111" s="781" t="str">
        <f>IFERROR(VLOOKUP(Table_NFI[[#This Row],[Camp Name]],CL,2,0),"")</f>
        <v>MMR001CMP176</v>
      </c>
      <c r="AN111" s="782">
        <f ca="1">IF(Table_NFI[[#This Row],[Pcode]]="","",IF(OFFSET(CampList[Opening Date],MATCH(Table_NFI[[#This Row],[Pcode]],CampList[CP_Pcode],0)-1,0,1,1)&gt;=NFI_Monitor_Date,1,0))</f>
        <v>0</v>
      </c>
      <c r="AO111" s="781" t="str">
        <f>IFERROR(VLOOKUP(Table_NFI[[#This Row],[Camp Name]],CL,3,0),"")</f>
        <v>Open</v>
      </c>
      <c r="AP111" s="436" t="str">
        <f ca="1">IF(Table_NFI[[#This Row],[Pcode]]="","",OFFSET(CampList[Priority],MATCH(Table_NFI[[#This Row],[Pcode]],CampList[CP_Pcode],0)-1,0,1,1))</f>
        <v>P4</v>
      </c>
      <c r="AQ111" s="438">
        <f>IFERROR(Table_NFI[[#This Row],[Kitchen Set]]/VLOOKUP(Table_NFI[[#This Row],[Camp Name]],CL,4,0),"")</f>
        <v>0</v>
      </c>
      <c r="AR111" s="779"/>
      <c r="AS111" s="783"/>
    </row>
    <row r="112" spans="1:45" s="784" customFormat="1" x14ac:dyDescent="0.25">
      <c r="A112" s="455">
        <f t="shared" si="1"/>
        <v>12.4</v>
      </c>
      <c r="B112" s="778">
        <v>41937</v>
      </c>
      <c r="C112" s="779" t="s">
        <v>1101</v>
      </c>
      <c r="D112" s="779" t="s">
        <v>907</v>
      </c>
      <c r="E112" s="779" t="s">
        <v>380</v>
      </c>
      <c r="F112" s="779" t="s">
        <v>529</v>
      </c>
      <c r="G112" s="779" t="s">
        <v>43</v>
      </c>
      <c r="H112" s="436"/>
      <c r="I112" s="436"/>
      <c r="J112" s="436"/>
      <c r="K112" s="436"/>
      <c r="L112" s="437"/>
      <c r="M112" s="437"/>
      <c r="N112" s="437"/>
      <c r="O112" s="437"/>
      <c r="P112" s="439"/>
      <c r="Q112" s="439"/>
      <c r="R112" s="436">
        <v>55</v>
      </c>
      <c r="S112" s="436">
        <v>27</v>
      </c>
      <c r="T112" s="436"/>
      <c r="U112" s="436"/>
      <c r="V112" s="436"/>
      <c r="W112" s="436">
        <f>IF(NFI_Expiration=1,IF($A112&lt;VLOOKUP(H$5,NFI,5,0),1,0)*Table_NFI[[#This Row],[Hygiene Kit]],Table_NFI[Hygiene Kit])</f>
        <v>0</v>
      </c>
      <c r="X112" s="436">
        <f>IF(NFI_Expiration=1,IF($A112&lt;VLOOKUP(I$5,NFI,5,0),1,0)*Table_NFI[[#This Row],[NFI Core Kit]],Table_NFI[NFI Core Kit])</f>
        <v>0</v>
      </c>
      <c r="Y112" s="436">
        <f>IF(NFI_Expiration=1,IF($A112&lt;VLOOKUP(J$5,NFI,5,0),1,0)*Table_NFI[[#This Row],[Sanitary Kit]],Table_NFI[Sanitary Kit])</f>
        <v>0</v>
      </c>
      <c r="Z112" s="436">
        <f>IF(NFI_Expiration=1,IF($A112&lt;VLOOKUP(K$5,NFI,5,0),1,0)*Table_NFI[[#This Row],[Mosquito net]],Table_NFI[Mosquito net])</f>
        <v>0</v>
      </c>
      <c r="AA112" s="436">
        <f>IF(NFI_Expiration=1,IF($A112&lt;VLOOKUP(L$5,NFI,5,0),1,0)*Table_NFI[[#This Row],[Tarpaulin]],Table_NFI[[#This Row],[Tarpaulin]])</f>
        <v>0</v>
      </c>
      <c r="AB112" s="436">
        <f>IF(NFI_Expiration=1,IF($A112&lt;VLOOKUP(M$5,NFI,5,0),1,0)*Table_NFI[[#This Row],[Blanket]],Table_NFI[[#This Row],[Blanket]])</f>
        <v>0</v>
      </c>
      <c r="AC112" s="436">
        <f>IF(NFI_Expiration=1,IF($A112&lt;VLOOKUP(N$5,NFI,5,0),1,0)*Table_NFI[[#This Row],[Kitchen Set]],Table_NFI[Kitchen Set])</f>
        <v>0</v>
      </c>
      <c r="AD112" s="436">
        <f>IF(NFI_Expiration=1,IF($A112&lt;VLOOKUP(O$5,NFI,5,0),1,0)*Table_NFI[[#This Row],[Clothes Kit]],Table_NFI[Clothes Kit])</f>
        <v>0</v>
      </c>
      <c r="AE112" s="436">
        <f>IF(NFI_Expiration=1,IF($A112&lt;VLOOKUP(P$5,NFI,5,0),1,0)*Table_NFI[[#This Row],[Plastic Bucket]],Table_NFI[Plastic Bucket])</f>
        <v>0</v>
      </c>
      <c r="AF112" s="436">
        <f>IF(NFI_Expiration=1,IF($A112&lt;VLOOKUP(Q$5,NFI,5,0),1,0)*Table_NFI[[#This Row],[Plastic Mat]],Table_NFI[Plastic Mat])*IF(Table_NFI[[#This Row],[Distribution Date]]&gt;"2014-04-01",1,2.5)</f>
        <v>0</v>
      </c>
      <c r="AG112" s="436">
        <f>IF(NFI_Expiration=1,IF($A112&lt;VLOOKUP(R$5,NFI,5,0),1,0)*Table_NFI[[#This Row],[Winter Clothes Adult]],Table_NFI[Winter Clothes Adult])</f>
        <v>0</v>
      </c>
      <c r="AH112" s="436">
        <f>IF(NFI_Expiration=1,IF($A112&lt;VLOOKUP(S$5,NFI,5,0),1,0)*Table_NFI[[#This Row],[Winter Clothes Children]],Table_NFI[Winter Clothes Children])</f>
        <v>0</v>
      </c>
      <c r="AI112" s="436">
        <f>IF(NFI_Expiration=1,IF($A112&lt;VLOOKUP(T$5,NFI,5,0),1,0)*Table_NFI[[#This Row],[Winter Items Other]],Table_NFI[Winter Items Other])</f>
        <v>0</v>
      </c>
      <c r="AJ112" s="436">
        <f>IF(NFI_Expiration=1,IF($A112&lt;VLOOKUP(M$5,NFI,5,0),1,0)*Table_NFI[[#This Row],[Winter Blanket]],Table_NFI[[#This Row],[Winter Blanket]])</f>
        <v>0</v>
      </c>
      <c r="AK112" s="436">
        <f>IF(Table_NFI[[#This Row],[Winter Clothes Adult]]+Table_NFI[[#This Row],[Winter Clothes Children]]+Table_NFI[[#This Row],[Winter Items Other]]+Table_NFI[[#This Row],[Winter Blanket]]&gt;0,1,0)</f>
        <v>1</v>
      </c>
      <c r="AL112" s="439">
        <f>IF(NFI_Expiration=1,IF($A112&lt;VLOOKUP(V$5,NFI,5,0),1,0)*Table_NFI[[#This Row],[Jerry Can]],Table_NFI[Jerry Can])</f>
        <v>0</v>
      </c>
      <c r="AM112" s="781" t="str">
        <f>IFERROR(VLOOKUP(Table_NFI[[#This Row],[Camp Name]],CL,2,0),"")</f>
        <v>MMR001CMP190</v>
      </c>
      <c r="AN112" s="782">
        <f ca="1">IF(Table_NFI[[#This Row],[Pcode]]="","",IF(OFFSET(CampList[Opening Date],MATCH(Table_NFI[[#This Row],[Pcode]],CampList[CP_Pcode],0)-1,0,1,1)&gt;=NFI_Monitor_Date,1,0))</f>
        <v>0</v>
      </c>
      <c r="AO112" s="781" t="str">
        <f>IFERROR(VLOOKUP(Table_NFI[[#This Row],[Camp Name]],CL,3,0),"")</f>
        <v>Open</v>
      </c>
      <c r="AP112" s="436" t="str">
        <f ca="1">IF(Table_NFI[[#This Row],[Pcode]]="","",OFFSET(CampList[Priority],MATCH(Table_NFI[[#This Row],[Pcode]],CampList[CP_Pcode],0)-1,0,1,1))</f>
        <v>P4</v>
      </c>
      <c r="AQ112" s="438">
        <f>IFERROR(Table_NFI[[#This Row],[Kitchen Set]]/VLOOKUP(Table_NFI[[#This Row],[Camp Name]],CL,4,0),"")</f>
        <v>0</v>
      </c>
      <c r="AR112" s="779"/>
      <c r="AS112" s="783"/>
    </row>
    <row r="113" spans="1:45" s="784" customFormat="1" x14ac:dyDescent="0.25">
      <c r="A113" s="455">
        <f t="shared" si="1"/>
        <v>12.4</v>
      </c>
      <c r="B113" s="778">
        <v>41937</v>
      </c>
      <c r="C113" s="779" t="s">
        <v>1101</v>
      </c>
      <c r="D113" s="779" t="s">
        <v>907</v>
      </c>
      <c r="E113" s="779" t="s">
        <v>380</v>
      </c>
      <c r="F113" s="779" t="s">
        <v>529</v>
      </c>
      <c r="G113" s="779" t="s">
        <v>52</v>
      </c>
      <c r="H113" s="436"/>
      <c r="I113" s="436"/>
      <c r="J113" s="436"/>
      <c r="K113" s="436"/>
      <c r="L113" s="437"/>
      <c r="M113" s="437"/>
      <c r="N113" s="437"/>
      <c r="O113" s="437"/>
      <c r="P113" s="439"/>
      <c r="Q113" s="439"/>
      <c r="R113" s="436">
        <v>123</v>
      </c>
      <c r="S113" s="436">
        <v>104</v>
      </c>
      <c r="T113" s="436"/>
      <c r="U113" s="436"/>
      <c r="V113" s="436"/>
      <c r="W113" s="436">
        <f>IF(NFI_Expiration=1,IF($A113&lt;VLOOKUP(H$5,NFI,5,0),1,0)*Table_NFI[[#This Row],[Hygiene Kit]],Table_NFI[Hygiene Kit])</f>
        <v>0</v>
      </c>
      <c r="X113" s="436">
        <f>IF(NFI_Expiration=1,IF($A113&lt;VLOOKUP(I$5,NFI,5,0),1,0)*Table_NFI[[#This Row],[NFI Core Kit]],Table_NFI[NFI Core Kit])</f>
        <v>0</v>
      </c>
      <c r="Y113" s="436">
        <f>IF(NFI_Expiration=1,IF($A113&lt;VLOOKUP(J$5,NFI,5,0),1,0)*Table_NFI[[#This Row],[Sanitary Kit]],Table_NFI[Sanitary Kit])</f>
        <v>0</v>
      </c>
      <c r="Z113" s="436">
        <f>IF(NFI_Expiration=1,IF($A113&lt;VLOOKUP(K$5,NFI,5,0),1,0)*Table_NFI[[#This Row],[Mosquito net]],Table_NFI[Mosquito net])</f>
        <v>0</v>
      </c>
      <c r="AA113" s="436">
        <f>IF(NFI_Expiration=1,IF($A113&lt;VLOOKUP(L$5,NFI,5,0),1,0)*Table_NFI[[#This Row],[Tarpaulin]],Table_NFI[[#This Row],[Tarpaulin]])</f>
        <v>0</v>
      </c>
      <c r="AB113" s="436">
        <f>IF(NFI_Expiration=1,IF($A113&lt;VLOOKUP(M$5,NFI,5,0),1,0)*Table_NFI[[#This Row],[Blanket]],Table_NFI[[#This Row],[Blanket]])</f>
        <v>0</v>
      </c>
      <c r="AC113" s="436">
        <f>IF(NFI_Expiration=1,IF($A113&lt;VLOOKUP(N$5,NFI,5,0),1,0)*Table_NFI[[#This Row],[Kitchen Set]],Table_NFI[Kitchen Set])</f>
        <v>0</v>
      </c>
      <c r="AD113" s="436">
        <f>IF(NFI_Expiration=1,IF($A113&lt;VLOOKUP(O$5,NFI,5,0),1,0)*Table_NFI[[#This Row],[Clothes Kit]],Table_NFI[Clothes Kit])</f>
        <v>0</v>
      </c>
      <c r="AE113" s="436">
        <f>IF(NFI_Expiration=1,IF($A113&lt;VLOOKUP(P$5,NFI,5,0),1,0)*Table_NFI[[#This Row],[Plastic Bucket]],Table_NFI[Plastic Bucket])</f>
        <v>0</v>
      </c>
      <c r="AF113" s="436">
        <f>IF(NFI_Expiration=1,IF($A113&lt;VLOOKUP(Q$5,NFI,5,0),1,0)*Table_NFI[[#This Row],[Plastic Mat]],Table_NFI[Plastic Mat])*IF(Table_NFI[[#This Row],[Distribution Date]]&gt;"2014-04-01",1,2.5)</f>
        <v>0</v>
      </c>
      <c r="AG113" s="436">
        <f>IF(NFI_Expiration=1,IF($A113&lt;VLOOKUP(R$5,NFI,5,0),1,0)*Table_NFI[[#This Row],[Winter Clothes Adult]],Table_NFI[Winter Clothes Adult])</f>
        <v>0</v>
      </c>
      <c r="AH113" s="436">
        <f>IF(NFI_Expiration=1,IF($A113&lt;VLOOKUP(S$5,NFI,5,0),1,0)*Table_NFI[[#This Row],[Winter Clothes Children]],Table_NFI[Winter Clothes Children])</f>
        <v>0</v>
      </c>
      <c r="AI113" s="436">
        <f>IF(NFI_Expiration=1,IF($A113&lt;VLOOKUP(T$5,NFI,5,0),1,0)*Table_NFI[[#This Row],[Winter Items Other]],Table_NFI[Winter Items Other])</f>
        <v>0</v>
      </c>
      <c r="AJ113" s="436">
        <f>IF(NFI_Expiration=1,IF($A113&lt;VLOOKUP(M$5,NFI,5,0),1,0)*Table_NFI[[#This Row],[Winter Blanket]],Table_NFI[[#This Row],[Winter Blanket]])</f>
        <v>0</v>
      </c>
      <c r="AK113" s="436">
        <f>IF(Table_NFI[[#This Row],[Winter Clothes Adult]]+Table_NFI[[#This Row],[Winter Clothes Children]]+Table_NFI[[#This Row],[Winter Items Other]]+Table_NFI[[#This Row],[Winter Blanket]]&gt;0,1,0)</f>
        <v>1</v>
      </c>
      <c r="AL113" s="439">
        <f>IF(NFI_Expiration=1,IF($A113&lt;VLOOKUP(V$5,NFI,5,0),1,0)*Table_NFI[[#This Row],[Jerry Can]],Table_NFI[Jerry Can])</f>
        <v>0</v>
      </c>
      <c r="AM113" s="781" t="str">
        <f>IFERROR(VLOOKUP(Table_NFI[[#This Row],[Camp Name]],CL,2,0),"")</f>
        <v>MMR001CMP169</v>
      </c>
      <c r="AN113" s="782">
        <f ca="1">IF(Table_NFI[[#This Row],[Pcode]]="","",IF(OFFSET(CampList[Opening Date],MATCH(Table_NFI[[#This Row],[Pcode]],CampList[CP_Pcode],0)-1,0,1,1)&gt;=NFI_Monitor_Date,1,0))</f>
        <v>0</v>
      </c>
      <c r="AO113" s="781" t="str">
        <f>IFERROR(VLOOKUP(Table_NFI[[#This Row],[Camp Name]],CL,3,0),"")</f>
        <v>Open</v>
      </c>
      <c r="AP113" s="436" t="str">
        <f ca="1">IF(Table_NFI[[#This Row],[Pcode]]="","",OFFSET(CampList[Priority],MATCH(Table_NFI[[#This Row],[Pcode]],CampList[CP_Pcode],0)-1,0,1,1))</f>
        <v>P4</v>
      </c>
      <c r="AQ113" s="438">
        <f>IFERROR(Table_NFI[[#This Row],[Kitchen Set]]/VLOOKUP(Table_NFI[[#This Row],[Camp Name]],CL,4,0),"")</f>
        <v>0</v>
      </c>
      <c r="AR113" s="779"/>
      <c r="AS113" s="783"/>
    </row>
    <row r="114" spans="1:45" s="136" customFormat="1" x14ac:dyDescent="0.25">
      <c r="A114" s="455">
        <f t="shared" si="1"/>
        <v>12.4</v>
      </c>
      <c r="B114" s="778">
        <v>41937</v>
      </c>
      <c r="C114" s="779" t="s">
        <v>1101</v>
      </c>
      <c r="D114" s="779" t="s">
        <v>907</v>
      </c>
      <c r="E114" s="779" t="s">
        <v>380</v>
      </c>
      <c r="F114" s="779" t="s">
        <v>529</v>
      </c>
      <c r="G114" s="779" t="s">
        <v>58</v>
      </c>
      <c r="H114" s="436"/>
      <c r="I114" s="436"/>
      <c r="J114" s="436"/>
      <c r="K114" s="436"/>
      <c r="L114" s="437"/>
      <c r="M114" s="437"/>
      <c r="N114" s="437"/>
      <c r="O114" s="437"/>
      <c r="P114" s="439"/>
      <c r="Q114" s="439"/>
      <c r="R114" s="436">
        <v>48</v>
      </c>
      <c r="S114" s="436">
        <v>30</v>
      </c>
      <c r="T114" s="436"/>
      <c r="U114" s="436"/>
      <c r="V114" s="436"/>
      <c r="W114" s="436">
        <f>IF(NFI_Expiration=1,IF($A114&lt;VLOOKUP(H$5,NFI,5,0),1,0)*Table_NFI[[#This Row],[Hygiene Kit]],Table_NFI[Hygiene Kit])</f>
        <v>0</v>
      </c>
      <c r="X114" s="436">
        <f>IF(NFI_Expiration=1,IF($A114&lt;VLOOKUP(I$5,NFI,5,0),1,0)*Table_NFI[[#This Row],[NFI Core Kit]],Table_NFI[NFI Core Kit])</f>
        <v>0</v>
      </c>
      <c r="Y114" s="436">
        <f>IF(NFI_Expiration=1,IF($A114&lt;VLOOKUP(J$5,NFI,5,0),1,0)*Table_NFI[[#This Row],[Sanitary Kit]],Table_NFI[Sanitary Kit])</f>
        <v>0</v>
      </c>
      <c r="Z114" s="436">
        <f>IF(NFI_Expiration=1,IF($A114&lt;VLOOKUP(K$5,NFI,5,0),1,0)*Table_NFI[[#This Row],[Mosquito net]],Table_NFI[Mosquito net])</f>
        <v>0</v>
      </c>
      <c r="AA114" s="436">
        <f>IF(NFI_Expiration=1,IF($A114&lt;VLOOKUP(L$5,NFI,5,0),1,0)*Table_NFI[[#This Row],[Tarpaulin]],Table_NFI[[#This Row],[Tarpaulin]])</f>
        <v>0</v>
      </c>
      <c r="AB114" s="436">
        <f>IF(NFI_Expiration=1,IF($A114&lt;VLOOKUP(M$5,NFI,5,0),1,0)*Table_NFI[[#This Row],[Blanket]],Table_NFI[[#This Row],[Blanket]])</f>
        <v>0</v>
      </c>
      <c r="AC114" s="436">
        <f>IF(NFI_Expiration=1,IF($A114&lt;VLOOKUP(N$5,NFI,5,0),1,0)*Table_NFI[[#This Row],[Kitchen Set]],Table_NFI[Kitchen Set])</f>
        <v>0</v>
      </c>
      <c r="AD114" s="436">
        <f>IF(NFI_Expiration=1,IF($A114&lt;VLOOKUP(O$5,NFI,5,0),1,0)*Table_NFI[[#This Row],[Clothes Kit]],Table_NFI[Clothes Kit])</f>
        <v>0</v>
      </c>
      <c r="AE114" s="436">
        <f>IF(NFI_Expiration=1,IF($A114&lt;VLOOKUP(P$5,NFI,5,0),1,0)*Table_NFI[[#This Row],[Plastic Bucket]],Table_NFI[Plastic Bucket])</f>
        <v>0</v>
      </c>
      <c r="AF114" s="436">
        <f>IF(NFI_Expiration=1,IF($A114&lt;VLOOKUP(Q$5,NFI,5,0),1,0)*Table_NFI[[#This Row],[Plastic Mat]],Table_NFI[Plastic Mat])*IF(Table_NFI[[#This Row],[Distribution Date]]&gt;"2014-04-01",1,2.5)</f>
        <v>0</v>
      </c>
      <c r="AG114" s="436">
        <f>IF(NFI_Expiration=1,IF($A114&lt;VLOOKUP(R$5,NFI,5,0),1,0)*Table_NFI[[#This Row],[Winter Clothes Adult]],Table_NFI[Winter Clothes Adult])</f>
        <v>0</v>
      </c>
      <c r="AH114" s="436">
        <f>IF(NFI_Expiration=1,IF($A114&lt;VLOOKUP(S$5,NFI,5,0),1,0)*Table_NFI[[#This Row],[Winter Clothes Children]],Table_NFI[Winter Clothes Children])</f>
        <v>0</v>
      </c>
      <c r="AI114" s="436">
        <f>IF(NFI_Expiration=1,IF($A114&lt;VLOOKUP(T$5,NFI,5,0),1,0)*Table_NFI[[#This Row],[Winter Items Other]],Table_NFI[Winter Items Other])</f>
        <v>0</v>
      </c>
      <c r="AJ114" s="436">
        <f>IF(NFI_Expiration=1,IF($A114&lt;VLOOKUP(M$5,NFI,5,0),1,0)*Table_NFI[[#This Row],[Winter Blanket]],Table_NFI[[#This Row],[Winter Blanket]])</f>
        <v>0</v>
      </c>
      <c r="AK114" s="436">
        <f>IF(Table_NFI[[#This Row],[Winter Clothes Adult]]+Table_NFI[[#This Row],[Winter Clothes Children]]+Table_NFI[[#This Row],[Winter Items Other]]+Table_NFI[[#This Row],[Winter Blanket]]&gt;0,1,0)</f>
        <v>1</v>
      </c>
      <c r="AL114" s="439">
        <f>IF(NFI_Expiration=1,IF($A114&lt;VLOOKUP(V$5,NFI,5,0),1,0)*Table_NFI[[#This Row],[Jerry Can]],Table_NFI[Jerry Can])</f>
        <v>0</v>
      </c>
      <c r="AM114" s="781" t="str">
        <f>IFERROR(VLOOKUP(Table_NFI[[#This Row],[Camp Name]],CL,2,0),"")</f>
        <v>MMR001CMP188</v>
      </c>
      <c r="AN114" s="782">
        <f ca="1">IF(Table_NFI[[#This Row],[Pcode]]="","",IF(OFFSET(CampList[Opening Date],MATCH(Table_NFI[[#This Row],[Pcode]],CampList[CP_Pcode],0)-1,0,1,1)&gt;=NFI_Monitor_Date,1,0))</f>
        <v>0</v>
      </c>
      <c r="AO114" s="781" t="str">
        <f>IFERROR(VLOOKUP(Table_NFI[[#This Row],[Camp Name]],CL,3,0),"")</f>
        <v>Closed</v>
      </c>
      <c r="AP114" s="436" t="str">
        <f ca="1">IF(Table_NFI[[#This Row],[Pcode]]="","",OFFSET(CampList[Priority],MATCH(Table_NFI[[#This Row],[Pcode]],CampList[CP_Pcode],0)-1,0,1,1))</f>
        <v>P4</v>
      </c>
      <c r="AQ114" s="438" t="str">
        <f>IFERROR(Table_NFI[[#This Row],[Kitchen Set]]/VLOOKUP(Table_NFI[[#This Row],[Camp Name]],CL,4,0),"")</f>
        <v/>
      </c>
      <c r="AR114" s="779"/>
      <c r="AS114" s="783"/>
    </row>
    <row r="115" spans="1:45" s="784" customFormat="1" x14ac:dyDescent="0.25">
      <c r="A115" s="455">
        <f t="shared" si="1"/>
        <v>12.4</v>
      </c>
      <c r="B115" s="778">
        <v>41937</v>
      </c>
      <c r="C115" s="779" t="s">
        <v>1101</v>
      </c>
      <c r="D115" s="779" t="s">
        <v>907</v>
      </c>
      <c r="E115" s="779" t="s">
        <v>380</v>
      </c>
      <c r="F115" s="779" t="s">
        <v>529</v>
      </c>
      <c r="G115" s="779" t="s">
        <v>72</v>
      </c>
      <c r="H115" s="436"/>
      <c r="I115" s="436"/>
      <c r="J115" s="436"/>
      <c r="K115" s="436"/>
      <c r="L115" s="437"/>
      <c r="M115" s="437"/>
      <c r="N115" s="437"/>
      <c r="O115" s="437"/>
      <c r="P115" s="439"/>
      <c r="Q115" s="439"/>
      <c r="R115" s="436">
        <v>15</v>
      </c>
      <c r="S115" s="436">
        <v>10</v>
      </c>
      <c r="T115" s="436"/>
      <c r="U115" s="436"/>
      <c r="V115" s="436"/>
      <c r="W115" s="436">
        <f>IF(NFI_Expiration=1,IF($A115&lt;VLOOKUP(H$5,NFI,5,0),1,0)*Table_NFI[[#This Row],[Hygiene Kit]],Table_NFI[Hygiene Kit])</f>
        <v>0</v>
      </c>
      <c r="X115" s="436">
        <f>IF(NFI_Expiration=1,IF($A115&lt;VLOOKUP(I$5,NFI,5,0),1,0)*Table_NFI[[#This Row],[NFI Core Kit]],Table_NFI[NFI Core Kit])</f>
        <v>0</v>
      </c>
      <c r="Y115" s="436">
        <f>IF(NFI_Expiration=1,IF($A115&lt;VLOOKUP(J$5,NFI,5,0),1,0)*Table_NFI[[#This Row],[Sanitary Kit]],Table_NFI[Sanitary Kit])</f>
        <v>0</v>
      </c>
      <c r="Z115" s="436">
        <f>IF(NFI_Expiration=1,IF($A115&lt;VLOOKUP(K$5,NFI,5,0),1,0)*Table_NFI[[#This Row],[Mosquito net]],Table_NFI[Mosquito net])</f>
        <v>0</v>
      </c>
      <c r="AA115" s="436">
        <f>IF(NFI_Expiration=1,IF($A115&lt;VLOOKUP(L$5,NFI,5,0),1,0)*Table_NFI[[#This Row],[Tarpaulin]],Table_NFI[[#This Row],[Tarpaulin]])</f>
        <v>0</v>
      </c>
      <c r="AB115" s="436">
        <f>IF(NFI_Expiration=1,IF($A115&lt;VLOOKUP(M$5,NFI,5,0),1,0)*Table_NFI[[#This Row],[Blanket]],Table_NFI[[#This Row],[Blanket]])</f>
        <v>0</v>
      </c>
      <c r="AC115" s="436">
        <f>IF(NFI_Expiration=1,IF($A115&lt;VLOOKUP(N$5,NFI,5,0),1,0)*Table_NFI[[#This Row],[Kitchen Set]],Table_NFI[Kitchen Set])</f>
        <v>0</v>
      </c>
      <c r="AD115" s="436">
        <f>IF(NFI_Expiration=1,IF($A115&lt;VLOOKUP(O$5,NFI,5,0),1,0)*Table_NFI[[#This Row],[Clothes Kit]],Table_NFI[Clothes Kit])</f>
        <v>0</v>
      </c>
      <c r="AE115" s="436">
        <f>IF(NFI_Expiration=1,IF($A115&lt;VLOOKUP(P$5,NFI,5,0),1,0)*Table_NFI[[#This Row],[Plastic Bucket]],Table_NFI[Plastic Bucket])</f>
        <v>0</v>
      </c>
      <c r="AF115" s="436">
        <f>IF(NFI_Expiration=1,IF($A115&lt;VLOOKUP(Q$5,NFI,5,0),1,0)*Table_NFI[[#This Row],[Plastic Mat]],Table_NFI[Plastic Mat])*IF(Table_NFI[[#This Row],[Distribution Date]]&gt;"2014-04-01",1,2.5)</f>
        <v>0</v>
      </c>
      <c r="AG115" s="436">
        <f>IF(NFI_Expiration=1,IF($A115&lt;VLOOKUP(R$5,NFI,5,0),1,0)*Table_NFI[[#This Row],[Winter Clothes Adult]],Table_NFI[Winter Clothes Adult])</f>
        <v>0</v>
      </c>
      <c r="AH115" s="436">
        <f>IF(NFI_Expiration=1,IF($A115&lt;VLOOKUP(S$5,NFI,5,0),1,0)*Table_NFI[[#This Row],[Winter Clothes Children]],Table_NFI[Winter Clothes Children])</f>
        <v>0</v>
      </c>
      <c r="AI115" s="436">
        <f>IF(NFI_Expiration=1,IF($A115&lt;VLOOKUP(T$5,NFI,5,0),1,0)*Table_NFI[[#This Row],[Winter Items Other]],Table_NFI[Winter Items Other])</f>
        <v>0</v>
      </c>
      <c r="AJ115" s="436">
        <f>IF(NFI_Expiration=1,IF($A115&lt;VLOOKUP(M$5,NFI,5,0),1,0)*Table_NFI[[#This Row],[Winter Blanket]],Table_NFI[[#This Row],[Winter Blanket]])</f>
        <v>0</v>
      </c>
      <c r="AK115" s="436">
        <f>IF(Table_NFI[[#This Row],[Winter Clothes Adult]]+Table_NFI[[#This Row],[Winter Clothes Children]]+Table_NFI[[#This Row],[Winter Items Other]]+Table_NFI[[#This Row],[Winter Blanket]]&gt;0,1,0)</f>
        <v>1</v>
      </c>
      <c r="AL115" s="439">
        <f>IF(NFI_Expiration=1,IF($A115&lt;VLOOKUP(V$5,NFI,5,0),1,0)*Table_NFI[[#This Row],[Jerry Can]],Table_NFI[Jerry Can])</f>
        <v>0</v>
      </c>
      <c r="AM115" s="781" t="str">
        <f>IFERROR(VLOOKUP(Table_NFI[[#This Row],[Camp Name]],CL,2,0),"")</f>
        <v>MMR001CMP109</v>
      </c>
      <c r="AN115" s="782">
        <f ca="1">IF(Table_NFI[[#This Row],[Pcode]]="","",IF(OFFSET(CampList[Opening Date],MATCH(Table_NFI[[#This Row],[Pcode]],CampList[CP_Pcode],0)-1,0,1,1)&gt;=NFI_Monitor_Date,1,0))</f>
        <v>0</v>
      </c>
      <c r="AO115" s="781" t="str">
        <f>IFERROR(VLOOKUP(Table_NFI[[#This Row],[Camp Name]],CL,3,0),"")</f>
        <v>Open</v>
      </c>
      <c r="AP115" s="436" t="str">
        <f ca="1">IF(Table_NFI[[#This Row],[Pcode]]="","",OFFSET(CampList[Priority],MATCH(Table_NFI[[#This Row],[Pcode]],CampList[CP_Pcode],0)-1,0,1,1))</f>
        <v>P4</v>
      </c>
      <c r="AQ115" s="438">
        <f>IFERROR(Table_NFI[[#This Row],[Kitchen Set]]/VLOOKUP(Table_NFI[[#This Row],[Camp Name]],CL,4,0),"")</f>
        <v>0</v>
      </c>
      <c r="AR115" s="779"/>
      <c r="AS115" s="783"/>
    </row>
    <row r="116" spans="1:45" s="784" customFormat="1" x14ac:dyDescent="0.25">
      <c r="A116" s="455">
        <f t="shared" si="1"/>
        <v>12.4</v>
      </c>
      <c r="B116" s="778">
        <v>41937</v>
      </c>
      <c r="C116" s="779" t="s">
        <v>1101</v>
      </c>
      <c r="D116" s="779" t="s">
        <v>907</v>
      </c>
      <c r="E116" s="779" t="s">
        <v>380</v>
      </c>
      <c r="F116" s="779" t="s">
        <v>529</v>
      </c>
      <c r="G116" s="779" t="s">
        <v>76</v>
      </c>
      <c r="H116" s="436"/>
      <c r="I116" s="436"/>
      <c r="J116" s="436"/>
      <c r="K116" s="436"/>
      <c r="L116" s="437"/>
      <c r="M116" s="437"/>
      <c r="N116" s="437"/>
      <c r="O116" s="437"/>
      <c r="P116" s="439"/>
      <c r="Q116" s="439"/>
      <c r="R116" s="436">
        <v>214</v>
      </c>
      <c r="S116" s="436">
        <v>112</v>
      </c>
      <c r="T116" s="436"/>
      <c r="U116" s="436"/>
      <c r="V116" s="436"/>
      <c r="W116" s="436">
        <f>IF(NFI_Expiration=1,IF($A116&lt;VLOOKUP(H$5,NFI,5,0),1,0)*Table_NFI[[#This Row],[Hygiene Kit]],Table_NFI[Hygiene Kit])</f>
        <v>0</v>
      </c>
      <c r="X116" s="436">
        <f>IF(NFI_Expiration=1,IF($A116&lt;VLOOKUP(I$5,NFI,5,0),1,0)*Table_NFI[[#This Row],[NFI Core Kit]],Table_NFI[NFI Core Kit])</f>
        <v>0</v>
      </c>
      <c r="Y116" s="436">
        <f>IF(NFI_Expiration=1,IF($A116&lt;VLOOKUP(J$5,NFI,5,0),1,0)*Table_NFI[[#This Row],[Sanitary Kit]],Table_NFI[Sanitary Kit])</f>
        <v>0</v>
      </c>
      <c r="Z116" s="436">
        <f>IF(NFI_Expiration=1,IF($A116&lt;VLOOKUP(K$5,NFI,5,0),1,0)*Table_NFI[[#This Row],[Mosquito net]],Table_NFI[Mosquito net])</f>
        <v>0</v>
      </c>
      <c r="AA116" s="436">
        <f>IF(NFI_Expiration=1,IF($A116&lt;VLOOKUP(L$5,NFI,5,0),1,0)*Table_NFI[[#This Row],[Tarpaulin]],Table_NFI[[#This Row],[Tarpaulin]])</f>
        <v>0</v>
      </c>
      <c r="AB116" s="436">
        <f>IF(NFI_Expiration=1,IF($A116&lt;VLOOKUP(M$5,NFI,5,0),1,0)*Table_NFI[[#This Row],[Blanket]],Table_NFI[[#This Row],[Blanket]])</f>
        <v>0</v>
      </c>
      <c r="AC116" s="436">
        <f>IF(NFI_Expiration=1,IF($A116&lt;VLOOKUP(N$5,NFI,5,0),1,0)*Table_NFI[[#This Row],[Kitchen Set]],Table_NFI[Kitchen Set])</f>
        <v>0</v>
      </c>
      <c r="AD116" s="436">
        <f>IF(NFI_Expiration=1,IF($A116&lt;VLOOKUP(O$5,NFI,5,0),1,0)*Table_NFI[[#This Row],[Clothes Kit]],Table_NFI[Clothes Kit])</f>
        <v>0</v>
      </c>
      <c r="AE116" s="436">
        <f>IF(NFI_Expiration=1,IF($A116&lt;VLOOKUP(P$5,NFI,5,0),1,0)*Table_NFI[[#This Row],[Plastic Bucket]],Table_NFI[Plastic Bucket])</f>
        <v>0</v>
      </c>
      <c r="AF116" s="436">
        <f>IF(NFI_Expiration=1,IF($A116&lt;VLOOKUP(Q$5,NFI,5,0),1,0)*Table_NFI[[#This Row],[Plastic Mat]],Table_NFI[Plastic Mat])*IF(Table_NFI[[#This Row],[Distribution Date]]&gt;"2014-04-01",1,2.5)</f>
        <v>0</v>
      </c>
      <c r="AG116" s="436">
        <f>IF(NFI_Expiration=1,IF($A116&lt;VLOOKUP(R$5,NFI,5,0),1,0)*Table_NFI[[#This Row],[Winter Clothes Adult]],Table_NFI[Winter Clothes Adult])</f>
        <v>0</v>
      </c>
      <c r="AH116" s="436">
        <f>IF(NFI_Expiration=1,IF($A116&lt;VLOOKUP(S$5,NFI,5,0),1,0)*Table_NFI[[#This Row],[Winter Clothes Children]],Table_NFI[Winter Clothes Children])</f>
        <v>0</v>
      </c>
      <c r="AI116" s="436">
        <f>IF(NFI_Expiration=1,IF($A116&lt;VLOOKUP(T$5,NFI,5,0),1,0)*Table_NFI[[#This Row],[Winter Items Other]],Table_NFI[Winter Items Other])</f>
        <v>0</v>
      </c>
      <c r="AJ116" s="436">
        <f>IF(NFI_Expiration=1,IF($A116&lt;VLOOKUP(M$5,NFI,5,0),1,0)*Table_NFI[[#This Row],[Winter Blanket]],Table_NFI[[#This Row],[Winter Blanket]])</f>
        <v>0</v>
      </c>
      <c r="AK116" s="436">
        <f>IF(Table_NFI[[#This Row],[Winter Clothes Adult]]+Table_NFI[[#This Row],[Winter Clothes Children]]+Table_NFI[[#This Row],[Winter Items Other]]+Table_NFI[[#This Row],[Winter Blanket]]&gt;0,1,0)</f>
        <v>1</v>
      </c>
      <c r="AL116" s="439">
        <f>IF(NFI_Expiration=1,IF($A116&lt;VLOOKUP(V$5,NFI,5,0),1,0)*Table_NFI[[#This Row],[Jerry Can]],Table_NFI[Jerry Can])</f>
        <v>0</v>
      </c>
      <c r="AM116" s="781" t="str">
        <f>IFERROR(VLOOKUP(Table_NFI[[#This Row],[Camp Name]],CL,2,0),"")</f>
        <v>MMR001CMP174</v>
      </c>
      <c r="AN116" s="782">
        <f ca="1">IF(Table_NFI[[#This Row],[Pcode]]="","",IF(OFFSET(CampList[Opening Date],MATCH(Table_NFI[[#This Row],[Pcode]],CampList[CP_Pcode],0)-1,0,1,1)&gt;=NFI_Monitor_Date,1,0))</f>
        <v>0</v>
      </c>
      <c r="AO116" s="781" t="str">
        <f>IFERROR(VLOOKUP(Table_NFI[[#This Row],[Camp Name]],CL,3,0),"")</f>
        <v>Open</v>
      </c>
      <c r="AP116" s="436" t="str">
        <f ca="1">IF(Table_NFI[[#This Row],[Pcode]]="","",OFFSET(CampList[Priority],MATCH(Table_NFI[[#This Row],[Pcode]],CampList[CP_Pcode],0)-1,0,1,1))</f>
        <v>P4</v>
      </c>
      <c r="AQ116" s="438">
        <f>IFERROR(Table_NFI[[#This Row],[Kitchen Set]]/VLOOKUP(Table_NFI[[#This Row],[Camp Name]],CL,4,0),"")</f>
        <v>0</v>
      </c>
      <c r="AR116" s="779"/>
      <c r="AS116" s="783"/>
    </row>
    <row r="117" spans="1:45" s="784" customFormat="1" x14ac:dyDescent="0.25">
      <c r="A117" s="455">
        <f t="shared" si="1"/>
        <v>12.4</v>
      </c>
      <c r="B117" s="778">
        <v>41937</v>
      </c>
      <c r="C117" s="779" t="s">
        <v>1101</v>
      </c>
      <c r="D117" s="779" t="s">
        <v>907</v>
      </c>
      <c r="E117" s="779" t="s">
        <v>380</v>
      </c>
      <c r="F117" s="779" t="s">
        <v>529</v>
      </c>
      <c r="G117" s="779" t="s">
        <v>88</v>
      </c>
      <c r="H117" s="436"/>
      <c r="I117" s="436"/>
      <c r="J117" s="436"/>
      <c r="K117" s="436"/>
      <c r="L117" s="437"/>
      <c r="M117" s="437"/>
      <c r="N117" s="437"/>
      <c r="O117" s="437"/>
      <c r="P117" s="439"/>
      <c r="Q117" s="439"/>
      <c r="R117" s="436">
        <v>37</v>
      </c>
      <c r="S117" s="436">
        <v>24</v>
      </c>
      <c r="T117" s="436"/>
      <c r="U117" s="436"/>
      <c r="V117" s="436"/>
      <c r="W117" s="436">
        <f>IF(NFI_Expiration=1,IF($A117&lt;VLOOKUP(H$5,NFI,5,0),1,0)*Table_NFI[[#This Row],[Hygiene Kit]],Table_NFI[Hygiene Kit])</f>
        <v>0</v>
      </c>
      <c r="X117" s="436">
        <f>IF(NFI_Expiration=1,IF($A117&lt;VLOOKUP(I$5,NFI,5,0),1,0)*Table_NFI[[#This Row],[NFI Core Kit]],Table_NFI[NFI Core Kit])</f>
        <v>0</v>
      </c>
      <c r="Y117" s="436">
        <f>IF(NFI_Expiration=1,IF($A117&lt;VLOOKUP(J$5,NFI,5,0),1,0)*Table_NFI[[#This Row],[Sanitary Kit]],Table_NFI[Sanitary Kit])</f>
        <v>0</v>
      </c>
      <c r="Z117" s="436">
        <f>IF(NFI_Expiration=1,IF($A117&lt;VLOOKUP(K$5,NFI,5,0),1,0)*Table_NFI[[#This Row],[Mosquito net]],Table_NFI[Mosquito net])</f>
        <v>0</v>
      </c>
      <c r="AA117" s="436">
        <f>IF(NFI_Expiration=1,IF($A117&lt;VLOOKUP(L$5,NFI,5,0),1,0)*Table_NFI[[#This Row],[Tarpaulin]],Table_NFI[[#This Row],[Tarpaulin]])</f>
        <v>0</v>
      </c>
      <c r="AB117" s="436">
        <f>IF(NFI_Expiration=1,IF($A117&lt;VLOOKUP(M$5,NFI,5,0),1,0)*Table_NFI[[#This Row],[Blanket]],Table_NFI[[#This Row],[Blanket]])</f>
        <v>0</v>
      </c>
      <c r="AC117" s="436">
        <f>IF(NFI_Expiration=1,IF($A117&lt;VLOOKUP(N$5,NFI,5,0),1,0)*Table_NFI[[#This Row],[Kitchen Set]],Table_NFI[Kitchen Set])</f>
        <v>0</v>
      </c>
      <c r="AD117" s="436">
        <f>IF(NFI_Expiration=1,IF($A117&lt;VLOOKUP(O$5,NFI,5,0),1,0)*Table_NFI[[#This Row],[Clothes Kit]],Table_NFI[Clothes Kit])</f>
        <v>0</v>
      </c>
      <c r="AE117" s="436">
        <f>IF(NFI_Expiration=1,IF($A117&lt;VLOOKUP(P$5,NFI,5,0),1,0)*Table_NFI[[#This Row],[Plastic Bucket]],Table_NFI[Plastic Bucket])</f>
        <v>0</v>
      </c>
      <c r="AF117" s="436">
        <f>IF(NFI_Expiration=1,IF($A117&lt;VLOOKUP(Q$5,NFI,5,0),1,0)*Table_NFI[[#This Row],[Plastic Mat]],Table_NFI[Plastic Mat])*IF(Table_NFI[[#This Row],[Distribution Date]]&gt;"2014-04-01",1,2.5)</f>
        <v>0</v>
      </c>
      <c r="AG117" s="436">
        <f>IF(NFI_Expiration=1,IF($A117&lt;VLOOKUP(R$5,NFI,5,0),1,0)*Table_NFI[[#This Row],[Winter Clothes Adult]],Table_NFI[Winter Clothes Adult])</f>
        <v>0</v>
      </c>
      <c r="AH117" s="436">
        <f>IF(NFI_Expiration=1,IF($A117&lt;VLOOKUP(S$5,NFI,5,0),1,0)*Table_NFI[[#This Row],[Winter Clothes Children]],Table_NFI[Winter Clothes Children])</f>
        <v>0</v>
      </c>
      <c r="AI117" s="436">
        <f>IF(NFI_Expiration=1,IF($A117&lt;VLOOKUP(T$5,NFI,5,0),1,0)*Table_NFI[[#This Row],[Winter Items Other]],Table_NFI[Winter Items Other])</f>
        <v>0</v>
      </c>
      <c r="AJ117" s="436">
        <f>IF(NFI_Expiration=1,IF($A117&lt;VLOOKUP(M$5,NFI,5,0),1,0)*Table_NFI[[#This Row],[Winter Blanket]],Table_NFI[[#This Row],[Winter Blanket]])</f>
        <v>0</v>
      </c>
      <c r="AK117" s="436">
        <f>IF(Table_NFI[[#This Row],[Winter Clothes Adult]]+Table_NFI[[#This Row],[Winter Clothes Children]]+Table_NFI[[#This Row],[Winter Items Other]]+Table_NFI[[#This Row],[Winter Blanket]]&gt;0,1,0)</f>
        <v>1</v>
      </c>
      <c r="AL117" s="439">
        <f>IF(NFI_Expiration=1,IF($A117&lt;VLOOKUP(V$5,NFI,5,0),1,0)*Table_NFI[[#This Row],[Jerry Can]],Table_NFI[Jerry Can])</f>
        <v>0</v>
      </c>
      <c r="AM117" s="781" t="str">
        <f>IFERROR(VLOOKUP(Table_NFI[[#This Row],[Camp Name]],CL,2,0),"")</f>
        <v>MMR001CMP148</v>
      </c>
      <c r="AN117" s="782">
        <f ca="1">IF(Table_NFI[[#This Row],[Pcode]]="","",IF(OFFSET(CampList[Opening Date],MATCH(Table_NFI[[#This Row],[Pcode]],CampList[CP_Pcode],0)-1,0,1,1)&gt;=NFI_Monitor_Date,1,0))</f>
        <v>0</v>
      </c>
      <c r="AO117" s="781" t="str">
        <f>IFERROR(VLOOKUP(Table_NFI[[#This Row],[Camp Name]],CL,3,0),"")</f>
        <v>Open</v>
      </c>
      <c r="AP117" s="436" t="str">
        <f ca="1">IF(Table_NFI[[#This Row],[Pcode]]="","",OFFSET(CampList[Priority],MATCH(Table_NFI[[#This Row],[Pcode]],CampList[CP_Pcode],0)-1,0,1,1))</f>
        <v>P4</v>
      </c>
      <c r="AQ117" s="438">
        <f>IFERROR(Table_NFI[[#This Row],[Kitchen Set]]/VLOOKUP(Table_NFI[[#This Row],[Camp Name]],CL,4,0),"")</f>
        <v>0</v>
      </c>
      <c r="AR117" s="779"/>
      <c r="AS117" s="783"/>
    </row>
    <row r="118" spans="1:45" s="784" customFormat="1" x14ac:dyDescent="0.25">
      <c r="A118" s="455">
        <f t="shared" si="1"/>
        <v>12.4</v>
      </c>
      <c r="B118" s="778">
        <v>41937</v>
      </c>
      <c r="C118" s="779" t="s">
        <v>1101</v>
      </c>
      <c r="D118" s="779" t="s">
        <v>907</v>
      </c>
      <c r="E118" s="779" t="s">
        <v>380</v>
      </c>
      <c r="F118" s="779" t="s">
        <v>529</v>
      </c>
      <c r="G118" s="779" t="s">
        <v>44</v>
      </c>
      <c r="H118" s="436"/>
      <c r="I118" s="436"/>
      <c r="J118" s="436"/>
      <c r="K118" s="436"/>
      <c r="L118" s="437"/>
      <c r="M118" s="437"/>
      <c r="N118" s="437"/>
      <c r="O118" s="437"/>
      <c r="P118" s="439"/>
      <c r="Q118" s="439"/>
      <c r="R118" s="436">
        <v>33</v>
      </c>
      <c r="S118" s="436">
        <v>24</v>
      </c>
      <c r="T118" s="436"/>
      <c r="U118" s="436"/>
      <c r="V118" s="436"/>
      <c r="W118" s="436">
        <f>IF(NFI_Expiration=1,IF($A118&lt;VLOOKUP(H$5,NFI,5,0),1,0)*Table_NFI[[#This Row],[Hygiene Kit]],Table_NFI[Hygiene Kit])</f>
        <v>0</v>
      </c>
      <c r="X118" s="436">
        <f>IF(NFI_Expiration=1,IF($A118&lt;VLOOKUP(I$5,NFI,5,0),1,0)*Table_NFI[[#This Row],[NFI Core Kit]],Table_NFI[NFI Core Kit])</f>
        <v>0</v>
      </c>
      <c r="Y118" s="436">
        <f>IF(NFI_Expiration=1,IF($A118&lt;VLOOKUP(J$5,NFI,5,0),1,0)*Table_NFI[[#This Row],[Sanitary Kit]],Table_NFI[Sanitary Kit])</f>
        <v>0</v>
      </c>
      <c r="Z118" s="436">
        <f>IF(NFI_Expiration=1,IF($A118&lt;VLOOKUP(K$5,NFI,5,0),1,0)*Table_NFI[[#This Row],[Mosquito net]],Table_NFI[Mosquito net])</f>
        <v>0</v>
      </c>
      <c r="AA118" s="436">
        <f>IF(NFI_Expiration=1,IF($A118&lt;VLOOKUP(L$5,NFI,5,0),1,0)*Table_NFI[[#This Row],[Tarpaulin]],Table_NFI[[#This Row],[Tarpaulin]])</f>
        <v>0</v>
      </c>
      <c r="AB118" s="436">
        <f>IF(NFI_Expiration=1,IF($A118&lt;VLOOKUP(M$5,NFI,5,0),1,0)*Table_NFI[[#This Row],[Blanket]],Table_NFI[[#This Row],[Blanket]])</f>
        <v>0</v>
      </c>
      <c r="AC118" s="436">
        <f>IF(NFI_Expiration=1,IF($A118&lt;VLOOKUP(N$5,NFI,5,0),1,0)*Table_NFI[[#This Row],[Kitchen Set]],Table_NFI[Kitchen Set])</f>
        <v>0</v>
      </c>
      <c r="AD118" s="436">
        <f>IF(NFI_Expiration=1,IF($A118&lt;VLOOKUP(O$5,NFI,5,0),1,0)*Table_NFI[[#This Row],[Clothes Kit]],Table_NFI[Clothes Kit])</f>
        <v>0</v>
      </c>
      <c r="AE118" s="436">
        <f>IF(NFI_Expiration=1,IF($A118&lt;VLOOKUP(P$5,NFI,5,0),1,0)*Table_NFI[[#This Row],[Plastic Bucket]],Table_NFI[Plastic Bucket])</f>
        <v>0</v>
      </c>
      <c r="AF118" s="436">
        <f>IF(NFI_Expiration=1,IF($A118&lt;VLOOKUP(Q$5,NFI,5,0),1,0)*Table_NFI[[#This Row],[Plastic Mat]],Table_NFI[Plastic Mat])*IF(Table_NFI[[#This Row],[Distribution Date]]&gt;"2014-04-01",1,2.5)</f>
        <v>0</v>
      </c>
      <c r="AG118" s="436">
        <f>IF(NFI_Expiration=1,IF($A118&lt;VLOOKUP(R$5,NFI,5,0),1,0)*Table_NFI[[#This Row],[Winter Clothes Adult]],Table_NFI[Winter Clothes Adult])</f>
        <v>0</v>
      </c>
      <c r="AH118" s="436">
        <f>IF(NFI_Expiration=1,IF($A118&lt;VLOOKUP(S$5,NFI,5,0),1,0)*Table_NFI[[#This Row],[Winter Clothes Children]],Table_NFI[Winter Clothes Children])</f>
        <v>0</v>
      </c>
      <c r="AI118" s="436">
        <f>IF(NFI_Expiration=1,IF($A118&lt;VLOOKUP(T$5,NFI,5,0),1,0)*Table_NFI[[#This Row],[Winter Items Other]],Table_NFI[Winter Items Other])</f>
        <v>0</v>
      </c>
      <c r="AJ118" s="436">
        <f>IF(NFI_Expiration=1,IF($A118&lt;VLOOKUP(M$5,NFI,5,0),1,0)*Table_NFI[[#This Row],[Winter Blanket]],Table_NFI[[#This Row],[Winter Blanket]])</f>
        <v>0</v>
      </c>
      <c r="AK118" s="436">
        <f>IF(Table_NFI[[#This Row],[Winter Clothes Adult]]+Table_NFI[[#This Row],[Winter Clothes Children]]+Table_NFI[[#This Row],[Winter Items Other]]+Table_NFI[[#This Row],[Winter Blanket]]&gt;0,1,0)</f>
        <v>1</v>
      </c>
      <c r="AL118" s="439">
        <f>IF(NFI_Expiration=1,IF($A118&lt;VLOOKUP(V$5,NFI,5,0),1,0)*Table_NFI[[#This Row],[Jerry Can]],Table_NFI[Jerry Can])</f>
        <v>0</v>
      </c>
      <c r="AM118" s="781" t="str">
        <f>IFERROR(VLOOKUP(Table_NFI[[#This Row],[Camp Name]],CL,2,0),"")</f>
        <v>MMR001CMP191</v>
      </c>
      <c r="AN118" s="782">
        <f ca="1">IF(Table_NFI[[#This Row],[Pcode]]="","",IF(OFFSET(CampList[Opening Date],MATCH(Table_NFI[[#This Row],[Pcode]],CampList[CP_Pcode],0)-1,0,1,1)&gt;=NFI_Monitor_Date,1,0))</f>
        <v>0</v>
      </c>
      <c r="AO118" s="781" t="str">
        <f>IFERROR(VLOOKUP(Table_NFI[[#This Row],[Camp Name]],CL,3,0),"")</f>
        <v>Open</v>
      </c>
      <c r="AP118" s="436" t="str">
        <f ca="1">IF(Table_NFI[[#This Row],[Pcode]]="","",OFFSET(CampList[Priority],MATCH(Table_NFI[[#This Row],[Pcode]],CampList[CP_Pcode],0)-1,0,1,1))</f>
        <v>P4</v>
      </c>
      <c r="AQ118" s="438">
        <f>IFERROR(Table_NFI[[#This Row],[Kitchen Set]]/VLOOKUP(Table_NFI[[#This Row],[Camp Name]],CL,4,0),"")</f>
        <v>0</v>
      </c>
      <c r="AR118" s="779"/>
      <c r="AS118" s="783"/>
    </row>
    <row r="119" spans="1:45" s="784" customFormat="1" x14ac:dyDescent="0.25">
      <c r="A119" s="455">
        <f t="shared" si="1"/>
        <v>12.4</v>
      </c>
      <c r="B119" s="778">
        <v>41937</v>
      </c>
      <c r="C119" s="779" t="s">
        <v>1101</v>
      </c>
      <c r="D119" s="779" t="s">
        <v>907</v>
      </c>
      <c r="E119" s="779" t="s">
        <v>380</v>
      </c>
      <c r="F119" s="779" t="s">
        <v>529</v>
      </c>
      <c r="G119" s="779" t="s">
        <v>1072</v>
      </c>
      <c r="H119" s="436"/>
      <c r="I119" s="436"/>
      <c r="J119" s="436"/>
      <c r="K119" s="436"/>
      <c r="L119" s="437"/>
      <c r="M119" s="437"/>
      <c r="N119" s="437"/>
      <c r="O119" s="437"/>
      <c r="P119" s="439"/>
      <c r="Q119" s="439"/>
      <c r="R119" s="436">
        <v>186</v>
      </c>
      <c r="S119" s="436">
        <v>125</v>
      </c>
      <c r="T119" s="436"/>
      <c r="U119" s="436"/>
      <c r="V119" s="436"/>
      <c r="W119" s="436">
        <f>IF(NFI_Expiration=1,IF($A119&lt;VLOOKUP(H$5,NFI,5,0),1,0)*Table_NFI[[#This Row],[Hygiene Kit]],Table_NFI[Hygiene Kit])</f>
        <v>0</v>
      </c>
      <c r="X119" s="436">
        <f>IF(NFI_Expiration=1,IF($A119&lt;VLOOKUP(I$5,NFI,5,0),1,0)*Table_NFI[[#This Row],[NFI Core Kit]],Table_NFI[NFI Core Kit])</f>
        <v>0</v>
      </c>
      <c r="Y119" s="436">
        <f>IF(NFI_Expiration=1,IF($A119&lt;VLOOKUP(J$5,NFI,5,0),1,0)*Table_NFI[[#This Row],[Sanitary Kit]],Table_NFI[Sanitary Kit])</f>
        <v>0</v>
      </c>
      <c r="Z119" s="436">
        <f>IF(NFI_Expiration=1,IF($A119&lt;VLOOKUP(K$5,NFI,5,0),1,0)*Table_NFI[[#This Row],[Mosquito net]],Table_NFI[Mosquito net])</f>
        <v>0</v>
      </c>
      <c r="AA119" s="436">
        <f>IF(NFI_Expiration=1,IF($A119&lt;VLOOKUP(L$5,NFI,5,0),1,0)*Table_NFI[[#This Row],[Tarpaulin]],Table_NFI[[#This Row],[Tarpaulin]])</f>
        <v>0</v>
      </c>
      <c r="AB119" s="436">
        <f>IF(NFI_Expiration=1,IF($A119&lt;VLOOKUP(M$5,NFI,5,0),1,0)*Table_NFI[[#This Row],[Blanket]],Table_NFI[[#This Row],[Blanket]])</f>
        <v>0</v>
      </c>
      <c r="AC119" s="436">
        <f>IF(NFI_Expiration=1,IF($A119&lt;VLOOKUP(N$5,NFI,5,0),1,0)*Table_NFI[[#This Row],[Kitchen Set]],Table_NFI[Kitchen Set])</f>
        <v>0</v>
      </c>
      <c r="AD119" s="436">
        <f>IF(NFI_Expiration=1,IF($A119&lt;VLOOKUP(O$5,NFI,5,0),1,0)*Table_NFI[[#This Row],[Clothes Kit]],Table_NFI[Clothes Kit])</f>
        <v>0</v>
      </c>
      <c r="AE119" s="436">
        <f>IF(NFI_Expiration=1,IF($A119&lt;VLOOKUP(P$5,NFI,5,0),1,0)*Table_NFI[[#This Row],[Plastic Bucket]],Table_NFI[Plastic Bucket])</f>
        <v>0</v>
      </c>
      <c r="AF119" s="436">
        <f>IF(NFI_Expiration=1,IF($A119&lt;VLOOKUP(Q$5,NFI,5,0),1,0)*Table_NFI[[#This Row],[Plastic Mat]],Table_NFI[Plastic Mat])*IF(Table_NFI[[#This Row],[Distribution Date]]&gt;"2014-04-01",1,2.5)</f>
        <v>0</v>
      </c>
      <c r="AG119" s="436">
        <f>IF(NFI_Expiration=1,IF($A119&lt;VLOOKUP(R$5,NFI,5,0),1,0)*Table_NFI[[#This Row],[Winter Clothes Adult]],Table_NFI[Winter Clothes Adult])</f>
        <v>0</v>
      </c>
      <c r="AH119" s="436">
        <f>IF(NFI_Expiration=1,IF($A119&lt;VLOOKUP(S$5,NFI,5,0),1,0)*Table_NFI[[#This Row],[Winter Clothes Children]],Table_NFI[Winter Clothes Children])</f>
        <v>0</v>
      </c>
      <c r="AI119" s="436">
        <f>IF(NFI_Expiration=1,IF($A119&lt;VLOOKUP(T$5,NFI,5,0),1,0)*Table_NFI[[#This Row],[Winter Items Other]],Table_NFI[Winter Items Other])</f>
        <v>0</v>
      </c>
      <c r="AJ119" s="436">
        <f>IF(NFI_Expiration=1,IF($A119&lt;VLOOKUP(M$5,NFI,5,0),1,0)*Table_NFI[[#This Row],[Winter Blanket]],Table_NFI[[#This Row],[Winter Blanket]])</f>
        <v>0</v>
      </c>
      <c r="AK119" s="436">
        <f>IF(Table_NFI[[#This Row],[Winter Clothes Adult]]+Table_NFI[[#This Row],[Winter Clothes Children]]+Table_NFI[[#This Row],[Winter Items Other]]+Table_NFI[[#This Row],[Winter Blanket]]&gt;0,1,0)</f>
        <v>1</v>
      </c>
      <c r="AL119" s="439">
        <f>IF(NFI_Expiration=1,IF($A119&lt;VLOOKUP(V$5,NFI,5,0),1,0)*Table_NFI[[#This Row],[Jerry Can]],Table_NFI[Jerry Can])</f>
        <v>0</v>
      </c>
      <c r="AM119" s="781" t="str">
        <f>IFERROR(VLOOKUP(Table_NFI[[#This Row],[Camp Name]],CL,2,0),"")</f>
        <v>MMR001CMP229</v>
      </c>
      <c r="AN119" s="782">
        <f ca="1">IF(Table_NFI[[#This Row],[Pcode]]="","",IF(OFFSET(CampList[Opening Date],MATCH(Table_NFI[[#This Row],[Pcode]],CampList[CP_Pcode],0)-1,0,1,1)&gt;=NFI_Monitor_Date,1,0))</f>
        <v>0</v>
      </c>
      <c r="AO119" s="781" t="str">
        <f>IFERROR(VLOOKUP(Table_NFI[[#This Row],[Camp Name]],CL,3,0),"")</f>
        <v>Open</v>
      </c>
      <c r="AP119" s="436" t="str">
        <f ca="1">IF(Table_NFI[[#This Row],[Pcode]]="","",OFFSET(CampList[Priority],MATCH(Table_NFI[[#This Row],[Pcode]],CampList[CP_Pcode],0)-1,0,1,1))</f>
        <v>P4</v>
      </c>
      <c r="AQ119" s="438">
        <f>IFERROR(Table_NFI[[#This Row],[Kitchen Set]]/VLOOKUP(Table_NFI[[#This Row],[Camp Name]],CL,4,0),"")</f>
        <v>0</v>
      </c>
      <c r="AR119" s="779"/>
      <c r="AS119" s="783"/>
    </row>
    <row r="120" spans="1:45" s="784" customFormat="1" x14ac:dyDescent="0.25">
      <c r="A120" s="455">
        <f t="shared" si="1"/>
        <v>12.4</v>
      </c>
      <c r="B120" s="778">
        <v>41937</v>
      </c>
      <c r="C120" s="779" t="s">
        <v>1101</v>
      </c>
      <c r="D120" s="779" t="s">
        <v>907</v>
      </c>
      <c r="E120" s="779" t="s">
        <v>380</v>
      </c>
      <c r="F120" s="779" t="s">
        <v>529</v>
      </c>
      <c r="G120" s="779" t="s">
        <v>90</v>
      </c>
      <c r="H120" s="436"/>
      <c r="I120" s="436"/>
      <c r="J120" s="436"/>
      <c r="K120" s="436"/>
      <c r="L120" s="437"/>
      <c r="M120" s="437"/>
      <c r="N120" s="437"/>
      <c r="O120" s="437"/>
      <c r="P120" s="439"/>
      <c r="Q120" s="439"/>
      <c r="R120" s="436">
        <v>90</v>
      </c>
      <c r="S120" s="436">
        <v>39</v>
      </c>
      <c r="T120" s="436"/>
      <c r="U120" s="436"/>
      <c r="V120" s="436"/>
      <c r="W120" s="436">
        <f>IF(NFI_Expiration=1,IF($A120&lt;VLOOKUP(H$5,NFI,5,0),1,0)*Table_NFI[[#This Row],[Hygiene Kit]],Table_NFI[Hygiene Kit])</f>
        <v>0</v>
      </c>
      <c r="X120" s="436">
        <f>IF(NFI_Expiration=1,IF($A120&lt;VLOOKUP(I$5,NFI,5,0),1,0)*Table_NFI[[#This Row],[NFI Core Kit]],Table_NFI[NFI Core Kit])</f>
        <v>0</v>
      </c>
      <c r="Y120" s="436">
        <f>IF(NFI_Expiration=1,IF($A120&lt;VLOOKUP(J$5,NFI,5,0),1,0)*Table_NFI[[#This Row],[Sanitary Kit]],Table_NFI[Sanitary Kit])</f>
        <v>0</v>
      </c>
      <c r="Z120" s="436">
        <f>IF(NFI_Expiration=1,IF($A120&lt;VLOOKUP(K$5,NFI,5,0),1,0)*Table_NFI[[#This Row],[Mosquito net]],Table_NFI[Mosquito net])</f>
        <v>0</v>
      </c>
      <c r="AA120" s="436">
        <f>IF(NFI_Expiration=1,IF($A120&lt;VLOOKUP(L$5,NFI,5,0),1,0)*Table_NFI[[#This Row],[Tarpaulin]],Table_NFI[[#This Row],[Tarpaulin]])</f>
        <v>0</v>
      </c>
      <c r="AB120" s="436">
        <f>IF(NFI_Expiration=1,IF($A120&lt;VLOOKUP(M$5,NFI,5,0),1,0)*Table_NFI[[#This Row],[Blanket]],Table_NFI[[#This Row],[Blanket]])</f>
        <v>0</v>
      </c>
      <c r="AC120" s="436">
        <f>IF(NFI_Expiration=1,IF($A120&lt;VLOOKUP(N$5,NFI,5,0),1,0)*Table_NFI[[#This Row],[Kitchen Set]],Table_NFI[Kitchen Set])</f>
        <v>0</v>
      </c>
      <c r="AD120" s="436">
        <f>IF(NFI_Expiration=1,IF($A120&lt;VLOOKUP(O$5,NFI,5,0),1,0)*Table_NFI[[#This Row],[Clothes Kit]],Table_NFI[Clothes Kit])</f>
        <v>0</v>
      </c>
      <c r="AE120" s="436">
        <f>IF(NFI_Expiration=1,IF($A120&lt;VLOOKUP(P$5,NFI,5,0),1,0)*Table_NFI[[#This Row],[Plastic Bucket]],Table_NFI[Plastic Bucket])</f>
        <v>0</v>
      </c>
      <c r="AF120" s="436">
        <f>IF(NFI_Expiration=1,IF($A120&lt;VLOOKUP(Q$5,NFI,5,0),1,0)*Table_NFI[[#This Row],[Plastic Mat]],Table_NFI[Plastic Mat])*IF(Table_NFI[[#This Row],[Distribution Date]]&gt;"2014-04-01",1,2.5)</f>
        <v>0</v>
      </c>
      <c r="AG120" s="436">
        <f>IF(NFI_Expiration=1,IF($A120&lt;VLOOKUP(R$5,NFI,5,0),1,0)*Table_NFI[[#This Row],[Winter Clothes Adult]],Table_NFI[Winter Clothes Adult])</f>
        <v>0</v>
      </c>
      <c r="AH120" s="436">
        <f>IF(NFI_Expiration=1,IF($A120&lt;VLOOKUP(S$5,NFI,5,0),1,0)*Table_NFI[[#This Row],[Winter Clothes Children]],Table_NFI[Winter Clothes Children])</f>
        <v>0</v>
      </c>
      <c r="AI120" s="436">
        <f>IF(NFI_Expiration=1,IF($A120&lt;VLOOKUP(T$5,NFI,5,0),1,0)*Table_NFI[[#This Row],[Winter Items Other]],Table_NFI[Winter Items Other])</f>
        <v>0</v>
      </c>
      <c r="AJ120" s="436">
        <f>IF(NFI_Expiration=1,IF($A120&lt;VLOOKUP(M$5,NFI,5,0),1,0)*Table_NFI[[#This Row],[Winter Blanket]],Table_NFI[[#This Row],[Winter Blanket]])</f>
        <v>0</v>
      </c>
      <c r="AK120" s="436">
        <f>IF(Table_NFI[[#This Row],[Winter Clothes Adult]]+Table_NFI[[#This Row],[Winter Clothes Children]]+Table_NFI[[#This Row],[Winter Items Other]]+Table_NFI[[#This Row],[Winter Blanket]]&gt;0,1,0)</f>
        <v>1</v>
      </c>
      <c r="AL120" s="439">
        <f>IF(NFI_Expiration=1,IF($A120&lt;VLOOKUP(V$5,NFI,5,0),1,0)*Table_NFI[[#This Row],[Jerry Can]],Table_NFI[Jerry Can])</f>
        <v>0</v>
      </c>
      <c r="AM120" s="781" t="str">
        <f>IFERROR(VLOOKUP(Table_NFI[[#This Row],[Camp Name]],CL,2,0),"")</f>
        <v>MMR001CMP181</v>
      </c>
      <c r="AN120" s="782">
        <f ca="1">IF(Table_NFI[[#This Row],[Pcode]]="","",IF(OFFSET(CampList[Opening Date],MATCH(Table_NFI[[#This Row],[Pcode]],CampList[CP_Pcode],0)-1,0,1,1)&gt;=NFI_Monitor_Date,1,0))</f>
        <v>0</v>
      </c>
      <c r="AO120" s="781" t="str">
        <f>IFERROR(VLOOKUP(Table_NFI[[#This Row],[Camp Name]],CL,3,0),"")</f>
        <v>Open</v>
      </c>
      <c r="AP120" s="436" t="str">
        <f ca="1">IF(Table_NFI[[#This Row],[Pcode]]="","",OFFSET(CampList[Priority],MATCH(Table_NFI[[#This Row],[Pcode]],CampList[CP_Pcode],0)-1,0,1,1))</f>
        <v>P4</v>
      </c>
      <c r="AQ120" s="438">
        <f>IFERROR(Table_NFI[[#This Row],[Kitchen Set]]/VLOOKUP(Table_NFI[[#This Row],[Camp Name]],CL,4,0),"")</f>
        <v>0</v>
      </c>
      <c r="AR120" s="779"/>
      <c r="AS120" s="783"/>
    </row>
    <row r="121" spans="1:45" s="136" customFormat="1" x14ac:dyDescent="0.25">
      <c r="A121" s="455">
        <f t="shared" si="1"/>
        <v>12.4</v>
      </c>
      <c r="B121" s="778">
        <v>41937</v>
      </c>
      <c r="C121" s="779" t="s">
        <v>1101</v>
      </c>
      <c r="D121" s="779" t="s">
        <v>907</v>
      </c>
      <c r="E121" s="779" t="s">
        <v>380</v>
      </c>
      <c r="F121" s="779" t="s">
        <v>529</v>
      </c>
      <c r="G121" s="779" t="s">
        <v>92</v>
      </c>
      <c r="H121" s="436"/>
      <c r="I121" s="436"/>
      <c r="J121" s="436"/>
      <c r="K121" s="436"/>
      <c r="L121" s="437"/>
      <c r="M121" s="437"/>
      <c r="N121" s="437"/>
      <c r="O121" s="437"/>
      <c r="P121" s="439"/>
      <c r="Q121" s="439"/>
      <c r="R121" s="436">
        <v>48</v>
      </c>
      <c r="S121" s="436">
        <v>23</v>
      </c>
      <c r="T121" s="436"/>
      <c r="U121" s="436"/>
      <c r="V121" s="436"/>
      <c r="W121" s="436">
        <f>IF(NFI_Expiration=1,IF($A121&lt;VLOOKUP(H$5,NFI,5,0),1,0)*Table_NFI[[#This Row],[Hygiene Kit]],Table_NFI[Hygiene Kit])</f>
        <v>0</v>
      </c>
      <c r="X121" s="436">
        <f>IF(NFI_Expiration=1,IF($A121&lt;VLOOKUP(I$5,NFI,5,0),1,0)*Table_NFI[[#This Row],[NFI Core Kit]],Table_NFI[NFI Core Kit])</f>
        <v>0</v>
      </c>
      <c r="Y121" s="436">
        <f>IF(NFI_Expiration=1,IF($A121&lt;VLOOKUP(J$5,NFI,5,0),1,0)*Table_NFI[[#This Row],[Sanitary Kit]],Table_NFI[Sanitary Kit])</f>
        <v>0</v>
      </c>
      <c r="Z121" s="436">
        <f>IF(NFI_Expiration=1,IF($A121&lt;VLOOKUP(K$5,NFI,5,0),1,0)*Table_NFI[[#This Row],[Mosquito net]],Table_NFI[Mosquito net])</f>
        <v>0</v>
      </c>
      <c r="AA121" s="436">
        <f>IF(NFI_Expiration=1,IF($A121&lt;VLOOKUP(L$5,NFI,5,0),1,0)*Table_NFI[[#This Row],[Tarpaulin]],Table_NFI[[#This Row],[Tarpaulin]])</f>
        <v>0</v>
      </c>
      <c r="AB121" s="436">
        <f>IF(NFI_Expiration=1,IF($A121&lt;VLOOKUP(M$5,NFI,5,0),1,0)*Table_NFI[[#This Row],[Blanket]],Table_NFI[[#This Row],[Blanket]])</f>
        <v>0</v>
      </c>
      <c r="AC121" s="436">
        <f>IF(NFI_Expiration=1,IF($A121&lt;VLOOKUP(N$5,NFI,5,0),1,0)*Table_NFI[[#This Row],[Kitchen Set]],Table_NFI[Kitchen Set])</f>
        <v>0</v>
      </c>
      <c r="AD121" s="436">
        <f>IF(NFI_Expiration=1,IF($A121&lt;VLOOKUP(O$5,NFI,5,0),1,0)*Table_NFI[[#This Row],[Clothes Kit]],Table_NFI[Clothes Kit])</f>
        <v>0</v>
      </c>
      <c r="AE121" s="436">
        <f>IF(NFI_Expiration=1,IF($A121&lt;VLOOKUP(P$5,NFI,5,0),1,0)*Table_NFI[[#This Row],[Plastic Bucket]],Table_NFI[Plastic Bucket])</f>
        <v>0</v>
      </c>
      <c r="AF121" s="436">
        <f>IF(NFI_Expiration=1,IF($A121&lt;VLOOKUP(Q$5,NFI,5,0),1,0)*Table_NFI[[#This Row],[Plastic Mat]],Table_NFI[Plastic Mat])*IF(Table_NFI[[#This Row],[Distribution Date]]&gt;"2014-04-01",1,2.5)</f>
        <v>0</v>
      </c>
      <c r="AG121" s="436">
        <f>IF(NFI_Expiration=1,IF($A121&lt;VLOOKUP(R$5,NFI,5,0),1,0)*Table_NFI[[#This Row],[Winter Clothes Adult]],Table_NFI[Winter Clothes Adult])</f>
        <v>0</v>
      </c>
      <c r="AH121" s="436">
        <f>IF(NFI_Expiration=1,IF($A121&lt;VLOOKUP(S$5,NFI,5,0),1,0)*Table_NFI[[#This Row],[Winter Clothes Children]],Table_NFI[Winter Clothes Children])</f>
        <v>0</v>
      </c>
      <c r="AI121" s="436">
        <f>IF(NFI_Expiration=1,IF($A121&lt;VLOOKUP(T$5,NFI,5,0),1,0)*Table_NFI[[#This Row],[Winter Items Other]],Table_NFI[Winter Items Other])</f>
        <v>0</v>
      </c>
      <c r="AJ121" s="436">
        <f>IF(NFI_Expiration=1,IF($A121&lt;VLOOKUP(M$5,NFI,5,0),1,0)*Table_NFI[[#This Row],[Winter Blanket]],Table_NFI[[#This Row],[Winter Blanket]])</f>
        <v>0</v>
      </c>
      <c r="AK121" s="436">
        <f>IF(Table_NFI[[#This Row],[Winter Clothes Adult]]+Table_NFI[[#This Row],[Winter Clothes Children]]+Table_NFI[[#This Row],[Winter Items Other]]+Table_NFI[[#This Row],[Winter Blanket]]&gt;0,1,0)</f>
        <v>1</v>
      </c>
      <c r="AL121" s="439">
        <f>IF(NFI_Expiration=1,IF($A121&lt;VLOOKUP(V$5,NFI,5,0),1,0)*Table_NFI[[#This Row],[Jerry Can]],Table_NFI[Jerry Can])</f>
        <v>0</v>
      </c>
      <c r="AM121" s="781" t="str">
        <f>IFERROR(VLOOKUP(Table_NFI[[#This Row],[Camp Name]],CL,2,0),"")</f>
        <v>MMR001CMP167</v>
      </c>
      <c r="AN121" s="782">
        <f ca="1">IF(Table_NFI[[#This Row],[Pcode]]="","",IF(OFFSET(CampList[Opening Date],MATCH(Table_NFI[[#This Row],[Pcode]],CampList[CP_Pcode],0)-1,0,1,1)&gt;=NFI_Monitor_Date,1,0))</f>
        <v>0</v>
      </c>
      <c r="AO121" s="781" t="str">
        <f>IFERROR(VLOOKUP(Table_NFI[[#This Row],[Camp Name]],CL,3,0),"")</f>
        <v>Open</v>
      </c>
      <c r="AP121" s="436" t="str">
        <f ca="1">IF(Table_NFI[[#This Row],[Pcode]]="","",OFFSET(CampList[Priority],MATCH(Table_NFI[[#This Row],[Pcode]],CampList[CP_Pcode],0)-1,0,1,1))</f>
        <v>P4</v>
      </c>
      <c r="AQ121" s="438">
        <f>IFERROR(Table_NFI[[#This Row],[Kitchen Set]]/VLOOKUP(Table_NFI[[#This Row],[Camp Name]],CL,4,0),"")</f>
        <v>0</v>
      </c>
      <c r="AR121" s="779"/>
      <c r="AS121" s="783"/>
    </row>
    <row r="122" spans="1:45" s="136" customFormat="1" x14ac:dyDescent="0.25">
      <c r="A122" s="455">
        <f t="shared" si="1"/>
        <v>12.4</v>
      </c>
      <c r="B122" s="778">
        <v>41937</v>
      </c>
      <c r="C122" s="779" t="s">
        <v>1101</v>
      </c>
      <c r="D122" s="779" t="s">
        <v>907</v>
      </c>
      <c r="E122" s="779" t="s">
        <v>380</v>
      </c>
      <c r="F122" s="779" t="s">
        <v>185</v>
      </c>
      <c r="G122" s="779" t="s">
        <v>186</v>
      </c>
      <c r="H122" s="436"/>
      <c r="I122" s="436"/>
      <c r="J122" s="436"/>
      <c r="K122" s="436"/>
      <c r="L122" s="437"/>
      <c r="M122" s="437"/>
      <c r="N122" s="437"/>
      <c r="O122" s="437"/>
      <c r="P122" s="439"/>
      <c r="Q122" s="439"/>
      <c r="R122" s="436">
        <v>112</v>
      </c>
      <c r="S122" s="436">
        <v>59</v>
      </c>
      <c r="T122" s="436"/>
      <c r="U122" s="436">
        <v>74</v>
      </c>
      <c r="V122" s="436"/>
      <c r="W122" s="436">
        <f>IF(NFI_Expiration=1,IF($A122&lt;VLOOKUP(H$5,NFI,5,0),1,0)*Table_NFI[[#This Row],[Hygiene Kit]],Table_NFI[Hygiene Kit])</f>
        <v>0</v>
      </c>
      <c r="X122" s="436">
        <f>IF(NFI_Expiration=1,IF($A122&lt;VLOOKUP(I$5,NFI,5,0),1,0)*Table_NFI[[#This Row],[NFI Core Kit]],Table_NFI[NFI Core Kit])</f>
        <v>0</v>
      </c>
      <c r="Y122" s="436">
        <f>IF(NFI_Expiration=1,IF($A122&lt;VLOOKUP(J$5,NFI,5,0),1,0)*Table_NFI[[#This Row],[Sanitary Kit]],Table_NFI[Sanitary Kit])</f>
        <v>0</v>
      </c>
      <c r="Z122" s="436">
        <f>IF(NFI_Expiration=1,IF($A122&lt;VLOOKUP(K$5,NFI,5,0),1,0)*Table_NFI[[#This Row],[Mosquito net]],Table_NFI[Mosquito net])</f>
        <v>0</v>
      </c>
      <c r="AA122" s="436">
        <f>IF(NFI_Expiration=1,IF($A122&lt;VLOOKUP(L$5,NFI,5,0),1,0)*Table_NFI[[#This Row],[Tarpaulin]],Table_NFI[[#This Row],[Tarpaulin]])</f>
        <v>0</v>
      </c>
      <c r="AB122" s="436">
        <f>IF(NFI_Expiration=1,IF($A122&lt;VLOOKUP(M$5,NFI,5,0),1,0)*Table_NFI[[#This Row],[Blanket]],Table_NFI[[#This Row],[Blanket]])</f>
        <v>0</v>
      </c>
      <c r="AC122" s="436">
        <f>IF(NFI_Expiration=1,IF($A122&lt;VLOOKUP(N$5,NFI,5,0),1,0)*Table_NFI[[#This Row],[Kitchen Set]],Table_NFI[Kitchen Set])</f>
        <v>0</v>
      </c>
      <c r="AD122" s="436">
        <f>IF(NFI_Expiration=1,IF($A122&lt;VLOOKUP(O$5,NFI,5,0),1,0)*Table_NFI[[#This Row],[Clothes Kit]],Table_NFI[Clothes Kit])</f>
        <v>0</v>
      </c>
      <c r="AE122" s="436">
        <f>IF(NFI_Expiration=1,IF($A122&lt;VLOOKUP(P$5,NFI,5,0),1,0)*Table_NFI[[#This Row],[Plastic Bucket]],Table_NFI[Plastic Bucket])</f>
        <v>0</v>
      </c>
      <c r="AF122" s="436">
        <f>IF(NFI_Expiration=1,IF($A122&lt;VLOOKUP(Q$5,NFI,5,0),1,0)*Table_NFI[[#This Row],[Plastic Mat]],Table_NFI[Plastic Mat])*IF(Table_NFI[[#This Row],[Distribution Date]]&gt;"2014-04-01",1,2.5)</f>
        <v>0</v>
      </c>
      <c r="AG122" s="436">
        <f>IF(NFI_Expiration=1,IF($A122&lt;VLOOKUP(R$5,NFI,5,0),1,0)*Table_NFI[[#This Row],[Winter Clothes Adult]],Table_NFI[Winter Clothes Adult])</f>
        <v>0</v>
      </c>
      <c r="AH122" s="436">
        <f>IF(NFI_Expiration=1,IF($A122&lt;VLOOKUP(S$5,NFI,5,0),1,0)*Table_NFI[[#This Row],[Winter Clothes Children]],Table_NFI[Winter Clothes Children])</f>
        <v>0</v>
      </c>
      <c r="AI122" s="436">
        <f>IF(NFI_Expiration=1,IF($A122&lt;VLOOKUP(T$5,NFI,5,0),1,0)*Table_NFI[[#This Row],[Winter Items Other]],Table_NFI[Winter Items Other])</f>
        <v>0</v>
      </c>
      <c r="AJ122" s="436">
        <f>IF(NFI_Expiration=1,IF($A122&lt;VLOOKUP(M$5,NFI,5,0),1,0)*Table_NFI[[#This Row],[Winter Blanket]],Table_NFI[[#This Row],[Winter Blanket]])</f>
        <v>0</v>
      </c>
      <c r="AK122" s="436">
        <f>IF(Table_NFI[[#This Row],[Winter Clothes Adult]]+Table_NFI[[#This Row],[Winter Clothes Children]]+Table_NFI[[#This Row],[Winter Items Other]]+Table_NFI[[#This Row],[Winter Blanket]]&gt;0,1,0)</f>
        <v>1</v>
      </c>
      <c r="AL122" s="439">
        <f>IF(NFI_Expiration=1,IF($A122&lt;VLOOKUP(V$5,NFI,5,0),1,0)*Table_NFI[[#This Row],[Jerry Can]],Table_NFI[Jerry Can])</f>
        <v>0</v>
      </c>
      <c r="AM122" s="781" t="str">
        <f>IFERROR(VLOOKUP(Table_NFI[[#This Row],[Camp Name]],CL,2,0),"")</f>
        <v>MMR001CMP071</v>
      </c>
      <c r="AN122" s="782">
        <f ca="1">IF(Table_NFI[[#This Row],[Pcode]]="","",IF(OFFSET(CampList[Opening Date],MATCH(Table_NFI[[#This Row],[Pcode]],CampList[CP_Pcode],0)-1,0,1,1)&gt;=NFI_Monitor_Date,1,0))</f>
        <v>0</v>
      </c>
      <c r="AO122" s="781" t="str">
        <f>IFERROR(VLOOKUP(Table_NFI[[#This Row],[Camp Name]],CL,3,0),"")</f>
        <v>Open</v>
      </c>
      <c r="AP122" s="436" t="str">
        <f ca="1">IF(Table_NFI[[#This Row],[Pcode]]="","",OFFSET(CampList[Priority],MATCH(Table_NFI[[#This Row],[Pcode]],CampList[CP_Pcode],0)-1,0,1,1))</f>
        <v>P3</v>
      </c>
      <c r="AQ122" s="438">
        <f>IFERROR(Table_NFI[[#This Row],[Kitchen Set]]/VLOOKUP(Table_NFI[[#This Row],[Camp Name]],CL,4,0),"")</f>
        <v>0</v>
      </c>
      <c r="AR122" s="779"/>
      <c r="AS122" s="783"/>
    </row>
    <row r="123" spans="1:45" s="136" customFormat="1" x14ac:dyDescent="0.25">
      <c r="A123" s="455">
        <f t="shared" si="1"/>
        <v>12.4</v>
      </c>
      <c r="B123" s="778">
        <v>41937</v>
      </c>
      <c r="C123" s="779" t="s">
        <v>1101</v>
      </c>
      <c r="D123" s="779" t="s">
        <v>907</v>
      </c>
      <c r="E123" s="779" t="s">
        <v>380</v>
      </c>
      <c r="F123" s="779" t="s">
        <v>185</v>
      </c>
      <c r="G123" s="779" t="s">
        <v>223</v>
      </c>
      <c r="H123" s="436"/>
      <c r="I123" s="436"/>
      <c r="J123" s="436"/>
      <c r="K123" s="436"/>
      <c r="L123" s="437"/>
      <c r="M123" s="437"/>
      <c r="N123" s="437"/>
      <c r="O123" s="437"/>
      <c r="P123" s="439"/>
      <c r="Q123" s="439"/>
      <c r="R123" s="436">
        <v>203</v>
      </c>
      <c r="S123" s="436">
        <v>102</v>
      </c>
      <c r="T123" s="436"/>
      <c r="U123" s="436">
        <v>138</v>
      </c>
      <c r="V123" s="436"/>
      <c r="W123" s="436">
        <f>IF(NFI_Expiration=1,IF($A123&lt;VLOOKUP(H$5,NFI,5,0),1,0)*Table_NFI[[#This Row],[Hygiene Kit]],Table_NFI[Hygiene Kit])</f>
        <v>0</v>
      </c>
      <c r="X123" s="436">
        <f>IF(NFI_Expiration=1,IF($A123&lt;VLOOKUP(I$5,NFI,5,0),1,0)*Table_NFI[[#This Row],[NFI Core Kit]],Table_NFI[NFI Core Kit])</f>
        <v>0</v>
      </c>
      <c r="Y123" s="436">
        <f>IF(NFI_Expiration=1,IF($A123&lt;VLOOKUP(J$5,NFI,5,0),1,0)*Table_NFI[[#This Row],[Sanitary Kit]],Table_NFI[Sanitary Kit])</f>
        <v>0</v>
      </c>
      <c r="Z123" s="436">
        <f>IF(NFI_Expiration=1,IF($A123&lt;VLOOKUP(K$5,NFI,5,0),1,0)*Table_NFI[[#This Row],[Mosquito net]],Table_NFI[Mosquito net])</f>
        <v>0</v>
      </c>
      <c r="AA123" s="436">
        <f>IF(NFI_Expiration=1,IF($A123&lt;VLOOKUP(L$5,NFI,5,0),1,0)*Table_NFI[[#This Row],[Tarpaulin]],Table_NFI[[#This Row],[Tarpaulin]])</f>
        <v>0</v>
      </c>
      <c r="AB123" s="436">
        <f>IF(NFI_Expiration=1,IF($A123&lt;VLOOKUP(M$5,NFI,5,0),1,0)*Table_NFI[[#This Row],[Blanket]],Table_NFI[[#This Row],[Blanket]])</f>
        <v>0</v>
      </c>
      <c r="AC123" s="436">
        <f>IF(NFI_Expiration=1,IF($A123&lt;VLOOKUP(N$5,NFI,5,0),1,0)*Table_NFI[[#This Row],[Kitchen Set]],Table_NFI[Kitchen Set])</f>
        <v>0</v>
      </c>
      <c r="AD123" s="436">
        <f>IF(NFI_Expiration=1,IF($A123&lt;VLOOKUP(O$5,NFI,5,0),1,0)*Table_NFI[[#This Row],[Clothes Kit]],Table_NFI[Clothes Kit])</f>
        <v>0</v>
      </c>
      <c r="AE123" s="436">
        <f>IF(NFI_Expiration=1,IF($A123&lt;VLOOKUP(P$5,NFI,5,0),1,0)*Table_NFI[[#This Row],[Plastic Bucket]],Table_NFI[Plastic Bucket])</f>
        <v>0</v>
      </c>
      <c r="AF123" s="436">
        <f>IF(NFI_Expiration=1,IF($A123&lt;VLOOKUP(Q$5,NFI,5,0),1,0)*Table_NFI[[#This Row],[Plastic Mat]],Table_NFI[Plastic Mat])*IF(Table_NFI[[#This Row],[Distribution Date]]&gt;"2014-04-01",1,2.5)</f>
        <v>0</v>
      </c>
      <c r="AG123" s="436">
        <f>IF(NFI_Expiration=1,IF($A123&lt;VLOOKUP(R$5,NFI,5,0),1,0)*Table_NFI[[#This Row],[Winter Clothes Adult]],Table_NFI[Winter Clothes Adult])</f>
        <v>0</v>
      </c>
      <c r="AH123" s="436">
        <f>IF(NFI_Expiration=1,IF($A123&lt;VLOOKUP(S$5,NFI,5,0),1,0)*Table_NFI[[#This Row],[Winter Clothes Children]],Table_NFI[Winter Clothes Children])</f>
        <v>0</v>
      </c>
      <c r="AI123" s="436">
        <f>IF(NFI_Expiration=1,IF($A123&lt;VLOOKUP(T$5,NFI,5,0),1,0)*Table_NFI[[#This Row],[Winter Items Other]],Table_NFI[Winter Items Other])</f>
        <v>0</v>
      </c>
      <c r="AJ123" s="436">
        <f>IF(NFI_Expiration=1,IF($A123&lt;VLOOKUP(M$5,NFI,5,0),1,0)*Table_NFI[[#This Row],[Winter Blanket]],Table_NFI[[#This Row],[Winter Blanket]])</f>
        <v>0</v>
      </c>
      <c r="AK123" s="436">
        <f>IF(Table_NFI[[#This Row],[Winter Clothes Adult]]+Table_NFI[[#This Row],[Winter Clothes Children]]+Table_NFI[[#This Row],[Winter Items Other]]+Table_NFI[[#This Row],[Winter Blanket]]&gt;0,1,0)</f>
        <v>1</v>
      </c>
      <c r="AL123" s="439">
        <f>IF(NFI_Expiration=1,IF($A123&lt;VLOOKUP(V$5,NFI,5,0),1,0)*Table_NFI[[#This Row],[Jerry Can]],Table_NFI[Jerry Can])</f>
        <v>0</v>
      </c>
      <c r="AM123" s="781" t="str">
        <f>IFERROR(VLOOKUP(Table_NFI[[#This Row],[Camp Name]],CL,2,0),"")</f>
        <v>MMR001CMP069</v>
      </c>
      <c r="AN123" s="782">
        <f ca="1">IF(Table_NFI[[#This Row],[Pcode]]="","",IF(OFFSET(CampList[Opening Date],MATCH(Table_NFI[[#This Row],[Pcode]],CampList[CP_Pcode],0)-1,0,1,1)&gt;=NFI_Monitor_Date,1,0))</f>
        <v>0</v>
      </c>
      <c r="AO123" s="781" t="str">
        <f>IFERROR(VLOOKUP(Table_NFI[[#This Row],[Camp Name]],CL,3,0),"")</f>
        <v>Open</v>
      </c>
      <c r="AP123" s="436" t="str">
        <f ca="1">IF(Table_NFI[[#This Row],[Pcode]]="","",OFFSET(CampList[Priority],MATCH(Table_NFI[[#This Row],[Pcode]],CampList[CP_Pcode],0)-1,0,1,1))</f>
        <v>P3</v>
      </c>
      <c r="AQ123" s="438">
        <f>IFERROR(Table_NFI[[#This Row],[Kitchen Set]]/VLOOKUP(Table_NFI[[#This Row],[Camp Name]],CL,4,0),"")</f>
        <v>0</v>
      </c>
      <c r="AR123" s="779"/>
      <c r="AS123" s="783"/>
    </row>
    <row r="124" spans="1:45" s="136" customFormat="1" x14ac:dyDescent="0.25">
      <c r="A124" s="455">
        <f t="shared" si="1"/>
        <v>12.4</v>
      </c>
      <c r="B124" s="778">
        <v>41937</v>
      </c>
      <c r="C124" s="779" t="s">
        <v>1101</v>
      </c>
      <c r="D124" s="779" t="s">
        <v>907</v>
      </c>
      <c r="E124" s="779" t="s">
        <v>380</v>
      </c>
      <c r="F124" s="779" t="s">
        <v>185</v>
      </c>
      <c r="G124" s="779" t="s">
        <v>190</v>
      </c>
      <c r="H124" s="436"/>
      <c r="I124" s="436"/>
      <c r="J124" s="436"/>
      <c r="K124" s="436"/>
      <c r="L124" s="437"/>
      <c r="M124" s="437"/>
      <c r="N124" s="437"/>
      <c r="O124" s="437"/>
      <c r="P124" s="439"/>
      <c r="Q124" s="439"/>
      <c r="R124" s="436">
        <v>591</v>
      </c>
      <c r="S124" s="436">
        <v>347</v>
      </c>
      <c r="T124" s="436"/>
      <c r="U124" s="436">
        <v>311</v>
      </c>
      <c r="V124" s="436"/>
      <c r="W124" s="436">
        <f>IF(NFI_Expiration=1,IF($A124&lt;VLOOKUP(H$5,NFI,5,0),1,0)*Table_NFI[[#This Row],[Hygiene Kit]],Table_NFI[Hygiene Kit])</f>
        <v>0</v>
      </c>
      <c r="X124" s="436">
        <f>IF(NFI_Expiration=1,IF($A124&lt;VLOOKUP(I$5,NFI,5,0),1,0)*Table_NFI[[#This Row],[NFI Core Kit]],Table_NFI[NFI Core Kit])</f>
        <v>0</v>
      </c>
      <c r="Y124" s="436">
        <f>IF(NFI_Expiration=1,IF($A124&lt;VLOOKUP(J$5,NFI,5,0),1,0)*Table_NFI[[#This Row],[Sanitary Kit]],Table_NFI[Sanitary Kit])</f>
        <v>0</v>
      </c>
      <c r="Z124" s="436">
        <f>IF(NFI_Expiration=1,IF($A124&lt;VLOOKUP(K$5,NFI,5,0),1,0)*Table_NFI[[#This Row],[Mosquito net]],Table_NFI[Mosquito net])</f>
        <v>0</v>
      </c>
      <c r="AA124" s="436">
        <f>IF(NFI_Expiration=1,IF($A124&lt;VLOOKUP(L$5,NFI,5,0),1,0)*Table_NFI[[#This Row],[Tarpaulin]],Table_NFI[[#This Row],[Tarpaulin]])</f>
        <v>0</v>
      </c>
      <c r="AB124" s="436">
        <f>IF(NFI_Expiration=1,IF($A124&lt;VLOOKUP(M$5,NFI,5,0),1,0)*Table_NFI[[#This Row],[Blanket]],Table_NFI[[#This Row],[Blanket]])</f>
        <v>0</v>
      </c>
      <c r="AC124" s="436">
        <f>IF(NFI_Expiration=1,IF($A124&lt;VLOOKUP(N$5,NFI,5,0),1,0)*Table_NFI[[#This Row],[Kitchen Set]],Table_NFI[Kitchen Set])</f>
        <v>0</v>
      </c>
      <c r="AD124" s="436">
        <f>IF(NFI_Expiration=1,IF($A124&lt;VLOOKUP(O$5,NFI,5,0),1,0)*Table_NFI[[#This Row],[Clothes Kit]],Table_NFI[Clothes Kit])</f>
        <v>0</v>
      </c>
      <c r="AE124" s="436">
        <f>IF(NFI_Expiration=1,IF($A124&lt;VLOOKUP(P$5,NFI,5,0),1,0)*Table_NFI[[#This Row],[Plastic Bucket]],Table_NFI[Plastic Bucket])</f>
        <v>0</v>
      </c>
      <c r="AF124" s="436">
        <f>IF(NFI_Expiration=1,IF($A124&lt;VLOOKUP(Q$5,NFI,5,0),1,0)*Table_NFI[[#This Row],[Plastic Mat]],Table_NFI[Plastic Mat])*IF(Table_NFI[[#This Row],[Distribution Date]]&gt;"2014-04-01",1,2.5)</f>
        <v>0</v>
      </c>
      <c r="AG124" s="436">
        <f>IF(NFI_Expiration=1,IF($A124&lt;VLOOKUP(R$5,NFI,5,0),1,0)*Table_NFI[[#This Row],[Winter Clothes Adult]],Table_NFI[Winter Clothes Adult])</f>
        <v>0</v>
      </c>
      <c r="AH124" s="436">
        <f>IF(NFI_Expiration=1,IF($A124&lt;VLOOKUP(S$5,NFI,5,0),1,0)*Table_NFI[[#This Row],[Winter Clothes Children]],Table_NFI[Winter Clothes Children])</f>
        <v>0</v>
      </c>
      <c r="AI124" s="436">
        <f>IF(NFI_Expiration=1,IF($A124&lt;VLOOKUP(T$5,NFI,5,0),1,0)*Table_NFI[[#This Row],[Winter Items Other]],Table_NFI[Winter Items Other])</f>
        <v>0</v>
      </c>
      <c r="AJ124" s="436">
        <f>IF(NFI_Expiration=1,IF($A124&lt;VLOOKUP(M$5,NFI,5,0),1,0)*Table_NFI[[#This Row],[Winter Blanket]],Table_NFI[[#This Row],[Winter Blanket]])</f>
        <v>0</v>
      </c>
      <c r="AK124" s="436">
        <f>IF(Table_NFI[[#This Row],[Winter Clothes Adult]]+Table_NFI[[#This Row],[Winter Clothes Children]]+Table_NFI[[#This Row],[Winter Items Other]]+Table_NFI[[#This Row],[Winter Blanket]]&gt;0,1,0)</f>
        <v>1</v>
      </c>
      <c r="AL124" s="439">
        <f>IF(NFI_Expiration=1,IF($A124&lt;VLOOKUP(V$5,NFI,5,0),1,0)*Table_NFI[[#This Row],[Jerry Can]],Table_NFI[Jerry Can])</f>
        <v>0</v>
      </c>
      <c r="AM124" s="781" t="str">
        <f>IFERROR(VLOOKUP(Table_NFI[[#This Row],[Camp Name]],CL,2,0),"")</f>
        <v>MMR001CMP070</v>
      </c>
      <c r="AN124" s="782">
        <f ca="1">IF(Table_NFI[[#This Row],[Pcode]]="","",IF(OFFSET(CampList[Opening Date],MATCH(Table_NFI[[#This Row],[Pcode]],CampList[CP_Pcode],0)-1,0,1,1)&gt;=NFI_Monitor_Date,1,0))</f>
        <v>0</v>
      </c>
      <c r="AO124" s="781" t="str">
        <f>IFERROR(VLOOKUP(Table_NFI[[#This Row],[Camp Name]],CL,3,0),"")</f>
        <v>Open</v>
      </c>
      <c r="AP124" s="436" t="str">
        <f ca="1">IF(Table_NFI[[#This Row],[Pcode]]="","",OFFSET(CampList[Priority],MATCH(Table_NFI[[#This Row],[Pcode]],CampList[CP_Pcode],0)-1,0,1,1))</f>
        <v>P3</v>
      </c>
      <c r="AQ124" s="438">
        <f>IFERROR(Table_NFI[[#This Row],[Kitchen Set]]/VLOOKUP(Table_NFI[[#This Row],[Camp Name]],CL,4,0),"")</f>
        <v>0</v>
      </c>
      <c r="AR124" s="779"/>
      <c r="AS124" s="783"/>
    </row>
    <row r="125" spans="1:45" s="136" customFormat="1" x14ac:dyDescent="0.25">
      <c r="A125" s="455">
        <f t="shared" si="1"/>
        <v>12.833333333333334</v>
      </c>
      <c r="B125" s="778">
        <v>41924</v>
      </c>
      <c r="C125" s="779" t="s">
        <v>454</v>
      </c>
      <c r="D125" s="779"/>
      <c r="E125" s="779" t="s">
        <v>380</v>
      </c>
      <c r="F125" s="779" t="s">
        <v>185</v>
      </c>
      <c r="G125" s="779" t="s">
        <v>202</v>
      </c>
      <c r="H125" s="436"/>
      <c r="I125" s="436"/>
      <c r="J125" s="436"/>
      <c r="K125" s="436"/>
      <c r="L125" s="437">
        <v>25</v>
      </c>
      <c r="M125" s="437"/>
      <c r="N125" s="437"/>
      <c r="O125" s="437"/>
      <c r="P125" s="439"/>
      <c r="Q125" s="439"/>
      <c r="R125" s="436"/>
      <c r="S125" s="436"/>
      <c r="T125" s="436"/>
      <c r="U125" s="436"/>
      <c r="V125" s="436"/>
      <c r="W125" s="436">
        <f>IF(NFI_Expiration=1,IF($A125&lt;VLOOKUP(H$5,NFI,5,0),1,0)*Table_NFI[[#This Row],[Hygiene Kit]],Table_NFI[Hygiene Kit])</f>
        <v>0</v>
      </c>
      <c r="X125" s="436">
        <f>IF(NFI_Expiration=1,IF($A125&lt;VLOOKUP(I$5,NFI,5,0),1,0)*Table_NFI[[#This Row],[NFI Core Kit]],Table_NFI[NFI Core Kit])</f>
        <v>0</v>
      </c>
      <c r="Y125" s="436">
        <f>IF(NFI_Expiration=1,IF($A125&lt;VLOOKUP(J$5,NFI,5,0),1,0)*Table_NFI[[#This Row],[Sanitary Kit]],Table_NFI[Sanitary Kit])</f>
        <v>0</v>
      </c>
      <c r="Z125" s="436">
        <f>IF(NFI_Expiration=1,IF($A125&lt;VLOOKUP(K$5,NFI,5,0),1,0)*Table_NFI[[#This Row],[Mosquito net]],Table_NFI[Mosquito net])</f>
        <v>0</v>
      </c>
      <c r="AA125" s="436">
        <f>IF(NFI_Expiration=1,IF($A125&lt;VLOOKUP(L$5,NFI,5,0),1,0)*Table_NFI[[#This Row],[Tarpaulin]],Table_NFI[[#This Row],[Tarpaulin]])</f>
        <v>0</v>
      </c>
      <c r="AB125" s="436">
        <f>IF(NFI_Expiration=1,IF($A125&lt;VLOOKUP(M$5,NFI,5,0),1,0)*Table_NFI[[#This Row],[Blanket]],Table_NFI[[#This Row],[Blanket]])</f>
        <v>0</v>
      </c>
      <c r="AC125" s="436">
        <f>IF(NFI_Expiration=1,IF($A125&lt;VLOOKUP(N$5,NFI,5,0),1,0)*Table_NFI[[#This Row],[Kitchen Set]],Table_NFI[Kitchen Set])</f>
        <v>0</v>
      </c>
      <c r="AD125" s="436">
        <f>IF(NFI_Expiration=1,IF($A125&lt;VLOOKUP(O$5,NFI,5,0),1,0)*Table_NFI[[#This Row],[Clothes Kit]],Table_NFI[Clothes Kit])</f>
        <v>0</v>
      </c>
      <c r="AE125" s="436">
        <f>IF(NFI_Expiration=1,IF($A125&lt;VLOOKUP(P$5,NFI,5,0),1,0)*Table_NFI[[#This Row],[Plastic Bucket]],Table_NFI[Plastic Bucket])</f>
        <v>0</v>
      </c>
      <c r="AF125" s="436">
        <f>IF(NFI_Expiration=1,IF($A125&lt;VLOOKUP(Q$5,NFI,5,0),1,0)*Table_NFI[[#This Row],[Plastic Mat]],Table_NFI[Plastic Mat])*IF(Table_NFI[[#This Row],[Distribution Date]]&gt;"2014-04-01",1,2.5)</f>
        <v>0</v>
      </c>
      <c r="AG125" s="436">
        <f>IF(NFI_Expiration=1,IF($A125&lt;VLOOKUP(R$5,NFI,5,0),1,0)*Table_NFI[[#This Row],[Winter Clothes Adult]],Table_NFI[Winter Clothes Adult])</f>
        <v>0</v>
      </c>
      <c r="AH125" s="436">
        <f>IF(NFI_Expiration=1,IF($A125&lt;VLOOKUP(S$5,NFI,5,0),1,0)*Table_NFI[[#This Row],[Winter Clothes Children]],Table_NFI[Winter Clothes Children])</f>
        <v>0</v>
      </c>
      <c r="AI125" s="436">
        <f>IF(NFI_Expiration=1,IF($A125&lt;VLOOKUP(T$5,NFI,5,0),1,0)*Table_NFI[[#This Row],[Winter Items Other]],Table_NFI[Winter Items Other])</f>
        <v>0</v>
      </c>
      <c r="AJ125" s="436">
        <f>IF(NFI_Expiration=1,IF($A125&lt;VLOOKUP(M$5,NFI,5,0),1,0)*Table_NFI[[#This Row],[Winter Blanket]],Table_NFI[[#This Row],[Winter Blanket]])</f>
        <v>0</v>
      </c>
      <c r="AK125" s="436">
        <f>IF(Table_NFI[[#This Row],[Winter Clothes Adult]]+Table_NFI[[#This Row],[Winter Clothes Children]]+Table_NFI[[#This Row],[Winter Items Other]]+Table_NFI[[#This Row],[Winter Blanket]]&gt;0,1,0)</f>
        <v>0</v>
      </c>
      <c r="AL125" s="439">
        <f>IF(NFI_Expiration=1,IF($A125&lt;VLOOKUP(V$5,NFI,5,0),1,0)*Table_NFI[[#This Row],[Jerry Can]],Table_NFI[Jerry Can])</f>
        <v>0</v>
      </c>
      <c r="AM125" s="781" t="str">
        <f>IFERROR(VLOOKUP(Table_NFI[[#This Row],[Camp Name]],CL,2,0),"")</f>
        <v>MMR001CMP062</v>
      </c>
      <c r="AN125" s="782">
        <f ca="1">IF(Table_NFI[[#This Row],[Pcode]]="","",IF(OFFSET(CampList[Opening Date],MATCH(Table_NFI[[#This Row],[Pcode]],CampList[CP_Pcode],0)-1,0,1,1)&gt;=NFI_Monitor_Date,1,0))</f>
        <v>0</v>
      </c>
      <c r="AO125" s="781" t="str">
        <f>IFERROR(VLOOKUP(Table_NFI[[#This Row],[Camp Name]],CL,3,0),"")</f>
        <v>Open</v>
      </c>
      <c r="AP125" s="436" t="str">
        <f ca="1">IF(Table_NFI[[#This Row],[Pcode]]="","",OFFSET(CampList[Priority],MATCH(Table_NFI[[#This Row],[Pcode]],CampList[CP_Pcode],0)-1,0,1,1))</f>
        <v>P4</v>
      </c>
      <c r="AQ125" s="438">
        <f>IFERROR(Table_NFI[[#This Row],[Kitchen Set]]/VLOOKUP(Table_NFI[[#This Row],[Camp Name]],CL,4,0),"")</f>
        <v>0</v>
      </c>
      <c r="AR125" s="779"/>
      <c r="AS125" s="783"/>
    </row>
    <row r="126" spans="1:45" s="136" customFormat="1" x14ac:dyDescent="0.25">
      <c r="A126" s="455">
        <f t="shared" si="1"/>
        <v>12.9</v>
      </c>
      <c r="B126" s="778">
        <v>41922</v>
      </c>
      <c r="C126" s="779" t="s">
        <v>454</v>
      </c>
      <c r="D126" s="779"/>
      <c r="E126" s="779" t="s">
        <v>380</v>
      </c>
      <c r="F126" s="779" t="s">
        <v>185</v>
      </c>
      <c r="G126" s="779" t="s">
        <v>186</v>
      </c>
      <c r="H126" s="436"/>
      <c r="I126" s="436"/>
      <c r="J126" s="436"/>
      <c r="K126" s="436"/>
      <c r="L126" s="437">
        <v>60</v>
      </c>
      <c r="M126" s="437"/>
      <c r="N126" s="437"/>
      <c r="O126" s="437"/>
      <c r="P126" s="439"/>
      <c r="Q126" s="439"/>
      <c r="R126" s="436"/>
      <c r="S126" s="436"/>
      <c r="T126" s="436"/>
      <c r="U126" s="436"/>
      <c r="V126" s="436"/>
      <c r="W126" s="436">
        <f>IF(NFI_Expiration=1,IF($A126&lt;VLOOKUP(H$5,NFI,5,0),1,0)*Table_NFI[[#This Row],[Hygiene Kit]],Table_NFI[Hygiene Kit])</f>
        <v>0</v>
      </c>
      <c r="X126" s="436">
        <f>IF(NFI_Expiration=1,IF($A126&lt;VLOOKUP(I$5,NFI,5,0),1,0)*Table_NFI[[#This Row],[NFI Core Kit]],Table_NFI[NFI Core Kit])</f>
        <v>0</v>
      </c>
      <c r="Y126" s="436">
        <f>IF(NFI_Expiration=1,IF($A126&lt;VLOOKUP(J$5,NFI,5,0),1,0)*Table_NFI[[#This Row],[Sanitary Kit]],Table_NFI[Sanitary Kit])</f>
        <v>0</v>
      </c>
      <c r="Z126" s="436">
        <f>IF(NFI_Expiration=1,IF($A126&lt;VLOOKUP(K$5,NFI,5,0),1,0)*Table_NFI[[#This Row],[Mosquito net]],Table_NFI[Mosquito net])</f>
        <v>0</v>
      </c>
      <c r="AA126" s="436">
        <f>IF(NFI_Expiration=1,IF($A126&lt;VLOOKUP(L$5,NFI,5,0),1,0)*Table_NFI[[#This Row],[Tarpaulin]],Table_NFI[[#This Row],[Tarpaulin]])</f>
        <v>0</v>
      </c>
      <c r="AB126" s="436">
        <f>IF(NFI_Expiration=1,IF($A126&lt;VLOOKUP(M$5,NFI,5,0),1,0)*Table_NFI[[#This Row],[Blanket]],Table_NFI[[#This Row],[Blanket]])</f>
        <v>0</v>
      </c>
      <c r="AC126" s="436">
        <f>IF(NFI_Expiration=1,IF($A126&lt;VLOOKUP(N$5,NFI,5,0),1,0)*Table_NFI[[#This Row],[Kitchen Set]],Table_NFI[Kitchen Set])</f>
        <v>0</v>
      </c>
      <c r="AD126" s="436">
        <f>IF(NFI_Expiration=1,IF($A126&lt;VLOOKUP(O$5,NFI,5,0),1,0)*Table_NFI[[#This Row],[Clothes Kit]],Table_NFI[Clothes Kit])</f>
        <v>0</v>
      </c>
      <c r="AE126" s="436">
        <f>IF(NFI_Expiration=1,IF($A126&lt;VLOOKUP(P$5,NFI,5,0),1,0)*Table_NFI[[#This Row],[Plastic Bucket]],Table_NFI[Plastic Bucket])</f>
        <v>0</v>
      </c>
      <c r="AF126" s="436">
        <f>IF(NFI_Expiration=1,IF($A126&lt;VLOOKUP(Q$5,NFI,5,0),1,0)*Table_NFI[[#This Row],[Plastic Mat]],Table_NFI[Plastic Mat])*IF(Table_NFI[[#This Row],[Distribution Date]]&gt;"2014-04-01",1,2.5)</f>
        <v>0</v>
      </c>
      <c r="AG126" s="436">
        <f>IF(NFI_Expiration=1,IF($A126&lt;VLOOKUP(R$5,NFI,5,0),1,0)*Table_NFI[[#This Row],[Winter Clothes Adult]],Table_NFI[Winter Clothes Adult])</f>
        <v>0</v>
      </c>
      <c r="AH126" s="436">
        <f>IF(NFI_Expiration=1,IF($A126&lt;VLOOKUP(S$5,NFI,5,0),1,0)*Table_NFI[[#This Row],[Winter Clothes Children]],Table_NFI[Winter Clothes Children])</f>
        <v>0</v>
      </c>
      <c r="AI126" s="436">
        <f>IF(NFI_Expiration=1,IF($A126&lt;VLOOKUP(T$5,NFI,5,0),1,0)*Table_NFI[[#This Row],[Winter Items Other]],Table_NFI[Winter Items Other])</f>
        <v>0</v>
      </c>
      <c r="AJ126" s="436">
        <f>IF(NFI_Expiration=1,IF($A126&lt;VLOOKUP(M$5,NFI,5,0),1,0)*Table_NFI[[#This Row],[Winter Blanket]],Table_NFI[[#This Row],[Winter Blanket]])</f>
        <v>0</v>
      </c>
      <c r="AK126" s="436">
        <f>IF(Table_NFI[[#This Row],[Winter Clothes Adult]]+Table_NFI[[#This Row],[Winter Clothes Children]]+Table_NFI[[#This Row],[Winter Items Other]]+Table_NFI[[#This Row],[Winter Blanket]]&gt;0,1,0)</f>
        <v>0</v>
      </c>
      <c r="AL126" s="439">
        <f>IF(NFI_Expiration=1,IF($A126&lt;VLOOKUP(V$5,NFI,5,0),1,0)*Table_NFI[[#This Row],[Jerry Can]],Table_NFI[Jerry Can])</f>
        <v>0</v>
      </c>
      <c r="AM126" s="781" t="str">
        <f>IFERROR(VLOOKUP(Table_NFI[[#This Row],[Camp Name]],CL,2,0),"")</f>
        <v>MMR001CMP071</v>
      </c>
      <c r="AN126" s="782">
        <f ca="1">IF(Table_NFI[[#This Row],[Pcode]]="","",IF(OFFSET(CampList[Opening Date],MATCH(Table_NFI[[#This Row],[Pcode]],CampList[CP_Pcode],0)-1,0,1,1)&gt;=NFI_Monitor_Date,1,0))</f>
        <v>0</v>
      </c>
      <c r="AO126" s="781" t="str">
        <f>IFERROR(VLOOKUP(Table_NFI[[#This Row],[Camp Name]],CL,3,0),"")</f>
        <v>Open</v>
      </c>
      <c r="AP126" s="436" t="str">
        <f ca="1">IF(Table_NFI[[#This Row],[Pcode]]="","",OFFSET(CampList[Priority],MATCH(Table_NFI[[#This Row],[Pcode]],CampList[CP_Pcode],0)-1,0,1,1))</f>
        <v>P3</v>
      </c>
      <c r="AQ126" s="438">
        <f>IFERROR(Table_NFI[[#This Row],[Kitchen Set]]/VLOOKUP(Table_NFI[[#This Row],[Camp Name]],CL,4,0),"")</f>
        <v>0</v>
      </c>
      <c r="AR126" s="779"/>
      <c r="AS126" s="783"/>
    </row>
    <row r="127" spans="1:45" s="136" customFormat="1" x14ac:dyDescent="0.25">
      <c r="A127" s="455">
        <f t="shared" si="1"/>
        <v>12.9</v>
      </c>
      <c r="B127" s="778">
        <v>41922</v>
      </c>
      <c r="C127" s="779" t="s">
        <v>454</v>
      </c>
      <c r="D127" s="779"/>
      <c r="E127" s="779" t="s">
        <v>380</v>
      </c>
      <c r="F127" s="779" t="s">
        <v>185</v>
      </c>
      <c r="G127" s="779" t="s">
        <v>190</v>
      </c>
      <c r="H127" s="436"/>
      <c r="I127" s="436"/>
      <c r="J127" s="436"/>
      <c r="K127" s="436"/>
      <c r="L127" s="437">
        <v>30</v>
      </c>
      <c r="M127" s="437"/>
      <c r="N127" s="437"/>
      <c r="O127" s="437"/>
      <c r="P127" s="439"/>
      <c r="Q127" s="439"/>
      <c r="R127" s="436"/>
      <c r="S127" s="436"/>
      <c r="T127" s="436"/>
      <c r="U127" s="436"/>
      <c r="V127" s="436"/>
      <c r="W127" s="436">
        <f>IF(NFI_Expiration=1,IF($A127&lt;VLOOKUP(H$5,NFI,5,0),1,0)*Table_NFI[[#This Row],[Hygiene Kit]],Table_NFI[Hygiene Kit])</f>
        <v>0</v>
      </c>
      <c r="X127" s="436">
        <f>IF(NFI_Expiration=1,IF($A127&lt;VLOOKUP(I$5,NFI,5,0),1,0)*Table_NFI[[#This Row],[NFI Core Kit]],Table_NFI[NFI Core Kit])</f>
        <v>0</v>
      </c>
      <c r="Y127" s="436">
        <f>IF(NFI_Expiration=1,IF($A127&lt;VLOOKUP(J$5,NFI,5,0),1,0)*Table_NFI[[#This Row],[Sanitary Kit]],Table_NFI[Sanitary Kit])</f>
        <v>0</v>
      </c>
      <c r="Z127" s="436">
        <f>IF(NFI_Expiration=1,IF($A127&lt;VLOOKUP(K$5,NFI,5,0),1,0)*Table_NFI[[#This Row],[Mosquito net]],Table_NFI[Mosquito net])</f>
        <v>0</v>
      </c>
      <c r="AA127" s="436">
        <f>IF(NFI_Expiration=1,IF($A127&lt;VLOOKUP(L$5,NFI,5,0),1,0)*Table_NFI[[#This Row],[Tarpaulin]],Table_NFI[[#This Row],[Tarpaulin]])</f>
        <v>0</v>
      </c>
      <c r="AB127" s="436">
        <f>IF(NFI_Expiration=1,IF($A127&lt;VLOOKUP(M$5,NFI,5,0),1,0)*Table_NFI[[#This Row],[Blanket]],Table_NFI[[#This Row],[Blanket]])</f>
        <v>0</v>
      </c>
      <c r="AC127" s="436">
        <f>IF(NFI_Expiration=1,IF($A127&lt;VLOOKUP(N$5,NFI,5,0),1,0)*Table_NFI[[#This Row],[Kitchen Set]],Table_NFI[Kitchen Set])</f>
        <v>0</v>
      </c>
      <c r="AD127" s="436">
        <f>IF(NFI_Expiration=1,IF($A127&lt;VLOOKUP(O$5,NFI,5,0),1,0)*Table_NFI[[#This Row],[Clothes Kit]],Table_NFI[Clothes Kit])</f>
        <v>0</v>
      </c>
      <c r="AE127" s="436">
        <f>IF(NFI_Expiration=1,IF($A127&lt;VLOOKUP(P$5,NFI,5,0),1,0)*Table_NFI[[#This Row],[Plastic Bucket]],Table_NFI[Plastic Bucket])</f>
        <v>0</v>
      </c>
      <c r="AF127" s="436">
        <f>IF(NFI_Expiration=1,IF($A127&lt;VLOOKUP(Q$5,NFI,5,0),1,0)*Table_NFI[[#This Row],[Plastic Mat]],Table_NFI[Plastic Mat])*IF(Table_NFI[[#This Row],[Distribution Date]]&gt;"2014-04-01",1,2.5)</f>
        <v>0</v>
      </c>
      <c r="AG127" s="436">
        <f>IF(NFI_Expiration=1,IF($A127&lt;VLOOKUP(R$5,NFI,5,0),1,0)*Table_NFI[[#This Row],[Winter Clothes Adult]],Table_NFI[Winter Clothes Adult])</f>
        <v>0</v>
      </c>
      <c r="AH127" s="436">
        <f>IF(NFI_Expiration=1,IF($A127&lt;VLOOKUP(S$5,NFI,5,0),1,0)*Table_NFI[[#This Row],[Winter Clothes Children]],Table_NFI[Winter Clothes Children])</f>
        <v>0</v>
      </c>
      <c r="AI127" s="436">
        <f>IF(NFI_Expiration=1,IF($A127&lt;VLOOKUP(T$5,NFI,5,0),1,0)*Table_NFI[[#This Row],[Winter Items Other]],Table_NFI[Winter Items Other])</f>
        <v>0</v>
      </c>
      <c r="AJ127" s="436">
        <f>IF(NFI_Expiration=1,IF($A127&lt;VLOOKUP(M$5,NFI,5,0),1,0)*Table_NFI[[#This Row],[Winter Blanket]],Table_NFI[[#This Row],[Winter Blanket]])</f>
        <v>0</v>
      </c>
      <c r="AK127" s="436">
        <f>IF(Table_NFI[[#This Row],[Winter Clothes Adult]]+Table_NFI[[#This Row],[Winter Clothes Children]]+Table_NFI[[#This Row],[Winter Items Other]]+Table_NFI[[#This Row],[Winter Blanket]]&gt;0,1,0)</f>
        <v>0</v>
      </c>
      <c r="AL127" s="439">
        <f>IF(NFI_Expiration=1,IF($A127&lt;VLOOKUP(V$5,NFI,5,0),1,0)*Table_NFI[[#This Row],[Jerry Can]],Table_NFI[Jerry Can])</f>
        <v>0</v>
      </c>
      <c r="AM127" s="781" t="str">
        <f>IFERROR(VLOOKUP(Table_NFI[[#This Row],[Camp Name]],CL,2,0),"")</f>
        <v>MMR001CMP070</v>
      </c>
      <c r="AN127" s="782">
        <f ca="1">IF(Table_NFI[[#This Row],[Pcode]]="","",IF(OFFSET(CampList[Opening Date],MATCH(Table_NFI[[#This Row],[Pcode]],CampList[CP_Pcode],0)-1,0,1,1)&gt;=NFI_Monitor_Date,1,0))</f>
        <v>0</v>
      </c>
      <c r="AO127" s="781" t="str">
        <f>IFERROR(VLOOKUP(Table_NFI[[#This Row],[Camp Name]],CL,3,0),"")</f>
        <v>Open</v>
      </c>
      <c r="AP127" s="436" t="str">
        <f ca="1">IF(Table_NFI[[#This Row],[Pcode]]="","",OFFSET(CampList[Priority],MATCH(Table_NFI[[#This Row],[Pcode]],CampList[CP_Pcode],0)-1,0,1,1))</f>
        <v>P3</v>
      </c>
      <c r="AQ127" s="438">
        <f>IFERROR(Table_NFI[[#This Row],[Kitchen Set]]/VLOOKUP(Table_NFI[[#This Row],[Camp Name]],CL,4,0),"")</f>
        <v>0</v>
      </c>
      <c r="AR127" s="779"/>
      <c r="AS127" s="783"/>
    </row>
    <row r="128" spans="1:45" s="784" customFormat="1" x14ac:dyDescent="0.25">
      <c r="A128" s="455">
        <f t="shared" si="1"/>
        <v>12.9</v>
      </c>
      <c r="B128" s="778">
        <v>41922</v>
      </c>
      <c r="C128" s="779" t="s">
        <v>454</v>
      </c>
      <c r="D128" s="779"/>
      <c r="E128" s="779" t="s">
        <v>380</v>
      </c>
      <c r="F128" s="779" t="s">
        <v>185</v>
      </c>
      <c r="G128" s="779" t="s">
        <v>229</v>
      </c>
      <c r="H128" s="436"/>
      <c r="I128" s="436"/>
      <c r="J128" s="436"/>
      <c r="K128" s="436"/>
      <c r="L128" s="437">
        <v>60</v>
      </c>
      <c r="M128" s="437"/>
      <c r="N128" s="437"/>
      <c r="O128" s="437"/>
      <c r="P128" s="439"/>
      <c r="Q128" s="439"/>
      <c r="R128" s="436"/>
      <c r="S128" s="436"/>
      <c r="T128" s="436"/>
      <c r="U128" s="436"/>
      <c r="V128" s="436"/>
      <c r="W128" s="436">
        <f>IF(NFI_Expiration=1,IF($A128&lt;VLOOKUP(H$5,NFI,5,0),1,0)*Table_NFI[[#This Row],[Hygiene Kit]],Table_NFI[Hygiene Kit])</f>
        <v>0</v>
      </c>
      <c r="X128" s="436">
        <f>IF(NFI_Expiration=1,IF($A128&lt;VLOOKUP(I$5,NFI,5,0),1,0)*Table_NFI[[#This Row],[NFI Core Kit]],Table_NFI[NFI Core Kit])</f>
        <v>0</v>
      </c>
      <c r="Y128" s="436">
        <f>IF(NFI_Expiration=1,IF($A128&lt;VLOOKUP(J$5,NFI,5,0),1,0)*Table_NFI[[#This Row],[Sanitary Kit]],Table_NFI[Sanitary Kit])</f>
        <v>0</v>
      </c>
      <c r="Z128" s="436">
        <f>IF(NFI_Expiration=1,IF($A128&lt;VLOOKUP(K$5,NFI,5,0),1,0)*Table_NFI[[#This Row],[Mosquito net]],Table_NFI[Mosquito net])</f>
        <v>0</v>
      </c>
      <c r="AA128" s="436">
        <f>IF(NFI_Expiration=1,IF($A128&lt;VLOOKUP(L$5,NFI,5,0),1,0)*Table_NFI[[#This Row],[Tarpaulin]],Table_NFI[[#This Row],[Tarpaulin]])</f>
        <v>0</v>
      </c>
      <c r="AB128" s="436">
        <f>IF(NFI_Expiration=1,IF($A128&lt;VLOOKUP(M$5,NFI,5,0),1,0)*Table_NFI[[#This Row],[Blanket]],Table_NFI[[#This Row],[Blanket]])</f>
        <v>0</v>
      </c>
      <c r="AC128" s="436">
        <f>IF(NFI_Expiration=1,IF($A128&lt;VLOOKUP(N$5,NFI,5,0),1,0)*Table_NFI[[#This Row],[Kitchen Set]],Table_NFI[Kitchen Set])</f>
        <v>0</v>
      </c>
      <c r="AD128" s="436">
        <f>IF(NFI_Expiration=1,IF($A128&lt;VLOOKUP(O$5,NFI,5,0),1,0)*Table_NFI[[#This Row],[Clothes Kit]],Table_NFI[Clothes Kit])</f>
        <v>0</v>
      </c>
      <c r="AE128" s="436">
        <f>IF(NFI_Expiration=1,IF($A128&lt;VLOOKUP(P$5,NFI,5,0),1,0)*Table_NFI[[#This Row],[Plastic Bucket]],Table_NFI[Plastic Bucket])</f>
        <v>0</v>
      </c>
      <c r="AF128" s="436">
        <f>IF(NFI_Expiration=1,IF($A128&lt;VLOOKUP(Q$5,NFI,5,0),1,0)*Table_NFI[[#This Row],[Plastic Mat]],Table_NFI[Plastic Mat])*IF(Table_NFI[[#This Row],[Distribution Date]]&gt;"2014-04-01",1,2.5)</f>
        <v>0</v>
      </c>
      <c r="AG128" s="436">
        <f>IF(NFI_Expiration=1,IF($A128&lt;VLOOKUP(R$5,NFI,5,0),1,0)*Table_NFI[[#This Row],[Winter Clothes Adult]],Table_NFI[Winter Clothes Adult])</f>
        <v>0</v>
      </c>
      <c r="AH128" s="436">
        <f>IF(NFI_Expiration=1,IF($A128&lt;VLOOKUP(S$5,NFI,5,0),1,0)*Table_NFI[[#This Row],[Winter Clothes Children]],Table_NFI[Winter Clothes Children])</f>
        <v>0</v>
      </c>
      <c r="AI128" s="436">
        <f>IF(NFI_Expiration=1,IF($A128&lt;VLOOKUP(T$5,NFI,5,0),1,0)*Table_NFI[[#This Row],[Winter Items Other]],Table_NFI[Winter Items Other])</f>
        <v>0</v>
      </c>
      <c r="AJ128" s="436">
        <f>IF(NFI_Expiration=1,IF($A128&lt;VLOOKUP(M$5,NFI,5,0),1,0)*Table_NFI[[#This Row],[Winter Blanket]],Table_NFI[[#This Row],[Winter Blanket]])</f>
        <v>0</v>
      </c>
      <c r="AK128" s="436">
        <f>IF(Table_NFI[[#This Row],[Winter Clothes Adult]]+Table_NFI[[#This Row],[Winter Clothes Children]]+Table_NFI[[#This Row],[Winter Items Other]]+Table_NFI[[#This Row],[Winter Blanket]]&gt;0,1,0)</f>
        <v>0</v>
      </c>
      <c r="AL128" s="439">
        <f>IF(NFI_Expiration=1,IF($A128&lt;VLOOKUP(V$5,NFI,5,0),1,0)*Table_NFI[[#This Row],[Jerry Can]],Table_NFI[Jerry Can])</f>
        <v>0</v>
      </c>
      <c r="AM128" s="781" t="str">
        <f>IFERROR(VLOOKUP(Table_NFI[[#This Row],[Camp Name]],CL,2,0),"")</f>
        <v>MMR001CMP072</v>
      </c>
      <c r="AN128" s="782">
        <f ca="1">IF(Table_NFI[[#This Row],[Pcode]]="","",IF(OFFSET(CampList[Opening Date],MATCH(Table_NFI[[#This Row],[Pcode]],CampList[CP_Pcode],0)-1,0,1,1)&gt;=NFI_Monitor_Date,1,0))</f>
        <v>0</v>
      </c>
      <c r="AO128" s="781" t="str">
        <f>IFERROR(VLOOKUP(Table_NFI[[#This Row],[Camp Name]],CL,3,0),"")</f>
        <v>Open</v>
      </c>
      <c r="AP128" s="436" t="str">
        <f ca="1">IF(Table_NFI[[#This Row],[Pcode]]="","",OFFSET(CampList[Priority],MATCH(Table_NFI[[#This Row],[Pcode]],CampList[CP_Pcode],0)-1,0,1,1))</f>
        <v>P3</v>
      </c>
      <c r="AQ128" s="438">
        <f>IFERROR(Table_NFI[[#This Row],[Kitchen Set]]/VLOOKUP(Table_NFI[[#This Row],[Camp Name]],CL,4,0),"")</f>
        <v>0</v>
      </c>
      <c r="AR128" s="779"/>
      <c r="AS128" s="783"/>
    </row>
    <row r="129" spans="1:45" s="136" customFormat="1" x14ac:dyDescent="0.25">
      <c r="A129" s="455">
        <f t="shared" si="1"/>
        <v>13.2</v>
      </c>
      <c r="B129" s="778">
        <v>41913</v>
      </c>
      <c r="C129" s="779" t="s">
        <v>454</v>
      </c>
      <c r="D129" s="789" t="s">
        <v>508</v>
      </c>
      <c r="E129" s="789" t="s">
        <v>380</v>
      </c>
      <c r="F129" s="789" t="s">
        <v>529</v>
      </c>
      <c r="G129" s="789" t="s">
        <v>120</v>
      </c>
      <c r="H129" s="437"/>
      <c r="I129" s="437"/>
      <c r="J129" s="437"/>
      <c r="K129" s="437">
        <v>156</v>
      </c>
      <c r="L129" s="437"/>
      <c r="M129" s="437"/>
      <c r="N129" s="437"/>
      <c r="O129" s="437"/>
      <c r="P129" s="439"/>
      <c r="Q129" s="439"/>
      <c r="R129" s="439"/>
      <c r="S129" s="439"/>
      <c r="T129" s="439"/>
      <c r="U129" s="439"/>
      <c r="V129" s="439"/>
      <c r="W129" s="439">
        <f>IF(NFI_Expiration=1,IF($A129&lt;VLOOKUP(H$5,NFI,5,0),1,0)*Table_NFI[[#This Row],[Hygiene Kit]],Table_NFI[Hygiene Kit])</f>
        <v>0</v>
      </c>
      <c r="X129" s="439">
        <f>IF(NFI_Expiration=1,IF($A129&lt;VLOOKUP(I$5,NFI,5,0),1,0)*Table_NFI[[#This Row],[NFI Core Kit]],Table_NFI[NFI Core Kit])</f>
        <v>0</v>
      </c>
      <c r="Y129" s="439">
        <f>IF(NFI_Expiration=1,IF($A129&lt;VLOOKUP(J$5,NFI,5,0),1,0)*Table_NFI[[#This Row],[Sanitary Kit]],Table_NFI[Sanitary Kit])</f>
        <v>0</v>
      </c>
      <c r="Z129" s="439">
        <f>IF(NFI_Expiration=1,IF($A129&lt;VLOOKUP(K$5,NFI,5,0),1,0)*Table_NFI[[#This Row],[Mosquito net]],Table_NFI[Mosquito net])</f>
        <v>0</v>
      </c>
      <c r="AA129" s="439">
        <f>IF(NFI_Expiration=1,IF($A129&lt;VLOOKUP(L$5,NFI,5,0),1,0)*Table_NFI[[#This Row],[Tarpaulin]],Table_NFI[[#This Row],[Tarpaulin]])</f>
        <v>0</v>
      </c>
      <c r="AB129" s="439">
        <f>IF(NFI_Expiration=1,IF($A129&lt;VLOOKUP(M$5,NFI,5,0),1,0)*Table_NFI[[#This Row],[Blanket]],Table_NFI[[#This Row],[Blanket]])</f>
        <v>0</v>
      </c>
      <c r="AC129" s="439">
        <f>IF(NFI_Expiration=1,IF($A129&lt;VLOOKUP(N$5,NFI,5,0),1,0)*Table_NFI[[#This Row],[Kitchen Set]],Table_NFI[Kitchen Set])</f>
        <v>0</v>
      </c>
      <c r="AD129" s="439">
        <f>IF(NFI_Expiration=1,IF($A129&lt;VLOOKUP(O$5,NFI,5,0),1,0)*Table_NFI[[#This Row],[Clothes Kit]],Table_NFI[Clothes Kit])</f>
        <v>0</v>
      </c>
      <c r="AE129" s="439">
        <f>IF(NFI_Expiration=1,IF($A129&lt;VLOOKUP(P$5,NFI,5,0),1,0)*Table_NFI[[#This Row],[Plastic Bucket]],Table_NFI[Plastic Bucket])</f>
        <v>0</v>
      </c>
      <c r="AF129" s="439">
        <f>IF(NFI_Expiration=1,IF($A129&lt;VLOOKUP(Q$5,NFI,5,0),1,0)*Table_NFI[[#This Row],[Plastic Mat]],Table_NFI[Plastic Mat])*IF(Table_NFI[[#This Row],[Distribution Date]]&gt;"2014-04-01",1,2.5)</f>
        <v>0</v>
      </c>
      <c r="AG129" s="439">
        <f>IF(NFI_Expiration=1,IF($A129&lt;VLOOKUP(R$5,NFI,5,0),1,0)*Table_NFI[[#This Row],[Winter Clothes Adult]],Table_NFI[Winter Clothes Adult])</f>
        <v>0</v>
      </c>
      <c r="AH129" s="439">
        <f>IF(NFI_Expiration=1,IF($A129&lt;VLOOKUP(S$5,NFI,5,0),1,0)*Table_NFI[[#This Row],[Winter Clothes Children]],Table_NFI[Winter Clothes Children])</f>
        <v>0</v>
      </c>
      <c r="AI129" s="439">
        <f>IF(NFI_Expiration=1,IF($A129&lt;VLOOKUP(T$5,NFI,5,0),1,0)*Table_NFI[[#This Row],[Winter Items Other]],Table_NFI[Winter Items Other])</f>
        <v>0</v>
      </c>
      <c r="AJ129" s="439">
        <f>IF(NFI_Expiration=1,IF($A129&lt;VLOOKUP(M$5,NFI,5,0),1,0)*Table_NFI[[#This Row],[Winter Blanket]],Table_NFI[[#This Row],[Winter Blanket]])</f>
        <v>0</v>
      </c>
      <c r="AK129" s="439">
        <f>IF(Table_NFI[[#This Row],[Winter Clothes Adult]]+Table_NFI[[#This Row],[Winter Clothes Children]]+Table_NFI[[#This Row],[Winter Items Other]]+Table_NFI[[#This Row],[Winter Blanket]]&gt;0,1,0)</f>
        <v>0</v>
      </c>
      <c r="AL129" s="439">
        <f>IF(NFI_Expiration=1,IF($A129&lt;VLOOKUP(V$5,NFI,5,0),1,0)*Table_NFI[[#This Row],[Jerry Can]],Table_NFI[Jerry Can])</f>
        <v>0</v>
      </c>
      <c r="AM129" s="791" t="str">
        <f>IFERROR(VLOOKUP(Table_NFI[[#This Row],[Camp Name]],CL,2,0),"")</f>
        <v>MMR001CMP168</v>
      </c>
      <c r="AN129" s="782">
        <f ca="1">IF(Table_NFI[[#This Row],[Pcode]]="","",IF(OFFSET(CampList[Opening Date],MATCH(Table_NFI[[#This Row],[Pcode]],CampList[CP_Pcode],0)-1,0,1,1)&gt;=NFI_Monitor_Date,1,0))</f>
        <v>0</v>
      </c>
      <c r="AO129" s="791" t="str">
        <f>IFERROR(VLOOKUP(Table_NFI[[#This Row],[Camp Name]],CL,3,0),"")</f>
        <v>Open</v>
      </c>
      <c r="AP129" s="439" t="str">
        <f ca="1">IF(Table_NFI[[#This Row],[Pcode]]="","",OFFSET(CampList[Priority],MATCH(Table_NFI[[#This Row],[Pcode]],CampList[CP_Pcode],0)-1,0,1,1))</f>
        <v>P4</v>
      </c>
      <c r="AQ129" s="438">
        <f>IFERROR(Table_NFI[[#This Row],[Kitchen Set]]/VLOOKUP(Table_NFI[[#This Row],[Camp Name]],CL,4,0),"")</f>
        <v>0</v>
      </c>
      <c r="AR129" s="789"/>
      <c r="AS129" s="792"/>
    </row>
    <row r="130" spans="1:45" s="136" customFormat="1" x14ac:dyDescent="0.25">
      <c r="A130" s="455">
        <f t="shared" si="1"/>
        <v>13.2</v>
      </c>
      <c r="B130" s="778">
        <v>41913</v>
      </c>
      <c r="C130" s="779" t="s">
        <v>454</v>
      </c>
      <c r="D130" s="789" t="s">
        <v>507</v>
      </c>
      <c r="E130" s="789" t="s">
        <v>380</v>
      </c>
      <c r="F130" s="789" t="s">
        <v>529</v>
      </c>
      <c r="G130" s="789" t="s">
        <v>41</v>
      </c>
      <c r="H130" s="437"/>
      <c r="I130" s="437"/>
      <c r="J130" s="437"/>
      <c r="K130" s="437">
        <v>130</v>
      </c>
      <c r="L130" s="437"/>
      <c r="M130" s="437"/>
      <c r="N130" s="437"/>
      <c r="O130" s="437"/>
      <c r="P130" s="439"/>
      <c r="Q130" s="439"/>
      <c r="R130" s="439"/>
      <c r="S130" s="439"/>
      <c r="T130" s="439"/>
      <c r="U130" s="439"/>
      <c r="V130" s="439"/>
      <c r="W130" s="439">
        <f>IF(NFI_Expiration=1,IF($A130&lt;VLOOKUP(H$5,NFI,5,0),1,0)*Table_NFI[[#This Row],[Hygiene Kit]],Table_NFI[Hygiene Kit])</f>
        <v>0</v>
      </c>
      <c r="X130" s="439">
        <f>IF(NFI_Expiration=1,IF($A130&lt;VLOOKUP(I$5,NFI,5,0),1,0)*Table_NFI[[#This Row],[NFI Core Kit]],Table_NFI[NFI Core Kit])</f>
        <v>0</v>
      </c>
      <c r="Y130" s="439">
        <f>IF(NFI_Expiration=1,IF($A130&lt;VLOOKUP(J$5,NFI,5,0),1,0)*Table_NFI[[#This Row],[Sanitary Kit]],Table_NFI[Sanitary Kit])</f>
        <v>0</v>
      </c>
      <c r="Z130" s="439">
        <f>IF(NFI_Expiration=1,IF($A130&lt;VLOOKUP(K$5,NFI,5,0),1,0)*Table_NFI[[#This Row],[Mosquito net]],Table_NFI[Mosquito net])</f>
        <v>0</v>
      </c>
      <c r="AA130" s="439">
        <f>IF(NFI_Expiration=1,IF($A130&lt;VLOOKUP(L$5,NFI,5,0),1,0)*Table_NFI[[#This Row],[Tarpaulin]],Table_NFI[[#This Row],[Tarpaulin]])</f>
        <v>0</v>
      </c>
      <c r="AB130" s="439">
        <f>IF(NFI_Expiration=1,IF($A130&lt;VLOOKUP(M$5,NFI,5,0),1,0)*Table_NFI[[#This Row],[Blanket]],Table_NFI[[#This Row],[Blanket]])</f>
        <v>0</v>
      </c>
      <c r="AC130" s="439">
        <f>IF(NFI_Expiration=1,IF($A130&lt;VLOOKUP(N$5,NFI,5,0),1,0)*Table_NFI[[#This Row],[Kitchen Set]],Table_NFI[Kitchen Set])</f>
        <v>0</v>
      </c>
      <c r="AD130" s="439">
        <f>IF(NFI_Expiration=1,IF($A130&lt;VLOOKUP(O$5,NFI,5,0),1,0)*Table_NFI[[#This Row],[Clothes Kit]],Table_NFI[Clothes Kit])</f>
        <v>0</v>
      </c>
      <c r="AE130" s="439">
        <f>IF(NFI_Expiration=1,IF($A130&lt;VLOOKUP(P$5,NFI,5,0),1,0)*Table_NFI[[#This Row],[Plastic Bucket]],Table_NFI[Plastic Bucket])</f>
        <v>0</v>
      </c>
      <c r="AF130" s="439">
        <f>IF(NFI_Expiration=1,IF($A130&lt;VLOOKUP(Q$5,NFI,5,0),1,0)*Table_NFI[[#This Row],[Plastic Mat]],Table_NFI[Plastic Mat])*IF(Table_NFI[[#This Row],[Distribution Date]]&gt;"2014-04-01",1,2.5)</f>
        <v>0</v>
      </c>
      <c r="AG130" s="439">
        <f>IF(NFI_Expiration=1,IF($A130&lt;VLOOKUP(R$5,NFI,5,0),1,0)*Table_NFI[[#This Row],[Winter Clothes Adult]],Table_NFI[Winter Clothes Adult])</f>
        <v>0</v>
      </c>
      <c r="AH130" s="439">
        <f>IF(NFI_Expiration=1,IF($A130&lt;VLOOKUP(S$5,NFI,5,0),1,0)*Table_NFI[[#This Row],[Winter Clothes Children]],Table_NFI[Winter Clothes Children])</f>
        <v>0</v>
      </c>
      <c r="AI130" s="439">
        <f>IF(NFI_Expiration=1,IF($A130&lt;VLOOKUP(T$5,NFI,5,0),1,0)*Table_NFI[[#This Row],[Winter Items Other]],Table_NFI[Winter Items Other])</f>
        <v>0</v>
      </c>
      <c r="AJ130" s="439">
        <f>IF(NFI_Expiration=1,IF($A130&lt;VLOOKUP(M$5,NFI,5,0),1,0)*Table_NFI[[#This Row],[Winter Blanket]],Table_NFI[[#This Row],[Winter Blanket]])</f>
        <v>0</v>
      </c>
      <c r="AK130" s="439">
        <f>IF(Table_NFI[[#This Row],[Winter Clothes Adult]]+Table_NFI[[#This Row],[Winter Clothes Children]]+Table_NFI[[#This Row],[Winter Items Other]]+Table_NFI[[#This Row],[Winter Blanket]]&gt;0,1,0)</f>
        <v>0</v>
      </c>
      <c r="AL130" s="439">
        <f>IF(NFI_Expiration=1,IF($A130&lt;VLOOKUP(V$5,NFI,5,0),1,0)*Table_NFI[[#This Row],[Jerry Can]],Table_NFI[Jerry Can])</f>
        <v>0</v>
      </c>
      <c r="AM130" s="791" t="str">
        <f>IFERROR(VLOOKUP(Table_NFI[[#This Row],[Camp Name]],CL,2,0),"")</f>
        <v>MMR001CMP176</v>
      </c>
      <c r="AN130" s="782">
        <f ca="1">IF(Table_NFI[[#This Row],[Pcode]]="","",IF(OFFSET(CampList[Opening Date],MATCH(Table_NFI[[#This Row],[Pcode]],CampList[CP_Pcode],0)-1,0,1,1)&gt;=NFI_Monitor_Date,1,0))</f>
        <v>0</v>
      </c>
      <c r="AO130" s="791" t="str">
        <f>IFERROR(VLOOKUP(Table_NFI[[#This Row],[Camp Name]],CL,3,0),"")</f>
        <v>Open</v>
      </c>
      <c r="AP130" s="439" t="str">
        <f ca="1">IF(Table_NFI[[#This Row],[Pcode]]="","",OFFSET(CampList[Priority],MATCH(Table_NFI[[#This Row],[Pcode]],CampList[CP_Pcode],0)-1,0,1,1))</f>
        <v>P4</v>
      </c>
      <c r="AQ130" s="438">
        <f>IFERROR(Table_NFI[[#This Row],[Kitchen Set]]/VLOOKUP(Table_NFI[[#This Row],[Camp Name]],CL,4,0),"")</f>
        <v>0</v>
      </c>
      <c r="AR130" s="789"/>
      <c r="AS130" s="792"/>
    </row>
    <row r="131" spans="1:45" s="136" customFormat="1" x14ac:dyDescent="0.25">
      <c r="A131" s="455">
        <f t="shared" si="1"/>
        <v>13.2</v>
      </c>
      <c r="B131" s="778">
        <v>41913</v>
      </c>
      <c r="C131" s="779" t="s">
        <v>454</v>
      </c>
      <c r="D131" s="789" t="s">
        <v>507</v>
      </c>
      <c r="E131" s="789" t="s">
        <v>380</v>
      </c>
      <c r="F131" s="789" t="s">
        <v>529</v>
      </c>
      <c r="G131" s="789" t="s">
        <v>43</v>
      </c>
      <c r="H131" s="437"/>
      <c r="I131" s="437"/>
      <c r="J131" s="437"/>
      <c r="K131" s="437">
        <v>30</v>
      </c>
      <c r="L131" s="437"/>
      <c r="M131" s="437"/>
      <c r="N131" s="437"/>
      <c r="O131" s="437"/>
      <c r="P131" s="439"/>
      <c r="Q131" s="439"/>
      <c r="R131" s="439"/>
      <c r="S131" s="439"/>
      <c r="T131" s="439"/>
      <c r="U131" s="439"/>
      <c r="V131" s="439"/>
      <c r="W131" s="439">
        <f>IF(NFI_Expiration=1,IF($A131&lt;VLOOKUP(H$5,NFI,5,0),1,0)*Table_NFI[[#This Row],[Hygiene Kit]],Table_NFI[Hygiene Kit])</f>
        <v>0</v>
      </c>
      <c r="X131" s="439">
        <f>IF(NFI_Expiration=1,IF($A131&lt;VLOOKUP(I$5,NFI,5,0),1,0)*Table_NFI[[#This Row],[NFI Core Kit]],Table_NFI[NFI Core Kit])</f>
        <v>0</v>
      </c>
      <c r="Y131" s="439">
        <f>IF(NFI_Expiration=1,IF($A131&lt;VLOOKUP(J$5,NFI,5,0),1,0)*Table_NFI[[#This Row],[Sanitary Kit]],Table_NFI[Sanitary Kit])</f>
        <v>0</v>
      </c>
      <c r="Z131" s="439">
        <f>IF(NFI_Expiration=1,IF($A131&lt;VLOOKUP(K$5,NFI,5,0),1,0)*Table_NFI[[#This Row],[Mosquito net]],Table_NFI[Mosquito net])</f>
        <v>0</v>
      </c>
      <c r="AA131" s="439">
        <f>IF(NFI_Expiration=1,IF($A131&lt;VLOOKUP(L$5,NFI,5,0),1,0)*Table_NFI[[#This Row],[Tarpaulin]],Table_NFI[[#This Row],[Tarpaulin]])</f>
        <v>0</v>
      </c>
      <c r="AB131" s="439">
        <f>IF(NFI_Expiration=1,IF($A131&lt;VLOOKUP(M$5,NFI,5,0),1,0)*Table_NFI[[#This Row],[Blanket]],Table_NFI[[#This Row],[Blanket]])</f>
        <v>0</v>
      </c>
      <c r="AC131" s="439">
        <f>IF(NFI_Expiration=1,IF($A131&lt;VLOOKUP(N$5,NFI,5,0),1,0)*Table_NFI[[#This Row],[Kitchen Set]],Table_NFI[Kitchen Set])</f>
        <v>0</v>
      </c>
      <c r="AD131" s="439">
        <f>IF(NFI_Expiration=1,IF($A131&lt;VLOOKUP(O$5,NFI,5,0),1,0)*Table_NFI[[#This Row],[Clothes Kit]],Table_NFI[Clothes Kit])</f>
        <v>0</v>
      </c>
      <c r="AE131" s="439">
        <f>IF(NFI_Expiration=1,IF($A131&lt;VLOOKUP(P$5,NFI,5,0),1,0)*Table_NFI[[#This Row],[Plastic Bucket]],Table_NFI[Plastic Bucket])</f>
        <v>0</v>
      </c>
      <c r="AF131" s="439">
        <f>IF(NFI_Expiration=1,IF($A131&lt;VLOOKUP(Q$5,NFI,5,0),1,0)*Table_NFI[[#This Row],[Plastic Mat]],Table_NFI[Plastic Mat])*IF(Table_NFI[[#This Row],[Distribution Date]]&gt;"2014-04-01",1,2.5)</f>
        <v>0</v>
      </c>
      <c r="AG131" s="439">
        <f>IF(NFI_Expiration=1,IF($A131&lt;VLOOKUP(R$5,NFI,5,0),1,0)*Table_NFI[[#This Row],[Winter Clothes Adult]],Table_NFI[Winter Clothes Adult])</f>
        <v>0</v>
      </c>
      <c r="AH131" s="439">
        <f>IF(NFI_Expiration=1,IF($A131&lt;VLOOKUP(S$5,NFI,5,0),1,0)*Table_NFI[[#This Row],[Winter Clothes Children]],Table_NFI[Winter Clothes Children])</f>
        <v>0</v>
      </c>
      <c r="AI131" s="439">
        <f>IF(NFI_Expiration=1,IF($A131&lt;VLOOKUP(T$5,NFI,5,0),1,0)*Table_NFI[[#This Row],[Winter Items Other]],Table_NFI[Winter Items Other])</f>
        <v>0</v>
      </c>
      <c r="AJ131" s="439">
        <f>IF(NFI_Expiration=1,IF($A131&lt;VLOOKUP(M$5,NFI,5,0),1,0)*Table_NFI[[#This Row],[Winter Blanket]],Table_NFI[[#This Row],[Winter Blanket]])</f>
        <v>0</v>
      </c>
      <c r="AK131" s="439">
        <f>IF(Table_NFI[[#This Row],[Winter Clothes Adult]]+Table_NFI[[#This Row],[Winter Clothes Children]]+Table_NFI[[#This Row],[Winter Items Other]]+Table_NFI[[#This Row],[Winter Blanket]]&gt;0,1,0)</f>
        <v>0</v>
      </c>
      <c r="AL131" s="439">
        <f>IF(NFI_Expiration=1,IF($A131&lt;VLOOKUP(V$5,NFI,5,0),1,0)*Table_NFI[[#This Row],[Jerry Can]],Table_NFI[Jerry Can])</f>
        <v>0</v>
      </c>
      <c r="AM131" s="791" t="str">
        <f>IFERROR(VLOOKUP(Table_NFI[[#This Row],[Camp Name]],CL,2,0),"")</f>
        <v>MMR001CMP190</v>
      </c>
      <c r="AN131" s="782">
        <f ca="1">IF(Table_NFI[[#This Row],[Pcode]]="","",IF(OFFSET(CampList[Opening Date],MATCH(Table_NFI[[#This Row],[Pcode]],CampList[CP_Pcode],0)-1,0,1,1)&gt;=NFI_Monitor_Date,1,0))</f>
        <v>0</v>
      </c>
      <c r="AO131" s="791" t="str">
        <f>IFERROR(VLOOKUP(Table_NFI[[#This Row],[Camp Name]],CL,3,0),"")</f>
        <v>Open</v>
      </c>
      <c r="AP131" s="439" t="str">
        <f ca="1">IF(Table_NFI[[#This Row],[Pcode]]="","",OFFSET(CampList[Priority],MATCH(Table_NFI[[#This Row],[Pcode]],CampList[CP_Pcode],0)-1,0,1,1))</f>
        <v>P4</v>
      </c>
      <c r="AQ131" s="438">
        <f>IFERROR(Table_NFI[[#This Row],[Kitchen Set]]/VLOOKUP(Table_NFI[[#This Row],[Camp Name]],CL,4,0),"")</f>
        <v>0</v>
      </c>
      <c r="AR131" s="789"/>
      <c r="AS131" s="792"/>
    </row>
    <row r="132" spans="1:45" s="136" customFormat="1" x14ac:dyDescent="0.25">
      <c r="A132" s="455">
        <f t="shared" si="1"/>
        <v>13.2</v>
      </c>
      <c r="B132" s="778">
        <v>41913</v>
      </c>
      <c r="C132" s="779" t="s">
        <v>454</v>
      </c>
      <c r="D132" s="789" t="s">
        <v>507</v>
      </c>
      <c r="E132" s="789" t="s">
        <v>380</v>
      </c>
      <c r="F132" s="789" t="s">
        <v>529</v>
      </c>
      <c r="G132" s="789" t="s">
        <v>58</v>
      </c>
      <c r="H132" s="437"/>
      <c r="I132" s="437"/>
      <c r="J132" s="437"/>
      <c r="K132" s="437">
        <v>30</v>
      </c>
      <c r="L132" s="437"/>
      <c r="M132" s="437"/>
      <c r="N132" s="437"/>
      <c r="O132" s="437"/>
      <c r="P132" s="439"/>
      <c r="Q132" s="439"/>
      <c r="R132" s="439"/>
      <c r="S132" s="439"/>
      <c r="T132" s="439"/>
      <c r="U132" s="439"/>
      <c r="V132" s="439"/>
      <c r="W132" s="439">
        <f>IF(NFI_Expiration=1,IF($A132&lt;VLOOKUP(H$5,NFI,5,0),1,0)*Table_NFI[[#This Row],[Hygiene Kit]],Table_NFI[Hygiene Kit])</f>
        <v>0</v>
      </c>
      <c r="X132" s="439">
        <f>IF(NFI_Expiration=1,IF($A132&lt;VLOOKUP(I$5,NFI,5,0),1,0)*Table_NFI[[#This Row],[NFI Core Kit]],Table_NFI[NFI Core Kit])</f>
        <v>0</v>
      </c>
      <c r="Y132" s="439">
        <f>IF(NFI_Expiration=1,IF($A132&lt;VLOOKUP(J$5,NFI,5,0),1,0)*Table_NFI[[#This Row],[Sanitary Kit]],Table_NFI[Sanitary Kit])</f>
        <v>0</v>
      </c>
      <c r="Z132" s="439">
        <f>IF(NFI_Expiration=1,IF($A132&lt;VLOOKUP(K$5,NFI,5,0),1,0)*Table_NFI[[#This Row],[Mosquito net]],Table_NFI[Mosquito net])</f>
        <v>0</v>
      </c>
      <c r="AA132" s="439">
        <f>IF(NFI_Expiration=1,IF($A132&lt;VLOOKUP(L$5,NFI,5,0),1,0)*Table_NFI[[#This Row],[Tarpaulin]],Table_NFI[[#This Row],[Tarpaulin]])</f>
        <v>0</v>
      </c>
      <c r="AB132" s="439">
        <f>IF(NFI_Expiration=1,IF($A132&lt;VLOOKUP(M$5,NFI,5,0),1,0)*Table_NFI[[#This Row],[Blanket]],Table_NFI[[#This Row],[Blanket]])</f>
        <v>0</v>
      </c>
      <c r="AC132" s="439">
        <f>IF(NFI_Expiration=1,IF($A132&lt;VLOOKUP(N$5,NFI,5,0),1,0)*Table_NFI[[#This Row],[Kitchen Set]],Table_NFI[Kitchen Set])</f>
        <v>0</v>
      </c>
      <c r="AD132" s="439">
        <f>IF(NFI_Expiration=1,IF($A132&lt;VLOOKUP(O$5,NFI,5,0),1,0)*Table_NFI[[#This Row],[Clothes Kit]],Table_NFI[Clothes Kit])</f>
        <v>0</v>
      </c>
      <c r="AE132" s="439">
        <f>IF(NFI_Expiration=1,IF($A132&lt;VLOOKUP(P$5,NFI,5,0),1,0)*Table_NFI[[#This Row],[Plastic Bucket]],Table_NFI[Plastic Bucket])</f>
        <v>0</v>
      </c>
      <c r="AF132" s="439">
        <f>IF(NFI_Expiration=1,IF($A132&lt;VLOOKUP(Q$5,NFI,5,0),1,0)*Table_NFI[[#This Row],[Plastic Mat]],Table_NFI[Plastic Mat])*IF(Table_NFI[[#This Row],[Distribution Date]]&gt;"2014-04-01",1,2.5)</f>
        <v>0</v>
      </c>
      <c r="AG132" s="439">
        <f>IF(NFI_Expiration=1,IF($A132&lt;VLOOKUP(R$5,NFI,5,0),1,0)*Table_NFI[[#This Row],[Winter Clothes Adult]],Table_NFI[Winter Clothes Adult])</f>
        <v>0</v>
      </c>
      <c r="AH132" s="439">
        <f>IF(NFI_Expiration=1,IF($A132&lt;VLOOKUP(S$5,NFI,5,0),1,0)*Table_NFI[[#This Row],[Winter Clothes Children]],Table_NFI[Winter Clothes Children])</f>
        <v>0</v>
      </c>
      <c r="AI132" s="439">
        <f>IF(NFI_Expiration=1,IF($A132&lt;VLOOKUP(T$5,NFI,5,0),1,0)*Table_NFI[[#This Row],[Winter Items Other]],Table_NFI[Winter Items Other])</f>
        <v>0</v>
      </c>
      <c r="AJ132" s="439">
        <f>IF(NFI_Expiration=1,IF($A132&lt;VLOOKUP(M$5,NFI,5,0),1,0)*Table_NFI[[#This Row],[Winter Blanket]],Table_NFI[[#This Row],[Winter Blanket]])</f>
        <v>0</v>
      </c>
      <c r="AK132" s="439">
        <f>IF(Table_NFI[[#This Row],[Winter Clothes Adult]]+Table_NFI[[#This Row],[Winter Clothes Children]]+Table_NFI[[#This Row],[Winter Items Other]]+Table_NFI[[#This Row],[Winter Blanket]]&gt;0,1,0)</f>
        <v>0</v>
      </c>
      <c r="AL132" s="439">
        <f>IF(NFI_Expiration=1,IF($A132&lt;VLOOKUP(V$5,NFI,5,0),1,0)*Table_NFI[[#This Row],[Jerry Can]],Table_NFI[Jerry Can])</f>
        <v>0</v>
      </c>
      <c r="AM132" s="791" t="str">
        <f>IFERROR(VLOOKUP(Table_NFI[[#This Row],[Camp Name]],CL,2,0),"")</f>
        <v>MMR001CMP188</v>
      </c>
      <c r="AN132" s="782">
        <f ca="1">IF(Table_NFI[[#This Row],[Pcode]]="","",IF(OFFSET(CampList[Opening Date],MATCH(Table_NFI[[#This Row],[Pcode]],CampList[CP_Pcode],0)-1,0,1,1)&gt;=NFI_Monitor_Date,1,0))</f>
        <v>0</v>
      </c>
      <c r="AO132" s="791" t="str">
        <f>IFERROR(VLOOKUP(Table_NFI[[#This Row],[Camp Name]],CL,3,0),"")</f>
        <v>Closed</v>
      </c>
      <c r="AP132" s="439" t="str">
        <f ca="1">IF(Table_NFI[[#This Row],[Pcode]]="","",OFFSET(CampList[Priority],MATCH(Table_NFI[[#This Row],[Pcode]],CampList[CP_Pcode],0)-1,0,1,1))</f>
        <v>P4</v>
      </c>
      <c r="AQ132" s="438" t="str">
        <f>IFERROR(Table_NFI[[#This Row],[Kitchen Set]]/VLOOKUP(Table_NFI[[#This Row],[Camp Name]],CL,4,0),"")</f>
        <v/>
      </c>
      <c r="AR132" s="789"/>
      <c r="AS132" s="792"/>
    </row>
    <row r="133" spans="1:45" s="136" customFormat="1" x14ac:dyDescent="0.25">
      <c r="A133" s="455">
        <f t="shared" si="1"/>
        <v>13.2</v>
      </c>
      <c r="B133" s="778">
        <v>41913</v>
      </c>
      <c r="C133" s="779" t="s">
        <v>454</v>
      </c>
      <c r="D133" s="789" t="s">
        <v>507</v>
      </c>
      <c r="E133" s="789" t="s">
        <v>380</v>
      </c>
      <c r="F133" s="789" t="s">
        <v>529</v>
      </c>
      <c r="G133" s="789" t="s">
        <v>72</v>
      </c>
      <c r="H133" s="437"/>
      <c r="I133" s="437"/>
      <c r="J133" s="437"/>
      <c r="K133" s="437">
        <v>8</v>
      </c>
      <c r="L133" s="437"/>
      <c r="M133" s="437"/>
      <c r="N133" s="437"/>
      <c r="O133" s="437"/>
      <c r="P133" s="439"/>
      <c r="Q133" s="439"/>
      <c r="R133" s="439"/>
      <c r="S133" s="439"/>
      <c r="T133" s="439"/>
      <c r="U133" s="439"/>
      <c r="V133" s="439"/>
      <c r="W133" s="439">
        <f>IF(NFI_Expiration=1,IF($A133&lt;VLOOKUP(H$5,NFI,5,0),1,0)*Table_NFI[[#This Row],[Hygiene Kit]],Table_NFI[Hygiene Kit])</f>
        <v>0</v>
      </c>
      <c r="X133" s="439">
        <f>IF(NFI_Expiration=1,IF($A133&lt;VLOOKUP(I$5,NFI,5,0),1,0)*Table_NFI[[#This Row],[NFI Core Kit]],Table_NFI[NFI Core Kit])</f>
        <v>0</v>
      </c>
      <c r="Y133" s="439">
        <f>IF(NFI_Expiration=1,IF($A133&lt;VLOOKUP(J$5,NFI,5,0),1,0)*Table_NFI[[#This Row],[Sanitary Kit]],Table_NFI[Sanitary Kit])</f>
        <v>0</v>
      </c>
      <c r="Z133" s="439">
        <f>IF(NFI_Expiration=1,IF($A133&lt;VLOOKUP(K$5,NFI,5,0),1,0)*Table_NFI[[#This Row],[Mosquito net]],Table_NFI[Mosquito net])</f>
        <v>0</v>
      </c>
      <c r="AA133" s="439">
        <f>IF(NFI_Expiration=1,IF($A133&lt;VLOOKUP(L$5,NFI,5,0),1,0)*Table_NFI[[#This Row],[Tarpaulin]],Table_NFI[[#This Row],[Tarpaulin]])</f>
        <v>0</v>
      </c>
      <c r="AB133" s="439">
        <f>IF(NFI_Expiration=1,IF($A133&lt;VLOOKUP(M$5,NFI,5,0),1,0)*Table_NFI[[#This Row],[Blanket]],Table_NFI[[#This Row],[Blanket]])</f>
        <v>0</v>
      </c>
      <c r="AC133" s="439">
        <f>IF(NFI_Expiration=1,IF($A133&lt;VLOOKUP(N$5,NFI,5,0),1,0)*Table_NFI[[#This Row],[Kitchen Set]],Table_NFI[Kitchen Set])</f>
        <v>0</v>
      </c>
      <c r="AD133" s="439">
        <f>IF(NFI_Expiration=1,IF($A133&lt;VLOOKUP(O$5,NFI,5,0),1,0)*Table_NFI[[#This Row],[Clothes Kit]],Table_NFI[Clothes Kit])</f>
        <v>0</v>
      </c>
      <c r="AE133" s="439">
        <f>IF(NFI_Expiration=1,IF($A133&lt;VLOOKUP(P$5,NFI,5,0),1,0)*Table_NFI[[#This Row],[Plastic Bucket]],Table_NFI[Plastic Bucket])</f>
        <v>0</v>
      </c>
      <c r="AF133" s="439">
        <f>IF(NFI_Expiration=1,IF($A133&lt;VLOOKUP(Q$5,NFI,5,0),1,0)*Table_NFI[[#This Row],[Plastic Mat]],Table_NFI[Plastic Mat])*IF(Table_NFI[[#This Row],[Distribution Date]]&gt;"2014-04-01",1,2.5)</f>
        <v>0</v>
      </c>
      <c r="AG133" s="439">
        <f>IF(NFI_Expiration=1,IF($A133&lt;VLOOKUP(R$5,NFI,5,0),1,0)*Table_NFI[[#This Row],[Winter Clothes Adult]],Table_NFI[Winter Clothes Adult])</f>
        <v>0</v>
      </c>
      <c r="AH133" s="439">
        <f>IF(NFI_Expiration=1,IF($A133&lt;VLOOKUP(S$5,NFI,5,0),1,0)*Table_NFI[[#This Row],[Winter Clothes Children]],Table_NFI[Winter Clothes Children])</f>
        <v>0</v>
      </c>
      <c r="AI133" s="439">
        <f>IF(NFI_Expiration=1,IF($A133&lt;VLOOKUP(T$5,NFI,5,0),1,0)*Table_NFI[[#This Row],[Winter Items Other]],Table_NFI[Winter Items Other])</f>
        <v>0</v>
      </c>
      <c r="AJ133" s="439">
        <f>IF(NFI_Expiration=1,IF($A133&lt;VLOOKUP(M$5,NFI,5,0),1,0)*Table_NFI[[#This Row],[Winter Blanket]],Table_NFI[[#This Row],[Winter Blanket]])</f>
        <v>0</v>
      </c>
      <c r="AK133" s="439">
        <f>IF(Table_NFI[[#This Row],[Winter Clothes Adult]]+Table_NFI[[#This Row],[Winter Clothes Children]]+Table_NFI[[#This Row],[Winter Items Other]]+Table_NFI[[#This Row],[Winter Blanket]]&gt;0,1,0)</f>
        <v>0</v>
      </c>
      <c r="AL133" s="439">
        <f>IF(NFI_Expiration=1,IF($A133&lt;VLOOKUP(V$5,NFI,5,0),1,0)*Table_NFI[[#This Row],[Jerry Can]],Table_NFI[Jerry Can])</f>
        <v>0</v>
      </c>
      <c r="AM133" s="791" t="str">
        <f>IFERROR(VLOOKUP(Table_NFI[[#This Row],[Camp Name]],CL,2,0),"")</f>
        <v>MMR001CMP109</v>
      </c>
      <c r="AN133" s="782">
        <f ca="1">IF(Table_NFI[[#This Row],[Pcode]]="","",IF(OFFSET(CampList[Opening Date],MATCH(Table_NFI[[#This Row],[Pcode]],CampList[CP_Pcode],0)-1,0,1,1)&gt;=NFI_Monitor_Date,1,0))</f>
        <v>0</v>
      </c>
      <c r="AO133" s="791" t="str">
        <f>IFERROR(VLOOKUP(Table_NFI[[#This Row],[Camp Name]],CL,3,0),"")</f>
        <v>Open</v>
      </c>
      <c r="AP133" s="439" t="str">
        <f ca="1">IF(Table_NFI[[#This Row],[Pcode]]="","",OFFSET(CampList[Priority],MATCH(Table_NFI[[#This Row],[Pcode]],CampList[CP_Pcode],0)-1,0,1,1))</f>
        <v>P4</v>
      </c>
      <c r="AQ133" s="438">
        <f>IFERROR(Table_NFI[[#This Row],[Kitchen Set]]/VLOOKUP(Table_NFI[[#This Row],[Camp Name]],CL,4,0),"")</f>
        <v>0</v>
      </c>
      <c r="AR133" s="789"/>
      <c r="AS133" s="792"/>
    </row>
    <row r="134" spans="1:45" s="136" customFormat="1" x14ac:dyDescent="0.25">
      <c r="A134" s="455">
        <f t="shared" ref="A134:A197" si="2">IF(ISBLANK(B134),"",(Report_Date-B134)/30)</f>
        <v>13.2</v>
      </c>
      <c r="B134" s="778">
        <v>41913</v>
      </c>
      <c r="C134" s="779" t="s">
        <v>454</v>
      </c>
      <c r="D134" s="789" t="s">
        <v>507</v>
      </c>
      <c r="E134" s="789" t="s">
        <v>380</v>
      </c>
      <c r="F134" s="789" t="s">
        <v>27</v>
      </c>
      <c r="G134" s="789" t="s">
        <v>28</v>
      </c>
      <c r="H134" s="437"/>
      <c r="I134" s="437"/>
      <c r="J134" s="437"/>
      <c r="K134" s="437">
        <v>214</v>
      </c>
      <c r="L134" s="437"/>
      <c r="M134" s="437"/>
      <c r="N134" s="437"/>
      <c r="O134" s="437"/>
      <c r="P134" s="439"/>
      <c r="Q134" s="439"/>
      <c r="R134" s="439"/>
      <c r="S134" s="439"/>
      <c r="T134" s="439"/>
      <c r="U134" s="439">
        <v>214</v>
      </c>
      <c r="V134" s="439"/>
      <c r="W134" s="439">
        <f>IF(NFI_Expiration=1,IF($A134&lt;VLOOKUP(H$5,NFI,5,0),1,0)*Table_NFI[[#This Row],[Hygiene Kit]],Table_NFI[Hygiene Kit])</f>
        <v>0</v>
      </c>
      <c r="X134" s="439">
        <f>IF(NFI_Expiration=1,IF($A134&lt;VLOOKUP(I$5,NFI,5,0),1,0)*Table_NFI[[#This Row],[NFI Core Kit]],Table_NFI[NFI Core Kit])</f>
        <v>0</v>
      </c>
      <c r="Y134" s="439">
        <f>IF(NFI_Expiration=1,IF($A134&lt;VLOOKUP(J$5,NFI,5,0),1,0)*Table_NFI[[#This Row],[Sanitary Kit]],Table_NFI[Sanitary Kit])</f>
        <v>0</v>
      </c>
      <c r="Z134" s="439">
        <f>IF(NFI_Expiration=1,IF($A134&lt;VLOOKUP(K$5,NFI,5,0),1,0)*Table_NFI[[#This Row],[Mosquito net]],Table_NFI[Mosquito net])</f>
        <v>0</v>
      </c>
      <c r="AA134" s="439">
        <f>IF(NFI_Expiration=1,IF($A134&lt;VLOOKUP(L$5,NFI,5,0),1,0)*Table_NFI[[#This Row],[Tarpaulin]],Table_NFI[[#This Row],[Tarpaulin]])</f>
        <v>0</v>
      </c>
      <c r="AB134" s="439">
        <f>IF(NFI_Expiration=1,IF($A134&lt;VLOOKUP(M$5,NFI,5,0),1,0)*Table_NFI[[#This Row],[Blanket]],Table_NFI[[#This Row],[Blanket]])</f>
        <v>0</v>
      </c>
      <c r="AC134" s="439">
        <f>IF(NFI_Expiration=1,IF($A134&lt;VLOOKUP(N$5,NFI,5,0),1,0)*Table_NFI[[#This Row],[Kitchen Set]],Table_NFI[Kitchen Set])</f>
        <v>0</v>
      </c>
      <c r="AD134" s="439">
        <f>IF(NFI_Expiration=1,IF($A134&lt;VLOOKUP(O$5,NFI,5,0),1,0)*Table_NFI[[#This Row],[Clothes Kit]],Table_NFI[Clothes Kit])</f>
        <v>0</v>
      </c>
      <c r="AE134" s="439">
        <f>IF(NFI_Expiration=1,IF($A134&lt;VLOOKUP(P$5,NFI,5,0),1,0)*Table_NFI[[#This Row],[Plastic Bucket]],Table_NFI[Plastic Bucket])</f>
        <v>0</v>
      </c>
      <c r="AF134" s="439">
        <f>IF(NFI_Expiration=1,IF($A134&lt;VLOOKUP(Q$5,NFI,5,0),1,0)*Table_NFI[[#This Row],[Plastic Mat]],Table_NFI[Plastic Mat])*IF(Table_NFI[[#This Row],[Distribution Date]]&gt;"2014-04-01",1,2.5)</f>
        <v>0</v>
      </c>
      <c r="AG134" s="439">
        <f>IF(NFI_Expiration=1,IF($A134&lt;VLOOKUP(R$5,NFI,5,0),1,0)*Table_NFI[[#This Row],[Winter Clothes Adult]],Table_NFI[Winter Clothes Adult])</f>
        <v>0</v>
      </c>
      <c r="AH134" s="439">
        <f>IF(NFI_Expiration=1,IF($A134&lt;VLOOKUP(S$5,NFI,5,0),1,0)*Table_NFI[[#This Row],[Winter Clothes Children]],Table_NFI[Winter Clothes Children])</f>
        <v>0</v>
      </c>
      <c r="AI134" s="439">
        <f>IF(NFI_Expiration=1,IF($A134&lt;VLOOKUP(T$5,NFI,5,0),1,0)*Table_NFI[[#This Row],[Winter Items Other]],Table_NFI[Winter Items Other])</f>
        <v>0</v>
      </c>
      <c r="AJ134" s="439">
        <f>IF(NFI_Expiration=1,IF($A134&lt;VLOOKUP(M$5,NFI,5,0),1,0)*Table_NFI[[#This Row],[Winter Blanket]],Table_NFI[[#This Row],[Winter Blanket]])</f>
        <v>0</v>
      </c>
      <c r="AK134" s="439">
        <f>IF(Table_NFI[[#This Row],[Winter Clothes Adult]]+Table_NFI[[#This Row],[Winter Clothes Children]]+Table_NFI[[#This Row],[Winter Items Other]]+Table_NFI[[#This Row],[Winter Blanket]]&gt;0,1,0)</f>
        <v>1</v>
      </c>
      <c r="AL134" s="439">
        <f>IF(NFI_Expiration=1,IF($A134&lt;VLOOKUP(V$5,NFI,5,0),1,0)*Table_NFI[[#This Row],[Jerry Can]],Table_NFI[Jerry Can])</f>
        <v>0</v>
      </c>
      <c r="AM134" s="791" t="str">
        <f>IFERROR(VLOOKUP(Table_NFI[[#This Row],[Camp Name]],CL,2,0),"")</f>
        <v>MMR001CMP042</v>
      </c>
      <c r="AN134" s="782">
        <f ca="1">IF(Table_NFI[[#This Row],[Pcode]]="","",IF(OFFSET(CampList[Opening Date],MATCH(Table_NFI[[#This Row],[Pcode]],CampList[CP_Pcode],0)-1,0,1,1)&gt;=NFI_Monitor_Date,1,0))</f>
        <v>0</v>
      </c>
      <c r="AO134" s="791" t="str">
        <f>IFERROR(VLOOKUP(Table_NFI[[#This Row],[Camp Name]],CL,3,0),"")</f>
        <v>Open</v>
      </c>
      <c r="AP134" s="439" t="str">
        <f ca="1">IF(Table_NFI[[#This Row],[Pcode]]="","",OFFSET(CampList[Priority],MATCH(Table_NFI[[#This Row],[Pcode]],CampList[CP_Pcode],0)-1,0,1,1))</f>
        <v>P1</v>
      </c>
      <c r="AQ134" s="438">
        <f>IFERROR(Table_NFI[[#This Row],[Kitchen Set]]/VLOOKUP(Table_NFI[[#This Row],[Camp Name]],CL,4,0),"")</f>
        <v>0</v>
      </c>
      <c r="AR134" s="789"/>
      <c r="AS134" s="792"/>
    </row>
    <row r="135" spans="1:45" s="136" customFormat="1" x14ac:dyDescent="0.25">
      <c r="A135" s="455">
        <f t="shared" si="2"/>
        <v>13.2</v>
      </c>
      <c r="B135" s="778">
        <v>41913</v>
      </c>
      <c r="C135" s="779" t="s">
        <v>454</v>
      </c>
      <c r="D135" s="789" t="s">
        <v>507</v>
      </c>
      <c r="E135" s="789" t="s">
        <v>380</v>
      </c>
      <c r="F135" s="789" t="s">
        <v>529</v>
      </c>
      <c r="G135" s="789" t="s">
        <v>76</v>
      </c>
      <c r="H135" s="437"/>
      <c r="I135" s="437"/>
      <c r="J135" s="437"/>
      <c r="K135" s="437">
        <v>130</v>
      </c>
      <c r="L135" s="437"/>
      <c r="M135" s="437"/>
      <c r="N135" s="437"/>
      <c r="O135" s="437"/>
      <c r="P135" s="439"/>
      <c r="Q135" s="439"/>
      <c r="R135" s="439"/>
      <c r="S135" s="439"/>
      <c r="T135" s="439"/>
      <c r="U135" s="439"/>
      <c r="V135" s="439"/>
      <c r="W135" s="439">
        <f>IF(NFI_Expiration=1,IF($A135&lt;VLOOKUP(H$5,NFI,5,0),1,0)*Table_NFI[[#This Row],[Hygiene Kit]],Table_NFI[Hygiene Kit])</f>
        <v>0</v>
      </c>
      <c r="X135" s="439">
        <f>IF(NFI_Expiration=1,IF($A135&lt;VLOOKUP(I$5,NFI,5,0),1,0)*Table_NFI[[#This Row],[NFI Core Kit]],Table_NFI[NFI Core Kit])</f>
        <v>0</v>
      </c>
      <c r="Y135" s="439">
        <f>IF(NFI_Expiration=1,IF($A135&lt;VLOOKUP(J$5,NFI,5,0),1,0)*Table_NFI[[#This Row],[Sanitary Kit]],Table_NFI[Sanitary Kit])</f>
        <v>0</v>
      </c>
      <c r="Z135" s="439">
        <f>IF(NFI_Expiration=1,IF($A135&lt;VLOOKUP(K$5,NFI,5,0),1,0)*Table_NFI[[#This Row],[Mosquito net]],Table_NFI[Mosquito net])</f>
        <v>0</v>
      </c>
      <c r="AA135" s="439">
        <f>IF(NFI_Expiration=1,IF($A135&lt;VLOOKUP(L$5,NFI,5,0),1,0)*Table_NFI[[#This Row],[Tarpaulin]],Table_NFI[[#This Row],[Tarpaulin]])</f>
        <v>0</v>
      </c>
      <c r="AB135" s="439">
        <f>IF(NFI_Expiration=1,IF($A135&lt;VLOOKUP(M$5,NFI,5,0),1,0)*Table_NFI[[#This Row],[Blanket]],Table_NFI[[#This Row],[Blanket]])</f>
        <v>0</v>
      </c>
      <c r="AC135" s="439">
        <f>IF(NFI_Expiration=1,IF($A135&lt;VLOOKUP(N$5,NFI,5,0),1,0)*Table_NFI[[#This Row],[Kitchen Set]],Table_NFI[Kitchen Set])</f>
        <v>0</v>
      </c>
      <c r="AD135" s="439">
        <f>IF(NFI_Expiration=1,IF($A135&lt;VLOOKUP(O$5,NFI,5,0),1,0)*Table_NFI[[#This Row],[Clothes Kit]],Table_NFI[Clothes Kit])</f>
        <v>0</v>
      </c>
      <c r="AE135" s="439">
        <f>IF(NFI_Expiration=1,IF($A135&lt;VLOOKUP(P$5,NFI,5,0),1,0)*Table_NFI[[#This Row],[Plastic Bucket]],Table_NFI[Plastic Bucket])</f>
        <v>0</v>
      </c>
      <c r="AF135" s="439">
        <f>IF(NFI_Expiration=1,IF($A135&lt;VLOOKUP(Q$5,NFI,5,0),1,0)*Table_NFI[[#This Row],[Plastic Mat]],Table_NFI[Plastic Mat])*IF(Table_NFI[[#This Row],[Distribution Date]]&gt;"2014-04-01",1,2.5)</f>
        <v>0</v>
      </c>
      <c r="AG135" s="439">
        <f>IF(NFI_Expiration=1,IF($A135&lt;VLOOKUP(R$5,NFI,5,0),1,0)*Table_NFI[[#This Row],[Winter Clothes Adult]],Table_NFI[Winter Clothes Adult])</f>
        <v>0</v>
      </c>
      <c r="AH135" s="439">
        <f>IF(NFI_Expiration=1,IF($A135&lt;VLOOKUP(S$5,NFI,5,0),1,0)*Table_NFI[[#This Row],[Winter Clothes Children]],Table_NFI[Winter Clothes Children])</f>
        <v>0</v>
      </c>
      <c r="AI135" s="439">
        <f>IF(NFI_Expiration=1,IF($A135&lt;VLOOKUP(T$5,NFI,5,0),1,0)*Table_NFI[[#This Row],[Winter Items Other]],Table_NFI[Winter Items Other])</f>
        <v>0</v>
      </c>
      <c r="AJ135" s="439">
        <f>IF(NFI_Expiration=1,IF($A135&lt;VLOOKUP(M$5,NFI,5,0),1,0)*Table_NFI[[#This Row],[Winter Blanket]],Table_NFI[[#This Row],[Winter Blanket]])</f>
        <v>0</v>
      </c>
      <c r="AK135" s="439">
        <f>IF(Table_NFI[[#This Row],[Winter Clothes Adult]]+Table_NFI[[#This Row],[Winter Clothes Children]]+Table_NFI[[#This Row],[Winter Items Other]]+Table_NFI[[#This Row],[Winter Blanket]]&gt;0,1,0)</f>
        <v>0</v>
      </c>
      <c r="AL135" s="439">
        <f>IF(NFI_Expiration=1,IF($A135&lt;VLOOKUP(V$5,NFI,5,0),1,0)*Table_NFI[[#This Row],[Jerry Can]],Table_NFI[Jerry Can])</f>
        <v>0</v>
      </c>
      <c r="AM135" s="791" t="str">
        <f>IFERROR(VLOOKUP(Table_NFI[[#This Row],[Camp Name]],CL,2,0),"")</f>
        <v>MMR001CMP174</v>
      </c>
      <c r="AN135" s="782">
        <f ca="1">IF(Table_NFI[[#This Row],[Pcode]]="","",IF(OFFSET(CampList[Opening Date],MATCH(Table_NFI[[#This Row],[Pcode]],CampList[CP_Pcode],0)-1,0,1,1)&gt;=NFI_Monitor_Date,1,0))</f>
        <v>0</v>
      </c>
      <c r="AO135" s="791" t="str">
        <f>IFERROR(VLOOKUP(Table_NFI[[#This Row],[Camp Name]],CL,3,0),"")</f>
        <v>Open</v>
      </c>
      <c r="AP135" s="439" t="str">
        <f ca="1">IF(Table_NFI[[#This Row],[Pcode]]="","",OFFSET(CampList[Priority],MATCH(Table_NFI[[#This Row],[Pcode]],CampList[CP_Pcode],0)-1,0,1,1))</f>
        <v>P4</v>
      </c>
      <c r="AQ135" s="438">
        <f>IFERROR(Table_NFI[[#This Row],[Kitchen Set]]/VLOOKUP(Table_NFI[[#This Row],[Camp Name]],CL,4,0),"")</f>
        <v>0</v>
      </c>
      <c r="AR135" s="789"/>
      <c r="AS135" s="792"/>
    </row>
    <row r="136" spans="1:45" s="136" customFormat="1" x14ac:dyDescent="0.25">
      <c r="A136" s="455">
        <f t="shared" si="2"/>
        <v>13.2</v>
      </c>
      <c r="B136" s="778">
        <v>41913</v>
      </c>
      <c r="C136" s="779" t="s">
        <v>454</v>
      </c>
      <c r="D136" s="789" t="s">
        <v>508</v>
      </c>
      <c r="E136" s="789" t="s">
        <v>380</v>
      </c>
      <c r="F136" s="789" t="s">
        <v>185</v>
      </c>
      <c r="G136" s="789" t="s">
        <v>192</v>
      </c>
      <c r="H136" s="437"/>
      <c r="I136" s="437"/>
      <c r="J136" s="437"/>
      <c r="K136" s="437">
        <v>238</v>
      </c>
      <c r="L136" s="437"/>
      <c r="M136" s="437"/>
      <c r="N136" s="437"/>
      <c r="O136" s="437"/>
      <c r="P136" s="439"/>
      <c r="Q136" s="439"/>
      <c r="R136" s="439"/>
      <c r="S136" s="439"/>
      <c r="T136" s="439"/>
      <c r="U136" s="437">
        <v>238</v>
      </c>
      <c r="V136" s="437"/>
      <c r="W136" s="439">
        <f>IF(NFI_Expiration=1,IF($A136&lt;VLOOKUP(H$5,NFI,5,0),1,0)*Table_NFI[[#This Row],[Hygiene Kit]],Table_NFI[Hygiene Kit])</f>
        <v>0</v>
      </c>
      <c r="X136" s="439">
        <f>IF(NFI_Expiration=1,IF($A136&lt;VLOOKUP(I$5,NFI,5,0),1,0)*Table_NFI[[#This Row],[NFI Core Kit]],Table_NFI[NFI Core Kit])</f>
        <v>0</v>
      </c>
      <c r="Y136" s="439">
        <f>IF(NFI_Expiration=1,IF($A136&lt;VLOOKUP(J$5,NFI,5,0),1,0)*Table_NFI[[#This Row],[Sanitary Kit]],Table_NFI[Sanitary Kit])</f>
        <v>0</v>
      </c>
      <c r="Z136" s="439">
        <f>IF(NFI_Expiration=1,IF($A136&lt;VLOOKUP(K$5,NFI,5,0),1,0)*Table_NFI[[#This Row],[Mosquito net]],Table_NFI[Mosquito net])</f>
        <v>0</v>
      </c>
      <c r="AA136" s="439">
        <f>IF(NFI_Expiration=1,IF($A136&lt;VLOOKUP(L$5,NFI,5,0),1,0)*Table_NFI[[#This Row],[Tarpaulin]],Table_NFI[[#This Row],[Tarpaulin]])</f>
        <v>0</v>
      </c>
      <c r="AB136" s="439">
        <f>IF(NFI_Expiration=1,IF($A136&lt;VLOOKUP(M$5,NFI,5,0),1,0)*Table_NFI[[#This Row],[Blanket]],Table_NFI[[#This Row],[Blanket]])</f>
        <v>0</v>
      </c>
      <c r="AC136" s="439">
        <f>IF(NFI_Expiration=1,IF($A136&lt;VLOOKUP(N$5,NFI,5,0),1,0)*Table_NFI[[#This Row],[Kitchen Set]],Table_NFI[Kitchen Set])</f>
        <v>0</v>
      </c>
      <c r="AD136" s="439">
        <f>IF(NFI_Expiration=1,IF($A136&lt;VLOOKUP(O$5,NFI,5,0),1,0)*Table_NFI[[#This Row],[Clothes Kit]],Table_NFI[Clothes Kit])</f>
        <v>0</v>
      </c>
      <c r="AE136" s="439">
        <f>IF(NFI_Expiration=1,IF($A136&lt;VLOOKUP(P$5,NFI,5,0),1,0)*Table_NFI[[#This Row],[Plastic Bucket]],Table_NFI[Plastic Bucket])</f>
        <v>0</v>
      </c>
      <c r="AF136" s="439">
        <f>IF(NFI_Expiration=1,IF($A136&lt;VLOOKUP(Q$5,NFI,5,0),1,0)*Table_NFI[[#This Row],[Plastic Mat]],Table_NFI[Plastic Mat])*IF(Table_NFI[[#This Row],[Distribution Date]]&gt;"2014-04-01",1,2.5)</f>
        <v>0</v>
      </c>
      <c r="AG136" s="439">
        <f>IF(NFI_Expiration=1,IF($A136&lt;VLOOKUP(R$5,NFI,5,0),1,0)*Table_NFI[[#This Row],[Winter Clothes Adult]],Table_NFI[Winter Clothes Adult])</f>
        <v>0</v>
      </c>
      <c r="AH136" s="439">
        <f>IF(NFI_Expiration=1,IF($A136&lt;VLOOKUP(S$5,NFI,5,0),1,0)*Table_NFI[[#This Row],[Winter Clothes Children]],Table_NFI[Winter Clothes Children])</f>
        <v>0</v>
      </c>
      <c r="AI136" s="439">
        <f>IF(NFI_Expiration=1,IF($A136&lt;VLOOKUP(T$5,NFI,5,0),1,0)*Table_NFI[[#This Row],[Winter Items Other]],Table_NFI[Winter Items Other])</f>
        <v>0</v>
      </c>
      <c r="AJ136" s="439">
        <f>IF(NFI_Expiration=1,IF($A136&lt;VLOOKUP(M$5,NFI,5,0),1,0)*Table_NFI[[#This Row],[Winter Blanket]],Table_NFI[[#This Row],[Winter Blanket]])</f>
        <v>0</v>
      </c>
      <c r="AK136" s="439">
        <f>IF(Table_NFI[[#This Row],[Winter Clothes Adult]]+Table_NFI[[#This Row],[Winter Clothes Children]]+Table_NFI[[#This Row],[Winter Items Other]]+Table_NFI[[#This Row],[Winter Blanket]]&gt;0,1,0)</f>
        <v>1</v>
      </c>
      <c r="AL136" s="439">
        <f>IF(NFI_Expiration=1,IF($A136&lt;VLOOKUP(V$5,NFI,5,0),1,0)*Table_NFI[[#This Row],[Jerry Can]],Table_NFI[Jerry Can])</f>
        <v>0</v>
      </c>
      <c r="AM136" s="791" t="str">
        <f>IFERROR(VLOOKUP(Table_NFI[[#This Row],[Camp Name]],CL,2,0),"")</f>
        <v>MMR001CMP123</v>
      </c>
      <c r="AN136" s="782">
        <f ca="1">IF(Table_NFI[[#This Row],[Pcode]]="","",IF(OFFSET(CampList[Opening Date],MATCH(Table_NFI[[#This Row],[Pcode]],CampList[CP_Pcode],0)-1,0,1,1)&gt;=NFI_Monitor_Date,1,0))</f>
        <v>0</v>
      </c>
      <c r="AO136" s="791" t="str">
        <f>IFERROR(VLOOKUP(Table_NFI[[#This Row],[Camp Name]],CL,3,0),"")</f>
        <v>Open</v>
      </c>
      <c r="AP136" s="439" t="str">
        <f ca="1">IF(Table_NFI[[#This Row],[Pcode]]="","",OFFSET(CampList[Priority],MATCH(Table_NFI[[#This Row],[Pcode]],CampList[CP_Pcode],0)-1,0,1,1))</f>
        <v>P2</v>
      </c>
      <c r="AQ136" s="438">
        <f>IFERROR(Table_NFI[[#This Row],[Kitchen Set]]/VLOOKUP(Table_NFI[[#This Row],[Camp Name]],CL,4,0),"")</f>
        <v>0</v>
      </c>
      <c r="AR136" s="789"/>
      <c r="AS136" s="792"/>
    </row>
    <row r="137" spans="1:45" s="136" customFormat="1" x14ac:dyDescent="0.25">
      <c r="A137" s="455">
        <f t="shared" si="2"/>
        <v>13.2</v>
      </c>
      <c r="B137" s="778">
        <v>41913</v>
      </c>
      <c r="C137" s="779" t="s">
        <v>454</v>
      </c>
      <c r="D137" s="789" t="s">
        <v>507</v>
      </c>
      <c r="E137" s="789" t="s">
        <v>380</v>
      </c>
      <c r="F137" s="789" t="s">
        <v>310</v>
      </c>
      <c r="G137" s="789" t="s">
        <v>313</v>
      </c>
      <c r="H137" s="437"/>
      <c r="I137" s="437"/>
      <c r="J137" s="437"/>
      <c r="K137" s="437">
        <v>268</v>
      </c>
      <c r="L137" s="437"/>
      <c r="M137" s="437"/>
      <c r="N137" s="437"/>
      <c r="O137" s="437"/>
      <c r="P137" s="439"/>
      <c r="Q137" s="439"/>
      <c r="R137" s="439"/>
      <c r="S137" s="439"/>
      <c r="T137" s="439"/>
      <c r="U137" s="439"/>
      <c r="V137" s="439"/>
      <c r="W137" s="439">
        <f>IF(NFI_Expiration=1,IF($A137&lt;VLOOKUP(H$5,NFI,5,0),1,0)*Table_NFI[[#This Row],[Hygiene Kit]],Table_NFI[Hygiene Kit])</f>
        <v>0</v>
      </c>
      <c r="X137" s="439">
        <f>IF(NFI_Expiration=1,IF($A137&lt;VLOOKUP(I$5,NFI,5,0),1,0)*Table_NFI[[#This Row],[NFI Core Kit]],Table_NFI[NFI Core Kit])</f>
        <v>0</v>
      </c>
      <c r="Y137" s="439">
        <f>IF(NFI_Expiration=1,IF($A137&lt;VLOOKUP(J$5,NFI,5,0),1,0)*Table_NFI[[#This Row],[Sanitary Kit]],Table_NFI[Sanitary Kit])</f>
        <v>0</v>
      </c>
      <c r="Z137" s="439">
        <f>IF(NFI_Expiration=1,IF($A137&lt;VLOOKUP(K$5,NFI,5,0),1,0)*Table_NFI[[#This Row],[Mosquito net]],Table_NFI[Mosquito net])</f>
        <v>0</v>
      </c>
      <c r="AA137" s="439">
        <f>IF(NFI_Expiration=1,IF($A137&lt;VLOOKUP(L$5,NFI,5,0),1,0)*Table_NFI[[#This Row],[Tarpaulin]],Table_NFI[[#This Row],[Tarpaulin]])</f>
        <v>0</v>
      </c>
      <c r="AB137" s="439">
        <f>IF(NFI_Expiration=1,IF($A137&lt;VLOOKUP(M$5,NFI,5,0),1,0)*Table_NFI[[#This Row],[Blanket]],Table_NFI[[#This Row],[Blanket]])</f>
        <v>0</v>
      </c>
      <c r="AC137" s="439">
        <f>IF(NFI_Expiration=1,IF($A137&lt;VLOOKUP(N$5,NFI,5,0),1,0)*Table_NFI[[#This Row],[Kitchen Set]],Table_NFI[Kitchen Set])</f>
        <v>0</v>
      </c>
      <c r="AD137" s="439">
        <f>IF(NFI_Expiration=1,IF($A137&lt;VLOOKUP(O$5,NFI,5,0),1,0)*Table_NFI[[#This Row],[Clothes Kit]],Table_NFI[Clothes Kit])</f>
        <v>0</v>
      </c>
      <c r="AE137" s="439">
        <f>IF(NFI_Expiration=1,IF($A137&lt;VLOOKUP(P$5,NFI,5,0),1,0)*Table_NFI[[#This Row],[Plastic Bucket]],Table_NFI[Plastic Bucket])</f>
        <v>0</v>
      </c>
      <c r="AF137" s="439">
        <f>IF(NFI_Expiration=1,IF($A137&lt;VLOOKUP(Q$5,NFI,5,0),1,0)*Table_NFI[[#This Row],[Plastic Mat]],Table_NFI[Plastic Mat])*IF(Table_NFI[[#This Row],[Distribution Date]]&gt;"2014-04-01",1,2.5)</f>
        <v>0</v>
      </c>
      <c r="AG137" s="439">
        <f>IF(NFI_Expiration=1,IF($A137&lt;VLOOKUP(R$5,NFI,5,0),1,0)*Table_NFI[[#This Row],[Winter Clothes Adult]],Table_NFI[Winter Clothes Adult])</f>
        <v>0</v>
      </c>
      <c r="AH137" s="439">
        <f>IF(NFI_Expiration=1,IF($A137&lt;VLOOKUP(S$5,NFI,5,0),1,0)*Table_NFI[[#This Row],[Winter Clothes Children]],Table_NFI[Winter Clothes Children])</f>
        <v>0</v>
      </c>
      <c r="AI137" s="439">
        <f>IF(NFI_Expiration=1,IF($A137&lt;VLOOKUP(T$5,NFI,5,0),1,0)*Table_NFI[[#This Row],[Winter Items Other]],Table_NFI[Winter Items Other])</f>
        <v>0</v>
      </c>
      <c r="AJ137" s="439">
        <f>IF(NFI_Expiration=1,IF($A137&lt;VLOOKUP(M$5,NFI,5,0),1,0)*Table_NFI[[#This Row],[Winter Blanket]],Table_NFI[[#This Row],[Winter Blanket]])</f>
        <v>0</v>
      </c>
      <c r="AK137" s="439">
        <f>IF(Table_NFI[[#This Row],[Winter Clothes Adult]]+Table_NFI[[#This Row],[Winter Clothes Children]]+Table_NFI[[#This Row],[Winter Items Other]]+Table_NFI[[#This Row],[Winter Blanket]]&gt;0,1,0)</f>
        <v>0</v>
      </c>
      <c r="AL137" s="439">
        <f>IF(NFI_Expiration=1,IF($A137&lt;VLOOKUP(V$5,NFI,5,0),1,0)*Table_NFI[[#This Row],[Jerry Can]],Table_NFI[Jerry Can])</f>
        <v>0</v>
      </c>
      <c r="AM137" s="791" t="str">
        <f>IFERROR(VLOOKUP(Table_NFI[[#This Row],[Camp Name]],CL,2,0),"")</f>
        <v>MMR001CMP028</v>
      </c>
      <c r="AN137" s="782">
        <f ca="1">IF(Table_NFI[[#This Row],[Pcode]]="","",IF(OFFSET(CampList[Opening Date],MATCH(Table_NFI[[#This Row],[Pcode]],CampList[CP_Pcode],0)-1,0,1,1)&gt;=NFI_Monitor_Date,1,0))</f>
        <v>0</v>
      </c>
      <c r="AO137" s="791" t="str">
        <f>IFERROR(VLOOKUP(Table_NFI[[#This Row],[Camp Name]],CL,3,0),"")</f>
        <v>Open</v>
      </c>
      <c r="AP137" s="439" t="str">
        <f ca="1">IF(Table_NFI[[#This Row],[Pcode]]="","",OFFSET(CampList[Priority],MATCH(Table_NFI[[#This Row],[Pcode]],CampList[CP_Pcode],0)-1,0,1,1))</f>
        <v>P4</v>
      </c>
      <c r="AQ137" s="438">
        <f>IFERROR(Table_NFI[[#This Row],[Kitchen Set]]/VLOOKUP(Table_NFI[[#This Row],[Camp Name]],CL,4,0),"")</f>
        <v>0</v>
      </c>
      <c r="AR137" s="789"/>
      <c r="AS137" s="792"/>
    </row>
    <row r="138" spans="1:45" s="136" customFormat="1" x14ac:dyDescent="0.25">
      <c r="A138" s="455">
        <f t="shared" si="2"/>
        <v>13.2</v>
      </c>
      <c r="B138" s="778">
        <v>41913</v>
      </c>
      <c r="C138" s="779" t="s">
        <v>454</v>
      </c>
      <c r="D138" s="789" t="s">
        <v>507</v>
      </c>
      <c r="E138" s="789" t="s">
        <v>380</v>
      </c>
      <c r="F138" s="789" t="s">
        <v>529</v>
      </c>
      <c r="G138" s="789" t="s">
        <v>44</v>
      </c>
      <c r="H138" s="437"/>
      <c r="I138" s="437"/>
      <c r="J138" s="437"/>
      <c r="K138" s="437">
        <v>20</v>
      </c>
      <c r="L138" s="437"/>
      <c r="M138" s="437"/>
      <c r="N138" s="437"/>
      <c r="O138" s="437"/>
      <c r="P138" s="439"/>
      <c r="Q138" s="439"/>
      <c r="R138" s="439"/>
      <c r="S138" s="439"/>
      <c r="T138" s="439"/>
      <c r="U138" s="439"/>
      <c r="V138" s="439"/>
      <c r="W138" s="439">
        <f>IF(NFI_Expiration=1,IF($A138&lt;VLOOKUP(H$5,NFI,5,0),1,0)*Table_NFI[[#This Row],[Hygiene Kit]],Table_NFI[Hygiene Kit])</f>
        <v>0</v>
      </c>
      <c r="X138" s="439">
        <f>IF(NFI_Expiration=1,IF($A138&lt;VLOOKUP(I$5,NFI,5,0),1,0)*Table_NFI[[#This Row],[NFI Core Kit]],Table_NFI[NFI Core Kit])</f>
        <v>0</v>
      </c>
      <c r="Y138" s="439">
        <f>IF(NFI_Expiration=1,IF($A138&lt;VLOOKUP(J$5,NFI,5,0),1,0)*Table_NFI[[#This Row],[Sanitary Kit]],Table_NFI[Sanitary Kit])</f>
        <v>0</v>
      </c>
      <c r="Z138" s="439">
        <f>IF(NFI_Expiration=1,IF($A138&lt;VLOOKUP(K$5,NFI,5,0),1,0)*Table_NFI[[#This Row],[Mosquito net]],Table_NFI[Mosquito net])</f>
        <v>0</v>
      </c>
      <c r="AA138" s="439">
        <f>IF(NFI_Expiration=1,IF($A138&lt;VLOOKUP(L$5,NFI,5,0),1,0)*Table_NFI[[#This Row],[Tarpaulin]],Table_NFI[[#This Row],[Tarpaulin]])</f>
        <v>0</v>
      </c>
      <c r="AB138" s="439">
        <f>IF(NFI_Expiration=1,IF($A138&lt;VLOOKUP(M$5,NFI,5,0),1,0)*Table_NFI[[#This Row],[Blanket]],Table_NFI[[#This Row],[Blanket]])</f>
        <v>0</v>
      </c>
      <c r="AC138" s="439">
        <f>IF(NFI_Expiration=1,IF($A138&lt;VLOOKUP(N$5,NFI,5,0),1,0)*Table_NFI[[#This Row],[Kitchen Set]],Table_NFI[Kitchen Set])</f>
        <v>0</v>
      </c>
      <c r="AD138" s="439">
        <f>IF(NFI_Expiration=1,IF($A138&lt;VLOOKUP(O$5,NFI,5,0),1,0)*Table_NFI[[#This Row],[Clothes Kit]],Table_NFI[Clothes Kit])</f>
        <v>0</v>
      </c>
      <c r="AE138" s="439">
        <f>IF(NFI_Expiration=1,IF($A138&lt;VLOOKUP(P$5,NFI,5,0),1,0)*Table_NFI[[#This Row],[Plastic Bucket]],Table_NFI[Plastic Bucket])</f>
        <v>0</v>
      </c>
      <c r="AF138" s="439">
        <f>IF(NFI_Expiration=1,IF($A138&lt;VLOOKUP(Q$5,NFI,5,0),1,0)*Table_NFI[[#This Row],[Plastic Mat]],Table_NFI[Plastic Mat])*IF(Table_NFI[[#This Row],[Distribution Date]]&gt;"2014-04-01",1,2.5)</f>
        <v>0</v>
      </c>
      <c r="AG138" s="439">
        <f>IF(NFI_Expiration=1,IF($A138&lt;VLOOKUP(R$5,NFI,5,0),1,0)*Table_NFI[[#This Row],[Winter Clothes Adult]],Table_NFI[Winter Clothes Adult])</f>
        <v>0</v>
      </c>
      <c r="AH138" s="439">
        <f>IF(NFI_Expiration=1,IF($A138&lt;VLOOKUP(S$5,NFI,5,0),1,0)*Table_NFI[[#This Row],[Winter Clothes Children]],Table_NFI[Winter Clothes Children])</f>
        <v>0</v>
      </c>
      <c r="AI138" s="439">
        <f>IF(NFI_Expiration=1,IF($A138&lt;VLOOKUP(T$5,NFI,5,0),1,0)*Table_NFI[[#This Row],[Winter Items Other]],Table_NFI[Winter Items Other])</f>
        <v>0</v>
      </c>
      <c r="AJ138" s="439">
        <f>IF(NFI_Expiration=1,IF($A138&lt;VLOOKUP(M$5,NFI,5,0),1,0)*Table_NFI[[#This Row],[Winter Blanket]],Table_NFI[[#This Row],[Winter Blanket]])</f>
        <v>0</v>
      </c>
      <c r="AK138" s="439">
        <f>IF(Table_NFI[[#This Row],[Winter Clothes Adult]]+Table_NFI[[#This Row],[Winter Clothes Children]]+Table_NFI[[#This Row],[Winter Items Other]]+Table_NFI[[#This Row],[Winter Blanket]]&gt;0,1,0)</f>
        <v>0</v>
      </c>
      <c r="AL138" s="439">
        <f>IF(NFI_Expiration=1,IF($A138&lt;VLOOKUP(V$5,NFI,5,0),1,0)*Table_NFI[[#This Row],[Jerry Can]],Table_NFI[Jerry Can])</f>
        <v>0</v>
      </c>
      <c r="AM138" s="791" t="str">
        <f>IFERROR(VLOOKUP(Table_NFI[[#This Row],[Camp Name]],CL,2,0),"")</f>
        <v>MMR001CMP191</v>
      </c>
      <c r="AN138" s="782">
        <f ca="1">IF(Table_NFI[[#This Row],[Pcode]]="","",IF(OFFSET(CampList[Opening Date],MATCH(Table_NFI[[#This Row],[Pcode]],CampList[CP_Pcode],0)-1,0,1,1)&gt;=NFI_Monitor_Date,1,0))</f>
        <v>0</v>
      </c>
      <c r="AO138" s="791" t="str">
        <f>IFERROR(VLOOKUP(Table_NFI[[#This Row],[Camp Name]],CL,3,0),"")</f>
        <v>Open</v>
      </c>
      <c r="AP138" s="439" t="str">
        <f ca="1">IF(Table_NFI[[#This Row],[Pcode]]="","",OFFSET(CampList[Priority],MATCH(Table_NFI[[#This Row],[Pcode]],CampList[CP_Pcode],0)-1,0,1,1))</f>
        <v>P4</v>
      </c>
      <c r="AQ138" s="438">
        <f>IFERROR(Table_NFI[[#This Row],[Kitchen Set]]/VLOOKUP(Table_NFI[[#This Row],[Camp Name]],CL,4,0),"")</f>
        <v>0</v>
      </c>
      <c r="AR138" s="789"/>
      <c r="AS138" s="792"/>
    </row>
    <row r="139" spans="1:45" s="136" customFormat="1" x14ac:dyDescent="0.25">
      <c r="A139" s="455">
        <f t="shared" si="2"/>
        <v>13.2</v>
      </c>
      <c r="B139" s="778">
        <v>41913</v>
      </c>
      <c r="C139" s="779" t="s">
        <v>454</v>
      </c>
      <c r="D139" s="789" t="s">
        <v>508</v>
      </c>
      <c r="E139" s="789" t="s">
        <v>380</v>
      </c>
      <c r="F139" s="789" t="s">
        <v>237</v>
      </c>
      <c r="G139" s="789" t="s">
        <v>255</v>
      </c>
      <c r="H139" s="437"/>
      <c r="I139" s="437"/>
      <c r="J139" s="437"/>
      <c r="K139" s="437">
        <v>218</v>
      </c>
      <c r="L139" s="437"/>
      <c r="M139" s="437"/>
      <c r="N139" s="437"/>
      <c r="O139" s="437"/>
      <c r="P139" s="439"/>
      <c r="Q139" s="439"/>
      <c r="R139" s="439"/>
      <c r="S139" s="439"/>
      <c r="T139" s="439"/>
      <c r="U139" s="439"/>
      <c r="V139" s="439"/>
      <c r="W139" s="439">
        <f>IF(NFI_Expiration=1,IF($A139&lt;VLOOKUP(H$5,NFI,5,0),1,0)*Table_NFI[[#This Row],[Hygiene Kit]],Table_NFI[Hygiene Kit])</f>
        <v>0</v>
      </c>
      <c r="X139" s="439">
        <f>IF(NFI_Expiration=1,IF($A139&lt;VLOOKUP(I$5,NFI,5,0),1,0)*Table_NFI[[#This Row],[NFI Core Kit]],Table_NFI[NFI Core Kit])</f>
        <v>0</v>
      </c>
      <c r="Y139" s="439">
        <f>IF(NFI_Expiration=1,IF($A139&lt;VLOOKUP(J$5,NFI,5,0),1,0)*Table_NFI[[#This Row],[Sanitary Kit]],Table_NFI[Sanitary Kit])</f>
        <v>0</v>
      </c>
      <c r="Z139" s="439">
        <f>IF(NFI_Expiration=1,IF($A139&lt;VLOOKUP(K$5,NFI,5,0),1,0)*Table_NFI[[#This Row],[Mosquito net]],Table_NFI[Mosquito net])</f>
        <v>0</v>
      </c>
      <c r="AA139" s="439">
        <f>IF(NFI_Expiration=1,IF($A139&lt;VLOOKUP(L$5,NFI,5,0),1,0)*Table_NFI[[#This Row],[Tarpaulin]],Table_NFI[[#This Row],[Tarpaulin]])</f>
        <v>0</v>
      </c>
      <c r="AB139" s="439">
        <f>IF(NFI_Expiration=1,IF($A139&lt;VLOOKUP(M$5,NFI,5,0),1,0)*Table_NFI[[#This Row],[Blanket]],Table_NFI[[#This Row],[Blanket]])</f>
        <v>0</v>
      </c>
      <c r="AC139" s="439">
        <f>IF(NFI_Expiration=1,IF($A139&lt;VLOOKUP(N$5,NFI,5,0),1,0)*Table_NFI[[#This Row],[Kitchen Set]],Table_NFI[Kitchen Set])</f>
        <v>0</v>
      </c>
      <c r="AD139" s="439">
        <f>IF(NFI_Expiration=1,IF($A139&lt;VLOOKUP(O$5,NFI,5,0),1,0)*Table_NFI[[#This Row],[Clothes Kit]],Table_NFI[Clothes Kit])</f>
        <v>0</v>
      </c>
      <c r="AE139" s="439">
        <f>IF(NFI_Expiration=1,IF($A139&lt;VLOOKUP(P$5,NFI,5,0),1,0)*Table_NFI[[#This Row],[Plastic Bucket]],Table_NFI[Plastic Bucket])</f>
        <v>0</v>
      </c>
      <c r="AF139" s="439">
        <f>IF(NFI_Expiration=1,IF($A139&lt;VLOOKUP(Q$5,NFI,5,0),1,0)*Table_NFI[[#This Row],[Plastic Mat]],Table_NFI[Plastic Mat])*IF(Table_NFI[[#This Row],[Distribution Date]]&gt;"2014-04-01",1,2.5)</f>
        <v>0</v>
      </c>
      <c r="AG139" s="439">
        <f>IF(NFI_Expiration=1,IF($A139&lt;VLOOKUP(R$5,NFI,5,0),1,0)*Table_NFI[[#This Row],[Winter Clothes Adult]],Table_NFI[Winter Clothes Adult])</f>
        <v>0</v>
      </c>
      <c r="AH139" s="439">
        <f>IF(NFI_Expiration=1,IF($A139&lt;VLOOKUP(S$5,NFI,5,0),1,0)*Table_NFI[[#This Row],[Winter Clothes Children]],Table_NFI[Winter Clothes Children])</f>
        <v>0</v>
      </c>
      <c r="AI139" s="439">
        <f>IF(NFI_Expiration=1,IF($A139&lt;VLOOKUP(T$5,NFI,5,0),1,0)*Table_NFI[[#This Row],[Winter Items Other]],Table_NFI[Winter Items Other])</f>
        <v>0</v>
      </c>
      <c r="AJ139" s="439">
        <f>IF(NFI_Expiration=1,IF($A139&lt;VLOOKUP(M$5,NFI,5,0),1,0)*Table_NFI[[#This Row],[Winter Blanket]],Table_NFI[[#This Row],[Winter Blanket]])</f>
        <v>0</v>
      </c>
      <c r="AK139" s="439">
        <f>IF(Table_NFI[[#This Row],[Winter Clothes Adult]]+Table_NFI[[#This Row],[Winter Clothes Children]]+Table_NFI[[#This Row],[Winter Items Other]]+Table_NFI[[#This Row],[Winter Blanket]]&gt;0,1,0)</f>
        <v>0</v>
      </c>
      <c r="AL139" s="439">
        <f>IF(NFI_Expiration=1,IF($A139&lt;VLOOKUP(V$5,NFI,5,0),1,0)*Table_NFI[[#This Row],[Jerry Can]],Table_NFI[Jerry Can])</f>
        <v>0</v>
      </c>
      <c r="AM139" s="791" t="str">
        <f>IFERROR(VLOOKUP(Table_NFI[[#This Row],[Camp Name]],CL,2,0),"")</f>
        <v>MMR001CMP019</v>
      </c>
      <c r="AN139" s="782">
        <f ca="1">IF(Table_NFI[[#This Row],[Pcode]]="","",IF(OFFSET(CampList[Opening Date],MATCH(Table_NFI[[#This Row],[Pcode]],CampList[CP_Pcode],0)-1,0,1,1)&gt;=NFI_Monitor_Date,1,0))</f>
        <v>0</v>
      </c>
      <c r="AO139" s="791" t="str">
        <f>IFERROR(VLOOKUP(Table_NFI[[#This Row],[Camp Name]],CL,3,0),"")</f>
        <v>Open</v>
      </c>
      <c r="AP139" s="439" t="str">
        <f ca="1">IF(Table_NFI[[#This Row],[Pcode]]="","",OFFSET(CampList[Priority],MATCH(Table_NFI[[#This Row],[Pcode]],CampList[CP_Pcode],0)-1,0,1,1))</f>
        <v>P4</v>
      </c>
      <c r="AQ139" s="438">
        <f>IFERROR(Table_NFI[[#This Row],[Kitchen Set]]/VLOOKUP(Table_NFI[[#This Row],[Camp Name]],CL,4,0),"")</f>
        <v>0</v>
      </c>
      <c r="AR139" s="789"/>
      <c r="AS139" s="792"/>
    </row>
    <row r="140" spans="1:45" s="136" customFormat="1" x14ac:dyDescent="0.25">
      <c r="A140" s="455">
        <f t="shared" si="2"/>
        <v>13.2</v>
      </c>
      <c r="B140" s="778">
        <v>41913</v>
      </c>
      <c r="C140" s="779" t="s">
        <v>454</v>
      </c>
      <c r="D140" s="789" t="s">
        <v>507</v>
      </c>
      <c r="E140" s="789" t="s">
        <v>380</v>
      </c>
      <c r="F140" s="789" t="s">
        <v>27</v>
      </c>
      <c r="G140" s="789" t="s">
        <v>365</v>
      </c>
      <c r="H140" s="437"/>
      <c r="I140" s="437"/>
      <c r="J140" s="437"/>
      <c r="K140" s="437">
        <v>278</v>
      </c>
      <c r="L140" s="437"/>
      <c r="M140" s="437"/>
      <c r="N140" s="437"/>
      <c r="O140" s="437"/>
      <c r="P140" s="439"/>
      <c r="Q140" s="439"/>
      <c r="R140" s="439"/>
      <c r="S140" s="439"/>
      <c r="T140" s="439"/>
      <c r="U140" s="439">
        <v>278</v>
      </c>
      <c r="V140" s="439"/>
      <c r="W140" s="439">
        <f>IF(NFI_Expiration=1,IF($A140&lt;VLOOKUP(H$5,NFI,5,0),1,0)*Table_NFI[[#This Row],[Hygiene Kit]],Table_NFI[Hygiene Kit])</f>
        <v>0</v>
      </c>
      <c r="X140" s="439">
        <f>IF(NFI_Expiration=1,IF($A140&lt;VLOOKUP(I$5,NFI,5,0),1,0)*Table_NFI[[#This Row],[NFI Core Kit]],Table_NFI[NFI Core Kit])</f>
        <v>0</v>
      </c>
      <c r="Y140" s="439">
        <f>IF(NFI_Expiration=1,IF($A140&lt;VLOOKUP(J$5,NFI,5,0),1,0)*Table_NFI[[#This Row],[Sanitary Kit]],Table_NFI[Sanitary Kit])</f>
        <v>0</v>
      </c>
      <c r="Z140" s="439">
        <f>IF(NFI_Expiration=1,IF($A140&lt;VLOOKUP(K$5,NFI,5,0),1,0)*Table_NFI[[#This Row],[Mosquito net]],Table_NFI[Mosquito net])</f>
        <v>0</v>
      </c>
      <c r="AA140" s="439">
        <f>IF(NFI_Expiration=1,IF($A140&lt;VLOOKUP(L$5,NFI,5,0),1,0)*Table_NFI[[#This Row],[Tarpaulin]],Table_NFI[[#This Row],[Tarpaulin]])</f>
        <v>0</v>
      </c>
      <c r="AB140" s="439">
        <f>IF(NFI_Expiration=1,IF($A140&lt;VLOOKUP(M$5,NFI,5,0),1,0)*Table_NFI[[#This Row],[Blanket]],Table_NFI[[#This Row],[Blanket]])</f>
        <v>0</v>
      </c>
      <c r="AC140" s="439">
        <f>IF(NFI_Expiration=1,IF($A140&lt;VLOOKUP(N$5,NFI,5,0),1,0)*Table_NFI[[#This Row],[Kitchen Set]],Table_NFI[Kitchen Set])</f>
        <v>0</v>
      </c>
      <c r="AD140" s="439">
        <f>IF(NFI_Expiration=1,IF($A140&lt;VLOOKUP(O$5,NFI,5,0),1,0)*Table_NFI[[#This Row],[Clothes Kit]],Table_NFI[Clothes Kit])</f>
        <v>0</v>
      </c>
      <c r="AE140" s="439">
        <f>IF(NFI_Expiration=1,IF($A140&lt;VLOOKUP(P$5,NFI,5,0),1,0)*Table_NFI[[#This Row],[Plastic Bucket]],Table_NFI[Plastic Bucket])</f>
        <v>0</v>
      </c>
      <c r="AF140" s="439">
        <f>IF(NFI_Expiration=1,IF($A140&lt;VLOOKUP(Q$5,NFI,5,0),1,0)*Table_NFI[[#This Row],[Plastic Mat]],Table_NFI[Plastic Mat])*IF(Table_NFI[[#This Row],[Distribution Date]]&gt;"2014-04-01",1,2.5)</f>
        <v>0</v>
      </c>
      <c r="AG140" s="439">
        <f>IF(NFI_Expiration=1,IF($A140&lt;VLOOKUP(R$5,NFI,5,0),1,0)*Table_NFI[[#This Row],[Winter Clothes Adult]],Table_NFI[Winter Clothes Adult])</f>
        <v>0</v>
      </c>
      <c r="AH140" s="439">
        <f>IF(NFI_Expiration=1,IF($A140&lt;VLOOKUP(S$5,NFI,5,0),1,0)*Table_NFI[[#This Row],[Winter Clothes Children]],Table_NFI[Winter Clothes Children])</f>
        <v>0</v>
      </c>
      <c r="AI140" s="439">
        <f>IF(NFI_Expiration=1,IF($A140&lt;VLOOKUP(T$5,NFI,5,0),1,0)*Table_NFI[[#This Row],[Winter Items Other]],Table_NFI[Winter Items Other])</f>
        <v>0</v>
      </c>
      <c r="AJ140" s="439">
        <f>IF(NFI_Expiration=1,IF($A140&lt;VLOOKUP(M$5,NFI,5,0),1,0)*Table_NFI[[#This Row],[Winter Blanket]],Table_NFI[[#This Row],[Winter Blanket]])</f>
        <v>0</v>
      </c>
      <c r="AK140" s="439">
        <f>IF(Table_NFI[[#This Row],[Winter Clothes Adult]]+Table_NFI[[#This Row],[Winter Clothes Children]]+Table_NFI[[#This Row],[Winter Items Other]]+Table_NFI[[#This Row],[Winter Blanket]]&gt;0,1,0)</f>
        <v>1</v>
      </c>
      <c r="AL140" s="439">
        <f>IF(NFI_Expiration=1,IF($A140&lt;VLOOKUP(V$5,NFI,5,0),1,0)*Table_NFI[[#This Row],[Jerry Can]],Table_NFI[Jerry Can])</f>
        <v>0</v>
      </c>
      <c r="AM140" s="791" t="str">
        <f>IFERROR(VLOOKUP(Table_NFI[[#This Row],[Camp Name]],CL,2,0),"")</f>
        <v>MMR001CMP195</v>
      </c>
      <c r="AN140" s="782">
        <f ca="1">IF(Table_NFI[[#This Row],[Pcode]]="","",IF(OFFSET(CampList[Opening Date],MATCH(Table_NFI[[#This Row],[Pcode]],CampList[CP_Pcode],0)-1,0,1,1)&gt;=NFI_Monitor_Date,1,0))</f>
        <v>0</v>
      </c>
      <c r="AO140" s="791" t="str">
        <f>IFERROR(VLOOKUP(Table_NFI[[#This Row],[Camp Name]],CL,3,0),"")</f>
        <v>Open</v>
      </c>
      <c r="AP140" s="439" t="str">
        <f ca="1">IF(Table_NFI[[#This Row],[Pcode]]="","",OFFSET(CampList[Priority],MATCH(Table_NFI[[#This Row],[Pcode]],CampList[CP_Pcode],0)-1,0,1,1))</f>
        <v>P1</v>
      </c>
      <c r="AQ140" s="438">
        <f>IFERROR(Table_NFI[[#This Row],[Kitchen Set]]/VLOOKUP(Table_NFI[[#This Row],[Camp Name]],CL,4,0),"")</f>
        <v>0</v>
      </c>
      <c r="AR140" s="789"/>
      <c r="AS140" s="792"/>
    </row>
    <row r="141" spans="1:45" s="136" customFormat="1" x14ac:dyDescent="0.25">
      <c r="A141" s="455">
        <f t="shared" si="2"/>
        <v>13.2</v>
      </c>
      <c r="B141" s="778">
        <v>41913</v>
      </c>
      <c r="C141" s="779" t="s">
        <v>454</v>
      </c>
      <c r="D141" s="789" t="s">
        <v>507</v>
      </c>
      <c r="E141" s="789" t="s">
        <v>380</v>
      </c>
      <c r="F141" s="789" t="s">
        <v>529</v>
      </c>
      <c r="G141" s="789" t="s">
        <v>90</v>
      </c>
      <c r="H141" s="437"/>
      <c r="I141" s="437"/>
      <c r="J141" s="437"/>
      <c r="K141" s="437">
        <v>40</v>
      </c>
      <c r="L141" s="437"/>
      <c r="M141" s="437"/>
      <c r="N141" s="437"/>
      <c r="O141" s="437"/>
      <c r="P141" s="439"/>
      <c r="Q141" s="439"/>
      <c r="R141" s="439"/>
      <c r="S141" s="439"/>
      <c r="T141" s="439"/>
      <c r="U141" s="439"/>
      <c r="V141" s="439"/>
      <c r="W141" s="439">
        <f>IF(NFI_Expiration=1,IF($A141&lt;VLOOKUP(H$5,NFI,5,0),1,0)*Table_NFI[[#This Row],[Hygiene Kit]],Table_NFI[Hygiene Kit])</f>
        <v>0</v>
      </c>
      <c r="X141" s="439">
        <f>IF(NFI_Expiration=1,IF($A141&lt;VLOOKUP(I$5,NFI,5,0),1,0)*Table_NFI[[#This Row],[NFI Core Kit]],Table_NFI[NFI Core Kit])</f>
        <v>0</v>
      </c>
      <c r="Y141" s="439">
        <f>IF(NFI_Expiration=1,IF($A141&lt;VLOOKUP(J$5,NFI,5,0),1,0)*Table_NFI[[#This Row],[Sanitary Kit]],Table_NFI[Sanitary Kit])</f>
        <v>0</v>
      </c>
      <c r="Z141" s="439">
        <f>IF(NFI_Expiration=1,IF($A141&lt;VLOOKUP(K$5,NFI,5,0),1,0)*Table_NFI[[#This Row],[Mosquito net]],Table_NFI[Mosquito net])</f>
        <v>0</v>
      </c>
      <c r="AA141" s="439">
        <f>IF(NFI_Expiration=1,IF($A141&lt;VLOOKUP(L$5,NFI,5,0),1,0)*Table_NFI[[#This Row],[Tarpaulin]],Table_NFI[[#This Row],[Tarpaulin]])</f>
        <v>0</v>
      </c>
      <c r="AB141" s="439">
        <f>IF(NFI_Expiration=1,IF($A141&lt;VLOOKUP(M$5,NFI,5,0),1,0)*Table_NFI[[#This Row],[Blanket]],Table_NFI[[#This Row],[Blanket]])</f>
        <v>0</v>
      </c>
      <c r="AC141" s="439">
        <f>IF(NFI_Expiration=1,IF($A141&lt;VLOOKUP(N$5,NFI,5,0),1,0)*Table_NFI[[#This Row],[Kitchen Set]],Table_NFI[Kitchen Set])</f>
        <v>0</v>
      </c>
      <c r="AD141" s="439">
        <f>IF(NFI_Expiration=1,IF($A141&lt;VLOOKUP(O$5,NFI,5,0),1,0)*Table_NFI[[#This Row],[Clothes Kit]],Table_NFI[Clothes Kit])</f>
        <v>0</v>
      </c>
      <c r="AE141" s="439">
        <f>IF(NFI_Expiration=1,IF($A141&lt;VLOOKUP(P$5,NFI,5,0),1,0)*Table_NFI[[#This Row],[Plastic Bucket]],Table_NFI[Plastic Bucket])</f>
        <v>0</v>
      </c>
      <c r="AF141" s="439">
        <f>IF(NFI_Expiration=1,IF($A141&lt;VLOOKUP(Q$5,NFI,5,0),1,0)*Table_NFI[[#This Row],[Plastic Mat]],Table_NFI[Plastic Mat])*IF(Table_NFI[[#This Row],[Distribution Date]]&gt;"2014-04-01",1,2.5)</f>
        <v>0</v>
      </c>
      <c r="AG141" s="439">
        <f>IF(NFI_Expiration=1,IF($A141&lt;VLOOKUP(R$5,NFI,5,0),1,0)*Table_NFI[[#This Row],[Winter Clothes Adult]],Table_NFI[Winter Clothes Adult])</f>
        <v>0</v>
      </c>
      <c r="AH141" s="439">
        <f>IF(NFI_Expiration=1,IF($A141&lt;VLOOKUP(S$5,NFI,5,0),1,0)*Table_NFI[[#This Row],[Winter Clothes Children]],Table_NFI[Winter Clothes Children])</f>
        <v>0</v>
      </c>
      <c r="AI141" s="439">
        <f>IF(NFI_Expiration=1,IF($A141&lt;VLOOKUP(T$5,NFI,5,0),1,0)*Table_NFI[[#This Row],[Winter Items Other]],Table_NFI[Winter Items Other])</f>
        <v>0</v>
      </c>
      <c r="AJ141" s="439">
        <f>IF(NFI_Expiration=1,IF($A141&lt;VLOOKUP(M$5,NFI,5,0),1,0)*Table_NFI[[#This Row],[Winter Blanket]],Table_NFI[[#This Row],[Winter Blanket]])</f>
        <v>0</v>
      </c>
      <c r="AK141" s="439">
        <f>IF(Table_NFI[[#This Row],[Winter Clothes Adult]]+Table_NFI[[#This Row],[Winter Clothes Children]]+Table_NFI[[#This Row],[Winter Items Other]]+Table_NFI[[#This Row],[Winter Blanket]]&gt;0,1,0)</f>
        <v>0</v>
      </c>
      <c r="AL141" s="439">
        <f>IF(NFI_Expiration=1,IF($A141&lt;VLOOKUP(V$5,NFI,5,0),1,0)*Table_NFI[[#This Row],[Jerry Can]],Table_NFI[Jerry Can])</f>
        <v>0</v>
      </c>
      <c r="AM141" s="791" t="str">
        <f>IFERROR(VLOOKUP(Table_NFI[[#This Row],[Camp Name]],CL,2,0),"")</f>
        <v>MMR001CMP181</v>
      </c>
      <c r="AN141" s="782">
        <f ca="1">IF(Table_NFI[[#This Row],[Pcode]]="","",IF(OFFSET(CampList[Opening Date],MATCH(Table_NFI[[#This Row],[Pcode]],CampList[CP_Pcode],0)-1,0,1,1)&gt;=NFI_Monitor_Date,1,0))</f>
        <v>0</v>
      </c>
      <c r="AO141" s="791" t="str">
        <f>IFERROR(VLOOKUP(Table_NFI[[#This Row],[Camp Name]],CL,3,0),"")</f>
        <v>Open</v>
      </c>
      <c r="AP141" s="439" t="str">
        <f ca="1">IF(Table_NFI[[#This Row],[Pcode]]="","",OFFSET(CampList[Priority],MATCH(Table_NFI[[#This Row],[Pcode]],CampList[CP_Pcode],0)-1,0,1,1))</f>
        <v>P4</v>
      </c>
      <c r="AQ141" s="438">
        <f>IFERROR(Table_NFI[[#This Row],[Kitchen Set]]/VLOOKUP(Table_NFI[[#This Row],[Camp Name]],CL,4,0),"")</f>
        <v>0</v>
      </c>
      <c r="AR141" s="789"/>
      <c r="AS141" s="792"/>
    </row>
    <row r="142" spans="1:45" s="136" customFormat="1" x14ac:dyDescent="0.25">
      <c r="A142" s="455">
        <f t="shared" si="2"/>
        <v>13.2</v>
      </c>
      <c r="B142" s="778">
        <v>41913</v>
      </c>
      <c r="C142" s="779" t="s">
        <v>454</v>
      </c>
      <c r="D142" s="789" t="s">
        <v>507</v>
      </c>
      <c r="E142" s="789" t="s">
        <v>380</v>
      </c>
      <c r="F142" s="789" t="s">
        <v>529</v>
      </c>
      <c r="G142" s="789" t="s">
        <v>92</v>
      </c>
      <c r="H142" s="437"/>
      <c r="I142" s="437"/>
      <c r="J142" s="437"/>
      <c r="K142" s="437">
        <v>16</v>
      </c>
      <c r="L142" s="437"/>
      <c r="M142" s="437"/>
      <c r="N142" s="437"/>
      <c r="O142" s="437"/>
      <c r="P142" s="439"/>
      <c r="Q142" s="439"/>
      <c r="R142" s="439"/>
      <c r="S142" s="439"/>
      <c r="T142" s="439"/>
      <c r="U142" s="439"/>
      <c r="V142" s="439"/>
      <c r="W142" s="439">
        <f>IF(NFI_Expiration=1,IF($A142&lt;VLOOKUP(H$5,NFI,5,0),1,0)*Table_NFI[[#This Row],[Hygiene Kit]],Table_NFI[Hygiene Kit])</f>
        <v>0</v>
      </c>
      <c r="X142" s="439">
        <f>IF(NFI_Expiration=1,IF($A142&lt;VLOOKUP(I$5,NFI,5,0),1,0)*Table_NFI[[#This Row],[NFI Core Kit]],Table_NFI[NFI Core Kit])</f>
        <v>0</v>
      </c>
      <c r="Y142" s="439">
        <f>IF(NFI_Expiration=1,IF($A142&lt;VLOOKUP(J$5,NFI,5,0),1,0)*Table_NFI[[#This Row],[Sanitary Kit]],Table_NFI[Sanitary Kit])</f>
        <v>0</v>
      </c>
      <c r="Z142" s="439">
        <f>IF(NFI_Expiration=1,IF($A142&lt;VLOOKUP(K$5,NFI,5,0),1,0)*Table_NFI[[#This Row],[Mosquito net]],Table_NFI[Mosquito net])</f>
        <v>0</v>
      </c>
      <c r="AA142" s="439">
        <f>IF(NFI_Expiration=1,IF($A142&lt;VLOOKUP(L$5,NFI,5,0),1,0)*Table_NFI[[#This Row],[Tarpaulin]],Table_NFI[[#This Row],[Tarpaulin]])</f>
        <v>0</v>
      </c>
      <c r="AB142" s="439">
        <f>IF(NFI_Expiration=1,IF($A142&lt;VLOOKUP(M$5,NFI,5,0),1,0)*Table_NFI[[#This Row],[Blanket]],Table_NFI[[#This Row],[Blanket]])</f>
        <v>0</v>
      </c>
      <c r="AC142" s="439">
        <f>IF(NFI_Expiration=1,IF($A142&lt;VLOOKUP(N$5,NFI,5,0),1,0)*Table_NFI[[#This Row],[Kitchen Set]],Table_NFI[Kitchen Set])</f>
        <v>0</v>
      </c>
      <c r="AD142" s="439">
        <f>IF(NFI_Expiration=1,IF($A142&lt;VLOOKUP(O$5,NFI,5,0),1,0)*Table_NFI[[#This Row],[Clothes Kit]],Table_NFI[Clothes Kit])</f>
        <v>0</v>
      </c>
      <c r="AE142" s="439">
        <f>IF(NFI_Expiration=1,IF($A142&lt;VLOOKUP(P$5,NFI,5,0),1,0)*Table_NFI[[#This Row],[Plastic Bucket]],Table_NFI[Plastic Bucket])</f>
        <v>0</v>
      </c>
      <c r="AF142" s="439">
        <f>IF(NFI_Expiration=1,IF($A142&lt;VLOOKUP(Q$5,NFI,5,0),1,0)*Table_NFI[[#This Row],[Plastic Mat]],Table_NFI[Plastic Mat])*IF(Table_NFI[[#This Row],[Distribution Date]]&gt;"2014-04-01",1,2.5)</f>
        <v>0</v>
      </c>
      <c r="AG142" s="439">
        <f>IF(NFI_Expiration=1,IF($A142&lt;VLOOKUP(R$5,NFI,5,0),1,0)*Table_NFI[[#This Row],[Winter Clothes Adult]],Table_NFI[Winter Clothes Adult])</f>
        <v>0</v>
      </c>
      <c r="AH142" s="439">
        <f>IF(NFI_Expiration=1,IF($A142&lt;VLOOKUP(S$5,NFI,5,0),1,0)*Table_NFI[[#This Row],[Winter Clothes Children]],Table_NFI[Winter Clothes Children])</f>
        <v>0</v>
      </c>
      <c r="AI142" s="439">
        <f>IF(NFI_Expiration=1,IF($A142&lt;VLOOKUP(T$5,NFI,5,0),1,0)*Table_NFI[[#This Row],[Winter Items Other]],Table_NFI[Winter Items Other])</f>
        <v>0</v>
      </c>
      <c r="AJ142" s="439">
        <f>IF(NFI_Expiration=1,IF($A142&lt;VLOOKUP(M$5,NFI,5,0),1,0)*Table_NFI[[#This Row],[Winter Blanket]],Table_NFI[[#This Row],[Winter Blanket]])</f>
        <v>0</v>
      </c>
      <c r="AK142" s="439">
        <f>IF(Table_NFI[[#This Row],[Winter Clothes Adult]]+Table_NFI[[#This Row],[Winter Clothes Children]]+Table_NFI[[#This Row],[Winter Items Other]]+Table_NFI[[#This Row],[Winter Blanket]]&gt;0,1,0)</f>
        <v>0</v>
      </c>
      <c r="AL142" s="439">
        <f>IF(NFI_Expiration=1,IF($A142&lt;VLOOKUP(V$5,NFI,5,0),1,0)*Table_NFI[[#This Row],[Jerry Can]],Table_NFI[Jerry Can])</f>
        <v>0</v>
      </c>
      <c r="AM142" s="791" t="str">
        <f>IFERROR(VLOOKUP(Table_NFI[[#This Row],[Camp Name]],CL,2,0),"")</f>
        <v>MMR001CMP167</v>
      </c>
      <c r="AN142" s="782">
        <f ca="1">IF(Table_NFI[[#This Row],[Pcode]]="","",IF(OFFSET(CampList[Opening Date],MATCH(Table_NFI[[#This Row],[Pcode]],CampList[CP_Pcode],0)-1,0,1,1)&gt;=NFI_Monitor_Date,1,0))</f>
        <v>0</v>
      </c>
      <c r="AO142" s="791" t="str">
        <f>IFERROR(VLOOKUP(Table_NFI[[#This Row],[Camp Name]],CL,3,0),"")</f>
        <v>Open</v>
      </c>
      <c r="AP142" s="439" t="str">
        <f ca="1">IF(Table_NFI[[#This Row],[Pcode]]="","",OFFSET(CampList[Priority],MATCH(Table_NFI[[#This Row],[Pcode]],CampList[CP_Pcode],0)-1,0,1,1))</f>
        <v>P4</v>
      </c>
      <c r="AQ142" s="438">
        <f>IFERROR(Table_NFI[[#This Row],[Kitchen Set]]/VLOOKUP(Table_NFI[[#This Row],[Camp Name]],CL,4,0),"")</f>
        <v>0</v>
      </c>
      <c r="AR142" s="789"/>
      <c r="AS142" s="792"/>
    </row>
    <row r="143" spans="1:45" s="136" customFormat="1" x14ac:dyDescent="0.25">
      <c r="A143" s="455">
        <f t="shared" si="2"/>
        <v>13.2</v>
      </c>
      <c r="B143" s="778">
        <v>41913</v>
      </c>
      <c r="C143" s="779" t="s">
        <v>454</v>
      </c>
      <c r="D143" s="789" t="s">
        <v>508</v>
      </c>
      <c r="E143" s="789" t="s">
        <v>380</v>
      </c>
      <c r="F143" s="789" t="s">
        <v>310</v>
      </c>
      <c r="G143" s="789" t="s">
        <v>322</v>
      </c>
      <c r="H143" s="437"/>
      <c r="I143" s="437"/>
      <c r="J143" s="437"/>
      <c r="K143" s="437">
        <v>1248</v>
      </c>
      <c r="L143" s="437"/>
      <c r="M143" s="437"/>
      <c r="N143" s="437"/>
      <c r="O143" s="437"/>
      <c r="P143" s="439"/>
      <c r="Q143" s="439"/>
      <c r="R143" s="439"/>
      <c r="S143" s="439"/>
      <c r="T143" s="439"/>
      <c r="U143" s="437">
        <v>1248</v>
      </c>
      <c r="V143" s="437"/>
      <c r="W143" s="439">
        <f>IF(NFI_Expiration=1,IF($A143&lt;VLOOKUP(H$5,NFI,5,0),1,0)*Table_NFI[[#This Row],[Hygiene Kit]],Table_NFI[Hygiene Kit])</f>
        <v>0</v>
      </c>
      <c r="X143" s="439">
        <f>IF(NFI_Expiration=1,IF($A143&lt;VLOOKUP(I$5,NFI,5,0),1,0)*Table_NFI[[#This Row],[NFI Core Kit]],Table_NFI[NFI Core Kit])</f>
        <v>0</v>
      </c>
      <c r="Y143" s="439">
        <f>IF(NFI_Expiration=1,IF($A143&lt;VLOOKUP(J$5,NFI,5,0),1,0)*Table_NFI[[#This Row],[Sanitary Kit]],Table_NFI[Sanitary Kit])</f>
        <v>0</v>
      </c>
      <c r="Z143" s="439">
        <f>IF(NFI_Expiration=1,IF($A143&lt;VLOOKUP(K$5,NFI,5,0),1,0)*Table_NFI[[#This Row],[Mosquito net]],Table_NFI[Mosquito net])</f>
        <v>0</v>
      </c>
      <c r="AA143" s="439">
        <f>IF(NFI_Expiration=1,IF($A143&lt;VLOOKUP(L$5,NFI,5,0),1,0)*Table_NFI[[#This Row],[Tarpaulin]],Table_NFI[[#This Row],[Tarpaulin]])</f>
        <v>0</v>
      </c>
      <c r="AB143" s="439">
        <f>IF(NFI_Expiration=1,IF($A143&lt;VLOOKUP(M$5,NFI,5,0),1,0)*Table_NFI[[#This Row],[Blanket]],Table_NFI[[#This Row],[Blanket]])</f>
        <v>0</v>
      </c>
      <c r="AC143" s="439">
        <f>IF(NFI_Expiration=1,IF($A143&lt;VLOOKUP(N$5,NFI,5,0),1,0)*Table_NFI[[#This Row],[Kitchen Set]],Table_NFI[Kitchen Set])</f>
        <v>0</v>
      </c>
      <c r="AD143" s="439">
        <f>IF(NFI_Expiration=1,IF($A143&lt;VLOOKUP(O$5,NFI,5,0),1,0)*Table_NFI[[#This Row],[Clothes Kit]],Table_NFI[Clothes Kit])</f>
        <v>0</v>
      </c>
      <c r="AE143" s="439">
        <f>IF(NFI_Expiration=1,IF($A143&lt;VLOOKUP(P$5,NFI,5,0),1,0)*Table_NFI[[#This Row],[Plastic Bucket]],Table_NFI[Plastic Bucket])</f>
        <v>0</v>
      </c>
      <c r="AF143" s="439">
        <f>IF(NFI_Expiration=1,IF($A143&lt;VLOOKUP(Q$5,NFI,5,0),1,0)*Table_NFI[[#This Row],[Plastic Mat]],Table_NFI[Plastic Mat])*IF(Table_NFI[[#This Row],[Distribution Date]]&gt;"2014-04-01",1,2.5)</f>
        <v>0</v>
      </c>
      <c r="AG143" s="439">
        <f>IF(NFI_Expiration=1,IF($A143&lt;VLOOKUP(R$5,NFI,5,0),1,0)*Table_NFI[[#This Row],[Winter Clothes Adult]],Table_NFI[Winter Clothes Adult])</f>
        <v>0</v>
      </c>
      <c r="AH143" s="439">
        <f>IF(NFI_Expiration=1,IF($A143&lt;VLOOKUP(S$5,NFI,5,0),1,0)*Table_NFI[[#This Row],[Winter Clothes Children]],Table_NFI[Winter Clothes Children])</f>
        <v>0</v>
      </c>
      <c r="AI143" s="439">
        <f>IF(NFI_Expiration=1,IF($A143&lt;VLOOKUP(T$5,NFI,5,0),1,0)*Table_NFI[[#This Row],[Winter Items Other]],Table_NFI[Winter Items Other])</f>
        <v>0</v>
      </c>
      <c r="AJ143" s="439">
        <f>IF(NFI_Expiration=1,IF($A143&lt;VLOOKUP(M$5,NFI,5,0),1,0)*Table_NFI[[#This Row],[Winter Blanket]],Table_NFI[[#This Row],[Winter Blanket]])</f>
        <v>0</v>
      </c>
      <c r="AK143" s="439">
        <f>IF(Table_NFI[[#This Row],[Winter Clothes Adult]]+Table_NFI[[#This Row],[Winter Clothes Children]]+Table_NFI[[#This Row],[Winter Items Other]]+Table_NFI[[#This Row],[Winter Blanket]]&gt;0,1,0)</f>
        <v>1</v>
      </c>
      <c r="AL143" s="439">
        <f>IF(NFI_Expiration=1,IF($A143&lt;VLOOKUP(V$5,NFI,5,0),1,0)*Table_NFI[[#This Row],[Jerry Can]],Table_NFI[Jerry Can])</f>
        <v>0</v>
      </c>
      <c r="AM143" s="791" t="str">
        <f>IFERROR(VLOOKUP(Table_NFI[[#This Row],[Camp Name]],CL,2,0),"")</f>
        <v>MMR001CMP119</v>
      </c>
      <c r="AN143" s="782">
        <f ca="1">IF(Table_NFI[[#This Row],[Pcode]]="","",IF(OFFSET(CampList[Opening Date],MATCH(Table_NFI[[#This Row],[Pcode]],CampList[CP_Pcode],0)-1,0,1,1)&gt;=NFI_Monitor_Date,1,0))</f>
        <v>0</v>
      </c>
      <c r="AO143" s="791" t="str">
        <f>IFERROR(VLOOKUP(Table_NFI[[#This Row],[Camp Name]],CL,3,0),"")</f>
        <v>Open</v>
      </c>
      <c r="AP143" s="439" t="str">
        <f ca="1">IF(Table_NFI[[#This Row],[Pcode]]="","",OFFSET(CampList[Priority],MATCH(Table_NFI[[#This Row],[Pcode]],CampList[CP_Pcode],0)-1,0,1,1))</f>
        <v>P2</v>
      </c>
      <c r="AQ143" s="438">
        <f>IFERROR(Table_NFI[[#This Row],[Kitchen Set]]/VLOOKUP(Table_NFI[[#This Row],[Camp Name]],CL,4,0),"")</f>
        <v>0</v>
      </c>
      <c r="AR143" s="789"/>
      <c r="AS143" s="792"/>
    </row>
    <row r="144" spans="1:45" s="136" customFormat="1" x14ac:dyDescent="0.25">
      <c r="A144" s="455">
        <f t="shared" si="2"/>
        <v>13.2</v>
      </c>
      <c r="B144" s="778">
        <v>41913</v>
      </c>
      <c r="C144" s="779" t="s">
        <v>454</v>
      </c>
      <c r="D144" s="789" t="s">
        <v>507</v>
      </c>
      <c r="E144" s="789" t="s">
        <v>380</v>
      </c>
      <c r="F144" s="789" t="s">
        <v>310</v>
      </c>
      <c r="G144" s="789" t="s">
        <v>328</v>
      </c>
      <c r="H144" s="437"/>
      <c r="I144" s="437"/>
      <c r="J144" s="437"/>
      <c r="K144" s="437">
        <v>286</v>
      </c>
      <c r="L144" s="437"/>
      <c r="M144" s="437"/>
      <c r="N144" s="437"/>
      <c r="O144" s="437"/>
      <c r="P144" s="439"/>
      <c r="Q144" s="439"/>
      <c r="R144" s="439"/>
      <c r="S144" s="439"/>
      <c r="T144" s="439"/>
      <c r="U144" s="439"/>
      <c r="V144" s="439"/>
      <c r="W144" s="439">
        <f>IF(NFI_Expiration=1,IF($A144&lt;VLOOKUP(H$5,NFI,5,0),1,0)*Table_NFI[[#This Row],[Hygiene Kit]],Table_NFI[Hygiene Kit])</f>
        <v>0</v>
      </c>
      <c r="X144" s="439">
        <f>IF(NFI_Expiration=1,IF($A144&lt;VLOOKUP(I$5,NFI,5,0),1,0)*Table_NFI[[#This Row],[NFI Core Kit]],Table_NFI[NFI Core Kit])</f>
        <v>0</v>
      </c>
      <c r="Y144" s="439">
        <f>IF(NFI_Expiration=1,IF($A144&lt;VLOOKUP(J$5,NFI,5,0),1,0)*Table_NFI[[#This Row],[Sanitary Kit]],Table_NFI[Sanitary Kit])</f>
        <v>0</v>
      </c>
      <c r="Z144" s="439">
        <f>IF(NFI_Expiration=1,IF($A144&lt;VLOOKUP(K$5,NFI,5,0),1,0)*Table_NFI[[#This Row],[Mosquito net]],Table_NFI[Mosquito net])</f>
        <v>0</v>
      </c>
      <c r="AA144" s="439">
        <f>IF(NFI_Expiration=1,IF($A144&lt;VLOOKUP(L$5,NFI,5,0),1,0)*Table_NFI[[#This Row],[Tarpaulin]],Table_NFI[[#This Row],[Tarpaulin]])</f>
        <v>0</v>
      </c>
      <c r="AB144" s="439">
        <f>IF(NFI_Expiration=1,IF($A144&lt;VLOOKUP(M$5,NFI,5,0),1,0)*Table_NFI[[#This Row],[Blanket]],Table_NFI[[#This Row],[Blanket]])</f>
        <v>0</v>
      </c>
      <c r="AC144" s="439">
        <f>IF(NFI_Expiration=1,IF($A144&lt;VLOOKUP(N$5,NFI,5,0),1,0)*Table_NFI[[#This Row],[Kitchen Set]],Table_NFI[Kitchen Set])</f>
        <v>0</v>
      </c>
      <c r="AD144" s="439">
        <f>IF(NFI_Expiration=1,IF($A144&lt;VLOOKUP(O$5,NFI,5,0),1,0)*Table_NFI[[#This Row],[Clothes Kit]],Table_NFI[Clothes Kit])</f>
        <v>0</v>
      </c>
      <c r="AE144" s="439">
        <f>IF(NFI_Expiration=1,IF($A144&lt;VLOOKUP(P$5,NFI,5,0),1,0)*Table_NFI[[#This Row],[Plastic Bucket]],Table_NFI[Plastic Bucket])</f>
        <v>0</v>
      </c>
      <c r="AF144" s="439">
        <f>IF(NFI_Expiration=1,IF($A144&lt;VLOOKUP(Q$5,NFI,5,0),1,0)*Table_NFI[[#This Row],[Plastic Mat]],Table_NFI[Plastic Mat])*IF(Table_NFI[[#This Row],[Distribution Date]]&gt;"2014-04-01",1,2.5)</f>
        <v>0</v>
      </c>
      <c r="AG144" s="439">
        <f>IF(NFI_Expiration=1,IF($A144&lt;VLOOKUP(R$5,NFI,5,0),1,0)*Table_NFI[[#This Row],[Winter Clothes Adult]],Table_NFI[Winter Clothes Adult])</f>
        <v>0</v>
      </c>
      <c r="AH144" s="439">
        <f>IF(NFI_Expiration=1,IF($A144&lt;VLOOKUP(S$5,NFI,5,0),1,0)*Table_NFI[[#This Row],[Winter Clothes Children]],Table_NFI[Winter Clothes Children])</f>
        <v>0</v>
      </c>
      <c r="AI144" s="439">
        <f>IF(NFI_Expiration=1,IF($A144&lt;VLOOKUP(T$5,NFI,5,0),1,0)*Table_NFI[[#This Row],[Winter Items Other]],Table_NFI[Winter Items Other])</f>
        <v>0</v>
      </c>
      <c r="AJ144" s="439">
        <f>IF(NFI_Expiration=1,IF($A144&lt;VLOOKUP(M$5,NFI,5,0),1,0)*Table_NFI[[#This Row],[Winter Blanket]],Table_NFI[[#This Row],[Winter Blanket]])</f>
        <v>0</v>
      </c>
      <c r="AK144" s="439">
        <f>IF(Table_NFI[[#This Row],[Winter Clothes Adult]]+Table_NFI[[#This Row],[Winter Clothes Children]]+Table_NFI[[#This Row],[Winter Items Other]]+Table_NFI[[#This Row],[Winter Blanket]]&gt;0,1,0)</f>
        <v>0</v>
      </c>
      <c r="AL144" s="439">
        <f>IF(NFI_Expiration=1,IF($A144&lt;VLOOKUP(V$5,NFI,5,0),1,0)*Table_NFI[[#This Row],[Jerry Can]],Table_NFI[Jerry Can])</f>
        <v>0</v>
      </c>
      <c r="AM144" s="791" t="str">
        <f>IFERROR(VLOOKUP(Table_NFI[[#This Row],[Camp Name]],CL,2,0),"")</f>
        <v>MMR001CMP031</v>
      </c>
      <c r="AN144" s="782">
        <f ca="1">IF(Table_NFI[[#This Row],[Pcode]]="","",IF(OFFSET(CampList[Opening Date],MATCH(Table_NFI[[#This Row],[Pcode]],CampList[CP_Pcode],0)-1,0,1,1)&gt;=NFI_Monitor_Date,1,0))</f>
        <v>0</v>
      </c>
      <c r="AO144" s="791" t="str">
        <f>IFERROR(VLOOKUP(Table_NFI[[#This Row],[Camp Name]],CL,3,0),"")</f>
        <v>Open</v>
      </c>
      <c r="AP144" s="439" t="str">
        <f ca="1">IF(Table_NFI[[#This Row],[Pcode]]="","",OFFSET(CampList[Priority],MATCH(Table_NFI[[#This Row],[Pcode]],CampList[CP_Pcode],0)-1,0,1,1))</f>
        <v>P4</v>
      </c>
      <c r="AQ144" s="438">
        <f>IFERROR(Table_NFI[[#This Row],[Kitchen Set]]/VLOOKUP(Table_NFI[[#This Row],[Camp Name]],CL,4,0),"")</f>
        <v>0</v>
      </c>
      <c r="AR144" s="789"/>
      <c r="AS144" s="792"/>
    </row>
    <row r="145" spans="1:45" s="136" customFormat="1" x14ac:dyDescent="0.25">
      <c r="A145" s="455">
        <f t="shared" si="2"/>
        <v>13.2</v>
      </c>
      <c r="B145" s="778">
        <v>41913</v>
      </c>
      <c r="C145" s="779" t="s">
        <v>454</v>
      </c>
      <c r="D145" s="789" t="s">
        <v>508</v>
      </c>
      <c r="E145" s="789" t="s">
        <v>380</v>
      </c>
      <c r="F145" s="789" t="s">
        <v>310</v>
      </c>
      <c r="G145" s="789" t="s">
        <v>330</v>
      </c>
      <c r="H145" s="437"/>
      <c r="I145" s="437"/>
      <c r="J145" s="437"/>
      <c r="K145" s="437">
        <v>462</v>
      </c>
      <c r="L145" s="437"/>
      <c r="M145" s="437"/>
      <c r="N145" s="437"/>
      <c r="O145" s="437"/>
      <c r="P145" s="439"/>
      <c r="Q145" s="439"/>
      <c r="R145" s="439"/>
      <c r="S145" s="439"/>
      <c r="T145" s="439"/>
      <c r="U145" s="439"/>
      <c r="V145" s="439"/>
      <c r="W145" s="439">
        <f>IF(NFI_Expiration=1,IF($A145&lt;VLOOKUP(H$5,NFI,5,0),1,0)*Table_NFI[[#This Row],[Hygiene Kit]],Table_NFI[Hygiene Kit])</f>
        <v>0</v>
      </c>
      <c r="X145" s="439">
        <f>IF(NFI_Expiration=1,IF($A145&lt;VLOOKUP(I$5,NFI,5,0),1,0)*Table_NFI[[#This Row],[NFI Core Kit]],Table_NFI[NFI Core Kit])</f>
        <v>0</v>
      </c>
      <c r="Y145" s="439">
        <f>IF(NFI_Expiration=1,IF($A145&lt;VLOOKUP(J$5,NFI,5,0),1,0)*Table_NFI[[#This Row],[Sanitary Kit]],Table_NFI[Sanitary Kit])</f>
        <v>0</v>
      </c>
      <c r="Z145" s="439">
        <f>IF(NFI_Expiration=1,IF($A145&lt;VLOOKUP(K$5,NFI,5,0),1,0)*Table_NFI[[#This Row],[Mosquito net]],Table_NFI[Mosquito net])</f>
        <v>0</v>
      </c>
      <c r="AA145" s="439">
        <f>IF(NFI_Expiration=1,IF($A145&lt;VLOOKUP(L$5,NFI,5,0),1,0)*Table_NFI[[#This Row],[Tarpaulin]],Table_NFI[[#This Row],[Tarpaulin]])</f>
        <v>0</v>
      </c>
      <c r="AB145" s="439">
        <f>IF(NFI_Expiration=1,IF($A145&lt;VLOOKUP(M$5,NFI,5,0),1,0)*Table_NFI[[#This Row],[Blanket]],Table_NFI[[#This Row],[Blanket]])</f>
        <v>0</v>
      </c>
      <c r="AC145" s="439">
        <f>IF(NFI_Expiration=1,IF($A145&lt;VLOOKUP(N$5,NFI,5,0),1,0)*Table_NFI[[#This Row],[Kitchen Set]],Table_NFI[Kitchen Set])</f>
        <v>0</v>
      </c>
      <c r="AD145" s="439">
        <f>IF(NFI_Expiration=1,IF($A145&lt;VLOOKUP(O$5,NFI,5,0),1,0)*Table_NFI[[#This Row],[Clothes Kit]],Table_NFI[Clothes Kit])</f>
        <v>0</v>
      </c>
      <c r="AE145" s="439">
        <f>IF(NFI_Expiration=1,IF($A145&lt;VLOOKUP(P$5,NFI,5,0),1,0)*Table_NFI[[#This Row],[Plastic Bucket]],Table_NFI[Plastic Bucket])</f>
        <v>0</v>
      </c>
      <c r="AF145" s="439">
        <f>IF(NFI_Expiration=1,IF($A145&lt;VLOOKUP(Q$5,NFI,5,0),1,0)*Table_NFI[[#This Row],[Plastic Mat]],Table_NFI[Plastic Mat])*IF(Table_NFI[[#This Row],[Distribution Date]]&gt;"2014-04-01",1,2.5)</f>
        <v>0</v>
      </c>
      <c r="AG145" s="439">
        <f>IF(NFI_Expiration=1,IF($A145&lt;VLOOKUP(R$5,NFI,5,0),1,0)*Table_NFI[[#This Row],[Winter Clothes Adult]],Table_NFI[Winter Clothes Adult])</f>
        <v>0</v>
      </c>
      <c r="AH145" s="439">
        <f>IF(NFI_Expiration=1,IF($A145&lt;VLOOKUP(S$5,NFI,5,0),1,0)*Table_NFI[[#This Row],[Winter Clothes Children]],Table_NFI[Winter Clothes Children])</f>
        <v>0</v>
      </c>
      <c r="AI145" s="439">
        <f>IF(NFI_Expiration=1,IF($A145&lt;VLOOKUP(T$5,NFI,5,0),1,0)*Table_NFI[[#This Row],[Winter Items Other]],Table_NFI[Winter Items Other])</f>
        <v>0</v>
      </c>
      <c r="AJ145" s="439">
        <f>IF(NFI_Expiration=1,IF($A145&lt;VLOOKUP(M$5,NFI,5,0),1,0)*Table_NFI[[#This Row],[Winter Blanket]],Table_NFI[[#This Row],[Winter Blanket]])</f>
        <v>0</v>
      </c>
      <c r="AK145" s="439">
        <f>IF(Table_NFI[[#This Row],[Winter Clothes Adult]]+Table_NFI[[#This Row],[Winter Clothes Children]]+Table_NFI[[#This Row],[Winter Items Other]]+Table_NFI[[#This Row],[Winter Blanket]]&gt;0,1,0)</f>
        <v>0</v>
      </c>
      <c r="AL145" s="439">
        <f>IF(NFI_Expiration=1,IF($A145&lt;VLOOKUP(V$5,NFI,5,0),1,0)*Table_NFI[[#This Row],[Jerry Can]],Table_NFI[Jerry Can])</f>
        <v>0</v>
      </c>
      <c r="AM145" s="791" t="str">
        <f>IFERROR(VLOOKUP(Table_NFI[[#This Row],[Camp Name]],CL,2,0),"")</f>
        <v>MMR001CMP029</v>
      </c>
      <c r="AN145" s="782">
        <f ca="1">IF(Table_NFI[[#This Row],[Pcode]]="","",IF(OFFSET(CampList[Opening Date],MATCH(Table_NFI[[#This Row],[Pcode]],CampList[CP_Pcode],0)-1,0,1,1)&gt;=NFI_Monitor_Date,1,0))</f>
        <v>0</v>
      </c>
      <c r="AO145" s="791" t="str">
        <f>IFERROR(VLOOKUP(Table_NFI[[#This Row],[Camp Name]],CL,3,0),"")</f>
        <v>Open</v>
      </c>
      <c r="AP145" s="439" t="str">
        <f ca="1">IF(Table_NFI[[#This Row],[Pcode]]="","",OFFSET(CampList[Priority],MATCH(Table_NFI[[#This Row],[Pcode]],CampList[CP_Pcode],0)-1,0,1,1))</f>
        <v>P4</v>
      </c>
      <c r="AQ145" s="438">
        <f>IFERROR(Table_NFI[[#This Row],[Kitchen Set]]/VLOOKUP(Table_NFI[[#This Row],[Camp Name]],CL,4,0),"")</f>
        <v>0</v>
      </c>
      <c r="AR145" s="789"/>
      <c r="AS145" s="792"/>
    </row>
    <row r="146" spans="1:45" s="136" customFormat="1" x14ac:dyDescent="0.25">
      <c r="A146" s="455">
        <f t="shared" si="2"/>
        <v>13.2</v>
      </c>
      <c r="B146" s="778">
        <v>41913</v>
      </c>
      <c r="C146" s="779" t="s">
        <v>454</v>
      </c>
      <c r="D146" s="789" t="s">
        <v>507</v>
      </c>
      <c r="E146" s="789" t="s">
        <v>380</v>
      </c>
      <c r="F146" s="789" t="s">
        <v>237</v>
      </c>
      <c r="G146" s="789" t="s">
        <v>263</v>
      </c>
      <c r="H146" s="437"/>
      <c r="I146" s="437"/>
      <c r="J146" s="437"/>
      <c r="K146" s="437">
        <v>52</v>
      </c>
      <c r="L146" s="437"/>
      <c r="M146" s="437"/>
      <c r="N146" s="437"/>
      <c r="O146" s="437"/>
      <c r="P146" s="439"/>
      <c r="Q146" s="439"/>
      <c r="R146" s="439"/>
      <c r="S146" s="439"/>
      <c r="T146" s="439"/>
      <c r="U146" s="439"/>
      <c r="V146" s="439"/>
      <c r="W146" s="439">
        <f>IF(NFI_Expiration=1,IF($A146&lt;VLOOKUP(H$5,NFI,5,0),1,0)*Table_NFI[[#This Row],[Hygiene Kit]],Table_NFI[Hygiene Kit])</f>
        <v>0</v>
      </c>
      <c r="X146" s="439">
        <f>IF(NFI_Expiration=1,IF($A146&lt;VLOOKUP(I$5,NFI,5,0),1,0)*Table_NFI[[#This Row],[NFI Core Kit]],Table_NFI[NFI Core Kit])</f>
        <v>0</v>
      </c>
      <c r="Y146" s="439">
        <f>IF(NFI_Expiration=1,IF($A146&lt;VLOOKUP(J$5,NFI,5,0),1,0)*Table_NFI[[#This Row],[Sanitary Kit]],Table_NFI[Sanitary Kit])</f>
        <v>0</v>
      </c>
      <c r="Z146" s="439">
        <f>IF(NFI_Expiration=1,IF($A146&lt;VLOOKUP(K$5,NFI,5,0),1,0)*Table_NFI[[#This Row],[Mosquito net]],Table_NFI[Mosquito net])</f>
        <v>0</v>
      </c>
      <c r="AA146" s="439">
        <f>IF(NFI_Expiration=1,IF($A146&lt;VLOOKUP(L$5,NFI,5,0),1,0)*Table_NFI[[#This Row],[Tarpaulin]],Table_NFI[[#This Row],[Tarpaulin]])</f>
        <v>0</v>
      </c>
      <c r="AB146" s="439">
        <f>IF(NFI_Expiration=1,IF($A146&lt;VLOOKUP(M$5,NFI,5,0),1,0)*Table_NFI[[#This Row],[Blanket]],Table_NFI[[#This Row],[Blanket]])</f>
        <v>0</v>
      </c>
      <c r="AC146" s="439">
        <f>IF(NFI_Expiration=1,IF($A146&lt;VLOOKUP(N$5,NFI,5,0),1,0)*Table_NFI[[#This Row],[Kitchen Set]],Table_NFI[Kitchen Set])</f>
        <v>0</v>
      </c>
      <c r="AD146" s="439">
        <f>IF(NFI_Expiration=1,IF($A146&lt;VLOOKUP(O$5,NFI,5,0),1,0)*Table_NFI[[#This Row],[Clothes Kit]],Table_NFI[Clothes Kit])</f>
        <v>0</v>
      </c>
      <c r="AE146" s="439">
        <f>IF(NFI_Expiration=1,IF($A146&lt;VLOOKUP(P$5,NFI,5,0),1,0)*Table_NFI[[#This Row],[Plastic Bucket]],Table_NFI[Plastic Bucket])</f>
        <v>0</v>
      </c>
      <c r="AF146" s="439">
        <f>IF(NFI_Expiration=1,IF($A146&lt;VLOOKUP(Q$5,NFI,5,0),1,0)*Table_NFI[[#This Row],[Plastic Mat]],Table_NFI[Plastic Mat])*IF(Table_NFI[[#This Row],[Distribution Date]]&gt;"2014-04-01",1,2.5)</f>
        <v>0</v>
      </c>
      <c r="AG146" s="439">
        <f>IF(NFI_Expiration=1,IF($A146&lt;VLOOKUP(R$5,NFI,5,0),1,0)*Table_NFI[[#This Row],[Winter Clothes Adult]],Table_NFI[Winter Clothes Adult])</f>
        <v>0</v>
      </c>
      <c r="AH146" s="439">
        <f>IF(NFI_Expiration=1,IF($A146&lt;VLOOKUP(S$5,NFI,5,0),1,0)*Table_NFI[[#This Row],[Winter Clothes Children]],Table_NFI[Winter Clothes Children])</f>
        <v>0</v>
      </c>
      <c r="AI146" s="439">
        <f>IF(NFI_Expiration=1,IF($A146&lt;VLOOKUP(T$5,NFI,5,0),1,0)*Table_NFI[[#This Row],[Winter Items Other]],Table_NFI[Winter Items Other])</f>
        <v>0</v>
      </c>
      <c r="AJ146" s="439">
        <f>IF(NFI_Expiration=1,IF($A146&lt;VLOOKUP(M$5,NFI,5,0),1,0)*Table_NFI[[#This Row],[Winter Blanket]],Table_NFI[[#This Row],[Winter Blanket]])</f>
        <v>0</v>
      </c>
      <c r="AK146" s="439">
        <f>IF(Table_NFI[[#This Row],[Winter Clothes Adult]]+Table_NFI[[#This Row],[Winter Clothes Children]]+Table_NFI[[#This Row],[Winter Items Other]]+Table_NFI[[#This Row],[Winter Blanket]]&gt;0,1,0)</f>
        <v>0</v>
      </c>
      <c r="AL146" s="439">
        <f>IF(NFI_Expiration=1,IF($A146&lt;VLOOKUP(V$5,NFI,5,0),1,0)*Table_NFI[[#This Row],[Jerry Can]],Table_NFI[Jerry Can])</f>
        <v>0</v>
      </c>
      <c r="AM146" s="791" t="str">
        <f>IFERROR(VLOOKUP(Table_NFI[[#This Row],[Camp Name]],CL,2,0),"")</f>
        <v>MMR001CMP020</v>
      </c>
      <c r="AN146" s="782">
        <f ca="1">IF(Table_NFI[[#This Row],[Pcode]]="","",IF(OFFSET(CampList[Opening Date],MATCH(Table_NFI[[#This Row],[Pcode]],CampList[CP_Pcode],0)-1,0,1,1)&gt;=NFI_Monitor_Date,1,0))</f>
        <v>0</v>
      </c>
      <c r="AO146" s="791" t="str">
        <f>IFERROR(VLOOKUP(Table_NFI[[#This Row],[Camp Name]],CL,3,0),"")</f>
        <v>Open</v>
      </c>
      <c r="AP146" s="439" t="str">
        <f ca="1">IF(Table_NFI[[#This Row],[Pcode]]="","",OFFSET(CampList[Priority],MATCH(Table_NFI[[#This Row],[Pcode]],CampList[CP_Pcode],0)-1,0,1,1))</f>
        <v>P4</v>
      </c>
      <c r="AQ146" s="438">
        <f>IFERROR(Table_NFI[[#This Row],[Kitchen Set]]/VLOOKUP(Table_NFI[[#This Row],[Camp Name]],CL,4,0),"")</f>
        <v>0</v>
      </c>
      <c r="AR146" s="789"/>
      <c r="AS146" s="792"/>
    </row>
    <row r="147" spans="1:45" s="136" customFormat="1" x14ac:dyDescent="0.25">
      <c r="A147" s="455">
        <f t="shared" si="2"/>
        <v>13.2</v>
      </c>
      <c r="B147" s="778">
        <v>41913</v>
      </c>
      <c r="C147" s="779" t="s">
        <v>454</v>
      </c>
      <c r="D147" s="789" t="s">
        <v>507</v>
      </c>
      <c r="E147" s="789" t="s">
        <v>380</v>
      </c>
      <c r="F147" s="789" t="s">
        <v>237</v>
      </c>
      <c r="G147" s="789" t="s">
        <v>265</v>
      </c>
      <c r="H147" s="437"/>
      <c r="I147" s="437"/>
      <c r="J147" s="437"/>
      <c r="K147" s="437">
        <v>42</v>
      </c>
      <c r="L147" s="437"/>
      <c r="M147" s="437"/>
      <c r="N147" s="437"/>
      <c r="O147" s="437"/>
      <c r="P147" s="439"/>
      <c r="Q147" s="439"/>
      <c r="R147" s="439"/>
      <c r="S147" s="439"/>
      <c r="T147" s="439"/>
      <c r="U147" s="439"/>
      <c r="V147" s="439"/>
      <c r="W147" s="439">
        <f>IF(NFI_Expiration=1,IF($A147&lt;VLOOKUP(H$5,NFI,5,0),1,0)*Table_NFI[[#This Row],[Hygiene Kit]],Table_NFI[Hygiene Kit])</f>
        <v>0</v>
      </c>
      <c r="X147" s="439">
        <f>IF(NFI_Expiration=1,IF($A147&lt;VLOOKUP(I$5,NFI,5,0),1,0)*Table_NFI[[#This Row],[NFI Core Kit]],Table_NFI[NFI Core Kit])</f>
        <v>0</v>
      </c>
      <c r="Y147" s="439">
        <f>IF(NFI_Expiration=1,IF($A147&lt;VLOOKUP(J$5,NFI,5,0),1,0)*Table_NFI[[#This Row],[Sanitary Kit]],Table_NFI[Sanitary Kit])</f>
        <v>0</v>
      </c>
      <c r="Z147" s="439">
        <f>IF(NFI_Expiration=1,IF($A147&lt;VLOOKUP(K$5,NFI,5,0),1,0)*Table_NFI[[#This Row],[Mosquito net]],Table_NFI[Mosquito net])</f>
        <v>0</v>
      </c>
      <c r="AA147" s="439">
        <f>IF(NFI_Expiration=1,IF($A147&lt;VLOOKUP(L$5,NFI,5,0),1,0)*Table_NFI[[#This Row],[Tarpaulin]],Table_NFI[[#This Row],[Tarpaulin]])</f>
        <v>0</v>
      </c>
      <c r="AB147" s="439">
        <f>IF(NFI_Expiration=1,IF($A147&lt;VLOOKUP(M$5,NFI,5,0),1,0)*Table_NFI[[#This Row],[Blanket]],Table_NFI[[#This Row],[Blanket]])</f>
        <v>0</v>
      </c>
      <c r="AC147" s="439">
        <f>IF(NFI_Expiration=1,IF($A147&lt;VLOOKUP(N$5,NFI,5,0),1,0)*Table_NFI[[#This Row],[Kitchen Set]],Table_NFI[Kitchen Set])</f>
        <v>0</v>
      </c>
      <c r="AD147" s="439">
        <f>IF(NFI_Expiration=1,IF($A147&lt;VLOOKUP(O$5,NFI,5,0),1,0)*Table_NFI[[#This Row],[Clothes Kit]],Table_NFI[Clothes Kit])</f>
        <v>0</v>
      </c>
      <c r="AE147" s="439">
        <f>IF(NFI_Expiration=1,IF($A147&lt;VLOOKUP(P$5,NFI,5,0),1,0)*Table_NFI[[#This Row],[Plastic Bucket]],Table_NFI[Plastic Bucket])</f>
        <v>0</v>
      </c>
      <c r="AF147" s="439">
        <f>IF(NFI_Expiration=1,IF($A147&lt;VLOOKUP(Q$5,NFI,5,0),1,0)*Table_NFI[[#This Row],[Plastic Mat]],Table_NFI[Plastic Mat])*IF(Table_NFI[[#This Row],[Distribution Date]]&gt;"2014-04-01",1,2.5)</f>
        <v>0</v>
      </c>
      <c r="AG147" s="439">
        <f>IF(NFI_Expiration=1,IF($A147&lt;VLOOKUP(R$5,NFI,5,0),1,0)*Table_NFI[[#This Row],[Winter Clothes Adult]],Table_NFI[Winter Clothes Adult])</f>
        <v>0</v>
      </c>
      <c r="AH147" s="439">
        <f>IF(NFI_Expiration=1,IF($A147&lt;VLOOKUP(S$5,NFI,5,0),1,0)*Table_NFI[[#This Row],[Winter Clothes Children]],Table_NFI[Winter Clothes Children])</f>
        <v>0</v>
      </c>
      <c r="AI147" s="439">
        <f>IF(NFI_Expiration=1,IF($A147&lt;VLOOKUP(T$5,NFI,5,0),1,0)*Table_NFI[[#This Row],[Winter Items Other]],Table_NFI[Winter Items Other])</f>
        <v>0</v>
      </c>
      <c r="AJ147" s="439">
        <f>IF(NFI_Expiration=1,IF($A147&lt;VLOOKUP(M$5,NFI,5,0),1,0)*Table_NFI[[#This Row],[Winter Blanket]],Table_NFI[[#This Row],[Winter Blanket]])</f>
        <v>0</v>
      </c>
      <c r="AK147" s="439">
        <f>IF(Table_NFI[[#This Row],[Winter Clothes Adult]]+Table_NFI[[#This Row],[Winter Clothes Children]]+Table_NFI[[#This Row],[Winter Items Other]]+Table_NFI[[#This Row],[Winter Blanket]]&gt;0,1,0)</f>
        <v>0</v>
      </c>
      <c r="AL147" s="439">
        <f>IF(NFI_Expiration=1,IF($A147&lt;VLOOKUP(V$5,NFI,5,0),1,0)*Table_NFI[[#This Row],[Jerry Can]],Table_NFI[Jerry Can])</f>
        <v>0</v>
      </c>
      <c r="AM147" s="791" t="str">
        <f>IFERROR(VLOOKUP(Table_NFI[[#This Row],[Camp Name]],CL,2,0),"")</f>
        <v>MMR001CMP021</v>
      </c>
      <c r="AN147" s="782">
        <f ca="1">IF(Table_NFI[[#This Row],[Pcode]]="","",IF(OFFSET(CampList[Opening Date],MATCH(Table_NFI[[#This Row],[Pcode]],CampList[CP_Pcode],0)-1,0,1,1)&gt;=NFI_Monitor_Date,1,0))</f>
        <v>0</v>
      </c>
      <c r="AO147" s="791" t="str">
        <f>IFERROR(VLOOKUP(Table_NFI[[#This Row],[Camp Name]],CL,3,0),"")</f>
        <v>Open</v>
      </c>
      <c r="AP147" s="439" t="str">
        <f ca="1">IF(Table_NFI[[#This Row],[Pcode]]="","",OFFSET(CampList[Priority],MATCH(Table_NFI[[#This Row],[Pcode]],CampList[CP_Pcode],0)-1,0,1,1))</f>
        <v>P4</v>
      </c>
      <c r="AQ147" s="438">
        <f>IFERROR(Table_NFI[[#This Row],[Kitchen Set]]/VLOOKUP(Table_NFI[[#This Row],[Camp Name]],CL,4,0),"")</f>
        <v>0</v>
      </c>
      <c r="AR147" s="789"/>
      <c r="AS147" s="792"/>
    </row>
    <row r="148" spans="1:45" s="136" customFormat="1" x14ac:dyDescent="0.25">
      <c r="A148" s="455">
        <f t="shared" si="2"/>
        <v>13.2</v>
      </c>
      <c r="B148" s="778">
        <v>41913</v>
      </c>
      <c r="C148" s="779" t="s">
        <v>454</v>
      </c>
      <c r="D148" s="789" t="s">
        <v>507</v>
      </c>
      <c r="E148" s="789" t="s">
        <v>380</v>
      </c>
      <c r="F148" s="789" t="s">
        <v>529</v>
      </c>
      <c r="G148" s="789" t="s">
        <v>100</v>
      </c>
      <c r="H148" s="437"/>
      <c r="I148" s="437"/>
      <c r="J148" s="437"/>
      <c r="K148" s="437">
        <v>10</v>
      </c>
      <c r="L148" s="437"/>
      <c r="M148" s="437"/>
      <c r="N148" s="437"/>
      <c r="O148" s="437"/>
      <c r="P148" s="439"/>
      <c r="Q148" s="439"/>
      <c r="R148" s="439"/>
      <c r="S148" s="439"/>
      <c r="T148" s="439"/>
      <c r="U148" s="439"/>
      <c r="V148" s="439"/>
      <c r="W148" s="439">
        <f>IF(NFI_Expiration=1,IF($A148&lt;VLOOKUP(H$5,NFI,5,0),1,0)*Table_NFI[[#This Row],[Hygiene Kit]],Table_NFI[Hygiene Kit])</f>
        <v>0</v>
      </c>
      <c r="X148" s="439">
        <f>IF(NFI_Expiration=1,IF($A148&lt;VLOOKUP(I$5,NFI,5,0),1,0)*Table_NFI[[#This Row],[NFI Core Kit]],Table_NFI[NFI Core Kit])</f>
        <v>0</v>
      </c>
      <c r="Y148" s="439">
        <f>IF(NFI_Expiration=1,IF($A148&lt;VLOOKUP(J$5,NFI,5,0),1,0)*Table_NFI[[#This Row],[Sanitary Kit]],Table_NFI[Sanitary Kit])</f>
        <v>0</v>
      </c>
      <c r="Z148" s="439">
        <f>IF(NFI_Expiration=1,IF($A148&lt;VLOOKUP(K$5,NFI,5,0),1,0)*Table_NFI[[#This Row],[Mosquito net]],Table_NFI[Mosquito net])</f>
        <v>0</v>
      </c>
      <c r="AA148" s="439">
        <f>IF(NFI_Expiration=1,IF($A148&lt;VLOOKUP(L$5,NFI,5,0),1,0)*Table_NFI[[#This Row],[Tarpaulin]],Table_NFI[[#This Row],[Tarpaulin]])</f>
        <v>0</v>
      </c>
      <c r="AB148" s="439">
        <f>IF(NFI_Expiration=1,IF($A148&lt;VLOOKUP(M$5,NFI,5,0),1,0)*Table_NFI[[#This Row],[Blanket]],Table_NFI[[#This Row],[Blanket]])</f>
        <v>0</v>
      </c>
      <c r="AC148" s="439">
        <f>IF(NFI_Expiration=1,IF($A148&lt;VLOOKUP(N$5,NFI,5,0),1,0)*Table_NFI[[#This Row],[Kitchen Set]],Table_NFI[Kitchen Set])</f>
        <v>0</v>
      </c>
      <c r="AD148" s="439">
        <f>IF(NFI_Expiration=1,IF($A148&lt;VLOOKUP(O$5,NFI,5,0),1,0)*Table_NFI[[#This Row],[Clothes Kit]],Table_NFI[Clothes Kit])</f>
        <v>0</v>
      </c>
      <c r="AE148" s="439">
        <f>IF(NFI_Expiration=1,IF($A148&lt;VLOOKUP(P$5,NFI,5,0),1,0)*Table_NFI[[#This Row],[Plastic Bucket]],Table_NFI[Plastic Bucket])</f>
        <v>0</v>
      </c>
      <c r="AF148" s="439">
        <f>IF(NFI_Expiration=1,IF($A148&lt;VLOOKUP(Q$5,NFI,5,0),1,0)*Table_NFI[[#This Row],[Plastic Mat]],Table_NFI[Plastic Mat])*IF(Table_NFI[[#This Row],[Distribution Date]]&gt;"2014-04-01",1,2.5)</f>
        <v>0</v>
      </c>
      <c r="AG148" s="439">
        <f>IF(NFI_Expiration=1,IF($A148&lt;VLOOKUP(R$5,NFI,5,0),1,0)*Table_NFI[[#This Row],[Winter Clothes Adult]],Table_NFI[Winter Clothes Adult])</f>
        <v>0</v>
      </c>
      <c r="AH148" s="439">
        <f>IF(NFI_Expiration=1,IF($A148&lt;VLOOKUP(S$5,NFI,5,0),1,0)*Table_NFI[[#This Row],[Winter Clothes Children]],Table_NFI[Winter Clothes Children])</f>
        <v>0</v>
      </c>
      <c r="AI148" s="439">
        <f>IF(NFI_Expiration=1,IF($A148&lt;VLOOKUP(T$5,NFI,5,0),1,0)*Table_NFI[[#This Row],[Winter Items Other]],Table_NFI[Winter Items Other])</f>
        <v>0</v>
      </c>
      <c r="AJ148" s="439">
        <f>IF(NFI_Expiration=1,IF($A148&lt;VLOOKUP(M$5,NFI,5,0),1,0)*Table_NFI[[#This Row],[Winter Blanket]],Table_NFI[[#This Row],[Winter Blanket]])</f>
        <v>0</v>
      </c>
      <c r="AK148" s="439">
        <f>IF(Table_NFI[[#This Row],[Winter Clothes Adult]]+Table_NFI[[#This Row],[Winter Clothes Children]]+Table_NFI[[#This Row],[Winter Items Other]]+Table_NFI[[#This Row],[Winter Blanket]]&gt;0,1,0)</f>
        <v>0</v>
      </c>
      <c r="AL148" s="439">
        <f>IF(NFI_Expiration=1,IF($A148&lt;VLOOKUP(V$5,NFI,5,0),1,0)*Table_NFI[[#This Row],[Jerry Can]],Table_NFI[Jerry Can])</f>
        <v>0</v>
      </c>
      <c r="AM148" s="791" t="str">
        <f>IFERROR(VLOOKUP(Table_NFI[[#This Row],[Camp Name]],CL,2,0),"")</f>
        <v>MMR001CMP091</v>
      </c>
      <c r="AN148" s="782">
        <f ca="1">IF(Table_NFI[[#This Row],[Pcode]]="","",IF(OFFSET(CampList[Opening Date],MATCH(Table_NFI[[#This Row],[Pcode]],CampList[CP_Pcode],0)-1,0,1,1)&gt;=NFI_Monitor_Date,1,0))</f>
        <v>0</v>
      </c>
      <c r="AO148" s="791" t="str">
        <f>IFERROR(VLOOKUP(Table_NFI[[#This Row],[Camp Name]],CL,3,0),"")</f>
        <v>Open</v>
      </c>
      <c r="AP148" s="439" t="str">
        <f ca="1">IF(Table_NFI[[#This Row],[Pcode]]="","",OFFSET(CampList[Priority],MATCH(Table_NFI[[#This Row],[Pcode]],CampList[CP_Pcode],0)-1,0,1,1))</f>
        <v>P4</v>
      </c>
      <c r="AQ148" s="438">
        <f>IFERROR(Table_NFI[[#This Row],[Kitchen Set]]/VLOOKUP(Table_NFI[[#This Row],[Camp Name]],CL,4,0),"")</f>
        <v>0</v>
      </c>
      <c r="AR148" s="789"/>
      <c r="AS148" s="792"/>
    </row>
    <row r="149" spans="1:45" s="136" customFormat="1" x14ac:dyDescent="0.25">
      <c r="A149" s="455">
        <f t="shared" si="2"/>
        <v>13.2</v>
      </c>
      <c r="B149" s="778">
        <v>41913</v>
      </c>
      <c r="C149" s="779" t="s">
        <v>454</v>
      </c>
      <c r="D149" s="789" t="s">
        <v>507</v>
      </c>
      <c r="E149" s="789" t="s">
        <v>380</v>
      </c>
      <c r="F149" s="789" t="s">
        <v>237</v>
      </c>
      <c r="G149" s="789" t="s">
        <v>267</v>
      </c>
      <c r="H149" s="437"/>
      <c r="I149" s="437"/>
      <c r="J149" s="437"/>
      <c r="K149" s="437">
        <v>24</v>
      </c>
      <c r="L149" s="437"/>
      <c r="M149" s="437"/>
      <c r="N149" s="437"/>
      <c r="O149" s="437"/>
      <c r="P149" s="439"/>
      <c r="Q149" s="439"/>
      <c r="R149" s="439"/>
      <c r="S149" s="439"/>
      <c r="T149" s="439"/>
      <c r="U149" s="439"/>
      <c r="V149" s="439"/>
      <c r="W149" s="439">
        <f>IF(NFI_Expiration=1,IF($A149&lt;VLOOKUP(H$5,NFI,5,0),1,0)*Table_NFI[[#This Row],[Hygiene Kit]],Table_NFI[Hygiene Kit])</f>
        <v>0</v>
      </c>
      <c r="X149" s="439">
        <f>IF(NFI_Expiration=1,IF($A149&lt;VLOOKUP(I$5,NFI,5,0),1,0)*Table_NFI[[#This Row],[NFI Core Kit]],Table_NFI[NFI Core Kit])</f>
        <v>0</v>
      </c>
      <c r="Y149" s="439">
        <f>IF(NFI_Expiration=1,IF($A149&lt;VLOOKUP(J$5,NFI,5,0),1,0)*Table_NFI[[#This Row],[Sanitary Kit]],Table_NFI[Sanitary Kit])</f>
        <v>0</v>
      </c>
      <c r="Z149" s="439">
        <f>IF(NFI_Expiration=1,IF($A149&lt;VLOOKUP(K$5,NFI,5,0),1,0)*Table_NFI[[#This Row],[Mosquito net]],Table_NFI[Mosquito net])</f>
        <v>0</v>
      </c>
      <c r="AA149" s="439">
        <f>IF(NFI_Expiration=1,IF($A149&lt;VLOOKUP(L$5,NFI,5,0),1,0)*Table_NFI[[#This Row],[Tarpaulin]],Table_NFI[[#This Row],[Tarpaulin]])</f>
        <v>0</v>
      </c>
      <c r="AB149" s="439">
        <f>IF(NFI_Expiration=1,IF($A149&lt;VLOOKUP(M$5,NFI,5,0),1,0)*Table_NFI[[#This Row],[Blanket]],Table_NFI[[#This Row],[Blanket]])</f>
        <v>0</v>
      </c>
      <c r="AC149" s="439">
        <f>IF(NFI_Expiration=1,IF($A149&lt;VLOOKUP(N$5,NFI,5,0),1,0)*Table_NFI[[#This Row],[Kitchen Set]],Table_NFI[Kitchen Set])</f>
        <v>0</v>
      </c>
      <c r="AD149" s="439">
        <f>IF(NFI_Expiration=1,IF($A149&lt;VLOOKUP(O$5,NFI,5,0),1,0)*Table_NFI[[#This Row],[Clothes Kit]],Table_NFI[Clothes Kit])</f>
        <v>0</v>
      </c>
      <c r="AE149" s="439">
        <f>IF(NFI_Expiration=1,IF($A149&lt;VLOOKUP(P$5,NFI,5,0),1,0)*Table_NFI[[#This Row],[Plastic Bucket]],Table_NFI[Plastic Bucket])</f>
        <v>0</v>
      </c>
      <c r="AF149" s="439">
        <f>IF(NFI_Expiration=1,IF($A149&lt;VLOOKUP(Q$5,NFI,5,0),1,0)*Table_NFI[[#This Row],[Plastic Mat]],Table_NFI[Plastic Mat])*IF(Table_NFI[[#This Row],[Distribution Date]]&gt;"2014-04-01",1,2.5)</f>
        <v>0</v>
      </c>
      <c r="AG149" s="439">
        <f>IF(NFI_Expiration=1,IF($A149&lt;VLOOKUP(R$5,NFI,5,0),1,0)*Table_NFI[[#This Row],[Winter Clothes Adult]],Table_NFI[Winter Clothes Adult])</f>
        <v>0</v>
      </c>
      <c r="AH149" s="439">
        <f>IF(NFI_Expiration=1,IF($A149&lt;VLOOKUP(S$5,NFI,5,0),1,0)*Table_NFI[[#This Row],[Winter Clothes Children]],Table_NFI[Winter Clothes Children])</f>
        <v>0</v>
      </c>
      <c r="AI149" s="439">
        <f>IF(NFI_Expiration=1,IF($A149&lt;VLOOKUP(T$5,NFI,5,0),1,0)*Table_NFI[[#This Row],[Winter Items Other]],Table_NFI[Winter Items Other])</f>
        <v>0</v>
      </c>
      <c r="AJ149" s="439">
        <f>IF(NFI_Expiration=1,IF($A149&lt;VLOOKUP(M$5,NFI,5,0),1,0)*Table_NFI[[#This Row],[Winter Blanket]],Table_NFI[[#This Row],[Winter Blanket]])</f>
        <v>0</v>
      </c>
      <c r="AK149" s="439">
        <f>IF(Table_NFI[[#This Row],[Winter Clothes Adult]]+Table_NFI[[#This Row],[Winter Clothes Children]]+Table_NFI[[#This Row],[Winter Items Other]]+Table_NFI[[#This Row],[Winter Blanket]]&gt;0,1,0)</f>
        <v>0</v>
      </c>
      <c r="AL149" s="439">
        <f>IF(NFI_Expiration=1,IF($A149&lt;VLOOKUP(V$5,NFI,5,0),1,0)*Table_NFI[[#This Row],[Jerry Can]],Table_NFI[Jerry Can])</f>
        <v>0</v>
      </c>
      <c r="AM149" s="791" t="str">
        <f>IFERROR(VLOOKUP(Table_NFI[[#This Row],[Camp Name]],CL,2,0),"")</f>
        <v>MMR001CMP017</v>
      </c>
      <c r="AN149" s="782">
        <f ca="1">IF(Table_NFI[[#This Row],[Pcode]]="","",IF(OFFSET(CampList[Opening Date],MATCH(Table_NFI[[#This Row],[Pcode]],CampList[CP_Pcode],0)-1,0,1,1)&gt;=NFI_Monitor_Date,1,0))</f>
        <v>0</v>
      </c>
      <c r="AO149" s="791" t="str">
        <f>IFERROR(VLOOKUP(Table_NFI[[#This Row],[Camp Name]],CL,3,0),"")</f>
        <v>Closed</v>
      </c>
      <c r="AP149" s="439" t="str">
        <f ca="1">IF(Table_NFI[[#This Row],[Pcode]]="","",OFFSET(CampList[Priority],MATCH(Table_NFI[[#This Row],[Pcode]],CampList[CP_Pcode],0)-1,0,1,1))</f>
        <v>P4</v>
      </c>
      <c r="AQ149" s="438" t="str">
        <f>IFERROR(Table_NFI[[#This Row],[Kitchen Set]]/VLOOKUP(Table_NFI[[#This Row],[Camp Name]],CL,4,0),"")</f>
        <v/>
      </c>
      <c r="AR149" s="789"/>
      <c r="AS149" s="792"/>
    </row>
    <row r="150" spans="1:45" s="136" customFormat="1" x14ac:dyDescent="0.25">
      <c r="A150" s="455">
        <f t="shared" si="2"/>
        <v>13.2</v>
      </c>
      <c r="B150" s="778">
        <v>41913</v>
      </c>
      <c r="C150" s="779" t="s">
        <v>454</v>
      </c>
      <c r="D150" s="789" t="s">
        <v>507</v>
      </c>
      <c r="E150" s="789" t="s">
        <v>380</v>
      </c>
      <c r="F150" s="789" t="s">
        <v>529</v>
      </c>
      <c r="G150" s="789" t="s">
        <v>613</v>
      </c>
      <c r="H150" s="437"/>
      <c r="I150" s="437"/>
      <c r="J150" s="437"/>
      <c r="K150" s="437">
        <v>36</v>
      </c>
      <c r="L150" s="437"/>
      <c r="M150" s="437"/>
      <c r="N150" s="437"/>
      <c r="O150" s="437"/>
      <c r="P150" s="439"/>
      <c r="Q150" s="439"/>
      <c r="R150" s="439"/>
      <c r="S150" s="439"/>
      <c r="T150" s="439"/>
      <c r="U150" s="439"/>
      <c r="V150" s="439"/>
      <c r="W150" s="439">
        <f>IF(NFI_Expiration=1,IF($A150&lt;VLOOKUP(H$5,NFI,5,0),1,0)*Table_NFI[[#This Row],[Hygiene Kit]],Table_NFI[Hygiene Kit])</f>
        <v>0</v>
      </c>
      <c r="X150" s="439">
        <f>IF(NFI_Expiration=1,IF($A150&lt;VLOOKUP(I$5,NFI,5,0),1,0)*Table_NFI[[#This Row],[NFI Core Kit]],Table_NFI[NFI Core Kit])</f>
        <v>0</v>
      </c>
      <c r="Y150" s="439">
        <f>IF(NFI_Expiration=1,IF($A150&lt;VLOOKUP(J$5,NFI,5,0),1,0)*Table_NFI[[#This Row],[Sanitary Kit]],Table_NFI[Sanitary Kit])</f>
        <v>0</v>
      </c>
      <c r="Z150" s="439">
        <f>IF(NFI_Expiration=1,IF($A150&lt;VLOOKUP(K$5,NFI,5,0),1,0)*Table_NFI[[#This Row],[Mosquito net]],Table_NFI[Mosquito net])</f>
        <v>0</v>
      </c>
      <c r="AA150" s="439">
        <f>IF(NFI_Expiration=1,IF($A150&lt;VLOOKUP(L$5,NFI,5,0),1,0)*Table_NFI[[#This Row],[Tarpaulin]],Table_NFI[[#This Row],[Tarpaulin]])</f>
        <v>0</v>
      </c>
      <c r="AB150" s="439">
        <f>IF(NFI_Expiration=1,IF($A150&lt;VLOOKUP(M$5,NFI,5,0),1,0)*Table_NFI[[#This Row],[Blanket]],Table_NFI[[#This Row],[Blanket]])</f>
        <v>0</v>
      </c>
      <c r="AC150" s="439">
        <f>IF(NFI_Expiration=1,IF($A150&lt;VLOOKUP(N$5,NFI,5,0),1,0)*Table_NFI[[#This Row],[Kitchen Set]],Table_NFI[Kitchen Set])</f>
        <v>0</v>
      </c>
      <c r="AD150" s="439">
        <f>IF(NFI_Expiration=1,IF($A150&lt;VLOOKUP(O$5,NFI,5,0),1,0)*Table_NFI[[#This Row],[Clothes Kit]],Table_NFI[Clothes Kit])</f>
        <v>0</v>
      </c>
      <c r="AE150" s="439">
        <f>IF(NFI_Expiration=1,IF($A150&lt;VLOOKUP(P$5,NFI,5,0),1,0)*Table_NFI[[#This Row],[Plastic Bucket]],Table_NFI[Plastic Bucket])</f>
        <v>0</v>
      </c>
      <c r="AF150" s="439">
        <f>IF(NFI_Expiration=1,IF($A150&lt;VLOOKUP(Q$5,NFI,5,0),1,0)*Table_NFI[[#This Row],[Plastic Mat]],Table_NFI[Plastic Mat])*IF(Table_NFI[[#This Row],[Distribution Date]]&gt;"2014-04-01",1,2.5)</f>
        <v>0</v>
      </c>
      <c r="AG150" s="439">
        <f>IF(NFI_Expiration=1,IF($A150&lt;VLOOKUP(R$5,NFI,5,0),1,0)*Table_NFI[[#This Row],[Winter Clothes Adult]],Table_NFI[Winter Clothes Adult])</f>
        <v>0</v>
      </c>
      <c r="AH150" s="439">
        <f>IF(NFI_Expiration=1,IF($A150&lt;VLOOKUP(S$5,NFI,5,0),1,0)*Table_NFI[[#This Row],[Winter Clothes Children]],Table_NFI[Winter Clothes Children])</f>
        <v>0</v>
      </c>
      <c r="AI150" s="439">
        <f>IF(NFI_Expiration=1,IF($A150&lt;VLOOKUP(T$5,NFI,5,0),1,0)*Table_NFI[[#This Row],[Winter Items Other]],Table_NFI[Winter Items Other])</f>
        <v>0</v>
      </c>
      <c r="AJ150" s="439">
        <f>IF(NFI_Expiration=1,IF($A150&lt;VLOOKUP(M$5,NFI,5,0),1,0)*Table_NFI[[#This Row],[Winter Blanket]],Table_NFI[[#This Row],[Winter Blanket]])</f>
        <v>0</v>
      </c>
      <c r="AK150" s="439">
        <f>IF(Table_NFI[[#This Row],[Winter Clothes Adult]]+Table_NFI[[#This Row],[Winter Clothes Children]]+Table_NFI[[#This Row],[Winter Items Other]]+Table_NFI[[#This Row],[Winter Blanket]]&gt;0,1,0)</f>
        <v>0</v>
      </c>
      <c r="AL150" s="439">
        <f>IF(NFI_Expiration=1,IF($A150&lt;VLOOKUP(V$5,NFI,5,0),1,0)*Table_NFI[[#This Row],[Jerry Can]],Table_NFI[Jerry Can])</f>
        <v>0</v>
      </c>
      <c r="AM150" s="791" t="str">
        <f>IFERROR(VLOOKUP(Table_NFI[[#This Row],[Camp Name]],CL,2,0),"")</f>
        <v>MMR001CMP192</v>
      </c>
      <c r="AN150" s="782">
        <f ca="1">IF(Table_NFI[[#This Row],[Pcode]]="","",IF(OFFSET(CampList[Opening Date],MATCH(Table_NFI[[#This Row],[Pcode]],CampList[CP_Pcode],0)-1,0,1,1)&gt;=NFI_Monitor_Date,1,0))</f>
        <v>0</v>
      </c>
      <c r="AO150" s="791" t="str">
        <f>IFERROR(VLOOKUP(Table_NFI[[#This Row],[Camp Name]],CL,3,0),"")</f>
        <v>Open</v>
      </c>
      <c r="AP150" s="439" t="str">
        <f ca="1">IF(Table_NFI[[#This Row],[Pcode]]="","",OFFSET(CampList[Priority],MATCH(Table_NFI[[#This Row],[Pcode]],CampList[CP_Pcode],0)-1,0,1,1))</f>
        <v>P4</v>
      </c>
      <c r="AQ150" s="438">
        <f>IFERROR(Table_NFI[[#This Row],[Kitchen Set]]/VLOOKUP(Table_NFI[[#This Row],[Camp Name]],CL,4,0),"")</f>
        <v>0</v>
      </c>
      <c r="AR150" s="789"/>
      <c r="AS150" s="792"/>
    </row>
    <row r="151" spans="1:45" s="136" customFormat="1" x14ac:dyDescent="0.25">
      <c r="A151" s="455">
        <f t="shared" si="2"/>
        <v>13.2</v>
      </c>
      <c r="B151" s="778">
        <v>41913</v>
      </c>
      <c r="C151" s="779" t="s">
        <v>454</v>
      </c>
      <c r="D151" s="789" t="s">
        <v>508</v>
      </c>
      <c r="E151" s="789" t="s">
        <v>380</v>
      </c>
      <c r="F151" s="789" t="s">
        <v>237</v>
      </c>
      <c r="G151" s="789" t="s">
        <v>271</v>
      </c>
      <c r="H151" s="437"/>
      <c r="I151" s="437"/>
      <c r="J151" s="437"/>
      <c r="K151" s="437">
        <v>144</v>
      </c>
      <c r="L151" s="437"/>
      <c r="M151" s="437"/>
      <c r="N151" s="437"/>
      <c r="O151" s="437"/>
      <c r="P151" s="439"/>
      <c r="Q151" s="439"/>
      <c r="R151" s="439"/>
      <c r="S151" s="439"/>
      <c r="T151" s="439"/>
      <c r="U151" s="439"/>
      <c r="V151" s="439"/>
      <c r="W151" s="439">
        <f>IF(NFI_Expiration=1,IF($A151&lt;VLOOKUP(H$5,NFI,5,0),1,0)*Table_NFI[[#This Row],[Hygiene Kit]],Table_NFI[Hygiene Kit])</f>
        <v>0</v>
      </c>
      <c r="X151" s="439">
        <f>IF(NFI_Expiration=1,IF($A151&lt;VLOOKUP(I$5,NFI,5,0),1,0)*Table_NFI[[#This Row],[NFI Core Kit]],Table_NFI[NFI Core Kit])</f>
        <v>0</v>
      </c>
      <c r="Y151" s="439">
        <f>IF(NFI_Expiration=1,IF($A151&lt;VLOOKUP(J$5,NFI,5,0),1,0)*Table_NFI[[#This Row],[Sanitary Kit]],Table_NFI[Sanitary Kit])</f>
        <v>0</v>
      </c>
      <c r="Z151" s="439">
        <f>IF(NFI_Expiration=1,IF($A151&lt;VLOOKUP(K$5,NFI,5,0),1,0)*Table_NFI[[#This Row],[Mosquito net]],Table_NFI[Mosquito net])</f>
        <v>0</v>
      </c>
      <c r="AA151" s="439">
        <f>IF(NFI_Expiration=1,IF($A151&lt;VLOOKUP(L$5,NFI,5,0),1,0)*Table_NFI[[#This Row],[Tarpaulin]],Table_NFI[[#This Row],[Tarpaulin]])</f>
        <v>0</v>
      </c>
      <c r="AB151" s="439">
        <f>IF(NFI_Expiration=1,IF($A151&lt;VLOOKUP(M$5,NFI,5,0),1,0)*Table_NFI[[#This Row],[Blanket]],Table_NFI[[#This Row],[Blanket]])</f>
        <v>0</v>
      </c>
      <c r="AC151" s="439">
        <f>IF(NFI_Expiration=1,IF($A151&lt;VLOOKUP(N$5,NFI,5,0),1,0)*Table_NFI[[#This Row],[Kitchen Set]],Table_NFI[Kitchen Set])</f>
        <v>0</v>
      </c>
      <c r="AD151" s="439">
        <f>IF(NFI_Expiration=1,IF($A151&lt;VLOOKUP(O$5,NFI,5,0),1,0)*Table_NFI[[#This Row],[Clothes Kit]],Table_NFI[Clothes Kit])</f>
        <v>0</v>
      </c>
      <c r="AE151" s="439">
        <f>IF(NFI_Expiration=1,IF($A151&lt;VLOOKUP(P$5,NFI,5,0),1,0)*Table_NFI[[#This Row],[Plastic Bucket]],Table_NFI[Plastic Bucket])</f>
        <v>0</v>
      </c>
      <c r="AF151" s="439">
        <f>IF(NFI_Expiration=1,IF($A151&lt;VLOOKUP(Q$5,NFI,5,0),1,0)*Table_NFI[[#This Row],[Plastic Mat]],Table_NFI[Plastic Mat])*IF(Table_NFI[[#This Row],[Distribution Date]]&gt;"2014-04-01",1,2.5)</f>
        <v>0</v>
      </c>
      <c r="AG151" s="439">
        <f>IF(NFI_Expiration=1,IF($A151&lt;VLOOKUP(R$5,NFI,5,0),1,0)*Table_NFI[[#This Row],[Winter Clothes Adult]],Table_NFI[Winter Clothes Adult])</f>
        <v>0</v>
      </c>
      <c r="AH151" s="439">
        <f>IF(NFI_Expiration=1,IF($A151&lt;VLOOKUP(S$5,NFI,5,0),1,0)*Table_NFI[[#This Row],[Winter Clothes Children]],Table_NFI[Winter Clothes Children])</f>
        <v>0</v>
      </c>
      <c r="AI151" s="439">
        <f>IF(NFI_Expiration=1,IF($A151&lt;VLOOKUP(T$5,NFI,5,0),1,0)*Table_NFI[[#This Row],[Winter Items Other]],Table_NFI[Winter Items Other])</f>
        <v>0</v>
      </c>
      <c r="AJ151" s="439">
        <f>IF(NFI_Expiration=1,IF($A151&lt;VLOOKUP(M$5,NFI,5,0),1,0)*Table_NFI[[#This Row],[Winter Blanket]],Table_NFI[[#This Row],[Winter Blanket]])</f>
        <v>0</v>
      </c>
      <c r="AK151" s="439">
        <f>IF(Table_NFI[[#This Row],[Winter Clothes Adult]]+Table_NFI[[#This Row],[Winter Clothes Children]]+Table_NFI[[#This Row],[Winter Items Other]]+Table_NFI[[#This Row],[Winter Blanket]]&gt;0,1,0)</f>
        <v>0</v>
      </c>
      <c r="AL151" s="439">
        <f>IF(NFI_Expiration=1,IF($A151&lt;VLOOKUP(V$5,NFI,5,0),1,0)*Table_NFI[[#This Row],[Jerry Can]],Table_NFI[Jerry Can])</f>
        <v>0</v>
      </c>
      <c r="AM151" s="791" t="str">
        <f>IFERROR(VLOOKUP(Table_NFI[[#This Row],[Camp Name]],CL,2,0),"")</f>
        <v>MMR001CMP024</v>
      </c>
      <c r="AN151" s="782">
        <f ca="1">IF(Table_NFI[[#This Row],[Pcode]]="","",IF(OFFSET(CampList[Opening Date],MATCH(Table_NFI[[#This Row],[Pcode]],CampList[CP_Pcode],0)-1,0,1,1)&gt;=NFI_Monitor_Date,1,0))</f>
        <v>0</v>
      </c>
      <c r="AO151" s="791" t="str">
        <f>IFERROR(VLOOKUP(Table_NFI[[#This Row],[Camp Name]],CL,3,0),"")</f>
        <v>Open</v>
      </c>
      <c r="AP151" s="439" t="str">
        <f ca="1">IF(Table_NFI[[#This Row],[Pcode]]="","",OFFSET(CampList[Priority],MATCH(Table_NFI[[#This Row],[Pcode]],CampList[CP_Pcode],0)-1,0,1,1))</f>
        <v>P4</v>
      </c>
      <c r="AQ151" s="438">
        <f>IFERROR(Table_NFI[[#This Row],[Kitchen Set]]/VLOOKUP(Table_NFI[[#This Row],[Camp Name]],CL,4,0),"")</f>
        <v>0</v>
      </c>
      <c r="AR151" s="789"/>
      <c r="AS151" s="792"/>
    </row>
    <row r="152" spans="1:45" s="136" customFormat="1" x14ac:dyDescent="0.25">
      <c r="A152" s="455">
        <f t="shared" si="2"/>
        <v>13.2</v>
      </c>
      <c r="B152" s="778">
        <v>41913</v>
      </c>
      <c r="C152" s="779" t="s">
        <v>454</v>
      </c>
      <c r="D152" s="789" t="s">
        <v>508</v>
      </c>
      <c r="E152" s="789" t="s">
        <v>380</v>
      </c>
      <c r="F152" s="789" t="s">
        <v>529</v>
      </c>
      <c r="G152" s="789" t="s">
        <v>108</v>
      </c>
      <c r="H152" s="437"/>
      <c r="I152" s="437"/>
      <c r="J152" s="437"/>
      <c r="K152" s="437">
        <v>80</v>
      </c>
      <c r="L152" s="437"/>
      <c r="M152" s="437"/>
      <c r="N152" s="437"/>
      <c r="O152" s="437"/>
      <c r="P152" s="439"/>
      <c r="Q152" s="439"/>
      <c r="R152" s="439"/>
      <c r="S152" s="439"/>
      <c r="T152" s="439"/>
      <c r="U152" s="439"/>
      <c r="V152" s="439"/>
      <c r="W152" s="439">
        <f>IF(NFI_Expiration=1,IF($A152&lt;VLOOKUP(H$5,NFI,5,0),1,0)*Table_NFI[[#This Row],[Hygiene Kit]],Table_NFI[Hygiene Kit])</f>
        <v>0</v>
      </c>
      <c r="X152" s="439">
        <f>IF(NFI_Expiration=1,IF($A152&lt;VLOOKUP(I$5,NFI,5,0),1,0)*Table_NFI[[#This Row],[NFI Core Kit]],Table_NFI[NFI Core Kit])</f>
        <v>0</v>
      </c>
      <c r="Y152" s="439">
        <f>IF(NFI_Expiration=1,IF($A152&lt;VLOOKUP(J$5,NFI,5,0),1,0)*Table_NFI[[#This Row],[Sanitary Kit]],Table_NFI[Sanitary Kit])</f>
        <v>0</v>
      </c>
      <c r="Z152" s="439">
        <f>IF(NFI_Expiration=1,IF($A152&lt;VLOOKUP(K$5,NFI,5,0),1,0)*Table_NFI[[#This Row],[Mosquito net]],Table_NFI[Mosquito net])</f>
        <v>0</v>
      </c>
      <c r="AA152" s="439">
        <f>IF(NFI_Expiration=1,IF($A152&lt;VLOOKUP(L$5,NFI,5,0),1,0)*Table_NFI[[#This Row],[Tarpaulin]],Table_NFI[[#This Row],[Tarpaulin]])</f>
        <v>0</v>
      </c>
      <c r="AB152" s="439">
        <f>IF(NFI_Expiration=1,IF($A152&lt;VLOOKUP(M$5,NFI,5,0),1,0)*Table_NFI[[#This Row],[Blanket]],Table_NFI[[#This Row],[Blanket]])</f>
        <v>0</v>
      </c>
      <c r="AC152" s="439">
        <f>IF(NFI_Expiration=1,IF($A152&lt;VLOOKUP(N$5,NFI,5,0),1,0)*Table_NFI[[#This Row],[Kitchen Set]],Table_NFI[Kitchen Set])</f>
        <v>0</v>
      </c>
      <c r="AD152" s="439">
        <f>IF(NFI_Expiration=1,IF($A152&lt;VLOOKUP(O$5,NFI,5,0),1,0)*Table_NFI[[#This Row],[Clothes Kit]],Table_NFI[Clothes Kit])</f>
        <v>0</v>
      </c>
      <c r="AE152" s="439">
        <f>IF(NFI_Expiration=1,IF($A152&lt;VLOOKUP(P$5,NFI,5,0),1,0)*Table_NFI[[#This Row],[Plastic Bucket]],Table_NFI[Plastic Bucket])</f>
        <v>0</v>
      </c>
      <c r="AF152" s="439">
        <f>IF(NFI_Expiration=1,IF($A152&lt;VLOOKUP(Q$5,NFI,5,0),1,0)*Table_NFI[[#This Row],[Plastic Mat]],Table_NFI[Plastic Mat])*IF(Table_NFI[[#This Row],[Distribution Date]]&gt;"2014-04-01",1,2.5)</f>
        <v>0</v>
      </c>
      <c r="AG152" s="439">
        <f>IF(NFI_Expiration=1,IF($A152&lt;VLOOKUP(R$5,NFI,5,0),1,0)*Table_NFI[[#This Row],[Winter Clothes Adult]],Table_NFI[Winter Clothes Adult])</f>
        <v>0</v>
      </c>
      <c r="AH152" s="439">
        <f>IF(NFI_Expiration=1,IF($A152&lt;VLOOKUP(S$5,NFI,5,0),1,0)*Table_NFI[[#This Row],[Winter Clothes Children]],Table_NFI[Winter Clothes Children])</f>
        <v>0</v>
      </c>
      <c r="AI152" s="439">
        <f>IF(NFI_Expiration=1,IF($A152&lt;VLOOKUP(T$5,NFI,5,0),1,0)*Table_NFI[[#This Row],[Winter Items Other]],Table_NFI[Winter Items Other])</f>
        <v>0</v>
      </c>
      <c r="AJ152" s="439">
        <f>IF(NFI_Expiration=1,IF($A152&lt;VLOOKUP(M$5,NFI,5,0),1,0)*Table_NFI[[#This Row],[Winter Blanket]],Table_NFI[[#This Row],[Winter Blanket]])</f>
        <v>0</v>
      </c>
      <c r="AK152" s="439">
        <f>IF(Table_NFI[[#This Row],[Winter Clothes Adult]]+Table_NFI[[#This Row],[Winter Clothes Children]]+Table_NFI[[#This Row],[Winter Items Other]]+Table_NFI[[#This Row],[Winter Blanket]]&gt;0,1,0)</f>
        <v>0</v>
      </c>
      <c r="AL152" s="439">
        <f>IF(NFI_Expiration=1,IF($A152&lt;VLOOKUP(V$5,NFI,5,0),1,0)*Table_NFI[[#This Row],[Jerry Can]],Table_NFI[Jerry Can])</f>
        <v>0</v>
      </c>
      <c r="AM152" s="791" t="str">
        <f>IFERROR(VLOOKUP(Table_NFI[[#This Row],[Camp Name]],CL,2,0),"")</f>
        <v>MMR001CMP103</v>
      </c>
      <c r="AN152" s="782">
        <f ca="1">IF(Table_NFI[[#This Row],[Pcode]]="","",IF(OFFSET(CampList[Opening Date],MATCH(Table_NFI[[#This Row],[Pcode]],CampList[CP_Pcode],0)-1,0,1,1)&gt;=NFI_Monitor_Date,1,0))</f>
        <v>0</v>
      </c>
      <c r="AO152" s="791" t="str">
        <f>IFERROR(VLOOKUP(Table_NFI[[#This Row],[Camp Name]],CL,3,0),"")</f>
        <v>Open</v>
      </c>
      <c r="AP152" s="439" t="str">
        <f ca="1">IF(Table_NFI[[#This Row],[Pcode]]="","",OFFSET(CampList[Priority],MATCH(Table_NFI[[#This Row],[Pcode]],CampList[CP_Pcode],0)-1,0,1,1))</f>
        <v>P4</v>
      </c>
      <c r="AQ152" s="438">
        <f>IFERROR(Table_NFI[[#This Row],[Kitchen Set]]/VLOOKUP(Table_NFI[[#This Row],[Camp Name]],CL,4,0),"")</f>
        <v>0</v>
      </c>
      <c r="AR152" s="789"/>
      <c r="AS152" s="792"/>
    </row>
    <row r="153" spans="1:45" s="136" customFormat="1" x14ac:dyDescent="0.25">
      <c r="A153" s="455">
        <f t="shared" si="2"/>
        <v>13.2</v>
      </c>
      <c r="B153" s="778">
        <v>41913</v>
      </c>
      <c r="C153" s="779" t="s">
        <v>454</v>
      </c>
      <c r="D153" s="789" t="s">
        <v>507</v>
      </c>
      <c r="E153" s="789" t="s">
        <v>380</v>
      </c>
      <c r="F153" s="789" t="s">
        <v>310</v>
      </c>
      <c r="G153" s="789" t="s">
        <v>344</v>
      </c>
      <c r="H153" s="437"/>
      <c r="I153" s="437"/>
      <c r="J153" s="437"/>
      <c r="K153" s="437">
        <v>36</v>
      </c>
      <c r="L153" s="437"/>
      <c r="M153" s="437"/>
      <c r="N153" s="437"/>
      <c r="O153" s="437"/>
      <c r="P153" s="439"/>
      <c r="Q153" s="439"/>
      <c r="R153" s="439"/>
      <c r="S153" s="439"/>
      <c r="T153" s="439"/>
      <c r="U153" s="439"/>
      <c r="V153" s="439"/>
      <c r="W153" s="439">
        <f>IF(NFI_Expiration=1,IF($A153&lt;VLOOKUP(H$5,NFI,5,0),1,0)*Table_NFI[[#This Row],[Hygiene Kit]],Table_NFI[Hygiene Kit])</f>
        <v>0</v>
      </c>
      <c r="X153" s="439">
        <f>IF(NFI_Expiration=1,IF($A153&lt;VLOOKUP(I$5,NFI,5,0),1,0)*Table_NFI[[#This Row],[NFI Core Kit]],Table_NFI[NFI Core Kit])</f>
        <v>0</v>
      </c>
      <c r="Y153" s="439">
        <f>IF(NFI_Expiration=1,IF($A153&lt;VLOOKUP(J$5,NFI,5,0),1,0)*Table_NFI[[#This Row],[Sanitary Kit]],Table_NFI[Sanitary Kit])</f>
        <v>0</v>
      </c>
      <c r="Z153" s="439">
        <f>IF(NFI_Expiration=1,IF($A153&lt;VLOOKUP(K$5,NFI,5,0),1,0)*Table_NFI[[#This Row],[Mosquito net]],Table_NFI[Mosquito net])</f>
        <v>0</v>
      </c>
      <c r="AA153" s="439">
        <f>IF(NFI_Expiration=1,IF($A153&lt;VLOOKUP(L$5,NFI,5,0),1,0)*Table_NFI[[#This Row],[Tarpaulin]],Table_NFI[[#This Row],[Tarpaulin]])</f>
        <v>0</v>
      </c>
      <c r="AB153" s="439">
        <f>IF(NFI_Expiration=1,IF($A153&lt;VLOOKUP(M$5,NFI,5,0),1,0)*Table_NFI[[#This Row],[Blanket]],Table_NFI[[#This Row],[Blanket]])</f>
        <v>0</v>
      </c>
      <c r="AC153" s="439">
        <f>IF(NFI_Expiration=1,IF($A153&lt;VLOOKUP(N$5,NFI,5,0),1,0)*Table_NFI[[#This Row],[Kitchen Set]],Table_NFI[Kitchen Set])</f>
        <v>0</v>
      </c>
      <c r="AD153" s="439">
        <f>IF(NFI_Expiration=1,IF($A153&lt;VLOOKUP(O$5,NFI,5,0),1,0)*Table_NFI[[#This Row],[Clothes Kit]],Table_NFI[Clothes Kit])</f>
        <v>0</v>
      </c>
      <c r="AE153" s="439">
        <f>IF(NFI_Expiration=1,IF($A153&lt;VLOOKUP(P$5,NFI,5,0),1,0)*Table_NFI[[#This Row],[Plastic Bucket]],Table_NFI[Plastic Bucket])</f>
        <v>0</v>
      </c>
      <c r="AF153" s="439">
        <f>IF(NFI_Expiration=1,IF($A153&lt;VLOOKUP(Q$5,NFI,5,0),1,0)*Table_NFI[[#This Row],[Plastic Mat]],Table_NFI[Plastic Mat])*IF(Table_NFI[[#This Row],[Distribution Date]]&gt;"2014-04-01",1,2.5)</f>
        <v>0</v>
      </c>
      <c r="AG153" s="439">
        <f>IF(NFI_Expiration=1,IF($A153&lt;VLOOKUP(R$5,NFI,5,0),1,0)*Table_NFI[[#This Row],[Winter Clothes Adult]],Table_NFI[Winter Clothes Adult])</f>
        <v>0</v>
      </c>
      <c r="AH153" s="439">
        <f>IF(NFI_Expiration=1,IF($A153&lt;VLOOKUP(S$5,NFI,5,0),1,0)*Table_NFI[[#This Row],[Winter Clothes Children]],Table_NFI[Winter Clothes Children])</f>
        <v>0</v>
      </c>
      <c r="AI153" s="439">
        <f>IF(NFI_Expiration=1,IF($A153&lt;VLOOKUP(T$5,NFI,5,0),1,0)*Table_NFI[[#This Row],[Winter Items Other]],Table_NFI[Winter Items Other])</f>
        <v>0</v>
      </c>
      <c r="AJ153" s="439">
        <f>IF(NFI_Expiration=1,IF($A153&lt;VLOOKUP(M$5,NFI,5,0),1,0)*Table_NFI[[#This Row],[Winter Blanket]],Table_NFI[[#This Row],[Winter Blanket]])</f>
        <v>0</v>
      </c>
      <c r="AK153" s="439">
        <f>IF(Table_NFI[[#This Row],[Winter Clothes Adult]]+Table_NFI[[#This Row],[Winter Clothes Children]]+Table_NFI[[#This Row],[Winter Items Other]]+Table_NFI[[#This Row],[Winter Blanket]]&gt;0,1,0)</f>
        <v>0</v>
      </c>
      <c r="AL153" s="439">
        <f>IF(NFI_Expiration=1,IF($A153&lt;VLOOKUP(V$5,NFI,5,0),1,0)*Table_NFI[[#This Row],[Jerry Can]],Table_NFI[Jerry Can])</f>
        <v>0</v>
      </c>
      <c r="AM153" s="791" t="str">
        <f>IFERROR(VLOOKUP(Table_NFI[[#This Row],[Camp Name]],CL,2,0),"")</f>
        <v>MMR001CMP033</v>
      </c>
      <c r="AN153" s="782">
        <f ca="1">IF(Table_NFI[[#This Row],[Pcode]]="","",IF(OFFSET(CampList[Opening Date],MATCH(Table_NFI[[#This Row],[Pcode]],CampList[CP_Pcode],0)-1,0,1,1)&gt;=NFI_Monitor_Date,1,0))</f>
        <v>0</v>
      </c>
      <c r="AO153" s="791" t="str">
        <f>IFERROR(VLOOKUP(Table_NFI[[#This Row],[Camp Name]],CL,3,0),"")</f>
        <v>Open</v>
      </c>
      <c r="AP153" s="439" t="str">
        <f ca="1">IF(Table_NFI[[#This Row],[Pcode]]="","",OFFSET(CampList[Priority],MATCH(Table_NFI[[#This Row],[Pcode]],CampList[CP_Pcode],0)-1,0,1,1))</f>
        <v>P4</v>
      </c>
      <c r="AQ153" s="438">
        <f>IFERROR(Table_NFI[[#This Row],[Kitchen Set]]/VLOOKUP(Table_NFI[[#This Row],[Camp Name]],CL,4,0),"")</f>
        <v>0</v>
      </c>
      <c r="AR153" s="789"/>
      <c r="AS153" s="792"/>
    </row>
    <row r="154" spans="1:45" s="136" customFormat="1" x14ac:dyDescent="0.25">
      <c r="A154" s="455">
        <f t="shared" si="2"/>
        <v>13.2</v>
      </c>
      <c r="B154" s="778">
        <v>41913</v>
      </c>
      <c r="C154" s="779" t="s">
        <v>454</v>
      </c>
      <c r="D154" s="789" t="s">
        <v>508</v>
      </c>
      <c r="E154" s="789" t="s">
        <v>380</v>
      </c>
      <c r="F154" s="789" t="s">
        <v>237</v>
      </c>
      <c r="G154" s="789" t="s">
        <v>273</v>
      </c>
      <c r="H154" s="437"/>
      <c r="I154" s="437"/>
      <c r="J154" s="437"/>
      <c r="K154" s="437">
        <v>62</v>
      </c>
      <c r="L154" s="437"/>
      <c r="M154" s="437"/>
      <c r="N154" s="437"/>
      <c r="O154" s="437"/>
      <c r="P154" s="439"/>
      <c r="Q154" s="439"/>
      <c r="R154" s="439"/>
      <c r="S154" s="439"/>
      <c r="T154" s="439"/>
      <c r="U154" s="439"/>
      <c r="V154" s="439"/>
      <c r="W154" s="439">
        <f>IF(NFI_Expiration=1,IF($A154&lt;VLOOKUP(H$5,NFI,5,0),1,0)*Table_NFI[[#This Row],[Hygiene Kit]],Table_NFI[Hygiene Kit])</f>
        <v>0</v>
      </c>
      <c r="X154" s="439">
        <f>IF(NFI_Expiration=1,IF($A154&lt;VLOOKUP(I$5,NFI,5,0),1,0)*Table_NFI[[#This Row],[NFI Core Kit]],Table_NFI[NFI Core Kit])</f>
        <v>0</v>
      </c>
      <c r="Y154" s="439">
        <f>IF(NFI_Expiration=1,IF($A154&lt;VLOOKUP(J$5,NFI,5,0),1,0)*Table_NFI[[#This Row],[Sanitary Kit]],Table_NFI[Sanitary Kit])</f>
        <v>0</v>
      </c>
      <c r="Z154" s="439">
        <f>IF(NFI_Expiration=1,IF($A154&lt;VLOOKUP(K$5,NFI,5,0),1,0)*Table_NFI[[#This Row],[Mosquito net]],Table_NFI[Mosquito net])</f>
        <v>0</v>
      </c>
      <c r="AA154" s="439">
        <f>IF(NFI_Expiration=1,IF($A154&lt;VLOOKUP(L$5,NFI,5,0),1,0)*Table_NFI[[#This Row],[Tarpaulin]],Table_NFI[[#This Row],[Tarpaulin]])</f>
        <v>0</v>
      </c>
      <c r="AB154" s="439">
        <f>IF(NFI_Expiration=1,IF($A154&lt;VLOOKUP(M$5,NFI,5,0),1,0)*Table_NFI[[#This Row],[Blanket]],Table_NFI[[#This Row],[Blanket]])</f>
        <v>0</v>
      </c>
      <c r="AC154" s="439">
        <f>IF(NFI_Expiration=1,IF($A154&lt;VLOOKUP(N$5,NFI,5,0),1,0)*Table_NFI[[#This Row],[Kitchen Set]],Table_NFI[Kitchen Set])</f>
        <v>0</v>
      </c>
      <c r="AD154" s="439">
        <f>IF(NFI_Expiration=1,IF($A154&lt;VLOOKUP(O$5,NFI,5,0),1,0)*Table_NFI[[#This Row],[Clothes Kit]],Table_NFI[Clothes Kit])</f>
        <v>0</v>
      </c>
      <c r="AE154" s="439">
        <f>IF(NFI_Expiration=1,IF($A154&lt;VLOOKUP(P$5,NFI,5,0),1,0)*Table_NFI[[#This Row],[Plastic Bucket]],Table_NFI[Plastic Bucket])</f>
        <v>0</v>
      </c>
      <c r="AF154" s="439">
        <f>IF(NFI_Expiration=1,IF($A154&lt;VLOOKUP(Q$5,NFI,5,0),1,0)*Table_NFI[[#This Row],[Plastic Mat]],Table_NFI[Plastic Mat])*IF(Table_NFI[[#This Row],[Distribution Date]]&gt;"2014-04-01",1,2.5)</f>
        <v>0</v>
      </c>
      <c r="AG154" s="439">
        <f>IF(NFI_Expiration=1,IF($A154&lt;VLOOKUP(R$5,NFI,5,0),1,0)*Table_NFI[[#This Row],[Winter Clothes Adult]],Table_NFI[Winter Clothes Adult])</f>
        <v>0</v>
      </c>
      <c r="AH154" s="439">
        <f>IF(NFI_Expiration=1,IF($A154&lt;VLOOKUP(S$5,NFI,5,0),1,0)*Table_NFI[[#This Row],[Winter Clothes Children]],Table_NFI[Winter Clothes Children])</f>
        <v>0</v>
      </c>
      <c r="AI154" s="439">
        <f>IF(NFI_Expiration=1,IF($A154&lt;VLOOKUP(T$5,NFI,5,0),1,0)*Table_NFI[[#This Row],[Winter Items Other]],Table_NFI[Winter Items Other])</f>
        <v>0</v>
      </c>
      <c r="AJ154" s="439">
        <f>IF(NFI_Expiration=1,IF($A154&lt;VLOOKUP(M$5,NFI,5,0),1,0)*Table_NFI[[#This Row],[Winter Blanket]],Table_NFI[[#This Row],[Winter Blanket]])</f>
        <v>0</v>
      </c>
      <c r="AK154" s="439">
        <f>IF(Table_NFI[[#This Row],[Winter Clothes Adult]]+Table_NFI[[#This Row],[Winter Clothes Children]]+Table_NFI[[#This Row],[Winter Items Other]]+Table_NFI[[#This Row],[Winter Blanket]]&gt;0,1,0)</f>
        <v>0</v>
      </c>
      <c r="AL154" s="439">
        <f>IF(NFI_Expiration=1,IF($A154&lt;VLOOKUP(V$5,NFI,5,0),1,0)*Table_NFI[[#This Row],[Jerry Can]],Table_NFI[Jerry Can])</f>
        <v>0</v>
      </c>
      <c r="AM154" s="791" t="str">
        <f>IFERROR(VLOOKUP(Table_NFI[[#This Row],[Camp Name]],CL,2,0),"")</f>
        <v>MMR001CMP162</v>
      </c>
      <c r="AN154" s="782">
        <f ca="1">IF(Table_NFI[[#This Row],[Pcode]]="","",IF(OFFSET(CampList[Opening Date],MATCH(Table_NFI[[#This Row],[Pcode]],CampList[CP_Pcode],0)-1,0,1,1)&gt;=NFI_Monitor_Date,1,0))</f>
        <v>0</v>
      </c>
      <c r="AO154" s="791" t="str">
        <f>IFERROR(VLOOKUP(Table_NFI[[#This Row],[Camp Name]],CL,3,0),"")</f>
        <v>Open</v>
      </c>
      <c r="AP154" s="439" t="str">
        <f ca="1">IF(Table_NFI[[#This Row],[Pcode]]="","",OFFSET(CampList[Priority],MATCH(Table_NFI[[#This Row],[Pcode]],CampList[CP_Pcode],0)-1,0,1,1))</f>
        <v>P4</v>
      </c>
      <c r="AQ154" s="438">
        <f>IFERROR(Table_NFI[[#This Row],[Kitchen Set]]/VLOOKUP(Table_NFI[[#This Row],[Camp Name]],CL,4,0),"")</f>
        <v>0</v>
      </c>
      <c r="AR154" s="789"/>
      <c r="AS154" s="792"/>
    </row>
    <row r="155" spans="1:45" s="136" customFormat="1" x14ac:dyDescent="0.25">
      <c r="A155" s="455">
        <f t="shared" si="2"/>
        <v>13.2</v>
      </c>
      <c r="B155" s="778">
        <v>41913</v>
      </c>
      <c r="C155" s="779" t="s">
        <v>454</v>
      </c>
      <c r="D155" s="789" t="s">
        <v>508</v>
      </c>
      <c r="E155" s="789" t="s">
        <v>380</v>
      </c>
      <c r="F155" s="789" t="s">
        <v>27</v>
      </c>
      <c r="G155" s="789" t="s">
        <v>870</v>
      </c>
      <c r="H155" s="437"/>
      <c r="I155" s="437"/>
      <c r="J155" s="437"/>
      <c r="K155" s="437">
        <v>130</v>
      </c>
      <c r="L155" s="437"/>
      <c r="M155" s="437"/>
      <c r="N155" s="437"/>
      <c r="O155" s="437"/>
      <c r="P155" s="439"/>
      <c r="Q155" s="439"/>
      <c r="R155" s="439"/>
      <c r="S155" s="439"/>
      <c r="T155" s="439"/>
      <c r="U155" s="437">
        <v>130</v>
      </c>
      <c r="V155" s="437"/>
      <c r="W155" s="439">
        <f>IF(NFI_Expiration=1,IF($A155&lt;VLOOKUP(H$5,NFI,5,0),1,0)*Table_NFI[[#This Row],[Hygiene Kit]],Table_NFI[Hygiene Kit])</f>
        <v>0</v>
      </c>
      <c r="X155" s="439">
        <f>IF(NFI_Expiration=1,IF($A155&lt;VLOOKUP(I$5,NFI,5,0),1,0)*Table_NFI[[#This Row],[NFI Core Kit]],Table_NFI[NFI Core Kit])</f>
        <v>0</v>
      </c>
      <c r="Y155" s="439">
        <f>IF(NFI_Expiration=1,IF($A155&lt;VLOOKUP(J$5,NFI,5,0),1,0)*Table_NFI[[#This Row],[Sanitary Kit]],Table_NFI[Sanitary Kit])</f>
        <v>0</v>
      </c>
      <c r="Z155" s="439">
        <f>IF(NFI_Expiration=1,IF($A155&lt;VLOOKUP(K$5,NFI,5,0),1,0)*Table_NFI[[#This Row],[Mosquito net]],Table_NFI[Mosquito net])</f>
        <v>0</v>
      </c>
      <c r="AA155" s="439">
        <f>IF(NFI_Expiration=1,IF($A155&lt;VLOOKUP(L$5,NFI,5,0),1,0)*Table_NFI[[#This Row],[Tarpaulin]],Table_NFI[[#This Row],[Tarpaulin]])</f>
        <v>0</v>
      </c>
      <c r="AB155" s="439">
        <f>IF(NFI_Expiration=1,IF($A155&lt;VLOOKUP(M$5,NFI,5,0),1,0)*Table_NFI[[#This Row],[Blanket]],Table_NFI[[#This Row],[Blanket]])</f>
        <v>0</v>
      </c>
      <c r="AC155" s="439">
        <f>IF(NFI_Expiration=1,IF($A155&lt;VLOOKUP(N$5,NFI,5,0),1,0)*Table_NFI[[#This Row],[Kitchen Set]],Table_NFI[Kitchen Set])</f>
        <v>0</v>
      </c>
      <c r="AD155" s="439">
        <f>IF(NFI_Expiration=1,IF($A155&lt;VLOOKUP(O$5,NFI,5,0),1,0)*Table_NFI[[#This Row],[Clothes Kit]],Table_NFI[Clothes Kit])</f>
        <v>0</v>
      </c>
      <c r="AE155" s="439">
        <f>IF(NFI_Expiration=1,IF($A155&lt;VLOOKUP(P$5,NFI,5,0),1,0)*Table_NFI[[#This Row],[Plastic Bucket]],Table_NFI[Plastic Bucket])</f>
        <v>0</v>
      </c>
      <c r="AF155" s="439">
        <f>IF(NFI_Expiration=1,IF($A155&lt;VLOOKUP(Q$5,NFI,5,0),1,0)*Table_NFI[[#This Row],[Plastic Mat]],Table_NFI[Plastic Mat])*IF(Table_NFI[[#This Row],[Distribution Date]]&gt;"2014-04-01",1,2.5)</f>
        <v>0</v>
      </c>
      <c r="AG155" s="439">
        <f>IF(NFI_Expiration=1,IF($A155&lt;VLOOKUP(R$5,NFI,5,0),1,0)*Table_NFI[[#This Row],[Winter Clothes Adult]],Table_NFI[Winter Clothes Adult])</f>
        <v>0</v>
      </c>
      <c r="AH155" s="439">
        <f>IF(NFI_Expiration=1,IF($A155&lt;VLOOKUP(S$5,NFI,5,0),1,0)*Table_NFI[[#This Row],[Winter Clothes Children]],Table_NFI[Winter Clothes Children])</f>
        <v>0</v>
      </c>
      <c r="AI155" s="439">
        <f>IF(NFI_Expiration=1,IF($A155&lt;VLOOKUP(T$5,NFI,5,0),1,0)*Table_NFI[[#This Row],[Winter Items Other]],Table_NFI[Winter Items Other])</f>
        <v>0</v>
      </c>
      <c r="AJ155" s="439">
        <f>IF(NFI_Expiration=1,IF($A155&lt;VLOOKUP(M$5,NFI,5,0),1,0)*Table_NFI[[#This Row],[Winter Blanket]],Table_NFI[[#This Row],[Winter Blanket]])</f>
        <v>0</v>
      </c>
      <c r="AK155" s="439">
        <f>IF(Table_NFI[[#This Row],[Winter Clothes Adult]]+Table_NFI[[#This Row],[Winter Clothes Children]]+Table_NFI[[#This Row],[Winter Items Other]]+Table_NFI[[#This Row],[Winter Blanket]]&gt;0,1,0)</f>
        <v>1</v>
      </c>
      <c r="AL155" s="439">
        <f>IF(NFI_Expiration=1,IF($A155&lt;VLOOKUP(V$5,NFI,5,0),1,0)*Table_NFI[[#This Row],[Jerry Can]],Table_NFI[Jerry Can])</f>
        <v>0</v>
      </c>
      <c r="AM155" s="791" t="str">
        <f>IFERROR(VLOOKUP(Table_NFI[[#This Row],[Camp Name]],CL,2,0),"")</f>
        <v>MMR001CMP210</v>
      </c>
      <c r="AN155" s="782">
        <f ca="1">IF(Table_NFI[[#This Row],[Pcode]]="","",IF(OFFSET(CampList[Opening Date],MATCH(Table_NFI[[#This Row],[Pcode]],CampList[CP_Pcode],0)-1,0,1,1)&gt;=NFI_Monitor_Date,1,0))</f>
        <v>0</v>
      </c>
      <c r="AO155" s="791" t="str">
        <f>IFERROR(VLOOKUP(Table_NFI[[#This Row],[Camp Name]],CL,3,0),"")</f>
        <v>Open</v>
      </c>
      <c r="AP155" s="439" t="str">
        <f ca="1">IF(Table_NFI[[#This Row],[Pcode]]="","",OFFSET(CampList[Priority],MATCH(Table_NFI[[#This Row],[Pcode]],CampList[CP_Pcode],0)-1,0,1,1))</f>
        <v>P1</v>
      </c>
      <c r="AQ155" s="438">
        <f>IFERROR(Table_NFI[[#This Row],[Kitchen Set]]/VLOOKUP(Table_NFI[[#This Row],[Camp Name]],CL,4,0),"")</f>
        <v>0</v>
      </c>
      <c r="AR155" s="789"/>
      <c r="AS155" s="792"/>
    </row>
    <row r="156" spans="1:45" s="136" customFormat="1" x14ac:dyDescent="0.25">
      <c r="A156" s="455">
        <f t="shared" si="2"/>
        <v>13.2</v>
      </c>
      <c r="B156" s="778">
        <v>41913</v>
      </c>
      <c r="C156" s="779" t="s">
        <v>454</v>
      </c>
      <c r="D156" s="789" t="s">
        <v>507</v>
      </c>
      <c r="E156" s="789" t="s">
        <v>380</v>
      </c>
      <c r="F156" s="789" t="s">
        <v>310</v>
      </c>
      <c r="G156" s="789" t="s">
        <v>318</v>
      </c>
      <c r="H156" s="437"/>
      <c r="I156" s="437"/>
      <c r="J156" s="437"/>
      <c r="K156" s="437">
        <v>240</v>
      </c>
      <c r="L156" s="437"/>
      <c r="M156" s="437"/>
      <c r="N156" s="437"/>
      <c r="O156" s="437"/>
      <c r="P156" s="439"/>
      <c r="Q156" s="439"/>
      <c r="R156" s="439"/>
      <c r="S156" s="439"/>
      <c r="T156" s="439"/>
      <c r="U156" s="439"/>
      <c r="V156" s="439"/>
      <c r="W156" s="439">
        <f>IF(NFI_Expiration=1,IF($A156&lt;VLOOKUP(H$5,NFI,5,0),1,0)*Table_NFI[[#This Row],[Hygiene Kit]],Table_NFI[Hygiene Kit])</f>
        <v>0</v>
      </c>
      <c r="X156" s="439">
        <f>IF(NFI_Expiration=1,IF($A156&lt;VLOOKUP(I$5,NFI,5,0),1,0)*Table_NFI[[#This Row],[NFI Core Kit]],Table_NFI[NFI Core Kit])</f>
        <v>0</v>
      </c>
      <c r="Y156" s="439">
        <f>IF(NFI_Expiration=1,IF($A156&lt;VLOOKUP(J$5,NFI,5,0),1,0)*Table_NFI[[#This Row],[Sanitary Kit]],Table_NFI[Sanitary Kit])</f>
        <v>0</v>
      </c>
      <c r="Z156" s="439">
        <f>IF(NFI_Expiration=1,IF($A156&lt;VLOOKUP(K$5,NFI,5,0),1,0)*Table_NFI[[#This Row],[Mosquito net]],Table_NFI[Mosquito net])</f>
        <v>0</v>
      </c>
      <c r="AA156" s="439">
        <f>IF(NFI_Expiration=1,IF($A156&lt;VLOOKUP(L$5,NFI,5,0),1,0)*Table_NFI[[#This Row],[Tarpaulin]],Table_NFI[[#This Row],[Tarpaulin]])</f>
        <v>0</v>
      </c>
      <c r="AB156" s="439">
        <f>IF(NFI_Expiration=1,IF($A156&lt;VLOOKUP(M$5,NFI,5,0),1,0)*Table_NFI[[#This Row],[Blanket]],Table_NFI[[#This Row],[Blanket]])</f>
        <v>0</v>
      </c>
      <c r="AC156" s="439">
        <f>IF(NFI_Expiration=1,IF($A156&lt;VLOOKUP(N$5,NFI,5,0),1,0)*Table_NFI[[#This Row],[Kitchen Set]],Table_NFI[Kitchen Set])</f>
        <v>0</v>
      </c>
      <c r="AD156" s="439">
        <f>IF(NFI_Expiration=1,IF($A156&lt;VLOOKUP(O$5,NFI,5,0),1,0)*Table_NFI[[#This Row],[Clothes Kit]],Table_NFI[Clothes Kit])</f>
        <v>0</v>
      </c>
      <c r="AE156" s="439">
        <f>IF(NFI_Expiration=1,IF($A156&lt;VLOOKUP(P$5,NFI,5,0),1,0)*Table_NFI[[#This Row],[Plastic Bucket]],Table_NFI[Plastic Bucket])</f>
        <v>0</v>
      </c>
      <c r="AF156" s="439">
        <f>IF(NFI_Expiration=1,IF($A156&lt;VLOOKUP(Q$5,NFI,5,0),1,0)*Table_NFI[[#This Row],[Plastic Mat]],Table_NFI[Plastic Mat])*IF(Table_NFI[[#This Row],[Distribution Date]]&gt;"2014-04-01",1,2.5)</f>
        <v>0</v>
      </c>
      <c r="AG156" s="439">
        <f>IF(NFI_Expiration=1,IF($A156&lt;VLOOKUP(R$5,NFI,5,0),1,0)*Table_NFI[[#This Row],[Winter Clothes Adult]],Table_NFI[Winter Clothes Adult])</f>
        <v>0</v>
      </c>
      <c r="AH156" s="439">
        <f>IF(NFI_Expiration=1,IF($A156&lt;VLOOKUP(S$5,NFI,5,0),1,0)*Table_NFI[[#This Row],[Winter Clothes Children]],Table_NFI[Winter Clothes Children])</f>
        <v>0</v>
      </c>
      <c r="AI156" s="439">
        <f>IF(NFI_Expiration=1,IF($A156&lt;VLOOKUP(T$5,NFI,5,0),1,0)*Table_NFI[[#This Row],[Winter Items Other]],Table_NFI[Winter Items Other])</f>
        <v>0</v>
      </c>
      <c r="AJ156" s="439">
        <f>IF(NFI_Expiration=1,IF($A156&lt;VLOOKUP(M$5,NFI,5,0),1,0)*Table_NFI[[#This Row],[Winter Blanket]],Table_NFI[[#This Row],[Winter Blanket]])</f>
        <v>0</v>
      </c>
      <c r="AK156" s="439">
        <f>IF(Table_NFI[[#This Row],[Winter Clothes Adult]]+Table_NFI[[#This Row],[Winter Clothes Children]]+Table_NFI[[#This Row],[Winter Items Other]]+Table_NFI[[#This Row],[Winter Blanket]]&gt;0,1,0)</f>
        <v>0</v>
      </c>
      <c r="AL156" s="439">
        <f>IF(NFI_Expiration=1,IF($A156&lt;VLOOKUP(V$5,NFI,5,0),1,0)*Table_NFI[[#This Row],[Jerry Can]],Table_NFI[Jerry Can])</f>
        <v>0</v>
      </c>
      <c r="AM156" s="791" t="str">
        <f>IFERROR(VLOOKUP(Table_NFI[[#This Row],[Camp Name]],CL,2,0),"")</f>
        <v>MMR001CMP032</v>
      </c>
      <c r="AN156" s="782">
        <f ca="1">IF(Table_NFI[[#This Row],[Pcode]]="","",IF(OFFSET(CampList[Opening Date],MATCH(Table_NFI[[#This Row],[Pcode]],CampList[CP_Pcode],0)-1,0,1,1)&gt;=NFI_Monitor_Date,1,0))</f>
        <v>0</v>
      </c>
      <c r="AO156" s="791" t="str">
        <f>IFERROR(VLOOKUP(Table_NFI[[#This Row],[Camp Name]],CL,3,0),"")</f>
        <v>Open</v>
      </c>
      <c r="AP156" s="439" t="str">
        <f ca="1">IF(Table_NFI[[#This Row],[Pcode]]="","",OFFSET(CampList[Priority],MATCH(Table_NFI[[#This Row],[Pcode]],CampList[CP_Pcode],0)-1,0,1,1))</f>
        <v>P4</v>
      </c>
      <c r="AQ156" s="438">
        <f>IFERROR(Table_NFI[[#This Row],[Kitchen Set]]/VLOOKUP(Table_NFI[[#This Row],[Camp Name]],CL,4,0),"")</f>
        <v>0</v>
      </c>
      <c r="AR156" s="789"/>
      <c r="AS156" s="792"/>
    </row>
    <row r="157" spans="1:45" s="136" customFormat="1" x14ac:dyDescent="0.25">
      <c r="A157" s="455">
        <f t="shared" si="2"/>
        <v>13.2</v>
      </c>
      <c r="B157" s="778">
        <v>41913</v>
      </c>
      <c r="C157" s="779" t="s">
        <v>454</v>
      </c>
      <c r="D157" s="789" t="s">
        <v>507</v>
      </c>
      <c r="E157" s="789" t="s">
        <v>380</v>
      </c>
      <c r="F157" s="789" t="s">
        <v>310</v>
      </c>
      <c r="G157" s="789" t="s">
        <v>338</v>
      </c>
      <c r="H157" s="437"/>
      <c r="I157" s="437"/>
      <c r="J157" s="437"/>
      <c r="K157" s="437">
        <v>46</v>
      </c>
      <c r="L157" s="437"/>
      <c r="M157" s="437"/>
      <c r="N157" s="437"/>
      <c r="O157" s="437"/>
      <c r="P157" s="439"/>
      <c r="Q157" s="439"/>
      <c r="R157" s="439"/>
      <c r="S157" s="439"/>
      <c r="T157" s="439"/>
      <c r="U157" s="439"/>
      <c r="V157" s="439"/>
      <c r="W157" s="439">
        <f>IF(NFI_Expiration=1,IF($A157&lt;VLOOKUP(H$5,NFI,5,0),1,0)*Table_NFI[[#This Row],[Hygiene Kit]],Table_NFI[Hygiene Kit])</f>
        <v>0</v>
      </c>
      <c r="X157" s="439">
        <f>IF(NFI_Expiration=1,IF($A157&lt;VLOOKUP(I$5,NFI,5,0),1,0)*Table_NFI[[#This Row],[NFI Core Kit]],Table_NFI[NFI Core Kit])</f>
        <v>0</v>
      </c>
      <c r="Y157" s="439">
        <f>IF(NFI_Expiration=1,IF($A157&lt;VLOOKUP(J$5,NFI,5,0),1,0)*Table_NFI[[#This Row],[Sanitary Kit]],Table_NFI[Sanitary Kit])</f>
        <v>0</v>
      </c>
      <c r="Z157" s="439">
        <f>IF(NFI_Expiration=1,IF($A157&lt;VLOOKUP(K$5,NFI,5,0),1,0)*Table_NFI[[#This Row],[Mosquito net]],Table_NFI[Mosquito net])</f>
        <v>0</v>
      </c>
      <c r="AA157" s="439">
        <f>IF(NFI_Expiration=1,IF($A157&lt;VLOOKUP(L$5,NFI,5,0),1,0)*Table_NFI[[#This Row],[Tarpaulin]],Table_NFI[[#This Row],[Tarpaulin]])</f>
        <v>0</v>
      </c>
      <c r="AB157" s="439">
        <f>IF(NFI_Expiration=1,IF($A157&lt;VLOOKUP(M$5,NFI,5,0),1,0)*Table_NFI[[#This Row],[Blanket]],Table_NFI[[#This Row],[Blanket]])</f>
        <v>0</v>
      </c>
      <c r="AC157" s="439">
        <f>IF(NFI_Expiration=1,IF($A157&lt;VLOOKUP(N$5,NFI,5,0),1,0)*Table_NFI[[#This Row],[Kitchen Set]],Table_NFI[Kitchen Set])</f>
        <v>0</v>
      </c>
      <c r="AD157" s="439">
        <f>IF(NFI_Expiration=1,IF($A157&lt;VLOOKUP(O$5,NFI,5,0),1,0)*Table_NFI[[#This Row],[Clothes Kit]],Table_NFI[Clothes Kit])</f>
        <v>0</v>
      </c>
      <c r="AE157" s="439">
        <f>IF(NFI_Expiration=1,IF($A157&lt;VLOOKUP(P$5,NFI,5,0),1,0)*Table_NFI[[#This Row],[Plastic Bucket]],Table_NFI[Plastic Bucket])</f>
        <v>0</v>
      </c>
      <c r="AF157" s="439">
        <f>IF(NFI_Expiration=1,IF($A157&lt;VLOOKUP(Q$5,NFI,5,0),1,0)*Table_NFI[[#This Row],[Plastic Mat]],Table_NFI[Plastic Mat])*IF(Table_NFI[[#This Row],[Distribution Date]]&gt;"2014-04-01",1,2.5)</f>
        <v>0</v>
      </c>
      <c r="AG157" s="439">
        <f>IF(NFI_Expiration=1,IF($A157&lt;VLOOKUP(R$5,NFI,5,0),1,0)*Table_NFI[[#This Row],[Winter Clothes Adult]],Table_NFI[Winter Clothes Adult])</f>
        <v>0</v>
      </c>
      <c r="AH157" s="439">
        <f>IF(NFI_Expiration=1,IF($A157&lt;VLOOKUP(S$5,NFI,5,0),1,0)*Table_NFI[[#This Row],[Winter Clothes Children]],Table_NFI[Winter Clothes Children])</f>
        <v>0</v>
      </c>
      <c r="AI157" s="439">
        <f>IF(NFI_Expiration=1,IF($A157&lt;VLOOKUP(T$5,NFI,5,0),1,0)*Table_NFI[[#This Row],[Winter Items Other]],Table_NFI[Winter Items Other])</f>
        <v>0</v>
      </c>
      <c r="AJ157" s="439">
        <f>IF(NFI_Expiration=1,IF($A157&lt;VLOOKUP(M$5,NFI,5,0),1,0)*Table_NFI[[#This Row],[Winter Blanket]],Table_NFI[[#This Row],[Winter Blanket]])</f>
        <v>0</v>
      </c>
      <c r="AK157" s="439">
        <f>IF(Table_NFI[[#This Row],[Winter Clothes Adult]]+Table_NFI[[#This Row],[Winter Clothes Children]]+Table_NFI[[#This Row],[Winter Items Other]]+Table_NFI[[#This Row],[Winter Blanket]]&gt;0,1,0)</f>
        <v>0</v>
      </c>
      <c r="AL157" s="439">
        <f>IF(NFI_Expiration=1,IF($A157&lt;VLOOKUP(V$5,NFI,5,0),1,0)*Table_NFI[[#This Row],[Jerry Can]],Table_NFI[Jerry Can])</f>
        <v>0</v>
      </c>
      <c r="AM157" s="791" t="str">
        <f>IFERROR(VLOOKUP(Table_NFI[[#This Row],[Camp Name]],CL,2,0),"")</f>
        <v>MMR001CMP030</v>
      </c>
      <c r="AN157" s="782">
        <f ca="1">IF(Table_NFI[[#This Row],[Pcode]]="","",IF(OFFSET(CampList[Opening Date],MATCH(Table_NFI[[#This Row],[Pcode]],CampList[CP_Pcode],0)-1,0,1,1)&gt;=NFI_Monitor_Date,1,0))</f>
        <v>0</v>
      </c>
      <c r="AO157" s="791" t="str">
        <f>IFERROR(VLOOKUP(Table_NFI[[#This Row],[Camp Name]],CL,3,0),"")</f>
        <v>Open</v>
      </c>
      <c r="AP157" s="439" t="str">
        <f ca="1">IF(Table_NFI[[#This Row],[Pcode]]="","",OFFSET(CampList[Priority],MATCH(Table_NFI[[#This Row],[Pcode]],CampList[CP_Pcode],0)-1,0,1,1))</f>
        <v>P4</v>
      </c>
      <c r="AQ157" s="438">
        <f>IFERROR(Table_NFI[[#This Row],[Kitchen Set]]/VLOOKUP(Table_NFI[[#This Row],[Camp Name]],CL,4,0),"")</f>
        <v>0</v>
      </c>
      <c r="AR157" s="789"/>
      <c r="AS157" s="792"/>
    </row>
    <row r="158" spans="1:45" s="136" customFormat="1" x14ac:dyDescent="0.25">
      <c r="A158" s="455">
        <f t="shared" si="2"/>
        <v>13.2</v>
      </c>
      <c r="B158" s="778">
        <v>41913</v>
      </c>
      <c r="C158" s="779" t="s">
        <v>454</v>
      </c>
      <c r="D158" s="789" t="s">
        <v>507</v>
      </c>
      <c r="E158" s="789" t="s">
        <v>380</v>
      </c>
      <c r="F158" s="789" t="s">
        <v>310</v>
      </c>
      <c r="G158" s="789" t="s">
        <v>351</v>
      </c>
      <c r="H158" s="437"/>
      <c r="I158" s="437"/>
      <c r="J158" s="437"/>
      <c r="K158" s="437">
        <v>204</v>
      </c>
      <c r="L158" s="437"/>
      <c r="M158" s="437"/>
      <c r="N158" s="437"/>
      <c r="O158" s="437"/>
      <c r="P158" s="439"/>
      <c r="Q158" s="439"/>
      <c r="R158" s="439"/>
      <c r="S158" s="439"/>
      <c r="T158" s="439"/>
      <c r="U158" s="439"/>
      <c r="V158" s="439"/>
      <c r="W158" s="439">
        <f>IF(NFI_Expiration=1,IF($A158&lt;VLOOKUP(H$5,NFI,5,0),1,0)*Table_NFI[[#This Row],[Hygiene Kit]],Table_NFI[Hygiene Kit])</f>
        <v>0</v>
      </c>
      <c r="X158" s="439">
        <f>IF(NFI_Expiration=1,IF($A158&lt;VLOOKUP(I$5,NFI,5,0),1,0)*Table_NFI[[#This Row],[NFI Core Kit]],Table_NFI[NFI Core Kit])</f>
        <v>0</v>
      </c>
      <c r="Y158" s="439">
        <f>IF(NFI_Expiration=1,IF($A158&lt;VLOOKUP(J$5,NFI,5,0),1,0)*Table_NFI[[#This Row],[Sanitary Kit]],Table_NFI[Sanitary Kit])</f>
        <v>0</v>
      </c>
      <c r="Z158" s="439">
        <f>IF(NFI_Expiration=1,IF($A158&lt;VLOOKUP(K$5,NFI,5,0),1,0)*Table_NFI[[#This Row],[Mosquito net]],Table_NFI[Mosquito net])</f>
        <v>0</v>
      </c>
      <c r="AA158" s="439">
        <f>IF(NFI_Expiration=1,IF($A158&lt;VLOOKUP(L$5,NFI,5,0),1,0)*Table_NFI[[#This Row],[Tarpaulin]],Table_NFI[[#This Row],[Tarpaulin]])</f>
        <v>0</v>
      </c>
      <c r="AB158" s="439">
        <f>IF(NFI_Expiration=1,IF($A158&lt;VLOOKUP(M$5,NFI,5,0),1,0)*Table_NFI[[#This Row],[Blanket]],Table_NFI[[#This Row],[Blanket]])</f>
        <v>0</v>
      </c>
      <c r="AC158" s="439">
        <f>IF(NFI_Expiration=1,IF($A158&lt;VLOOKUP(N$5,NFI,5,0),1,0)*Table_NFI[[#This Row],[Kitchen Set]],Table_NFI[Kitchen Set])</f>
        <v>0</v>
      </c>
      <c r="AD158" s="439">
        <f>IF(NFI_Expiration=1,IF($A158&lt;VLOOKUP(O$5,NFI,5,0),1,0)*Table_NFI[[#This Row],[Clothes Kit]],Table_NFI[Clothes Kit])</f>
        <v>0</v>
      </c>
      <c r="AE158" s="439">
        <f>IF(NFI_Expiration=1,IF($A158&lt;VLOOKUP(P$5,NFI,5,0),1,0)*Table_NFI[[#This Row],[Plastic Bucket]],Table_NFI[Plastic Bucket])</f>
        <v>0</v>
      </c>
      <c r="AF158" s="439">
        <f>IF(NFI_Expiration=1,IF($A158&lt;VLOOKUP(Q$5,NFI,5,0),1,0)*Table_NFI[[#This Row],[Plastic Mat]],Table_NFI[Plastic Mat])*IF(Table_NFI[[#This Row],[Distribution Date]]&gt;"2014-04-01",1,2.5)</f>
        <v>0</v>
      </c>
      <c r="AG158" s="439">
        <f>IF(NFI_Expiration=1,IF($A158&lt;VLOOKUP(R$5,NFI,5,0),1,0)*Table_NFI[[#This Row],[Winter Clothes Adult]],Table_NFI[Winter Clothes Adult])</f>
        <v>0</v>
      </c>
      <c r="AH158" s="439">
        <f>IF(NFI_Expiration=1,IF($A158&lt;VLOOKUP(S$5,NFI,5,0),1,0)*Table_NFI[[#This Row],[Winter Clothes Children]],Table_NFI[Winter Clothes Children])</f>
        <v>0</v>
      </c>
      <c r="AI158" s="439">
        <f>IF(NFI_Expiration=1,IF($A158&lt;VLOOKUP(T$5,NFI,5,0),1,0)*Table_NFI[[#This Row],[Winter Items Other]],Table_NFI[Winter Items Other])</f>
        <v>0</v>
      </c>
      <c r="AJ158" s="439">
        <f>IF(NFI_Expiration=1,IF($A158&lt;VLOOKUP(M$5,NFI,5,0),1,0)*Table_NFI[[#This Row],[Winter Blanket]],Table_NFI[[#This Row],[Winter Blanket]])</f>
        <v>0</v>
      </c>
      <c r="AK158" s="439">
        <f>IF(Table_NFI[[#This Row],[Winter Clothes Adult]]+Table_NFI[[#This Row],[Winter Clothes Children]]+Table_NFI[[#This Row],[Winter Items Other]]+Table_NFI[[#This Row],[Winter Blanket]]&gt;0,1,0)</f>
        <v>0</v>
      </c>
      <c r="AL158" s="439">
        <f>IF(NFI_Expiration=1,IF($A158&lt;VLOOKUP(V$5,NFI,5,0),1,0)*Table_NFI[[#This Row],[Jerry Can]],Table_NFI[Jerry Can])</f>
        <v>0</v>
      </c>
      <c r="AM158" s="791" t="str">
        <f>IFERROR(VLOOKUP(Table_NFI[[#This Row],[Camp Name]],CL,2,0),"")</f>
        <v>MMR001CMP026</v>
      </c>
      <c r="AN158" s="782">
        <f ca="1">IF(Table_NFI[[#This Row],[Pcode]]="","",IF(OFFSET(CampList[Opening Date],MATCH(Table_NFI[[#This Row],[Pcode]],CampList[CP_Pcode],0)-1,0,1,1)&gt;=NFI_Monitor_Date,1,0))</f>
        <v>0</v>
      </c>
      <c r="AO158" s="791" t="str">
        <f>IFERROR(VLOOKUP(Table_NFI[[#This Row],[Camp Name]],CL,3,0),"")</f>
        <v>Open</v>
      </c>
      <c r="AP158" s="439" t="str">
        <f ca="1">IF(Table_NFI[[#This Row],[Pcode]]="","",OFFSET(CampList[Priority],MATCH(Table_NFI[[#This Row],[Pcode]],CampList[CP_Pcode],0)-1,0,1,1))</f>
        <v>P4</v>
      </c>
      <c r="AQ158" s="438">
        <f>IFERROR(Table_NFI[[#This Row],[Kitchen Set]]/VLOOKUP(Table_NFI[[#This Row],[Camp Name]],CL,4,0),"")</f>
        <v>0</v>
      </c>
      <c r="AR158" s="789"/>
      <c r="AS158" s="792"/>
    </row>
    <row r="159" spans="1:45" s="136" customFormat="1" x14ac:dyDescent="0.25">
      <c r="A159" s="455">
        <f t="shared" si="2"/>
        <v>13.2</v>
      </c>
      <c r="B159" s="778">
        <v>41913</v>
      </c>
      <c r="C159" s="779" t="s">
        <v>454</v>
      </c>
      <c r="D159" s="789" t="s">
        <v>507</v>
      </c>
      <c r="E159" s="789" t="s">
        <v>380</v>
      </c>
      <c r="F159" s="789" t="s">
        <v>529</v>
      </c>
      <c r="G159" s="789" t="s">
        <v>118</v>
      </c>
      <c r="H159" s="437"/>
      <c r="I159" s="437"/>
      <c r="J159" s="437"/>
      <c r="K159" s="437">
        <v>24</v>
      </c>
      <c r="L159" s="437"/>
      <c r="M159" s="437"/>
      <c r="N159" s="437"/>
      <c r="O159" s="437"/>
      <c r="P159" s="439"/>
      <c r="Q159" s="439"/>
      <c r="R159" s="439"/>
      <c r="S159" s="439"/>
      <c r="T159" s="439"/>
      <c r="U159" s="439"/>
      <c r="V159" s="439"/>
      <c r="W159" s="439">
        <f>IF(NFI_Expiration=1,IF($A159&lt;VLOOKUP(H$5,NFI,5,0),1,0)*Table_NFI[[#This Row],[Hygiene Kit]],Table_NFI[Hygiene Kit])</f>
        <v>0</v>
      </c>
      <c r="X159" s="439">
        <f>IF(NFI_Expiration=1,IF($A159&lt;VLOOKUP(I$5,NFI,5,0),1,0)*Table_NFI[[#This Row],[NFI Core Kit]],Table_NFI[NFI Core Kit])</f>
        <v>0</v>
      </c>
      <c r="Y159" s="439">
        <f>IF(NFI_Expiration=1,IF($A159&lt;VLOOKUP(J$5,NFI,5,0),1,0)*Table_NFI[[#This Row],[Sanitary Kit]],Table_NFI[Sanitary Kit])</f>
        <v>0</v>
      </c>
      <c r="Z159" s="439">
        <f>IF(NFI_Expiration=1,IF($A159&lt;VLOOKUP(K$5,NFI,5,0),1,0)*Table_NFI[[#This Row],[Mosquito net]],Table_NFI[Mosquito net])</f>
        <v>0</v>
      </c>
      <c r="AA159" s="439">
        <f>IF(NFI_Expiration=1,IF($A159&lt;VLOOKUP(L$5,NFI,5,0),1,0)*Table_NFI[[#This Row],[Tarpaulin]],Table_NFI[[#This Row],[Tarpaulin]])</f>
        <v>0</v>
      </c>
      <c r="AB159" s="439">
        <f>IF(NFI_Expiration=1,IF($A159&lt;VLOOKUP(M$5,NFI,5,0),1,0)*Table_NFI[[#This Row],[Blanket]],Table_NFI[[#This Row],[Blanket]])</f>
        <v>0</v>
      </c>
      <c r="AC159" s="439">
        <f>IF(NFI_Expiration=1,IF($A159&lt;VLOOKUP(N$5,NFI,5,0),1,0)*Table_NFI[[#This Row],[Kitchen Set]],Table_NFI[Kitchen Set])</f>
        <v>0</v>
      </c>
      <c r="AD159" s="439">
        <f>IF(NFI_Expiration=1,IF($A159&lt;VLOOKUP(O$5,NFI,5,0),1,0)*Table_NFI[[#This Row],[Clothes Kit]],Table_NFI[Clothes Kit])</f>
        <v>0</v>
      </c>
      <c r="AE159" s="439">
        <f>IF(NFI_Expiration=1,IF($A159&lt;VLOOKUP(P$5,NFI,5,0),1,0)*Table_NFI[[#This Row],[Plastic Bucket]],Table_NFI[Plastic Bucket])</f>
        <v>0</v>
      </c>
      <c r="AF159" s="439">
        <f>IF(NFI_Expiration=1,IF($A159&lt;VLOOKUP(Q$5,NFI,5,0),1,0)*Table_NFI[[#This Row],[Plastic Mat]],Table_NFI[Plastic Mat])*IF(Table_NFI[[#This Row],[Distribution Date]]&gt;"2014-04-01",1,2.5)</f>
        <v>0</v>
      </c>
      <c r="AG159" s="439">
        <f>IF(NFI_Expiration=1,IF($A159&lt;VLOOKUP(R$5,NFI,5,0),1,0)*Table_NFI[[#This Row],[Winter Clothes Adult]],Table_NFI[Winter Clothes Adult])</f>
        <v>0</v>
      </c>
      <c r="AH159" s="439">
        <f>IF(NFI_Expiration=1,IF($A159&lt;VLOOKUP(S$5,NFI,5,0),1,0)*Table_NFI[[#This Row],[Winter Clothes Children]],Table_NFI[Winter Clothes Children])</f>
        <v>0</v>
      </c>
      <c r="AI159" s="439">
        <f>IF(NFI_Expiration=1,IF($A159&lt;VLOOKUP(T$5,NFI,5,0),1,0)*Table_NFI[[#This Row],[Winter Items Other]],Table_NFI[Winter Items Other])</f>
        <v>0</v>
      </c>
      <c r="AJ159" s="439">
        <f>IF(NFI_Expiration=1,IF($A159&lt;VLOOKUP(M$5,NFI,5,0),1,0)*Table_NFI[[#This Row],[Winter Blanket]],Table_NFI[[#This Row],[Winter Blanket]])</f>
        <v>0</v>
      </c>
      <c r="AK159" s="439">
        <f>IF(Table_NFI[[#This Row],[Winter Clothes Adult]]+Table_NFI[[#This Row],[Winter Clothes Children]]+Table_NFI[[#This Row],[Winter Items Other]]+Table_NFI[[#This Row],[Winter Blanket]]&gt;0,1,0)</f>
        <v>0</v>
      </c>
      <c r="AL159" s="439">
        <f>IF(NFI_Expiration=1,IF($A159&lt;VLOOKUP(V$5,NFI,5,0),1,0)*Table_NFI[[#This Row],[Jerry Can]],Table_NFI[Jerry Can])</f>
        <v>0</v>
      </c>
      <c r="AM159" s="791" t="str">
        <f>IFERROR(VLOOKUP(Table_NFI[[#This Row],[Camp Name]],CL,2,0),"")</f>
        <v>MMR001CMP182</v>
      </c>
      <c r="AN159" s="782">
        <f ca="1">IF(Table_NFI[[#This Row],[Pcode]]="","",IF(OFFSET(CampList[Opening Date],MATCH(Table_NFI[[#This Row],[Pcode]],CampList[CP_Pcode],0)-1,0,1,1)&gt;=NFI_Monitor_Date,1,0))</f>
        <v>0</v>
      </c>
      <c r="AO159" s="791" t="str">
        <f>IFERROR(VLOOKUP(Table_NFI[[#This Row],[Camp Name]],CL,3,0),"")</f>
        <v>Open</v>
      </c>
      <c r="AP159" s="439" t="str">
        <f ca="1">IF(Table_NFI[[#This Row],[Pcode]]="","",OFFSET(CampList[Priority],MATCH(Table_NFI[[#This Row],[Pcode]],CampList[CP_Pcode],0)-1,0,1,1))</f>
        <v>P4</v>
      </c>
      <c r="AQ159" s="438">
        <f>IFERROR(Table_NFI[[#This Row],[Kitchen Set]]/VLOOKUP(Table_NFI[[#This Row],[Camp Name]],CL,4,0),"")</f>
        <v>0</v>
      </c>
      <c r="AR159" s="789"/>
      <c r="AS159" s="792"/>
    </row>
    <row r="160" spans="1:45" s="136" customFormat="1" x14ac:dyDescent="0.25">
      <c r="A160" s="455">
        <f t="shared" si="2"/>
        <v>13.2</v>
      </c>
      <c r="B160" s="778">
        <v>41913</v>
      </c>
      <c r="C160" s="779" t="s">
        <v>454</v>
      </c>
      <c r="D160" s="789" t="s">
        <v>508</v>
      </c>
      <c r="E160" s="789" t="s">
        <v>380</v>
      </c>
      <c r="F160" s="789" t="s">
        <v>27</v>
      </c>
      <c r="G160" s="789" t="s">
        <v>1026</v>
      </c>
      <c r="H160" s="437"/>
      <c r="I160" s="437"/>
      <c r="J160" s="437"/>
      <c r="K160" s="437">
        <v>56</v>
      </c>
      <c r="L160" s="437"/>
      <c r="M160" s="437"/>
      <c r="N160" s="437"/>
      <c r="O160" s="437"/>
      <c r="P160" s="439"/>
      <c r="Q160" s="439"/>
      <c r="R160" s="439"/>
      <c r="S160" s="439"/>
      <c r="T160" s="439"/>
      <c r="U160" s="437">
        <v>56</v>
      </c>
      <c r="V160" s="437"/>
      <c r="W160" s="439">
        <f>IF(NFI_Expiration=1,IF($A160&lt;VLOOKUP(H$5,NFI,5,0),1,0)*Table_NFI[[#This Row],[Hygiene Kit]],Table_NFI[Hygiene Kit])</f>
        <v>0</v>
      </c>
      <c r="X160" s="439">
        <f>IF(NFI_Expiration=1,IF($A160&lt;VLOOKUP(I$5,NFI,5,0),1,0)*Table_NFI[[#This Row],[NFI Core Kit]],Table_NFI[NFI Core Kit])</f>
        <v>0</v>
      </c>
      <c r="Y160" s="439">
        <f>IF(NFI_Expiration=1,IF($A160&lt;VLOOKUP(J$5,NFI,5,0),1,0)*Table_NFI[[#This Row],[Sanitary Kit]],Table_NFI[Sanitary Kit])</f>
        <v>0</v>
      </c>
      <c r="Z160" s="439">
        <f>IF(NFI_Expiration=1,IF($A160&lt;VLOOKUP(K$5,NFI,5,0),1,0)*Table_NFI[[#This Row],[Mosquito net]],Table_NFI[Mosquito net])</f>
        <v>0</v>
      </c>
      <c r="AA160" s="439">
        <f>IF(NFI_Expiration=1,IF($A160&lt;VLOOKUP(L$5,NFI,5,0),1,0)*Table_NFI[[#This Row],[Tarpaulin]],Table_NFI[[#This Row],[Tarpaulin]])</f>
        <v>0</v>
      </c>
      <c r="AB160" s="439">
        <f>IF(NFI_Expiration=1,IF($A160&lt;VLOOKUP(M$5,NFI,5,0),1,0)*Table_NFI[[#This Row],[Blanket]],Table_NFI[[#This Row],[Blanket]])</f>
        <v>0</v>
      </c>
      <c r="AC160" s="439">
        <f>IF(NFI_Expiration=1,IF($A160&lt;VLOOKUP(N$5,NFI,5,0),1,0)*Table_NFI[[#This Row],[Kitchen Set]],Table_NFI[Kitchen Set])</f>
        <v>0</v>
      </c>
      <c r="AD160" s="439">
        <f>IF(NFI_Expiration=1,IF($A160&lt;VLOOKUP(O$5,NFI,5,0),1,0)*Table_NFI[[#This Row],[Clothes Kit]],Table_NFI[Clothes Kit])</f>
        <v>0</v>
      </c>
      <c r="AE160" s="439">
        <f>IF(NFI_Expiration=1,IF($A160&lt;VLOOKUP(P$5,NFI,5,0),1,0)*Table_NFI[[#This Row],[Plastic Bucket]],Table_NFI[Plastic Bucket])</f>
        <v>0</v>
      </c>
      <c r="AF160" s="439">
        <f>IF(NFI_Expiration=1,IF($A160&lt;VLOOKUP(Q$5,NFI,5,0),1,0)*Table_NFI[[#This Row],[Plastic Mat]],Table_NFI[Plastic Mat])*IF(Table_NFI[[#This Row],[Distribution Date]]&gt;"2014-04-01",1,2.5)</f>
        <v>0</v>
      </c>
      <c r="AG160" s="439">
        <f>IF(NFI_Expiration=1,IF($A160&lt;VLOOKUP(R$5,NFI,5,0),1,0)*Table_NFI[[#This Row],[Winter Clothes Adult]],Table_NFI[Winter Clothes Adult])</f>
        <v>0</v>
      </c>
      <c r="AH160" s="439">
        <f>IF(NFI_Expiration=1,IF($A160&lt;VLOOKUP(S$5,NFI,5,0),1,0)*Table_NFI[[#This Row],[Winter Clothes Children]],Table_NFI[Winter Clothes Children])</f>
        <v>0</v>
      </c>
      <c r="AI160" s="439">
        <f>IF(NFI_Expiration=1,IF($A160&lt;VLOOKUP(T$5,NFI,5,0),1,0)*Table_NFI[[#This Row],[Winter Items Other]],Table_NFI[Winter Items Other])</f>
        <v>0</v>
      </c>
      <c r="AJ160" s="439">
        <f>IF(NFI_Expiration=1,IF($A160&lt;VLOOKUP(M$5,NFI,5,0),1,0)*Table_NFI[[#This Row],[Winter Blanket]],Table_NFI[[#This Row],[Winter Blanket]])</f>
        <v>0</v>
      </c>
      <c r="AK160" s="439">
        <f>IF(Table_NFI[[#This Row],[Winter Clothes Adult]]+Table_NFI[[#This Row],[Winter Clothes Children]]+Table_NFI[[#This Row],[Winter Items Other]]+Table_NFI[[#This Row],[Winter Blanket]]&gt;0,1,0)</f>
        <v>1</v>
      </c>
      <c r="AL160" s="439">
        <f>IF(NFI_Expiration=1,IF($A160&lt;VLOOKUP(V$5,NFI,5,0),1,0)*Table_NFI[[#This Row],[Jerry Can]],Table_NFI[Jerry Can])</f>
        <v>0</v>
      </c>
      <c r="AM160" s="791" t="str">
        <f>IFERROR(VLOOKUP(Table_NFI[[#This Row],[Camp Name]],CL,2,0),"")</f>
        <v>MMR001CMP225</v>
      </c>
      <c r="AN160" s="782">
        <f ca="1">IF(Table_NFI[[#This Row],[Pcode]]="","",IF(OFFSET(CampList[Opening Date],MATCH(Table_NFI[[#This Row],[Pcode]],CampList[CP_Pcode],0)-1,0,1,1)&gt;=NFI_Monitor_Date,1,0))</f>
        <v>0</v>
      </c>
      <c r="AO160" s="791" t="str">
        <f>IFERROR(VLOOKUP(Table_NFI[[#This Row],[Camp Name]],CL,3,0),"")</f>
        <v>Open</v>
      </c>
      <c r="AP160" s="439" t="str">
        <f ca="1">IF(Table_NFI[[#This Row],[Pcode]]="","",OFFSET(CampList[Priority],MATCH(Table_NFI[[#This Row],[Pcode]],CampList[CP_Pcode],0)-1,0,1,1))</f>
        <v>P1</v>
      </c>
      <c r="AQ160" s="438">
        <f>IFERROR(Table_NFI[[#This Row],[Kitchen Set]]/VLOOKUP(Table_NFI[[#This Row],[Camp Name]],CL,4,0),"")</f>
        <v>0</v>
      </c>
      <c r="AR160" s="789"/>
      <c r="AS160" s="792"/>
    </row>
    <row r="161" spans="1:45" s="136" customFormat="1" x14ac:dyDescent="0.25">
      <c r="A161" s="455">
        <f t="shared" si="2"/>
        <v>13.2</v>
      </c>
      <c r="B161" s="778">
        <v>41913</v>
      </c>
      <c r="C161" s="779" t="s">
        <v>454</v>
      </c>
      <c r="D161" s="789" t="s">
        <v>507</v>
      </c>
      <c r="E161" s="789" t="s">
        <v>380</v>
      </c>
      <c r="F161" s="789" t="s">
        <v>237</v>
      </c>
      <c r="G161" s="789" t="s">
        <v>279</v>
      </c>
      <c r="H161" s="437"/>
      <c r="I161" s="437"/>
      <c r="J161" s="437"/>
      <c r="K161" s="437">
        <v>30</v>
      </c>
      <c r="L161" s="437"/>
      <c r="M161" s="437"/>
      <c r="N161" s="437"/>
      <c r="O161" s="437"/>
      <c r="P161" s="439"/>
      <c r="Q161" s="439"/>
      <c r="R161" s="439"/>
      <c r="S161" s="439"/>
      <c r="T161" s="439"/>
      <c r="U161" s="439"/>
      <c r="V161" s="439"/>
      <c r="W161" s="439">
        <f>IF(NFI_Expiration=1,IF($A161&lt;VLOOKUP(H$5,NFI,5,0),1,0)*Table_NFI[[#This Row],[Hygiene Kit]],Table_NFI[Hygiene Kit])</f>
        <v>0</v>
      </c>
      <c r="X161" s="439">
        <f>IF(NFI_Expiration=1,IF($A161&lt;VLOOKUP(I$5,NFI,5,0),1,0)*Table_NFI[[#This Row],[NFI Core Kit]],Table_NFI[NFI Core Kit])</f>
        <v>0</v>
      </c>
      <c r="Y161" s="439">
        <f>IF(NFI_Expiration=1,IF($A161&lt;VLOOKUP(J$5,NFI,5,0),1,0)*Table_NFI[[#This Row],[Sanitary Kit]],Table_NFI[Sanitary Kit])</f>
        <v>0</v>
      </c>
      <c r="Z161" s="439">
        <f>IF(NFI_Expiration=1,IF($A161&lt;VLOOKUP(K$5,NFI,5,0),1,0)*Table_NFI[[#This Row],[Mosquito net]],Table_NFI[Mosquito net])</f>
        <v>0</v>
      </c>
      <c r="AA161" s="439">
        <f>IF(NFI_Expiration=1,IF($A161&lt;VLOOKUP(L$5,NFI,5,0),1,0)*Table_NFI[[#This Row],[Tarpaulin]],Table_NFI[[#This Row],[Tarpaulin]])</f>
        <v>0</v>
      </c>
      <c r="AB161" s="439">
        <f>IF(NFI_Expiration=1,IF($A161&lt;VLOOKUP(M$5,NFI,5,0),1,0)*Table_NFI[[#This Row],[Blanket]],Table_NFI[[#This Row],[Blanket]])</f>
        <v>0</v>
      </c>
      <c r="AC161" s="439">
        <f>IF(NFI_Expiration=1,IF($A161&lt;VLOOKUP(N$5,NFI,5,0),1,0)*Table_NFI[[#This Row],[Kitchen Set]],Table_NFI[Kitchen Set])</f>
        <v>0</v>
      </c>
      <c r="AD161" s="439">
        <f>IF(NFI_Expiration=1,IF($A161&lt;VLOOKUP(O$5,NFI,5,0),1,0)*Table_NFI[[#This Row],[Clothes Kit]],Table_NFI[Clothes Kit])</f>
        <v>0</v>
      </c>
      <c r="AE161" s="439">
        <f>IF(NFI_Expiration=1,IF($A161&lt;VLOOKUP(P$5,NFI,5,0),1,0)*Table_NFI[[#This Row],[Plastic Bucket]],Table_NFI[Plastic Bucket])</f>
        <v>0</v>
      </c>
      <c r="AF161" s="439">
        <f>IF(NFI_Expiration=1,IF($A161&lt;VLOOKUP(Q$5,NFI,5,0),1,0)*Table_NFI[[#This Row],[Plastic Mat]],Table_NFI[Plastic Mat])*IF(Table_NFI[[#This Row],[Distribution Date]]&gt;"2014-04-01",1,2.5)</f>
        <v>0</v>
      </c>
      <c r="AG161" s="439">
        <f>IF(NFI_Expiration=1,IF($A161&lt;VLOOKUP(R$5,NFI,5,0),1,0)*Table_NFI[[#This Row],[Winter Clothes Adult]],Table_NFI[Winter Clothes Adult])</f>
        <v>0</v>
      </c>
      <c r="AH161" s="439">
        <f>IF(NFI_Expiration=1,IF($A161&lt;VLOOKUP(S$5,NFI,5,0),1,0)*Table_NFI[[#This Row],[Winter Clothes Children]],Table_NFI[Winter Clothes Children])</f>
        <v>0</v>
      </c>
      <c r="AI161" s="439">
        <f>IF(NFI_Expiration=1,IF($A161&lt;VLOOKUP(T$5,NFI,5,0),1,0)*Table_NFI[[#This Row],[Winter Items Other]],Table_NFI[Winter Items Other])</f>
        <v>0</v>
      </c>
      <c r="AJ161" s="439">
        <f>IF(NFI_Expiration=1,IF($A161&lt;VLOOKUP(M$5,NFI,5,0),1,0)*Table_NFI[[#This Row],[Winter Blanket]],Table_NFI[[#This Row],[Winter Blanket]])</f>
        <v>0</v>
      </c>
      <c r="AK161" s="439">
        <f>IF(Table_NFI[[#This Row],[Winter Clothes Adult]]+Table_NFI[[#This Row],[Winter Clothes Children]]+Table_NFI[[#This Row],[Winter Items Other]]+Table_NFI[[#This Row],[Winter Blanket]]&gt;0,1,0)</f>
        <v>0</v>
      </c>
      <c r="AL161" s="439">
        <f>IF(NFI_Expiration=1,IF($A161&lt;VLOOKUP(V$5,NFI,5,0),1,0)*Table_NFI[[#This Row],[Jerry Can]],Table_NFI[Jerry Can])</f>
        <v>0</v>
      </c>
      <c r="AM161" s="791" t="str">
        <f>IFERROR(VLOOKUP(Table_NFI[[#This Row],[Camp Name]],CL,2,0),"")</f>
        <v>MMR001CMP007</v>
      </c>
      <c r="AN161" s="782">
        <f ca="1">IF(Table_NFI[[#This Row],[Pcode]]="","",IF(OFFSET(CampList[Opening Date],MATCH(Table_NFI[[#This Row],[Pcode]],CampList[CP_Pcode],0)-1,0,1,1)&gt;=NFI_Monitor_Date,1,0))</f>
        <v>0</v>
      </c>
      <c r="AO161" s="791" t="str">
        <f>IFERROR(VLOOKUP(Table_NFI[[#This Row],[Camp Name]],CL,3,0),"")</f>
        <v>Open</v>
      </c>
      <c r="AP161" s="439" t="str">
        <f ca="1">IF(Table_NFI[[#This Row],[Pcode]]="","",OFFSET(CampList[Priority],MATCH(Table_NFI[[#This Row],[Pcode]],CampList[CP_Pcode],0)-1,0,1,1))</f>
        <v>P4</v>
      </c>
      <c r="AQ161" s="438">
        <f>IFERROR(Table_NFI[[#This Row],[Kitchen Set]]/VLOOKUP(Table_NFI[[#This Row],[Camp Name]],CL,4,0),"")</f>
        <v>0</v>
      </c>
      <c r="AR161" s="789"/>
      <c r="AS161" s="792"/>
    </row>
    <row r="162" spans="1:45" s="136" customFormat="1" x14ac:dyDescent="0.25">
      <c r="A162" s="455">
        <f t="shared" si="2"/>
        <v>13.2</v>
      </c>
      <c r="B162" s="778">
        <v>41913</v>
      </c>
      <c r="C162" s="779" t="s">
        <v>454</v>
      </c>
      <c r="D162" s="789" t="s">
        <v>508</v>
      </c>
      <c r="E162" s="789" t="s">
        <v>380</v>
      </c>
      <c r="F162" s="789" t="s">
        <v>180</v>
      </c>
      <c r="G162" s="789" t="s">
        <v>181</v>
      </c>
      <c r="H162" s="437"/>
      <c r="I162" s="437"/>
      <c r="J162" s="437"/>
      <c r="K162" s="437">
        <v>24</v>
      </c>
      <c r="L162" s="437"/>
      <c r="M162" s="437"/>
      <c r="N162" s="437"/>
      <c r="O162" s="437"/>
      <c r="P162" s="439"/>
      <c r="Q162" s="439"/>
      <c r="R162" s="439"/>
      <c r="S162" s="439"/>
      <c r="T162" s="439"/>
      <c r="U162" s="439"/>
      <c r="V162" s="439"/>
      <c r="W162" s="439">
        <f>IF(NFI_Expiration=1,IF($A162&lt;VLOOKUP(H$5,NFI,5,0),1,0)*Table_NFI[[#This Row],[Hygiene Kit]],Table_NFI[Hygiene Kit])</f>
        <v>0</v>
      </c>
      <c r="X162" s="439">
        <f>IF(NFI_Expiration=1,IF($A162&lt;VLOOKUP(I$5,NFI,5,0),1,0)*Table_NFI[[#This Row],[NFI Core Kit]],Table_NFI[NFI Core Kit])</f>
        <v>0</v>
      </c>
      <c r="Y162" s="439">
        <f>IF(NFI_Expiration=1,IF($A162&lt;VLOOKUP(J$5,NFI,5,0),1,0)*Table_NFI[[#This Row],[Sanitary Kit]],Table_NFI[Sanitary Kit])</f>
        <v>0</v>
      </c>
      <c r="Z162" s="439">
        <f>IF(NFI_Expiration=1,IF($A162&lt;VLOOKUP(K$5,NFI,5,0),1,0)*Table_NFI[[#This Row],[Mosquito net]],Table_NFI[Mosquito net])</f>
        <v>0</v>
      </c>
      <c r="AA162" s="439">
        <f>IF(NFI_Expiration=1,IF($A162&lt;VLOOKUP(L$5,NFI,5,0),1,0)*Table_NFI[[#This Row],[Tarpaulin]],Table_NFI[[#This Row],[Tarpaulin]])</f>
        <v>0</v>
      </c>
      <c r="AB162" s="439">
        <f>IF(NFI_Expiration=1,IF($A162&lt;VLOOKUP(M$5,NFI,5,0),1,0)*Table_NFI[[#This Row],[Blanket]],Table_NFI[[#This Row],[Blanket]])</f>
        <v>0</v>
      </c>
      <c r="AC162" s="439">
        <f>IF(NFI_Expiration=1,IF($A162&lt;VLOOKUP(N$5,NFI,5,0),1,0)*Table_NFI[[#This Row],[Kitchen Set]],Table_NFI[Kitchen Set])</f>
        <v>0</v>
      </c>
      <c r="AD162" s="439">
        <f>IF(NFI_Expiration=1,IF($A162&lt;VLOOKUP(O$5,NFI,5,0),1,0)*Table_NFI[[#This Row],[Clothes Kit]],Table_NFI[Clothes Kit])</f>
        <v>0</v>
      </c>
      <c r="AE162" s="439">
        <f>IF(NFI_Expiration=1,IF($A162&lt;VLOOKUP(P$5,NFI,5,0),1,0)*Table_NFI[[#This Row],[Plastic Bucket]],Table_NFI[Plastic Bucket])</f>
        <v>0</v>
      </c>
      <c r="AF162" s="439">
        <f>IF(NFI_Expiration=1,IF($A162&lt;VLOOKUP(Q$5,NFI,5,0),1,0)*Table_NFI[[#This Row],[Plastic Mat]],Table_NFI[Plastic Mat])*IF(Table_NFI[[#This Row],[Distribution Date]]&gt;"2014-04-01",1,2.5)</f>
        <v>0</v>
      </c>
      <c r="AG162" s="439">
        <f>IF(NFI_Expiration=1,IF($A162&lt;VLOOKUP(R$5,NFI,5,0),1,0)*Table_NFI[[#This Row],[Winter Clothes Adult]],Table_NFI[Winter Clothes Adult])</f>
        <v>0</v>
      </c>
      <c r="AH162" s="439">
        <f>IF(NFI_Expiration=1,IF($A162&lt;VLOOKUP(S$5,NFI,5,0),1,0)*Table_NFI[[#This Row],[Winter Clothes Children]],Table_NFI[Winter Clothes Children])</f>
        <v>0</v>
      </c>
      <c r="AI162" s="439">
        <f>IF(NFI_Expiration=1,IF($A162&lt;VLOOKUP(T$5,NFI,5,0),1,0)*Table_NFI[[#This Row],[Winter Items Other]],Table_NFI[Winter Items Other])</f>
        <v>0</v>
      </c>
      <c r="AJ162" s="439">
        <f>IF(NFI_Expiration=1,IF($A162&lt;VLOOKUP(M$5,NFI,5,0),1,0)*Table_NFI[[#This Row],[Winter Blanket]],Table_NFI[[#This Row],[Winter Blanket]])</f>
        <v>0</v>
      </c>
      <c r="AK162" s="439">
        <f>IF(Table_NFI[[#This Row],[Winter Clothes Adult]]+Table_NFI[[#This Row],[Winter Clothes Children]]+Table_NFI[[#This Row],[Winter Items Other]]+Table_NFI[[#This Row],[Winter Blanket]]&gt;0,1,0)</f>
        <v>0</v>
      </c>
      <c r="AL162" s="439">
        <f>IF(NFI_Expiration=1,IF($A162&lt;VLOOKUP(V$5,NFI,5,0),1,0)*Table_NFI[[#This Row],[Jerry Can]],Table_NFI[Jerry Can])</f>
        <v>0</v>
      </c>
      <c r="AM162" s="791" t="str">
        <f>IFERROR(VLOOKUP(Table_NFI[[#This Row],[Camp Name]],CL,2,0),"")</f>
        <v>MMR001CMP080</v>
      </c>
      <c r="AN162" s="782">
        <f ca="1">IF(Table_NFI[[#This Row],[Pcode]]="","",IF(OFFSET(CampList[Opening Date],MATCH(Table_NFI[[#This Row],[Pcode]],CampList[CP_Pcode],0)-1,0,1,1)&gt;=NFI_Monitor_Date,1,0))</f>
        <v>0</v>
      </c>
      <c r="AO162" s="791" t="str">
        <f>IFERROR(VLOOKUP(Table_NFI[[#This Row],[Camp Name]],CL,3,0),"")</f>
        <v>Open</v>
      </c>
      <c r="AP162" s="439" t="str">
        <f ca="1">IF(Table_NFI[[#This Row],[Pcode]]="","",OFFSET(CampList[Priority],MATCH(Table_NFI[[#This Row],[Pcode]],CampList[CP_Pcode],0)-1,0,1,1))</f>
        <v>P4</v>
      </c>
      <c r="AQ162" s="438">
        <f>IFERROR(Table_NFI[[#This Row],[Kitchen Set]]/VLOOKUP(Table_NFI[[#This Row],[Camp Name]],CL,4,0),"")</f>
        <v>0</v>
      </c>
      <c r="AR162" s="789"/>
      <c r="AS162" s="792"/>
    </row>
    <row r="163" spans="1:45" s="136" customFormat="1" x14ac:dyDescent="0.25">
      <c r="A163" s="455">
        <f t="shared" si="2"/>
        <v>13.2</v>
      </c>
      <c r="B163" s="778">
        <v>41913</v>
      </c>
      <c r="C163" s="779" t="s">
        <v>454</v>
      </c>
      <c r="D163" s="789" t="s">
        <v>507</v>
      </c>
      <c r="E163" s="789" t="s">
        <v>380</v>
      </c>
      <c r="F163" s="789" t="s">
        <v>237</v>
      </c>
      <c r="G163" s="789" t="s">
        <v>249</v>
      </c>
      <c r="H163" s="437"/>
      <c r="I163" s="437"/>
      <c r="J163" s="437"/>
      <c r="K163" s="437">
        <v>26</v>
      </c>
      <c r="L163" s="437"/>
      <c r="M163" s="437"/>
      <c r="N163" s="437"/>
      <c r="O163" s="437"/>
      <c r="P163" s="439"/>
      <c r="Q163" s="439"/>
      <c r="R163" s="439"/>
      <c r="S163" s="439"/>
      <c r="T163" s="439"/>
      <c r="U163" s="439"/>
      <c r="V163" s="439"/>
      <c r="W163" s="439">
        <f>IF(NFI_Expiration=1,IF($A163&lt;VLOOKUP(H$5,NFI,5,0),1,0)*Table_NFI[[#This Row],[Hygiene Kit]],Table_NFI[Hygiene Kit])</f>
        <v>0</v>
      </c>
      <c r="X163" s="439">
        <f>IF(NFI_Expiration=1,IF($A163&lt;VLOOKUP(I$5,NFI,5,0),1,0)*Table_NFI[[#This Row],[NFI Core Kit]],Table_NFI[NFI Core Kit])</f>
        <v>0</v>
      </c>
      <c r="Y163" s="439">
        <f>IF(NFI_Expiration=1,IF($A163&lt;VLOOKUP(J$5,NFI,5,0),1,0)*Table_NFI[[#This Row],[Sanitary Kit]],Table_NFI[Sanitary Kit])</f>
        <v>0</v>
      </c>
      <c r="Z163" s="439">
        <f>IF(NFI_Expiration=1,IF($A163&lt;VLOOKUP(K$5,NFI,5,0),1,0)*Table_NFI[[#This Row],[Mosquito net]],Table_NFI[Mosquito net])</f>
        <v>0</v>
      </c>
      <c r="AA163" s="439">
        <f>IF(NFI_Expiration=1,IF($A163&lt;VLOOKUP(L$5,NFI,5,0),1,0)*Table_NFI[[#This Row],[Tarpaulin]],Table_NFI[[#This Row],[Tarpaulin]])</f>
        <v>0</v>
      </c>
      <c r="AB163" s="439">
        <f>IF(NFI_Expiration=1,IF($A163&lt;VLOOKUP(M$5,NFI,5,0),1,0)*Table_NFI[[#This Row],[Blanket]],Table_NFI[[#This Row],[Blanket]])</f>
        <v>0</v>
      </c>
      <c r="AC163" s="439">
        <f>IF(NFI_Expiration=1,IF($A163&lt;VLOOKUP(N$5,NFI,5,0),1,0)*Table_NFI[[#This Row],[Kitchen Set]],Table_NFI[Kitchen Set])</f>
        <v>0</v>
      </c>
      <c r="AD163" s="439">
        <f>IF(NFI_Expiration=1,IF($A163&lt;VLOOKUP(O$5,NFI,5,0),1,0)*Table_NFI[[#This Row],[Clothes Kit]],Table_NFI[Clothes Kit])</f>
        <v>0</v>
      </c>
      <c r="AE163" s="439">
        <f>IF(NFI_Expiration=1,IF($A163&lt;VLOOKUP(P$5,NFI,5,0),1,0)*Table_NFI[[#This Row],[Plastic Bucket]],Table_NFI[Plastic Bucket])</f>
        <v>0</v>
      </c>
      <c r="AF163" s="439">
        <f>IF(NFI_Expiration=1,IF($A163&lt;VLOOKUP(Q$5,NFI,5,0),1,0)*Table_NFI[[#This Row],[Plastic Mat]],Table_NFI[Plastic Mat])*IF(Table_NFI[[#This Row],[Distribution Date]]&gt;"2014-04-01",1,2.5)</f>
        <v>0</v>
      </c>
      <c r="AG163" s="439">
        <f>IF(NFI_Expiration=1,IF($A163&lt;VLOOKUP(R$5,NFI,5,0),1,0)*Table_NFI[[#This Row],[Winter Clothes Adult]],Table_NFI[Winter Clothes Adult])</f>
        <v>0</v>
      </c>
      <c r="AH163" s="439">
        <f>IF(NFI_Expiration=1,IF($A163&lt;VLOOKUP(S$5,NFI,5,0),1,0)*Table_NFI[[#This Row],[Winter Clothes Children]],Table_NFI[Winter Clothes Children])</f>
        <v>0</v>
      </c>
      <c r="AI163" s="439">
        <f>IF(NFI_Expiration=1,IF($A163&lt;VLOOKUP(T$5,NFI,5,0),1,0)*Table_NFI[[#This Row],[Winter Items Other]],Table_NFI[Winter Items Other])</f>
        <v>0</v>
      </c>
      <c r="AJ163" s="439">
        <f>IF(NFI_Expiration=1,IF($A163&lt;VLOOKUP(M$5,NFI,5,0),1,0)*Table_NFI[[#This Row],[Winter Blanket]],Table_NFI[[#This Row],[Winter Blanket]])</f>
        <v>0</v>
      </c>
      <c r="AK163" s="439">
        <f>IF(Table_NFI[[#This Row],[Winter Clothes Adult]]+Table_NFI[[#This Row],[Winter Clothes Children]]+Table_NFI[[#This Row],[Winter Items Other]]+Table_NFI[[#This Row],[Winter Blanket]]&gt;0,1,0)</f>
        <v>0</v>
      </c>
      <c r="AL163" s="439">
        <f>IF(NFI_Expiration=1,IF($A163&lt;VLOOKUP(V$5,NFI,5,0),1,0)*Table_NFI[[#This Row],[Jerry Can]],Table_NFI[Jerry Can])</f>
        <v>0</v>
      </c>
      <c r="AM163" s="791" t="str">
        <f>IFERROR(VLOOKUP(Table_NFI[[#This Row],[Camp Name]],CL,2,0),"")</f>
        <v>MMR001CMP004</v>
      </c>
      <c r="AN163" s="782">
        <f ca="1">IF(Table_NFI[[#This Row],[Pcode]]="","",IF(OFFSET(CampList[Opening Date],MATCH(Table_NFI[[#This Row],[Pcode]],CampList[CP_Pcode],0)-1,0,1,1)&gt;=NFI_Monitor_Date,1,0))</f>
        <v>0</v>
      </c>
      <c r="AO163" s="791" t="str">
        <f>IFERROR(VLOOKUP(Table_NFI[[#This Row],[Camp Name]],CL,3,0),"")</f>
        <v>Open</v>
      </c>
      <c r="AP163" s="439" t="str">
        <f ca="1">IF(Table_NFI[[#This Row],[Pcode]]="","",OFFSET(CampList[Priority],MATCH(Table_NFI[[#This Row],[Pcode]],CampList[CP_Pcode],0)-1,0,1,1))</f>
        <v>P4</v>
      </c>
      <c r="AQ163" s="438">
        <f>IFERROR(Table_NFI[[#This Row],[Kitchen Set]]/VLOOKUP(Table_NFI[[#This Row],[Camp Name]],CL,4,0),"")</f>
        <v>0</v>
      </c>
      <c r="AR163" s="789"/>
      <c r="AS163" s="792"/>
    </row>
    <row r="164" spans="1:45" s="784" customFormat="1" x14ac:dyDescent="0.25">
      <c r="A164" s="455">
        <f t="shared" si="2"/>
        <v>13.2</v>
      </c>
      <c r="B164" s="778">
        <v>41913</v>
      </c>
      <c r="C164" s="779" t="s">
        <v>454</v>
      </c>
      <c r="D164" s="789" t="s">
        <v>507</v>
      </c>
      <c r="E164" s="789" t="s">
        <v>380</v>
      </c>
      <c r="F164" s="789" t="s">
        <v>310</v>
      </c>
      <c r="G164" s="789" t="s">
        <v>349</v>
      </c>
      <c r="H164" s="437"/>
      <c r="I164" s="437"/>
      <c r="J164" s="437"/>
      <c r="K164" s="437">
        <v>144</v>
      </c>
      <c r="L164" s="437"/>
      <c r="M164" s="437"/>
      <c r="N164" s="437"/>
      <c r="O164" s="437"/>
      <c r="P164" s="439"/>
      <c r="Q164" s="439"/>
      <c r="R164" s="439"/>
      <c r="S164" s="439"/>
      <c r="T164" s="439"/>
      <c r="U164" s="439"/>
      <c r="V164" s="439"/>
      <c r="W164" s="439">
        <f>IF(NFI_Expiration=1,IF($A164&lt;VLOOKUP(H$5,NFI,5,0),1,0)*Table_NFI[[#This Row],[Hygiene Kit]],Table_NFI[Hygiene Kit])</f>
        <v>0</v>
      </c>
      <c r="X164" s="439">
        <f>IF(NFI_Expiration=1,IF($A164&lt;VLOOKUP(I$5,NFI,5,0),1,0)*Table_NFI[[#This Row],[NFI Core Kit]],Table_NFI[NFI Core Kit])</f>
        <v>0</v>
      </c>
      <c r="Y164" s="439">
        <f>IF(NFI_Expiration=1,IF($A164&lt;VLOOKUP(J$5,NFI,5,0),1,0)*Table_NFI[[#This Row],[Sanitary Kit]],Table_NFI[Sanitary Kit])</f>
        <v>0</v>
      </c>
      <c r="Z164" s="439">
        <f>IF(NFI_Expiration=1,IF($A164&lt;VLOOKUP(K$5,NFI,5,0),1,0)*Table_NFI[[#This Row],[Mosquito net]],Table_NFI[Mosquito net])</f>
        <v>0</v>
      </c>
      <c r="AA164" s="439">
        <f>IF(NFI_Expiration=1,IF($A164&lt;VLOOKUP(L$5,NFI,5,0),1,0)*Table_NFI[[#This Row],[Tarpaulin]],Table_NFI[[#This Row],[Tarpaulin]])</f>
        <v>0</v>
      </c>
      <c r="AB164" s="439">
        <f>IF(NFI_Expiration=1,IF($A164&lt;VLOOKUP(M$5,NFI,5,0),1,0)*Table_NFI[[#This Row],[Blanket]],Table_NFI[[#This Row],[Blanket]])</f>
        <v>0</v>
      </c>
      <c r="AC164" s="439">
        <f>IF(NFI_Expiration=1,IF($A164&lt;VLOOKUP(N$5,NFI,5,0),1,0)*Table_NFI[[#This Row],[Kitchen Set]],Table_NFI[Kitchen Set])</f>
        <v>0</v>
      </c>
      <c r="AD164" s="439">
        <f>IF(NFI_Expiration=1,IF($A164&lt;VLOOKUP(O$5,NFI,5,0),1,0)*Table_NFI[[#This Row],[Clothes Kit]],Table_NFI[Clothes Kit])</f>
        <v>0</v>
      </c>
      <c r="AE164" s="439">
        <f>IF(NFI_Expiration=1,IF($A164&lt;VLOOKUP(P$5,NFI,5,0),1,0)*Table_NFI[[#This Row],[Plastic Bucket]],Table_NFI[Plastic Bucket])</f>
        <v>0</v>
      </c>
      <c r="AF164" s="439">
        <f>IF(NFI_Expiration=1,IF($A164&lt;VLOOKUP(Q$5,NFI,5,0),1,0)*Table_NFI[[#This Row],[Plastic Mat]],Table_NFI[Plastic Mat])*IF(Table_NFI[[#This Row],[Distribution Date]]&gt;"2014-04-01",1,2.5)</f>
        <v>0</v>
      </c>
      <c r="AG164" s="439">
        <f>IF(NFI_Expiration=1,IF($A164&lt;VLOOKUP(R$5,NFI,5,0),1,0)*Table_NFI[[#This Row],[Winter Clothes Adult]],Table_NFI[Winter Clothes Adult])</f>
        <v>0</v>
      </c>
      <c r="AH164" s="439">
        <f>IF(NFI_Expiration=1,IF($A164&lt;VLOOKUP(S$5,NFI,5,0),1,0)*Table_NFI[[#This Row],[Winter Clothes Children]],Table_NFI[Winter Clothes Children])</f>
        <v>0</v>
      </c>
      <c r="AI164" s="439">
        <f>IF(NFI_Expiration=1,IF($A164&lt;VLOOKUP(T$5,NFI,5,0),1,0)*Table_NFI[[#This Row],[Winter Items Other]],Table_NFI[Winter Items Other])</f>
        <v>0</v>
      </c>
      <c r="AJ164" s="439">
        <f>IF(NFI_Expiration=1,IF($A164&lt;VLOOKUP(M$5,NFI,5,0),1,0)*Table_NFI[[#This Row],[Winter Blanket]],Table_NFI[[#This Row],[Winter Blanket]])</f>
        <v>0</v>
      </c>
      <c r="AK164" s="439">
        <f>IF(Table_NFI[[#This Row],[Winter Clothes Adult]]+Table_NFI[[#This Row],[Winter Clothes Children]]+Table_NFI[[#This Row],[Winter Items Other]]+Table_NFI[[#This Row],[Winter Blanket]]&gt;0,1,0)</f>
        <v>0</v>
      </c>
      <c r="AL164" s="439">
        <f>IF(NFI_Expiration=1,IF($A164&lt;VLOOKUP(V$5,NFI,5,0),1,0)*Table_NFI[[#This Row],[Jerry Can]],Table_NFI[Jerry Can])</f>
        <v>0</v>
      </c>
      <c r="AM164" s="791" t="str">
        <f>IFERROR(VLOOKUP(Table_NFI[[#This Row],[Camp Name]],CL,2,0),"")</f>
        <v>MMR001CMP037</v>
      </c>
      <c r="AN164" s="782">
        <f ca="1">IF(Table_NFI[[#This Row],[Pcode]]="","",IF(OFFSET(CampList[Opening Date],MATCH(Table_NFI[[#This Row],[Pcode]],CampList[CP_Pcode],0)-1,0,1,1)&gt;=NFI_Monitor_Date,1,0))</f>
        <v>0</v>
      </c>
      <c r="AO164" s="791" t="str">
        <f>IFERROR(VLOOKUP(Table_NFI[[#This Row],[Camp Name]],CL,3,0),"")</f>
        <v>Open</v>
      </c>
      <c r="AP164" s="439" t="str">
        <f ca="1">IF(Table_NFI[[#This Row],[Pcode]]="","",OFFSET(CampList[Priority],MATCH(Table_NFI[[#This Row],[Pcode]],CampList[CP_Pcode],0)-1,0,1,1))</f>
        <v>P4</v>
      </c>
      <c r="AQ164" s="438">
        <f>IFERROR(Table_NFI[[#This Row],[Kitchen Set]]/VLOOKUP(Table_NFI[[#This Row],[Camp Name]],CL,4,0),"")</f>
        <v>0</v>
      </c>
      <c r="AR164" s="789"/>
      <c r="AS164" s="792"/>
    </row>
    <row r="165" spans="1:45" s="784" customFormat="1" x14ac:dyDescent="0.25">
      <c r="A165" s="455">
        <f t="shared" si="2"/>
        <v>13.2</v>
      </c>
      <c r="B165" s="778">
        <v>41913</v>
      </c>
      <c r="C165" s="779" t="s">
        <v>454</v>
      </c>
      <c r="D165" s="789" t="s">
        <v>507</v>
      </c>
      <c r="E165" s="789" t="s">
        <v>380</v>
      </c>
      <c r="F165" s="789" t="s">
        <v>310</v>
      </c>
      <c r="G165" s="789" t="s">
        <v>316</v>
      </c>
      <c r="H165" s="437"/>
      <c r="I165" s="437"/>
      <c r="J165" s="437"/>
      <c r="K165" s="437">
        <v>150</v>
      </c>
      <c r="L165" s="437"/>
      <c r="M165" s="437"/>
      <c r="N165" s="437"/>
      <c r="O165" s="437"/>
      <c r="P165" s="439"/>
      <c r="Q165" s="439"/>
      <c r="R165" s="439"/>
      <c r="S165" s="439"/>
      <c r="T165" s="439"/>
      <c r="U165" s="439"/>
      <c r="V165" s="439"/>
      <c r="W165" s="439">
        <f>IF(NFI_Expiration=1,IF($A165&lt;VLOOKUP(H$5,NFI,5,0),1,0)*Table_NFI[[#This Row],[Hygiene Kit]],Table_NFI[Hygiene Kit])</f>
        <v>0</v>
      </c>
      <c r="X165" s="439">
        <f>IF(NFI_Expiration=1,IF($A165&lt;VLOOKUP(I$5,NFI,5,0),1,0)*Table_NFI[[#This Row],[NFI Core Kit]],Table_NFI[NFI Core Kit])</f>
        <v>0</v>
      </c>
      <c r="Y165" s="439">
        <f>IF(NFI_Expiration=1,IF($A165&lt;VLOOKUP(J$5,NFI,5,0),1,0)*Table_NFI[[#This Row],[Sanitary Kit]],Table_NFI[Sanitary Kit])</f>
        <v>0</v>
      </c>
      <c r="Z165" s="439">
        <f>IF(NFI_Expiration=1,IF($A165&lt;VLOOKUP(K$5,NFI,5,0),1,0)*Table_NFI[[#This Row],[Mosquito net]],Table_NFI[Mosquito net])</f>
        <v>0</v>
      </c>
      <c r="AA165" s="439">
        <f>IF(NFI_Expiration=1,IF($A165&lt;VLOOKUP(L$5,NFI,5,0),1,0)*Table_NFI[[#This Row],[Tarpaulin]],Table_NFI[[#This Row],[Tarpaulin]])</f>
        <v>0</v>
      </c>
      <c r="AB165" s="439">
        <f>IF(NFI_Expiration=1,IF($A165&lt;VLOOKUP(M$5,NFI,5,0),1,0)*Table_NFI[[#This Row],[Blanket]],Table_NFI[[#This Row],[Blanket]])</f>
        <v>0</v>
      </c>
      <c r="AC165" s="439">
        <f>IF(NFI_Expiration=1,IF($A165&lt;VLOOKUP(N$5,NFI,5,0),1,0)*Table_NFI[[#This Row],[Kitchen Set]],Table_NFI[Kitchen Set])</f>
        <v>0</v>
      </c>
      <c r="AD165" s="439">
        <f>IF(NFI_Expiration=1,IF($A165&lt;VLOOKUP(O$5,NFI,5,0),1,0)*Table_NFI[[#This Row],[Clothes Kit]],Table_NFI[Clothes Kit])</f>
        <v>0</v>
      </c>
      <c r="AE165" s="439">
        <f>IF(NFI_Expiration=1,IF($A165&lt;VLOOKUP(P$5,NFI,5,0),1,0)*Table_NFI[[#This Row],[Plastic Bucket]],Table_NFI[Plastic Bucket])</f>
        <v>0</v>
      </c>
      <c r="AF165" s="439">
        <f>IF(NFI_Expiration=1,IF($A165&lt;VLOOKUP(Q$5,NFI,5,0),1,0)*Table_NFI[[#This Row],[Plastic Mat]],Table_NFI[Plastic Mat])*IF(Table_NFI[[#This Row],[Distribution Date]]&gt;"2014-04-01",1,2.5)</f>
        <v>0</v>
      </c>
      <c r="AG165" s="439">
        <f>IF(NFI_Expiration=1,IF($A165&lt;VLOOKUP(R$5,NFI,5,0),1,0)*Table_NFI[[#This Row],[Winter Clothes Adult]],Table_NFI[Winter Clothes Adult])</f>
        <v>0</v>
      </c>
      <c r="AH165" s="439">
        <f>IF(NFI_Expiration=1,IF($A165&lt;VLOOKUP(S$5,NFI,5,0),1,0)*Table_NFI[[#This Row],[Winter Clothes Children]],Table_NFI[Winter Clothes Children])</f>
        <v>0</v>
      </c>
      <c r="AI165" s="439">
        <f>IF(NFI_Expiration=1,IF($A165&lt;VLOOKUP(T$5,NFI,5,0),1,0)*Table_NFI[[#This Row],[Winter Items Other]],Table_NFI[Winter Items Other])</f>
        <v>0</v>
      </c>
      <c r="AJ165" s="439">
        <f>IF(NFI_Expiration=1,IF($A165&lt;VLOOKUP(M$5,NFI,5,0),1,0)*Table_NFI[[#This Row],[Winter Blanket]],Table_NFI[[#This Row],[Winter Blanket]])</f>
        <v>0</v>
      </c>
      <c r="AK165" s="439">
        <f>IF(Table_NFI[[#This Row],[Winter Clothes Adult]]+Table_NFI[[#This Row],[Winter Clothes Children]]+Table_NFI[[#This Row],[Winter Items Other]]+Table_NFI[[#This Row],[Winter Blanket]]&gt;0,1,0)</f>
        <v>0</v>
      </c>
      <c r="AL165" s="439">
        <f>IF(NFI_Expiration=1,IF($A165&lt;VLOOKUP(V$5,NFI,5,0),1,0)*Table_NFI[[#This Row],[Jerry Can]],Table_NFI[Jerry Can])</f>
        <v>0</v>
      </c>
      <c r="AM165" s="791" t="str">
        <f>IFERROR(VLOOKUP(Table_NFI[[#This Row],[Camp Name]],CL,2,0),"")</f>
        <v>MMR001CMP038</v>
      </c>
      <c r="AN165" s="782">
        <f ca="1">IF(Table_NFI[[#This Row],[Pcode]]="","",IF(OFFSET(CampList[Opening Date],MATCH(Table_NFI[[#This Row],[Pcode]],CampList[CP_Pcode],0)-1,0,1,1)&gt;=NFI_Monitor_Date,1,0))</f>
        <v>0</v>
      </c>
      <c r="AO165" s="791" t="str">
        <f>IFERROR(VLOOKUP(Table_NFI[[#This Row],[Camp Name]],CL,3,0),"")</f>
        <v>Open</v>
      </c>
      <c r="AP165" s="439" t="str">
        <f ca="1">IF(Table_NFI[[#This Row],[Pcode]]="","",OFFSET(CampList[Priority],MATCH(Table_NFI[[#This Row],[Pcode]],CampList[CP_Pcode],0)-1,0,1,1))</f>
        <v>P4</v>
      </c>
      <c r="AQ165" s="438">
        <f>IFERROR(Table_NFI[[#This Row],[Kitchen Set]]/VLOOKUP(Table_NFI[[#This Row],[Camp Name]],CL,4,0),"")</f>
        <v>0</v>
      </c>
      <c r="AR165" s="789"/>
      <c r="AS165" s="792"/>
    </row>
    <row r="166" spans="1:45" s="136" customFormat="1" x14ac:dyDescent="0.25">
      <c r="A166" s="455">
        <f t="shared" si="2"/>
        <v>13.2</v>
      </c>
      <c r="B166" s="778">
        <v>41913</v>
      </c>
      <c r="C166" s="779" t="s">
        <v>454</v>
      </c>
      <c r="D166" s="789" t="s">
        <v>507</v>
      </c>
      <c r="E166" s="789" t="s">
        <v>380</v>
      </c>
      <c r="F166" s="789" t="s">
        <v>237</v>
      </c>
      <c r="G166" s="789" t="s">
        <v>283</v>
      </c>
      <c r="H166" s="437"/>
      <c r="I166" s="437"/>
      <c r="J166" s="437"/>
      <c r="K166" s="437">
        <v>12</v>
      </c>
      <c r="L166" s="437"/>
      <c r="M166" s="437"/>
      <c r="N166" s="437"/>
      <c r="O166" s="437"/>
      <c r="P166" s="439"/>
      <c r="Q166" s="439"/>
      <c r="R166" s="439"/>
      <c r="S166" s="439"/>
      <c r="T166" s="439"/>
      <c r="U166" s="439"/>
      <c r="V166" s="439"/>
      <c r="W166" s="439">
        <f>IF(NFI_Expiration=1,IF($A166&lt;VLOOKUP(H$5,NFI,5,0),1,0)*Table_NFI[[#This Row],[Hygiene Kit]],Table_NFI[Hygiene Kit])</f>
        <v>0</v>
      </c>
      <c r="X166" s="439">
        <f>IF(NFI_Expiration=1,IF($A166&lt;VLOOKUP(I$5,NFI,5,0),1,0)*Table_NFI[[#This Row],[NFI Core Kit]],Table_NFI[NFI Core Kit])</f>
        <v>0</v>
      </c>
      <c r="Y166" s="439">
        <f>IF(NFI_Expiration=1,IF($A166&lt;VLOOKUP(J$5,NFI,5,0),1,0)*Table_NFI[[#This Row],[Sanitary Kit]],Table_NFI[Sanitary Kit])</f>
        <v>0</v>
      </c>
      <c r="Z166" s="439">
        <f>IF(NFI_Expiration=1,IF($A166&lt;VLOOKUP(K$5,NFI,5,0),1,0)*Table_NFI[[#This Row],[Mosquito net]],Table_NFI[Mosquito net])</f>
        <v>0</v>
      </c>
      <c r="AA166" s="439">
        <f>IF(NFI_Expiration=1,IF($A166&lt;VLOOKUP(L$5,NFI,5,0),1,0)*Table_NFI[[#This Row],[Tarpaulin]],Table_NFI[[#This Row],[Tarpaulin]])</f>
        <v>0</v>
      </c>
      <c r="AB166" s="439">
        <f>IF(NFI_Expiration=1,IF($A166&lt;VLOOKUP(M$5,NFI,5,0),1,0)*Table_NFI[[#This Row],[Blanket]],Table_NFI[[#This Row],[Blanket]])</f>
        <v>0</v>
      </c>
      <c r="AC166" s="439">
        <f>IF(NFI_Expiration=1,IF($A166&lt;VLOOKUP(N$5,NFI,5,0),1,0)*Table_NFI[[#This Row],[Kitchen Set]],Table_NFI[Kitchen Set])</f>
        <v>0</v>
      </c>
      <c r="AD166" s="439">
        <f>IF(NFI_Expiration=1,IF($A166&lt;VLOOKUP(O$5,NFI,5,0),1,0)*Table_NFI[[#This Row],[Clothes Kit]],Table_NFI[Clothes Kit])</f>
        <v>0</v>
      </c>
      <c r="AE166" s="439">
        <f>IF(NFI_Expiration=1,IF($A166&lt;VLOOKUP(P$5,NFI,5,0),1,0)*Table_NFI[[#This Row],[Plastic Bucket]],Table_NFI[Plastic Bucket])</f>
        <v>0</v>
      </c>
      <c r="AF166" s="439">
        <f>IF(NFI_Expiration=1,IF($A166&lt;VLOOKUP(Q$5,NFI,5,0),1,0)*Table_NFI[[#This Row],[Plastic Mat]],Table_NFI[Plastic Mat])*IF(Table_NFI[[#This Row],[Distribution Date]]&gt;"2014-04-01",1,2.5)</f>
        <v>0</v>
      </c>
      <c r="AG166" s="439">
        <f>IF(NFI_Expiration=1,IF($A166&lt;VLOOKUP(R$5,NFI,5,0),1,0)*Table_NFI[[#This Row],[Winter Clothes Adult]],Table_NFI[Winter Clothes Adult])</f>
        <v>0</v>
      </c>
      <c r="AH166" s="439">
        <f>IF(NFI_Expiration=1,IF($A166&lt;VLOOKUP(S$5,NFI,5,0),1,0)*Table_NFI[[#This Row],[Winter Clothes Children]],Table_NFI[Winter Clothes Children])</f>
        <v>0</v>
      </c>
      <c r="AI166" s="439">
        <f>IF(NFI_Expiration=1,IF($A166&lt;VLOOKUP(T$5,NFI,5,0),1,0)*Table_NFI[[#This Row],[Winter Items Other]],Table_NFI[Winter Items Other])</f>
        <v>0</v>
      </c>
      <c r="AJ166" s="439">
        <f>IF(NFI_Expiration=1,IF($A166&lt;VLOOKUP(M$5,NFI,5,0),1,0)*Table_NFI[[#This Row],[Winter Blanket]],Table_NFI[[#This Row],[Winter Blanket]])</f>
        <v>0</v>
      </c>
      <c r="AK166" s="439">
        <f>IF(Table_NFI[[#This Row],[Winter Clothes Adult]]+Table_NFI[[#This Row],[Winter Clothes Children]]+Table_NFI[[#This Row],[Winter Items Other]]+Table_NFI[[#This Row],[Winter Blanket]]&gt;0,1,0)</f>
        <v>0</v>
      </c>
      <c r="AL166" s="439">
        <f>IF(NFI_Expiration=1,IF($A166&lt;VLOOKUP(V$5,NFI,5,0),1,0)*Table_NFI[[#This Row],[Jerry Can]],Table_NFI[Jerry Can])</f>
        <v>0</v>
      </c>
      <c r="AM166" s="791" t="str">
        <f>IFERROR(VLOOKUP(Table_NFI[[#This Row],[Camp Name]],CL,2,0),"")</f>
        <v>MMR001CMP022</v>
      </c>
      <c r="AN166" s="782">
        <f ca="1">IF(Table_NFI[[#This Row],[Pcode]]="","",IF(OFFSET(CampList[Opening Date],MATCH(Table_NFI[[#This Row],[Pcode]],CampList[CP_Pcode],0)-1,0,1,1)&gt;=NFI_Monitor_Date,1,0))</f>
        <v>0</v>
      </c>
      <c r="AO166" s="791" t="str">
        <f>IFERROR(VLOOKUP(Table_NFI[[#This Row],[Camp Name]],CL,3,0),"")</f>
        <v>Open</v>
      </c>
      <c r="AP166" s="439" t="str">
        <f ca="1">IF(Table_NFI[[#This Row],[Pcode]]="","",OFFSET(CampList[Priority],MATCH(Table_NFI[[#This Row],[Pcode]],CampList[CP_Pcode],0)-1,0,1,1))</f>
        <v>P4</v>
      </c>
      <c r="AQ166" s="438">
        <f>IFERROR(Table_NFI[[#This Row],[Kitchen Set]]/VLOOKUP(Table_NFI[[#This Row],[Camp Name]],CL,4,0),"")</f>
        <v>0</v>
      </c>
      <c r="AR166" s="789"/>
      <c r="AS166" s="792"/>
    </row>
    <row r="167" spans="1:45" s="136" customFormat="1" x14ac:dyDescent="0.25">
      <c r="A167" s="455">
        <f t="shared" si="2"/>
        <v>13.533333333333333</v>
      </c>
      <c r="B167" s="778">
        <v>41903</v>
      </c>
      <c r="C167" s="779" t="s">
        <v>454</v>
      </c>
      <c r="D167" s="779"/>
      <c r="E167" s="779" t="s">
        <v>380</v>
      </c>
      <c r="F167" s="779" t="s">
        <v>185</v>
      </c>
      <c r="G167" s="779" t="s">
        <v>215</v>
      </c>
      <c r="H167" s="436"/>
      <c r="I167" s="436"/>
      <c r="J167" s="436"/>
      <c r="K167" s="436">
        <v>604</v>
      </c>
      <c r="L167" s="437"/>
      <c r="M167" s="437"/>
      <c r="N167" s="437"/>
      <c r="O167" s="437"/>
      <c r="P167" s="439"/>
      <c r="Q167" s="439"/>
      <c r="R167" s="436"/>
      <c r="S167" s="436"/>
      <c r="T167" s="436"/>
      <c r="U167" s="436">
        <v>784</v>
      </c>
      <c r="V167" s="436"/>
      <c r="W167" s="436">
        <f>IF(NFI_Expiration=1,IF($A167&lt;VLOOKUP(H$5,NFI,5,0),1,0)*Table_NFI[[#This Row],[Hygiene Kit]],Table_NFI[Hygiene Kit])</f>
        <v>0</v>
      </c>
      <c r="X167" s="436">
        <f>IF(NFI_Expiration=1,IF($A167&lt;VLOOKUP(I$5,NFI,5,0),1,0)*Table_NFI[[#This Row],[NFI Core Kit]],Table_NFI[NFI Core Kit])</f>
        <v>0</v>
      </c>
      <c r="Y167" s="436">
        <f>IF(NFI_Expiration=1,IF($A167&lt;VLOOKUP(J$5,NFI,5,0),1,0)*Table_NFI[[#This Row],[Sanitary Kit]],Table_NFI[Sanitary Kit])</f>
        <v>0</v>
      </c>
      <c r="Z167" s="436">
        <f>IF(NFI_Expiration=1,IF($A167&lt;VLOOKUP(K$5,NFI,5,0),1,0)*Table_NFI[[#This Row],[Mosquito net]],Table_NFI[Mosquito net])</f>
        <v>0</v>
      </c>
      <c r="AA167" s="436">
        <f>IF(NFI_Expiration=1,IF($A167&lt;VLOOKUP(L$5,NFI,5,0),1,0)*Table_NFI[[#This Row],[Tarpaulin]],Table_NFI[[#This Row],[Tarpaulin]])</f>
        <v>0</v>
      </c>
      <c r="AB167" s="436">
        <f>IF(NFI_Expiration=1,IF($A167&lt;VLOOKUP(M$5,NFI,5,0),1,0)*Table_NFI[[#This Row],[Blanket]],Table_NFI[[#This Row],[Blanket]])</f>
        <v>0</v>
      </c>
      <c r="AC167" s="436">
        <f>IF(NFI_Expiration=1,IF($A167&lt;VLOOKUP(N$5,NFI,5,0),1,0)*Table_NFI[[#This Row],[Kitchen Set]],Table_NFI[Kitchen Set])</f>
        <v>0</v>
      </c>
      <c r="AD167" s="436">
        <f>IF(NFI_Expiration=1,IF($A167&lt;VLOOKUP(O$5,NFI,5,0),1,0)*Table_NFI[[#This Row],[Clothes Kit]],Table_NFI[Clothes Kit])</f>
        <v>0</v>
      </c>
      <c r="AE167" s="436">
        <f>IF(NFI_Expiration=1,IF($A167&lt;VLOOKUP(P$5,NFI,5,0),1,0)*Table_NFI[[#This Row],[Plastic Bucket]],Table_NFI[Plastic Bucket])</f>
        <v>0</v>
      </c>
      <c r="AF167" s="436">
        <f>IF(NFI_Expiration=1,IF($A167&lt;VLOOKUP(Q$5,NFI,5,0),1,0)*Table_NFI[[#This Row],[Plastic Mat]],Table_NFI[Plastic Mat])*IF(Table_NFI[[#This Row],[Distribution Date]]&gt;"2014-04-01",1,2.5)</f>
        <v>0</v>
      </c>
      <c r="AG167" s="436">
        <f>IF(NFI_Expiration=1,IF($A167&lt;VLOOKUP(R$5,NFI,5,0),1,0)*Table_NFI[[#This Row],[Winter Clothes Adult]],Table_NFI[Winter Clothes Adult])</f>
        <v>0</v>
      </c>
      <c r="AH167" s="436">
        <f>IF(NFI_Expiration=1,IF($A167&lt;VLOOKUP(S$5,NFI,5,0),1,0)*Table_NFI[[#This Row],[Winter Clothes Children]],Table_NFI[Winter Clothes Children])</f>
        <v>0</v>
      </c>
      <c r="AI167" s="436">
        <f>IF(NFI_Expiration=1,IF($A167&lt;VLOOKUP(T$5,NFI,5,0),1,0)*Table_NFI[[#This Row],[Winter Items Other]],Table_NFI[Winter Items Other])</f>
        <v>0</v>
      </c>
      <c r="AJ167" s="436">
        <f>IF(NFI_Expiration=1,IF($A167&lt;VLOOKUP(M$5,NFI,5,0),1,0)*Table_NFI[[#This Row],[Winter Blanket]],Table_NFI[[#This Row],[Winter Blanket]])</f>
        <v>0</v>
      </c>
      <c r="AK167" s="436">
        <f>IF(Table_NFI[[#This Row],[Winter Clothes Adult]]+Table_NFI[[#This Row],[Winter Clothes Children]]+Table_NFI[[#This Row],[Winter Items Other]]+Table_NFI[[#This Row],[Winter Blanket]]&gt;0,1,0)</f>
        <v>1</v>
      </c>
      <c r="AL167" s="439">
        <f>IF(NFI_Expiration=1,IF($A167&lt;VLOOKUP(V$5,NFI,5,0),1,0)*Table_NFI[[#This Row],[Jerry Can]],Table_NFI[Jerry Can])</f>
        <v>0</v>
      </c>
      <c r="AM167" s="781" t="str">
        <f>IFERROR(VLOOKUP(Table_NFI[[#This Row],[Camp Name]],CL,2,0),"")</f>
        <v>MMR001CMP131</v>
      </c>
      <c r="AN167" s="782">
        <f ca="1">IF(Table_NFI[[#This Row],[Pcode]]="","",IF(OFFSET(CampList[Opening Date],MATCH(Table_NFI[[#This Row],[Pcode]],CampList[CP_Pcode],0)-1,0,1,1)&gt;=NFI_Monitor_Date,1,0))</f>
        <v>0</v>
      </c>
      <c r="AO167" s="781" t="str">
        <f>IFERROR(VLOOKUP(Table_NFI[[#This Row],[Camp Name]],CL,3,0),"")</f>
        <v>Open</v>
      </c>
      <c r="AP167" s="436" t="str">
        <f ca="1">IF(Table_NFI[[#This Row],[Pcode]]="","",OFFSET(CampList[Priority],MATCH(Table_NFI[[#This Row],[Pcode]],CampList[CP_Pcode],0)-1,0,1,1))</f>
        <v>P1</v>
      </c>
      <c r="AQ167" s="438">
        <f>IFERROR(Table_NFI[[#This Row],[Kitchen Set]]/VLOOKUP(Table_NFI[[#This Row],[Camp Name]],CL,4,0),"")</f>
        <v>0</v>
      </c>
      <c r="AR167" s="779"/>
      <c r="AS167" s="783"/>
    </row>
    <row r="168" spans="1:45" s="136" customFormat="1" x14ac:dyDescent="0.25">
      <c r="A168" s="455">
        <f t="shared" si="2"/>
        <v>13.566666666666666</v>
      </c>
      <c r="B168" s="778">
        <v>41902</v>
      </c>
      <c r="C168" s="779" t="s">
        <v>454</v>
      </c>
      <c r="D168" s="779"/>
      <c r="E168" s="779" t="s">
        <v>380</v>
      </c>
      <c r="F168" s="779" t="s">
        <v>185</v>
      </c>
      <c r="G168" s="779" t="s">
        <v>219</v>
      </c>
      <c r="H168" s="436"/>
      <c r="I168" s="436"/>
      <c r="J168" s="436"/>
      <c r="K168" s="436">
        <v>1238</v>
      </c>
      <c r="L168" s="437"/>
      <c r="M168" s="437"/>
      <c r="N168" s="437"/>
      <c r="O168" s="437"/>
      <c r="P168" s="439"/>
      <c r="Q168" s="439"/>
      <c r="R168" s="436"/>
      <c r="S168" s="436"/>
      <c r="T168" s="436"/>
      <c r="U168" s="436">
        <v>1761</v>
      </c>
      <c r="V168" s="436"/>
      <c r="W168" s="436">
        <f>IF(NFI_Expiration=1,IF($A168&lt;VLOOKUP(H$5,NFI,5,0),1,0)*Table_NFI[[#This Row],[Hygiene Kit]],Table_NFI[Hygiene Kit])</f>
        <v>0</v>
      </c>
      <c r="X168" s="436">
        <f>IF(NFI_Expiration=1,IF($A168&lt;VLOOKUP(I$5,NFI,5,0),1,0)*Table_NFI[[#This Row],[NFI Core Kit]],Table_NFI[NFI Core Kit])</f>
        <v>0</v>
      </c>
      <c r="Y168" s="436">
        <f>IF(NFI_Expiration=1,IF($A168&lt;VLOOKUP(J$5,NFI,5,0),1,0)*Table_NFI[[#This Row],[Sanitary Kit]],Table_NFI[Sanitary Kit])</f>
        <v>0</v>
      </c>
      <c r="Z168" s="436">
        <f>IF(NFI_Expiration=1,IF($A168&lt;VLOOKUP(K$5,NFI,5,0),1,0)*Table_NFI[[#This Row],[Mosquito net]],Table_NFI[Mosquito net])</f>
        <v>0</v>
      </c>
      <c r="AA168" s="436">
        <f>IF(NFI_Expiration=1,IF($A168&lt;VLOOKUP(L$5,NFI,5,0),1,0)*Table_NFI[[#This Row],[Tarpaulin]],Table_NFI[[#This Row],[Tarpaulin]])</f>
        <v>0</v>
      </c>
      <c r="AB168" s="436">
        <f>IF(NFI_Expiration=1,IF($A168&lt;VLOOKUP(M$5,NFI,5,0),1,0)*Table_NFI[[#This Row],[Blanket]],Table_NFI[[#This Row],[Blanket]])</f>
        <v>0</v>
      </c>
      <c r="AC168" s="436">
        <f>IF(NFI_Expiration=1,IF($A168&lt;VLOOKUP(N$5,NFI,5,0),1,0)*Table_NFI[[#This Row],[Kitchen Set]],Table_NFI[Kitchen Set])</f>
        <v>0</v>
      </c>
      <c r="AD168" s="436">
        <f>IF(NFI_Expiration=1,IF($A168&lt;VLOOKUP(O$5,NFI,5,0),1,0)*Table_NFI[[#This Row],[Clothes Kit]],Table_NFI[Clothes Kit])</f>
        <v>0</v>
      </c>
      <c r="AE168" s="436">
        <f>IF(NFI_Expiration=1,IF($A168&lt;VLOOKUP(P$5,NFI,5,0),1,0)*Table_NFI[[#This Row],[Plastic Bucket]],Table_NFI[Plastic Bucket])</f>
        <v>0</v>
      </c>
      <c r="AF168" s="436">
        <f>IF(NFI_Expiration=1,IF($A168&lt;VLOOKUP(Q$5,NFI,5,0),1,0)*Table_NFI[[#This Row],[Plastic Mat]],Table_NFI[Plastic Mat])*IF(Table_NFI[[#This Row],[Distribution Date]]&gt;"2014-04-01",1,2.5)</f>
        <v>0</v>
      </c>
      <c r="AG168" s="436">
        <f>IF(NFI_Expiration=1,IF($A168&lt;VLOOKUP(R$5,NFI,5,0),1,0)*Table_NFI[[#This Row],[Winter Clothes Adult]],Table_NFI[Winter Clothes Adult])</f>
        <v>0</v>
      </c>
      <c r="AH168" s="436">
        <f>IF(NFI_Expiration=1,IF($A168&lt;VLOOKUP(S$5,NFI,5,0),1,0)*Table_NFI[[#This Row],[Winter Clothes Children]],Table_NFI[Winter Clothes Children])</f>
        <v>0</v>
      </c>
      <c r="AI168" s="436">
        <f>IF(NFI_Expiration=1,IF($A168&lt;VLOOKUP(T$5,NFI,5,0),1,0)*Table_NFI[[#This Row],[Winter Items Other]],Table_NFI[Winter Items Other])</f>
        <v>0</v>
      </c>
      <c r="AJ168" s="436">
        <f>IF(NFI_Expiration=1,IF($A168&lt;VLOOKUP(M$5,NFI,5,0),1,0)*Table_NFI[[#This Row],[Winter Blanket]],Table_NFI[[#This Row],[Winter Blanket]])</f>
        <v>0</v>
      </c>
      <c r="AK168" s="436">
        <f>IF(Table_NFI[[#This Row],[Winter Clothes Adult]]+Table_NFI[[#This Row],[Winter Clothes Children]]+Table_NFI[[#This Row],[Winter Items Other]]+Table_NFI[[#This Row],[Winter Blanket]]&gt;0,1,0)</f>
        <v>1</v>
      </c>
      <c r="AL168" s="439">
        <f>IF(NFI_Expiration=1,IF($A168&lt;VLOOKUP(V$5,NFI,5,0),1,0)*Table_NFI[[#This Row],[Jerry Can]],Table_NFI[Jerry Can])</f>
        <v>0</v>
      </c>
      <c r="AM168" s="781" t="str">
        <f>IFERROR(VLOOKUP(Table_NFI[[#This Row],[Camp Name]],CL,2,0),"")</f>
        <v>MMR001CMP126</v>
      </c>
      <c r="AN168" s="782">
        <f ca="1">IF(Table_NFI[[#This Row],[Pcode]]="","",IF(OFFSET(CampList[Opening Date],MATCH(Table_NFI[[#This Row],[Pcode]],CampList[CP_Pcode],0)-1,0,1,1)&gt;=NFI_Monitor_Date,1,0))</f>
        <v>0</v>
      </c>
      <c r="AO168" s="781" t="str">
        <f>IFERROR(VLOOKUP(Table_NFI[[#This Row],[Camp Name]],CL,3,0),"")</f>
        <v>Open</v>
      </c>
      <c r="AP168" s="436" t="str">
        <f ca="1">IF(Table_NFI[[#This Row],[Pcode]]="","",OFFSET(CampList[Priority],MATCH(Table_NFI[[#This Row],[Pcode]],CampList[CP_Pcode],0)-1,0,1,1))</f>
        <v>P2</v>
      </c>
      <c r="AQ168" s="438">
        <f>IFERROR(Table_NFI[[#This Row],[Kitchen Set]]/VLOOKUP(Table_NFI[[#This Row],[Camp Name]],CL,4,0),"")</f>
        <v>0</v>
      </c>
      <c r="AR168" s="779"/>
      <c r="AS168" s="783"/>
    </row>
    <row r="169" spans="1:45" s="136" customFormat="1" x14ac:dyDescent="0.25">
      <c r="A169" s="455">
        <f t="shared" si="2"/>
        <v>14.2</v>
      </c>
      <c r="B169" s="778">
        <v>41883</v>
      </c>
      <c r="C169" s="789" t="s">
        <v>1043</v>
      </c>
      <c r="D169" s="789"/>
      <c r="E169" s="789" t="s">
        <v>380</v>
      </c>
      <c r="F169" s="789" t="s">
        <v>310</v>
      </c>
      <c r="G169" s="789" t="s">
        <v>336</v>
      </c>
      <c r="H169" s="437"/>
      <c r="I169" s="437"/>
      <c r="J169" s="437"/>
      <c r="K169" s="437"/>
      <c r="L169" s="437"/>
      <c r="M169" s="437"/>
      <c r="N169" s="437"/>
      <c r="O169" s="437"/>
      <c r="P169" s="439"/>
      <c r="Q169" s="439"/>
      <c r="R169" s="439"/>
      <c r="S169" s="439">
        <v>407</v>
      </c>
      <c r="T169" s="439"/>
      <c r="U169" s="439"/>
      <c r="V169" s="439"/>
      <c r="W169" s="439">
        <f>IF(NFI_Expiration=1,IF($A169&lt;VLOOKUP(H$5,NFI,5,0),1,0)*Table_NFI[[#This Row],[Hygiene Kit]],Table_NFI[Hygiene Kit])</f>
        <v>0</v>
      </c>
      <c r="X169" s="439">
        <f>IF(NFI_Expiration=1,IF($A169&lt;VLOOKUP(I$5,NFI,5,0),1,0)*Table_NFI[[#This Row],[NFI Core Kit]],Table_NFI[NFI Core Kit])</f>
        <v>0</v>
      </c>
      <c r="Y169" s="439">
        <f>IF(NFI_Expiration=1,IF($A169&lt;VLOOKUP(J$5,NFI,5,0),1,0)*Table_NFI[[#This Row],[Sanitary Kit]],Table_NFI[Sanitary Kit])</f>
        <v>0</v>
      </c>
      <c r="Z169" s="439">
        <f>IF(NFI_Expiration=1,IF($A169&lt;VLOOKUP(K$5,NFI,5,0),1,0)*Table_NFI[[#This Row],[Mosquito net]],Table_NFI[Mosquito net])</f>
        <v>0</v>
      </c>
      <c r="AA169" s="439">
        <f>IF(NFI_Expiration=1,IF($A169&lt;VLOOKUP(L$5,NFI,5,0),1,0)*Table_NFI[[#This Row],[Tarpaulin]],Table_NFI[[#This Row],[Tarpaulin]])</f>
        <v>0</v>
      </c>
      <c r="AB169" s="439">
        <f>IF(NFI_Expiration=1,IF($A169&lt;VLOOKUP(M$5,NFI,5,0),1,0)*Table_NFI[[#This Row],[Blanket]],Table_NFI[[#This Row],[Blanket]])</f>
        <v>0</v>
      </c>
      <c r="AC169" s="439">
        <f>IF(NFI_Expiration=1,IF($A169&lt;VLOOKUP(N$5,NFI,5,0),1,0)*Table_NFI[[#This Row],[Kitchen Set]],Table_NFI[Kitchen Set])</f>
        <v>0</v>
      </c>
      <c r="AD169" s="439">
        <f>IF(NFI_Expiration=1,IF($A169&lt;VLOOKUP(O$5,NFI,5,0),1,0)*Table_NFI[[#This Row],[Clothes Kit]],Table_NFI[Clothes Kit])</f>
        <v>0</v>
      </c>
      <c r="AE169" s="439">
        <f>IF(NFI_Expiration=1,IF($A169&lt;VLOOKUP(P$5,NFI,5,0),1,0)*Table_NFI[[#This Row],[Plastic Bucket]],Table_NFI[Plastic Bucket])</f>
        <v>0</v>
      </c>
      <c r="AF169" s="439">
        <f>IF(NFI_Expiration=1,IF($A169&lt;VLOOKUP(Q$5,NFI,5,0),1,0)*Table_NFI[[#This Row],[Plastic Mat]],Table_NFI[Plastic Mat])*IF(Table_NFI[[#This Row],[Distribution Date]]&gt;"2014-04-01",1,2.5)</f>
        <v>0</v>
      </c>
      <c r="AG169" s="439">
        <f>IF(NFI_Expiration=1,IF($A169&lt;VLOOKUP(R$5,NFI,5,0),1,0)*Table_NFI[[#This Row],[Winter Clothes Adult]],Table_NFI[Winter Clothes Adult])</f>
        <v>0</v>
      </c>
      <c r="AH169" s="439">
        <f>IF(NFI_Expiration=1,IF($A169&lt;VLOOKUP(S$5,NFI,5,0),1,0)*Table_NFI[[#This Row],[Winter Clothes Children]],Table_NFI[Winter Clothes Children])</f>
        <v>0</v>
      </c>
      <c r="AI169" s="439">
        <f>IF(NFI_Expiration=1,IF($A169&lt;VLOOKUP(T$5,NFI,5,0),1,0)*Table_NFI[[#This Row],[Winter Items Other]],Table_NFI[Winter Items Other])</f>
        <v>0</v>
      </c>
      <c r="AJ169" s="439">
        <f>IF(NFI_Expiration=1,IF($A169&lt;VLOOKUP(M$5,NFI,5,0),1,0)*Table_NFI[[#This Row],[Winter Blanket]],Table_NFI[[#This Row],[Winter Blanket]])</f>
        <v>0</v>
      </c>
      <c r="AK169" s="439">
        <f>IF(Table_NFI[[#This Row],[Winter Clothes Adult]]+Table_NFI[[#This Row],[Winter Clothes Children]]+Table_NFI[[#This Row],[Winter Items Other]]+Table_NFI[[#This Row],[Winter Blanket]]&gt;0,1,0)</f>
        <v>1</v>
      </c>
      <c r="AL169" s="439">
        <f>IF(NFI_Expiration=1,IF($A169&lt;VLOOKUP(V$5,NFI,5,0),1,0)*Table_NFI[[#This Row],[Jerry Can]],Table_NFI[Jerry Can])</f>
        <v>0</v>
      </c>
      <c r="AM169" s="791" t="str">
        <f>IFERROR(VLOOKUP(Table_NFI[[#This Row],[Camp Name]],CL,2,0),"")</f>
        <v>MMR001CMP115</v>
      </c>
      <c r="AN169" s="782">
        <f ca="1">IF(Table_NFI[[#This Row],[Pcode]]="","",IF(OFFSET(CampList[Opening Date],MATCH(Table_NFI[[#This Row],[Pcode]],CampList[CP_Pcode],0)-1,0,1,1)&gt;=NFI_Monitor_Date,1,0))</f>
        <v>0</v>
      </c>
      <c r="AO169" s="791" t="str">
        <f>IFERROR(VLOOKUP(Table_NFI[[#This Row],[Camp Name]],CL,3,0),"")</f>
        <v>Open</v>
      </c>
      <c r="AP169" s="439" t="str">
        <f ca="1">IF(Table_NFI[[#This Row],[Pcode]]="","",OFFSET(CampList[Priority],MATCH(Table_NFI[[#This Row],[Pcode]],CampList[CP_Pcode],0)-1,0,1,1))</f>
        <v>P1</v>
      </c>
      <c r="AQ169" s="438">
        <f>IFERROR(Table_NFI[[#This Row],[Kitchen Set]]/VLOOKUP(Table_NFI[[#This Row],[Camp Name]],CL,4,0),"")</f>
        <v>0</v>
      </c>
      <c r="AR169" s="789"/>
      <c r="AS169" s="792"/>
    </row>
    <row r="170" spans="1:45" s="136" customFormat="1" x14ac:dyDescent="0.25">
      <c r="A170" s="455">
        <f t="shared" si="2"/>
        <v>14.2</v>
      </c>
      <c r="B170" s="778">
        <v>41883</v>
      </c>
      <c r="C170" s="789" t="s">
        <v>1043</v>
      </c>
      <c r="D170" s="789"/>
      <c r="E170" s="789" t="s">
        <v>380</v>
      </c>
      <c r="F170" s="789" t="s">
        <v>27</v>
      </c>
      <c r="G170" s="789" t="s">
        <v>364</v>
      </c>
      <c r="H170" s="437"/>
      <c r="I170" s="437"/>
      <c r="J170" s="437"/>
      <c r="K170" s="437"/>
      <c r="L170" s="437"/>
      <c r="M170" s="437"/>
      <c r="N170" s="437"/>
      <c r="O170" s="437"/>
      <c r="P170" s="439"/>
      <c r="Q170" s="439"/>
      <c r="R170" s="439"/>
      <c r="S170" s="439">
        <v>347</v>
      </c>
      <c r="T170" s="439"/>
      <c r="U170" s="439"/>
      <c r="V170" s="439"/>
      <c r="W170" s="439">
        <f>IF(NFI_Expiration=1,IF($A170&lt;VLOOKUP(H$5,NFI,5,0),1,0)*Table_NFI[[#This Row],[Hygiene Kit]],Table_NFI[Hygiene Kit])</f>
        <v>0</v>
      </c>
      <c r="X170" s="439">
        <f>IF(NFI_Expiration=1,IF($A170&lt;VLOOKUP(I$5,NFI,5,0),1,0)*Table_NFI[[#This Row],[NFI Core Kit]],Table_NFI[NFI Core Kit])</f>
        <v>0</v>
      </c>
      <c r="Y170" s="439">
        <f>IF(NFI_Expiration=1,IF($A170&lt;VLOOKUP(J$5,NFI,5,0),1,0)*Table_NFI[[#This Row],[Sanitary Kit]],Table_NFI[Sanitary Kit])</f>
        <v>0</v>
      </c>
      <c r="Z170" s="439">
        <f>IF(NFI_Expiration=1,IF($A170&lt;VLOOKUP(K$5,NFI,5,0),1,0)*Table_NFI[[#This Row],[Mosquito net]],Table_NFI[Mosquito net])</f>
        <v>0</v>
      </c>
      <c r="AA170" s="439">
        <f>IF(NFI_Expiration=1,IF($A170&lt;VLOOKUP(L$5,NFI,5,0),1,0)*Table_NFI[[#This Row],[Tarpaulin]],Table_NFI[[#This Row],[Tarpaulin]])</f>
        <v>0</v>
      </c>
      <c r="AB170" s="439">
        <f>IF(NFI_Expiration=1,IF($A170&lt;VLOOKUP(M$5,NFI,5,0),1,0)*Table_NFI[[#This Row],[Blanket]],Table_NFI[[#This Row],[Blanket]])</f>
        <v>0</v>
      </c>
      <c r="AC170" s="439">
        <f>IF(NFI_Expiration=1,IF($A170&lt;VLOOKUP(N$5,NFI,5,0),1,0)*Table_NFI[[#This Row],[Kitchen Set]],Table_NFI[Kitchen Set])</f>
        <v>0</v>
      </c>
      <c r="AD170" s="439">
        <f>IF(NFI_Expiration=1,IF($A170&lt;VLOOKUP(O$5,NFI,5,0),1,0)*Table_NFI[[#This Row],[Clothes Kit]],Table_NFI[Clothes Kit])</f>
        <v>0</v>
      </c>
      <c r="AE170" s="439">
        <f>IF(NFI_Expiration=1,IF($A170&lt;VLOOKUP(P$5,NFI,5,0),1,0)*Table_NFI[[#This Row],[Plastic Bucket]],Table_NFI[Plastic Bucket])</f>
        <v>0</v>
      </c>
      <c r="AF170" s="439">
        <f>IF(NFI_Expiration=1,IF($A170&lt;VLOOKUP(Q$5,NFI,5,0),1,0)*Table_NFI[[#This Row],[Plastic Mat]],Table_NFI[Plastic Mat])*IF(Table_NFI[[#This Row],[Distribution Date]]&gt;"2014-04-01",1,2.5)</f>
        <v>0</v>
      </c>
      <c r="AG170" s="439">
        <f>IF(NFI_Expiration=1,IF($A170&lt;VLOOKUP(R$5,NFI,5,0),1,0)*Table_NFI[[#This Row],[Winter Clothes Adult]],Table_NFI[Winter Clothes Adult])</f>
        <v>0</v>
      </c>
      <c r="AH170" s="439">
        <f>IF(NFI_Expiration=1,IF($A170&lt;VLOOKUP(S$5,NFI,5,0),1,0)*Table_NFI[[#This Row],[Winter Clothes Children]],Table_NFI[Winter Clothes Children])</f>
        <v>0</v>
      </c>
      <c r="AI170" s="439">
        <f>IF(NFI_Expiration=1,IF($A170&lt;VLOOKUP(T$5,NFI,5,0),1,0)*Table_NFI[[#This Row],[Winter Items Other]],Table_NFI[Winter Items Other])</f>
        <v>0</v>
      </c>
      <c r="AJ170" s="439">
        <f>IF(NFI_Expiration=1,IF($A170&lt;VLOOKUP(M$5,NFI,5,0),1,0)*Table_NFI[[#This Row],[Winter Blanket]],Table_NFI[[#This Row],[Winter Blanket]])</f>
        <v>0</v>
      </c>
      <c r="AK170" s="439">
        <f>IF(Table_NFI[[#This Row],[Winter Clothes Adult]]+Table_NFI[[#This Row],[Winter Clothes Children]]+Table_NFI[[#This Row],[Winter Items Other]]+Table_NFI[[#This Row],[Winter Blanket]]&gt;0,1,0)</f>
        <v>1</v>
      </c>
      <c r="AL170" s="439">
        <f>IF(NFI_Expiration=1,IF($A170&lt;VLOOKUP(V$5,NFI,5,0),1,0)*Table_NFI[[#This Row],[Jerry Can]],Table_NFI[Jerry Can])</f>
        <v>0</v>
      </c>
      <c r="AM170" s="791" t="str">
        <f>IFERROR(VLOOKUP(Table_NFI[[#This Row],[Camp Name]],CL,2,0),"")</f>
        <v>MMR001CMP043</v>
      </c>
      <c r="AN170" s="782">
        <f ca="1">IF(Table_NFI[[#This Row],[Pcode]]="","",IF(OFFSET(CampList[Opening Date],MATCH(Table_NFI[[#This Row],[Pcode]],CampList[CP_Pcode],0)-1,0,1,1)&gt;=NFI_Monitor_Date,1,0))</f>
        <v>0</v>
      </c>
      <c r="AO170" s="791" t="str">
        <f>IFERROR(VLOOKUP(Table_NFI[[#This Row],[Camp Name]],CL,3,0),"")</f>
        <v>Open</v>
      </c>
      <c r="AP170" s="439" t="str">
        <f ca="1">IF(Table_NFI[[#This Row],[Pcode]]="","",OFFSET(CampList[Priority],MATCH(Table_NFI[[#This Row],[Pcode]],CampList[CP_Pcode],0)-1,0,1,1))</f>
        <v>P1</v>
      </c>
      <c r="AQ170" s="438">
        <f>IFERROR(Table_NFI[[#This Row],[Kitchen Set]]/VLOOKUP(Table_NFI[[#This Row],[Camp Name]],CL,4,0),"")</f>
        <v>0</v>
      </c>
      <c r="AR170" s="789"/>
      <c r="AS170" s="792"/>
    </row>
    <row r="171" spans="1:45" s="136" customFormat="1" x14ac:dyDescent="0.25">
      <c r="A171" s="455">
        <f t="shared" si="2"/>
        <v>14.2</v>
      </c>
      <c r="B171" s="778">
        <v>41883</v>
      </c>
      <c r="C171" s="789" t="s">
        <v>1043</v>
      </c>
      <c r="D171" s="789"/>
      <c r="E171" s="789" t="s">
        <v>380</v>
      </c>
      <c r="F171" s="789" t="s">
        <v>310</v>
      </c>
      <c r="G171" s="789" t="s">
        <v>322</v>
      </c>
      <c r="H171" s="437"/>
      <c r="I171" s="437"/>
      <c r="J171" s="437"/>
      <c r="K171" s="437"/>
      <c r="L171" s="437"/>
      <c r="M171" s="437"/>
      <c r="N171" s="437"/>
      <c r="O171" s="437"/>
      <c r="P171" s="439"/>
      <c r="Q171" s="439"/>
      <c r="R171" s="439"/>
      <c r="S171" s="439">
        <v>917</v>
      </c>
      <c r="T171" s="439"/>
      <c r="U171" s="439"/>
      <c r="V171" s="439"/>
      <c r="W171" s="439">
        <f>IF(NFI_Expiration=1,IF($A171&lt;VLOOKUP(H$5,NFI,5,0),1,0)*Table_NFI[[#This Row],[Hygiene Kit]],Table_NFI[Hygiene Kit])</f>
        <v>0</v>
      </c>
      <c r="X171" s="439">
        <f>IF(NFI_Expiration=1,IF($A171&lt;VLOOKUP(I$5,NFI,5,0),1,0)*Table_NFI[[#This Row],[NFI Core Kit]],Table_NFI[NFI Core Kit])</f>
        <v>0</v>
      </c>
      <c r="Y171" s="439">
        <f>IF(NFI_Expiration=1,IF($A171&lt;VLOOKUP(J$5,NFI,5,0),1,0)*Table_NFI[[#This Row],[Sanitary Kit]],Table_NFI[Sanitary Kit])</f>
        <v>0</v>
      </c>
      <c r="Z171" s="439">
        <f>IF(NFI_Expiration=1,IF($A171&lt;VLOOKUP(K$5,NFI,5,0),1,0)*Table_NFI[[#This Row],[Mosquito net]],Table_NFI[Mosquito net])</f>
        <v>0</v>
      </c>
      <c r="AA171" s="439">
        <f>IF(NFI_Expiration=1,IF($A171&lt;VLOOKUP(L$5,NFI,5,0),1,0)*Table_NFI[[#This Row],[Tarpaulin]],Table_NFI[[#This Row],[Tarpaulin]])</f>
        <v>0</v>
      </c>
      <c r="AB171" s="439">
        <f>IF(NFI_Expiration=1,IF($A171&lt;VLOOKUP(M$5,NFI,5,0),1,0)*Table_NFI[[#This Row],[Blanket]],Table_NFI[[#This Row],[Blanket]])</f>
        <v>0</v>
      </c>
      <c r="AC171" s="439">
        <f>IF(NFI_Expiration=1,IF($A171&lt;VLOOKUP(N$5,NFI,5,0),1,0)*Table_NFI[[#This Row],[Kitchen Set]],Table_NFI[Kitchen Set])</f>
        <v>0</v>
      </c>
      <c r="AD171" s="439">
        <f>IF(NFI_Expiration=1,IF($A171&lt;VLOOKUP(O$5,NFI,5,0),1,0)*Table_NFI[[#This Row],[Clothes Kit]],Table_NFI[Clothes Kit])</f>
        <v>0</v>
      </c>
      <c r="AE171" s="439">
        <f>IF(NFI_Expiration=1,IF($A171&lt;VLOOKUP(P$5,NFI,5,0),1,0)*Table_NFI[[#This Row],[Plastic Bucket]],Table_NFI[Plastic Bucket])</f>
        <v>0</v>
      </c>
      <c r="AF171" s="439">
        <f>IF(NFI_Expiration=1,IF($A171&lt;VLOOKUP(Q$5,NFI,5,0),1,0)*Table_NFI[[#This Row],[Plastic Mat]],Table_NFI[Plastic Mat])*IF(Table_NFI[[#This Row],[Distribution Date]]&gt;"2014-04-01",1,2.5)</f>
        <v>0</v>
      </c>
      <c r="AG171" s="439">
        <f>IF(NFI_Expiration=1,IF($A171&lt;VLOOKUP(R$5,NFI,5,0),1,0)*Table_NFI[[#This Row],[Winter Clothes Adult]],Table_NFI[Winter Clothes Adult])</f>
        <v>0</v>
      </c>
      <c r="AH171" s="439">
        <f>IF(NFI_Expiration=1,IF($A171&lt;VLOOKUP(S$5,NFI,5,0),1,0)*Table_NFI[[#This Row],[Winter Clothes Children]],Table_NFI[Winter Clothes Children])</f>
        <v>0</v>
      </c>
      <c r="AI171" s="439">
        <f>IF(NFI_Expiration=1,IF($A171&lt;VLOOKUP(T$5,NFI,5,0),1,0)*Table_NFI[[#This Row],[Winter Items Other]],Table_NFI[Winter Items Other])</f>
        <v>0</v>
      </c>
      <c r="AJ171" s="439">
        <f>IF(NFI_Expiration=1,IF($A171&lt;VLOOKUP(M$5,NFI,5,0),1,0)*Table_NFI[[#This Row],[Winter Blanket]],Table_NFI[[#This Row],[Winter Blanket]])</f>
        <v>0</v>
      </c>
      <c r="AK171" s="439">
        <f>IF(Table_NFI[[#This Row],[Winter Clothes Adult]]+Table_NFI[[#This Row],[Winter Clothes Children]]+Table_NFI[[#This Row],[Winter Items Other]]+Table_NFI[[#This Row],[Winter Blanket]]&gt;0,1,0)</f>
        <v>1</v>
      </c>
      <c r="AL171" s="439">
        <f>IF(NFI_Expiration=1,IF($A171&lt;VLOOKUP(V$5,NFI,5,0),1,0)*Table_NFI[[#This Row],[Jerry Can]],Table_NFI[Jerry Can])</f>
        <v>0</v>
      </c>
      <c r="AM171" s="791" t="str">
        <f>IFERROR(VLOOKUP(Table_NFI[[#This Row],[Camp Name]],CL,2,0),"")</f>
        <v>MMR001CMP119</v>
      </c>
      <c r="AN171" s="782">
        <f ca="1">IF(Table_NFI[[#This Row],[Pcode]]="","",IF(OFFSET(CampList[Opening Date],MATCH(Table_NFI[[#This Row],[Pcode]],CampList[CP_Pcode],0)-1,0,1,1)&gt;=NFI_Monitor_Date,1,0))</f>
        <v>0</v>
      </c>
      <c r="AO171" s="791" t="str">
        <f>IFERROR(VLOOKUP(Table_NFI[[#This Row],[Camp Name]],CL,3,0),"")</f>
        <v>Open</v>
      </c>
      <c r="AP171" s="439" t="str">
        <f ca="1">IF(Table_NFI[[#This Row],[Pcode]]="","",OFFSET(CampList[Priority],MATCH(Table_NFI[[#This Row],[Pcode]],CampList[CP_Pcode],0)-1,0,1,1))</f>
        <v>P2</v>
      </c>
      <c r="AQ171" s="438">
        <f>IFERROR(Table_NFI[[#This Row],[Kitchen Set]]/VLOOKUP(Table_NFI[[#This Row],[Camp Name]],CL,4,0),"")</f>
        <v>0</v>
      </c>
      <c r="AR171" s="789"/>
      <c r="AS171" s="792"/>
    </row>
    <row r="172" spans="1:45" s="784" customFormat="1" x14ac:dyDescent="0.25">
      <c r="A172" s="455">
        <f t="shared" si="2"/>
        <v>14.2</v>
      </c>
      <c r="B172" s="778">
        <v>41883</v>
      </c>
      <c r="C172" s="789" t="s">
        <v>1043</v>
      </c>
      <c r="D172" s="789"/>
      <c r="E172" s="789" t="s">
        <v>380</v>
      </c>
      <c r="F172" s="789" t="s">
        <v>310</v>
      </c>
      <c r="G172" s="789" t="s">
        <v>1266</v>
      </c>
      <c r="H172" s="437"/>
      <c r="I172" s="437"/>
      <c r="J172" s="437"/>
      <c r="K172" s="437"/>
      <c r="L172" s="437"/>
      <c r="M172" s="437"/>
      <c r="N172" s="437"/>
      <c r="O172" s="437"/>
      <c r="P172" s="439"/>
      <c r="Q172" s="439"/>
      <c r="R172" s="439"/>
      <c r="S172" s="439">
        <v>291</v>
      </c>
      <c r="T172" s="439"/>
      <c r="U172" s="439"/>
      <c r="V172" s="439"/>
      <c r="W172" s="439">
        <f>IF(NFI_Expiration=1,IF($A172&lt;VLOOKUP(H$5,NFI,5,0),1,0)*Table_NFI[[#This Row],[Hygiene Kit]],Table_NFI[Hygiene Kit])</f>
        <v>0</v>
      </c>
      <c r="X172" s="439">
        <f>IF(NFI_Expiration=1,IF($A172&lt;VLOOKUP(I$5,NFI,5,0),1,0)*Table_NFI[[#This Row],[NFI Core Kit]],Table_NFI[NFI Core Kit])</f>
        <v>0</v>
      </c>
      <c r="Y172" s="439">
        <f>IF(NFI_Expiration=1,IF($A172&lt;VLOOKUP(J$5,NFI,5,0),1,0)*Table_NFI[[#This Row],[Sanitary Kit]],Table_NFI[Sanitary Kit])</f>
        <v>0</v>
      </c>
      <c r="Z172" s="439">
        <f>IF(NFI_Expiration=1,IF($A172&lt;VLOOKUP(K$5,NFI,5,0),1,0)*Table_NFI[[#This Row],[Mosquito net]],Table_NFI[Mosquito net])</f>
        <v>0</v>
      </c>
      <c r="AA172" s="439">
        <f>IF(NFI_Expiration=1,IF($A172&lt;VLOOKUP(L$5,NFI,5,0),1,0)*Table_NFI[[#This Row],[Tarpaulin]],Table_NFI[[#This Row],[Tarpaulin]])</f>
        <v>0</v>
      </c>
      <c r="AB172" s="439">
        <f>IF(NFI_Expiration=1,IF($A172&lt;VLOOKUP(M$5,NFI,5,0),1,0)*Table_NFI[[#This Row],[Blanket]],Table_NFI[[#This Row],[Blanket]])</f>
        <v>0</v>
      </c>
      <c r="AC172" s="439">
        <f>IF(NFI_Expiration=1,IF($A172&lt;VLOOKUP(N$5,NFI,5,0),1,0)*Table_NFI[[#This Row],[Kitchen Set]],Table_NFI[Kitchen Set])</f>
        <v>0</v>
      </c>
      <c r="AD172" s="439">
        <f>IF(NFI_Expiration=1,IF($A172&lt;VLOOKUP(O$5,NFI,5,0),1,0)*Table_NFI[[#This Row],[Clothes Kit]],Table_NFI[Clothes Kit])</f>
        <v>0</v>
      </c>
      <c r="AE172" s="439">
        <f>IF(NFI_Expiration=1,IF($A172&lt;VLOOKUP(P$5,NFI,5,0),1,0)*Table_NFI[[#This Row],[Plastic Bucket]],Table_NFI[Plastic Bucket])</f>
        <v>0</v>
      </c>
      <c r="AF172" s="439">
        <f>IF(NFI_Expiration=1,IF($A172&lt;VLOOKUP(Q$5,NFI,5,0),1,0)*Table_NFI[[#This Row],[Plastic Mat]],Table_NFI[Plastic Mat])*IF(Table_NFI[[#This Row],[Distribution Date]]&gt;"2014-04-01",1,2.5)</f>
        <v>0</v>
      </c>
      <c r="AG172" s="439">
        <f>IF(NFI_Expiration=1,IF($A172&lt;VLOOKUP(R$5,NFI,5,0),1,0)*Table_NFI[[#This Row],[Winter Clothes Adult]],Table_NFI[Winter Clothes Adult])</f>
        <v>0</v>
      </c>
      <c r="AH172" s="439">
        <f>IF(NFI_Expiration=1,IF($A172&lt;VLOOKUP(S$5,NFI,5,0),1,0)*Table_NFI[[#This Row],[Winter Clothes Children]],Table_NFI[Winter Clothes Children])</f>
        <v>0</v>
      </c>
      <c r="AI172" s="439">
        <f>IF(NFI_Expiration=1,IF($A172&lt;VLOOKUP(T$5,NFI,5,0),1,0)*Table_NFI[[#This Row],[Winter Items Other]],Table_NFI[Winter Items Other])</f>
        <v>0</v>
      </c>
      <c r="AJ172" s="439">
        <f>IF(NFI_Expiration=1,IF($A172&lt;VLOOKUP(M$5,NFI,5,0),1,0)*Table_NFI[[#This Row],[Winter Blanket]],Table_NFI[[#This Row],[Winter Blanket]])</f>
        <v>0</v>
      </c>
      <c r="AK172" s="439">
        <f>IF(Table_NFI[[#This Row],[Winter Clothes Adult]]+Table_NFI[[#This Row],[Winter Clothes Children]]+Table_NFI[[#This Row],[Winter Items Other]]+Table_NFI[[#This Row],[Winter Blanket]]&gt;0,1,0)</f>
        <v>1</v>
      </c>
      <c r="AL172" s="439">
        <f>IF(NFI_Expiration=1,IF($A172&lt;VLOOKUP(V$5,NFI,5,0),1,0)*Table_NFI[[#This Row],[Jerry Can]],Table_NFI[Jerry Can])</f>
        <v>0</v>
      </c>
      <c r="AM172" s="791" t="str">
        <f>IFERROR(VLOOKUP(Table_NFI[[#This Row],[Camp Name]],CL,2,0),"")</f>
        <v>MMR001CMP120</v>
      </c>
      <c r="AN172" s="782">
        <f ca="1">IF(Table_NFI[[#This Row],[Pcode]]="","",IF(OFFSET(CampList[Opening Date],MATCH(Table_NFI[[#This Row],[Pcode]],CampList[CP_Pcode],0)-1,0,1,1)&gt;=NFI_Monitor_Date,1,0))</f>
        <v>0</v>
      </c>
      <c r="AO172" s="791" t="str">
        <f>IFERROR(VLOOKUP(Table_NFI[[#This Row],[Camp Name]],CL,3,0),"")</f>
        <v>Open</v>
      </c>
      <c r="AP172" s="439" t="str">
        <f ca="1">IF(Table_NFI[[#This Row],[Pcode]]="","",OFFSET(CampList[Priority],MATCH(Table_NFI[[#This Row],[Pcode]],CampList[CP_Pcode],0)-1,0,1,1))</f>
        <v>P1</v>
      </c>
      <c r="AQ172" s="438">
        <f>IFERROR(Table_NFI[[#This Row],[Kitchen Set]]/VLOOKUP(Table_NFI[[#This Row],[Camp Name]],CL,4,0),"")</f>
        <v>0</v>
      </c>
      <c r="AR172" s="789"/>
      <c r="AS172" s="792"/>
    </row>
    <row r="173" spans="1:45" s="784" customFormat="1" x14ac:dyDescent="0.25">
      <c r="A173" s="455">
        <f t="shared" si="2"/>
        <v>14.2</v>
      </c>
      <c r="B173" s="778">
        <v>41883</v>
      </c>
      <c r="C173" s="789" t="s">
        <v>1043</v>
      </c>
      <c r="D173" s="789"/>
      <c r="E173" s="789" t="s">
        <v>380</v>
      </c>
      <c r="F173" s="789" t="s">
        <v>310</v>
      </c>
      <c r="G173" s="789" t="s">
        <v>347</v>
      </c>
      <c r="H173" s="437"/>
      <c r="I173" s="437"/>
      <c r="J173" s="437"/>
      <c r="K173" s="437"/>
      <c r="L173" s="437"/>
      <c r="M173" s="437"/>
      <c r="N173" s="437"/>
      <c r="O173" s="437"/>
      <c r="P173" s="439"/>
      <c r="Q173" s="439"/>
      <c r="R173" s="439"/>
      <c r="S173" s="439">
        <v>288</v>
      </c>
      <c r="T173" s="439"/>
      <c r="U173" s="439"/>
      <c r="V173" s="439"/>
      <c r="W173" s="439">
        <f>IF(NFI_Expiration=1,IF($A173&lt;VLOOKUP(H$5,NFI,5,0),1,0)*Table_NFI[[#This Row],[Hygiene Kit]],Table_NFI[Hygiene Kit])</f>
        <v>0</v>
      </c>
      <c r="X173" s="439">
        <f>IF(NFI_Expiration=1,IF($A173&lt;VLOOKUP(I$5,NFI,5,0),1,0)*Table_NFI[[#This Row],[NFI Core Kit]],Table_NFI[NFI Core Kit])</f>
        <v>0</v>
      </c>
      <c r="Y173" s="439">
        <f>IF(NFI_Expiration=1,IF($A173&lt;VLOOKUP(J$5,NFI,5,0),1,0)*Table_NFI[[#This Row],[Sanitary Kit]],Table_NFI[Sanitary Kit])</f>
        <v>0</v>
      </c>
      <c r="Z173" s="439">
        <f>IF(NFI_Expiration=1,IF($A173&lt;VLOOKUP(K$5,NFI,5,0),1,0)*Table_NFI[[#This Row],[Mosquito net]],Table_NFI[Mosquito net])</f>
        <v>0</v>
      </c>
      <c r="AA173" s="439">
        <f>IF(NFI_Expiration=1,IF($A173&lt;VLOOKUP(L$5,NFI,5,0),1,0)*Table_NFI[[#This Row],[Tarpaulin]],Table_NFI[[#This Row],[Tarpaulin]])</f>
        <v>0</v>
      </c>
      <c r="AB173" s="439">
        <f>IF(NFI_Expiration=1,IF($A173&lt;VLOOKUP(M$5,NFI,5,0),1,0)*Table_NFI[[#This Row],[Blanket]],Table_NFI[[#This Row],[Blanket]])</f>
        <v>0</v>
      </c>
      <c r="AC173" s="439">
        <f>IF(NFI_Expiration=1,IF($A173&lt;VLOOKUP(N$5,NFI,5,0),1,0)*Table_NFI[[#This Row],[Kitchen Set]],Table_NFI[Kitchen Set])</f>
        <v>0</v>
      </c>
      <c r="AD173" s="439">
        <f>IF(NFI_Expiration=1,IF($A173&lt;VLOOKUP(O$5,NFI,5,0),1,0)*Table_NFI[[#This Row],[Clothes Kit]],Table_NFI[Clothes Kit])</f>
        <v>0</v>
      </c>
      <c r="AE173" s="439">
        <f>IF(NFI_Expiration=1,IF($A173&lt;VLOOKUP(P$5,NFI,5,0),1,0)*Table_NFI[[#This Row],[Plastic Bucket]],Table_NFI[Plastic Bucket])</f>
        <v>0</v>
      </c>
      <c r="AF173" s="439">
        <f>IF(NFI_Expiration=1,IF($A173&lt;VLOOKUP(Q$5,NFI,5,0),1,0)*Table_NFI[[#This Row],[Plastic Mat]],Table_NFI[Plastic Mat])*IF(Table_NFI[[#This Row],[Distribution Date]]&gt;"2014-04-01",1,2.5)</f>
        <v>0</v>
      </c>
      <c r="AG173" s="439">
        <f>IF(NFI_Expiration=1,IF($A173&lt;VLOOKUP(R$5,NFI,5,0),1,0)*Table_NFI[[#This Row],[Winter Clothes Adult]],Table_NFI[Winter Clothes Adult])</f>
        <v>0</v>
      </c>
      <c r="AH173" s="439">
        <f>IF(NFI_Expiration=1,IF($A173&lt;VLOOKUP(S$5,NFI,5,0),1,0)*Table_NFI[[#This Row],[Winter Clothes Children]],Table_NFI[Winter Clothes Children])</f>
        <v>0</v>
      </c>
      <c r="AI173" s="439">
        <f>IF(NFI_Expiration=1,IF($A173&lt;VLOOKUP(T$5,NFI,5,0),1,0)*Table_NFI[[#This Row],[Winter Items Other]],Table_NFI[Winter Items Other])</f>
        <v>0</v>
      </c>
      <c r="AJ173" s="439">
        <f>IF(NFI_Expiration=1,IF($A173&lt;VLOOKUP(M$5,NFI,5,0),1,0)*Table_NFI[[#This Row],[Winter Blanket]],Table_NFI[[#This Row],[Winter Blanket]])</f>
        <v>0</v>
      </c>
      <c r="AK173" s="439">
        <f>IF(Table_NFI[[#This Row],[Winter Clothes Adult]]+Table_NFI[[#This Row],[Winter Clothes Children]]+Table_NFI[[#This Row],[Winter Items Other]]+Table_NFI[[#This Row],[Winter Blanket]]&gt;0,1,0)</f>
        <v>1</v>
      </c>
      <c r="AL173" s="439">
        <f>IF(NFI_Expiration=1,IF($A173&lt;VLOOKUP(V$5,NFI,5,0),1,0)*Table_NFI[[#This Row],[Jerry Can]],Table_NFI[Jerry Can])</f>
        <v>0</v>
      </c>
      <c r="AM173" s="791" t="str">
        <f>IFERROR(VLOOKUP(Table_NFI[[#This Row],[Camp Name]],CL,2,0),"")</f>
        <v>MMR001CMP041</v>
      </c>
      <c r="AN173" s="782">
        <f ca="1">IF(Table_NFI[[#This Row],[Pcode]]="","",IF(OFFSET(CampList[Opening Date],MATCH(Table_NFI[[#This Row],[Pcode]],CampList[CP_Pcode],0)-1,0,1,1)&gt;=NFI_Monitor_Date,1,0))</f>
        <v>0</v>
      </c>
      <c r="AO173" s="791" t="str">
        <f>IFERROR(VLOOKUP(Table_NFI[[#This Row],[Camp Name]],CL,3,0),"")</f>
        <v>Open</v>
      </c>
      <c r="AP173" s="439" t="str">
        <f ca="1">IF(Table_NFI[[#This Row],[Pcode]]="","",OFFSET(CampList[Priority],MATCH(Table_NFI[[#This Row],[Pcode]],CampList[CP_Pcode],0)-1,0,1,1))</f>
        <v>P1</v>
      </c>
      <c r="AQ173" s="438">
        <f>IFERROR(Table_NFI[[#This Row],[Kitchen Set]]/VLOOKUP(Table_NFI[[#This Row],[Camp Name]],CL,4,0),"")</f>
        <v>0</v>
      </c>
      <c r="AR173" s="789"/>
      <c r="AS173" s="792"/>
    </row>
    <row r="174" spans="1:45" s="784" customFormat="1" x14ac:dyDescent="0.25">
      <c r="A174" s="455">
        <f t="shared" si="2"/>
        <v>14.2</v>
      </c>
      <c r="B174" s="778">
        <v>41883</v>
      </c>
      <c r="C174" s="789" t="s">
        <v>1043</v>
      </c>
      <c r="D174" s="789"/>
      <c r="E174" s="789" t="s">
        <v>380</v>
      </c>
      <c r="F174" s="789" t="s">
        <v>310</v>
      </c>
      <c r="G174" s="789" t="s">
        <v>1268</v>
      </c>
      <c r="H174" s="437"/>
      <c r="I174" s="437"/>
      <c r="J174" s="437"/>
      <c r="K174" s="437"/>
      <c r="L174" s="437"/>
      <c r="M174" s="437"/>
      <c r="N174" s="437"/>
      <c r="O174" s="437"/>
      <c r="P174" s="439"/>
      <c r="Q174" s="439"/>
      <c r="R174" s="439"/>
      <c r="S174" s="439">
        <v>905</v>
      </c>
      <c r="T174" s="439"/>
      <c r="U174" s="439"/>
      <c r="V174" s="439"/>
      <c r="W174" s="439">
        <f>IF(NFI_Expiration=1,IF($A174&lt;VLOOKUP(H$5,NFI,5,0),1,0)*Table_NFI[[#This Row],[Hygiene Kit]],Table_NFI[Hygiene Kit])</f>
        <v>0</v>
      </c>
      <c r="X174" s="439">
        <f>IF(NFI_Expiration=1,IF($A174&lt;VLOOKUP(I$5,NFI,5,0),1,0)*Table_NFI[[#This Row],[NFI Core Kit]],Table_NFI[NFI Core Kit])</f>
        <v>0</v>
      </c>
      <c r="Y174" s="439">
        <f>IF(NFI_Expiration=1,IF($A174&lt;VLOOKUP(J$5,NFI,5,0),1,0)*Table_NFI[[#This Row],[Sanitary Kit]],Table_NFI[Sanitary Kit])</f>
        <v>0</v>
      </c>
      <c r="Z174" s="439">
        <f>IF(NFI_Expiration=1,IF($A174&lt;VLOOKUP(K$5,NFI,5,0),1,0)*Table_NFI[[#This Row],[Mosquito net]],Table_NFI[Mosquito net])</f>
        <v>0</v>
      </c>
      <c r="AA174" s="439">
        <f>IF(NFI_Expiration=1,IF($A174&lt;VLOOKUP(L$5,NFI,5,0),1,0)*Table_NFI[[#This Row],[Tarpaulin]],Table_NFI[[#This Row],[Tarpaulin]])</f>
        <v>0</v>
      </c>
      <c r="AB174" s="439">
        <f>IF(NFI_Expiration=1,IF($A174&lt;VLOOKUP(M$5,NFI,5,0),1,0)*Table_NFI[[#This Row],[Blanket]],Table_NFI[[#This Row],[Blanket]])</f>
        <v>0</v>
      </c>
      <c r="AC174" s="439">
        <f>IF(NFI_Expiration=1,IF($A174&lt;VLOOKUP(N$5,NFI,5,0),1,0)*Table_NFI[[#This Row],[Kitchen Set]],Table_NFI[Kitchen Set])</f>
        <v>0</v>
      </c>
      <c r="AD174" s="439">
        <f>IF(NFI_Expiration=1,IF($A174&lt;VLOOKUP(O$5,NFI,5,0),1,0)*Table_NFI[[#This Row],[Clothes Kit]],Table_NFI[Clothes Kit])</f>
        <v>0</v>
      </c>
      <c r="AE174" s="439">
        <f>IF(NFI_Expiration=1,IF($A174&lt;VLOOKUP(P$5,NFI,5,0),1,0)*Table_NFI[[#This Row],[Plastic Bucket]],Table_NFI[Plastic Bucket])</f>
        <v>0</v>
      </c>
      <c r="AF174" s="439">
        <f>IF(NFI_Expiration=1,IF($A174&lt;VLOOKUP(Q$5,NFI,5,0),1,0)*Table_NFI[[#This Row],[Plastic Mat]],Table_NFI[Plastic Mat])*IF(Table_NFI[[#This Row],[Distribution Date]]&gt;"2014-04-01",1,2.5)</f>
        <v>0</v>
      </c>
      <c r="AG174" s="439">
        <f>IF(NFI_Expiration=1,IF($A174&lt;VLOOKUP(R$5,NFI,5,0),1,0)*Table_NFI[[#This Row],[Winter Clothes Adult]],Table_NFI[Winter Clothes Adult])</f>
        <v>0</v>
      </c>
      <c r="AH174" s="439">
        <f>IF(NFI_Expiration=1,IF($A174&lt;VLOOKUP(S$5,NFI,5,0),1,0)*Table_NFI[[#This Row],[Winter Clothes Children]],Table_NFI[Winter Clothes Children])</f>
        <v>0</v>
      </c>
      <c r="AI174" s="439">
        <f>IF(NFI_Expiration=1,IF($A174&lt;VLOOKUP(T$5,NFI,5,0),1,0)*Table_NFI[[#This Row],[Winter Items Other]],Table_NFI[Winter Items Other])</f>
        <v>0</v>
      </c>
      <c r="AJ174" s="439">
        <f>IF(NFI_Expiration=1,IF($A174&lt;VLOOKUP(M$5,NFI,5,0),1,0)*Table_NFI[[#This Row],[Winter Blanket]],Table_NFI[[#This Row],[Winter Blanket]])</f>
        <v>0</v>
      </c>
      <c r="AK174" s="439">
        <f>IF(Table_NFI[[#This Row],[Winter Clothes Adult]]+Table_NFI[[#This Row],[Winter Clothes Children]]+Table_NFI[[#This Row],[Winter Items Other]]+Table_NFI[[#This Row],[Winter Blanket]]&gt;0,1,0)</f>
        <v>1</v>
      </c>
      <c r="AL174" s="439">
        <f>IF(NFI_Expiration=1,IF($A174&lt;VLOOKUP(V$5,NFI,5,0),1,0)*Table_NFI[[#This Row],[Jerry Can]],Table_NFI[Jerry Can])</f>
        <v>0</v>
      </c>
      <c r="AM174" s="791" t="str">
        <f>IFERROR(VLOOKUP(Table_NFI[[#This Row],[Camp Name]],CL,2,0),"")</f>
        <v>MMR001CMP111</v>
      </c>
      <c r="AN174" s="782">
        <f ca="1">IF(Table_NFI[[#This Row],[Pcode]]="","",IF(OFFSET(CampList[Opening Date],MATCH(Table_NFI[[#This Row],[Pcode]],CampList[CP_Pcode],0)-1,0,1,1)&gt;=NFI_Monitor_Date,1,0))</f>
        <v>0</v>
      </c>
      <c r="AO174" s="791" t="str">
        <f>IFERROR(VLOOKUP(Table_NFI[[#This Row],[Camp Name]],CL,3,0),"")</f>
        <v>Open</v>
      </c>
      <c r="AP174" s="439" t="str">
        <f ca="1">IF(Table_NFI[[#This Row],[Pcode]]="","",OFFSET(CampList[Priority],MATCH(Table_NFI[[#This Row],[Pcode]],CampList[CP_Pcode],0)-1,0,1,1))</f>
        <v>P2</v>
      </c>
      <c r="AQ174" s="438">
        <f>IFERROR(Table_NFI[[#This Row],[Kitchen Set]]/VLOOKUP(Table_NFI[[#This Row],[Camp Name]],CL,4,0),"")</f>
        <v>0</v>
      </c>
      <c r="AR174" s="789"/>
      <c r="AS174" s="792"/>
    </row>
    <row r="175" spans="1:45" s="784" customFormat="1" x14ac:dyDescent="0.25">
      <c r="A175" s="455">
        <f t="shared" si="2"/>
        <v>14.666666666666666</v>
      </c>
      <c r="B175" s="778">
        <v>41869</v>
      </c>
      <c r="C175" s="779" t="s">
        <v>454</v>
      </c>
      <c r="D175" s="779"/>
      <c r="E175" s="779" t="s">
        <v>380</v>
      </c>
      <c r="F175" s="435" t="s">
        <v>151</v>
      </c>
      <c r="G175" s="779" t="s">
        <v>1041</v>
      </c>
      <c r="H175" s="436"/>
      <c r="I175" s="436"/>
      <c r="J175" s="436"/>
      <c r="K175" s="436"/>
      <c r="L175" s="437">
        <v>70</v>
      </c>
      <c r="M175" s="437"/>
      <c r="N175" s="437"/>
      <c r="O175" s="437"/>
      <c r="P175" s="439"/>
      <c r="Q175" s="439"/>
      <c r="R175" s="436"/>
      <c r="S175" s="436"/>
      <c r="T175" s="436"/>
      <c r="U175" s="436"/>
      <c r="V175" s="436"/>
      <c r="W175" s="436">
        <f>IF(NFI_Expiration=1,IF($A175&lt;VLOOKUP(H$5,NFI,5,0),1,0)*Table_NFI[[#This Row],[Hygiene Kit]],Table_NFI[Hygiene Kit])</f>
        <v>0</v>
      </c>
      <c r="X175" s="436">
        <f>IF(NFI_Expiration=1,IF($A175&lt;VLOOKUP(I$5,NFI,5,0),1,0)*Table_NFI[[#This Row],[NFI Core Kit]],Table_NFI[NFI Core Kit])</f>
        <v>0</v>
      </c>
      <c r="Y175" s="436">
        <f>IF(NFI_Expiration=1,IF($A175&lt;VLOOKUP(J$5,NFI,5,0),1,0)*Table_NFI[[#This Row],[Sanitary Kit]],Table_NFI[Sanitary Kit])</f>
        <v>0</v>
      </c>
      <c r="Z175" s="436">
        <f>IF(NFI_Expiration=1,IF($A175&lt;VLOOKUP(K$5,NFI,5,0),1,0)*Table_NFI[[#This Row],[Mosquito net]],Table_NFI[Mosquito net])</f>
        <v>0</v>
      </c>
      <c r="AA175" s="436">
        <f>IF(NFI_Expiration=1,IF($A175&lt;VLOOKUP(L$5,NFI,5,0),1,0)*Table_NFI[[#This Row],[Tarpaulin]],Table_NFI[[#This Row],[Tarpaulin]])</f>
        <v>0</v>
      </c>
      <c r="AB175" s="436">
        <f>IF(NFI_Expiration=1,IF($A175&lt;VLOOKUP(M$5,NFI,5,0),1,0)*Table_NFI[[#This Row],[Blanket]],Table_NFI[[#This Row],[Blanket]])</f>
        <v>0</v>
      </c>
      <c r="AC175" s="436">
        <f>IF(NFI_Expiration=1,IF($A175&lt;VLOOKUP(N$5,NFI,5,0),1,0)*Table_NFI[[#This Row],[Kitchen Set]],Table_NFI[Kitchen Set])</f>
        <v>0</v>
      </c>
      <c r="AD175" s="436">
        <f>IF(NFI_Expiration=1,IF($A175&lt;VLOOKUP(O$5,NFI,5,0),1,0)*Table_NFI[[#This Row],[Clothes Kit]],Table_NFI[Clothes Kit])</f>
        <v>0</v>
      </c>
      <c r="AE175" s="436">
        <f>IF(NFI_Expiration=1,IF($A175&lt;VLOOKUP(P$5,NFI,5,0),1,0)*Table_NFI[[#This Row],[Plastic Bucket]],Table_NFI[Plastic Bucket])</f>
        <v>0</v>
      </c>
      <c r="AF175" s="436">
        <f>IF(NFI_Expiration=1,IF($A175&lt;VLOOKUP(Q$5,NFI,5,0),1,0)*Table_NFI[[#This Row],[Plastic Mat]],Table_NFI[Plastic Mat])*IF(Table_NFI[[#This Row],[Distribution Date]]&gt;"2014-04-01",1,2.5)</f>
        <v>0</v>
      </c>
      <c r="AG175" s="436">
        <f>IF(NFI_Expiration=1,IF($A175&lt;VLOOKUP(R$5,NFI,5,0),1,0)*Table_NFI[[#This Row],[Winter Clothes Adult]],Table_NFI[Winter Clothes Adult])</f>
        <v>0</v>
      </c>
      <c r="AH175" s="436">
        <f>IF(NFI_Expiration=1,IF($A175&lt;VLOOKUP(S$5,NFI,5,0),1,0)*Table_NFI[[#This Row],[Winter Clothes Children]],Table_NFI[Winter Clothes Children])</f>
        <v>0</v>
      </c>
      <c r="AI175" s="436">
        <f>IF(NFI_Expiration=1,IF($A175&lt;VLOOKUP(T$5,NFI,5,0),1,0)*Table_NFI[[#This Row],[Winter Items Other]],Table_NFI[Winter Items Other])</f>
        <v>0</v>
      </c>
      <c r="AJ175" s="436">
        <f>IF(NFI_Expiration=1,IF($A175&lt;VLOOKUP(M$5,NFI,5,0),1,0)*Table_NFI[[#This Row],[Winter Blanket]],Table_NFI[[#This Row],[Winter Blanket]])</f>
        <v>0</v>
      </c>
      <c r="AK175" s="436">
        <f>IF(Table_NFI[[#This Row],[Winter Clothes Adult]]+Table_NFI[[#This Row],[Winter Clothes Children]]+Table_NFI[[#This Row],[Winter Items Other]]+Table_NFI[[#This Row],[Winter Blanket]]&gt;0,1,0)</f>
        <v>0</v>
      </c>
      <c r="AL175" s="439">
        <f>IF(NFI_Expiration=1,IF($A175&lt;VLOOKUP(V$5,NFI,5,0),1,0)*Table_NFI[[#This Row],[Jerry Can]],Table_NFI[Jerry Can])</f>
        <v>0</v>
      </c>
      <c r="AM175" s="781" t="str">
        <f>IFERROR(VLOOKUP(Table_NFI[[#This Row],[Camp Name]],CL,2,0),"")</f>
        <v>MMR001CMP226</v>
      </c>
      <c r="AN175" s="782">
        <f ca="1">IF(Table_NFI[[#This Row],[Pcode]]="","",IF(OFFSET(CampList[Opening Date],MATCH(Table_NFI[[#This Row],[Pcode]],CampList[CP_Pcode],0)-1,0,1,1)&gt;=NFI_Monitor_Date,1,0))</f>
        <v>0</v>
      </c>
      <c r="AO175" s="781" t="str">
        <f>IFERROR(VLOOKUP(Table_NFI[[#This Row],[Camp Name]],CL,3,0),"")</f>
        <v>Open</v>
      </c>
      <c r="AP175" s="436" t="str">
        <f ca="1">IF(Table_NFI[[#This Row],[Pcode]]="","",OFFSET(CampList[Priority],MATCH(Table_NFI[[#This Row],[Pcode]],CampList[CP_Pcode],0)-1,0,1,1))</f>
        <v>P2</v>
      </c>
      <c r="AQ175" s="438">
        <f>IFERROR(Table_NFI[[#This Row],[Kitchen Set]]/VLOOKUP(Table_NFI[[#This Row],[Camp Name]],CL,4,0),"")</f>
        <v>0</v>
      </c>
      <c r="AR175" s="779"/>
      <c r="AS175" s="783"/>
    </row>
    <row r="176" spans="1:45" s="784" customFormat="1" x14ac:dyDescent="0.25">
      <c r="A176" s="455">
        <f t="shared" si="2"/>
        <v>14.933333333333334</v>
      </c>
      <c r="B176" s="778">
        <v>41861</v>
      </c>
      <c r="C176" s="779" t="s">
        <v>454</v>
      </c>
      <c r="D176" s="779"/>
      <c r="E176" s="779" t="s">
        <v>380</v>
      </c>
      <c r="F176" s="779" t="s">
        <v>185</v>
      </c>
      <c r="G176" s="779" t="s">
        <v>219</v>
      </c>
      <c r="H176" s="436"/>
      <c r="I176" s="436"/>
      <c r="J176" s="436"/>
      <c r="K176" s="436">
        <v>100</v>
      </c>
      <c r="L176" s="437">
        <v>52</v>
      </c>
      <c r="M176" s="437">
        <v>156</v>
      </c>
      <c r="N176" s="437">
        <v>40</v>
      </c>
      <c r="O176" s="437"/>
      <c r="P176" s="439">
        <v>52</v>
      </c>
      <c r="Q176" s="439">
        <v>210</v>
      </c>
      <c r="R176" s="436"/>
      <c r="S176" s="436"/>
      <c r="T176" s="436"/>
      <c r="U176" s="436"/>
      <c r="V176" s="436"/>
      <c r="W176" s="436">
        <f>IF(NFI_Expiration=1,IF($A176&lt;VLOOKUP(H$5,NFI,5,0),1,0)*Table_NFI[[#This Row],[Hygiene Kit]],Table_NFI[Hygiene Kit])</f>
        <v>0</v>
      </c>
      <c r="X176" s="436">
        <f>IF(NFI_Expiration=1,IF($A176&lt;VLOOKUP(I$5,NFI,5,0),1,0)*Table_NFI[[#This Row],[NFI Core Kit]],Table_NFI[NFI Core Kit])</f>
        <v>0</v>
      </c>
      <c r="Y176" s="436">
        <f>IF(NFI_Expiration=1,IF($A176&lt;VLOOKUP(J$5,NFI,5,0),1,0)*Table_NFI[[#This Row],[Sanitary Kit]],Table_NFI[Sanitary Kit])</f>
        <v>0</v>
      </c>
      <c r="Z176" s="436">
        <f>IF(NFI_Expiration=1,IF($A176&lt;VLOOKUP(K$5,NFI,5,0),1,0)*Table_NFI[[#This Row],[Mosquito net]],Table_NFI[Mosquito net])</f>
        <v>0</v>
      </c>
      <c r="AA176" s="436">
        <f>IF(NFI_Expiration=1,IF($A176&lt;VLOOKUP(L$5,NFI,5,0),1,0)*Table_NFI[[#This Row],[Tarpaulin]],Table_NFI[[#This Row],[Tarpaulin]])</f>
        <v>0</v>
      </c>
      <c r="AB176" s="436">
        <f>IF(NFI_Expiration=1,IF($A176&lt;VLOOKUP(M$5,NFI,5,0),1,0)*Table_NFI[[#This Row],[Blanket]],Table_NFI[[#This Row],[Blanket]])</f>
        <v>0</v>
      </c>
      <c r="AC176" s="436">
        <f>IF(NFI_Expiration=1,IF($A176&lt;VLOOKUP(N$5,NFI,5,0),1,0)*Table_NFI[[#This Row],[Kitchen Set]],Table_NFI[Kitchen Set])</f>
        <v>0</v>
      </c>
      <c r="AD176" s="436">
        <f>IF(NFI_Expiration=1,IF($A176&lt;VLOOKUP(O$5,NFI,5,0),1,0)*Table_NFI[[#This Row],[Clothes Kit]],Table_NFI[Clothes Kit])</f>
        <v>0</v>
      </c>
      <c r="AE176" s="436">
        <f>IF(NFI_Expiration=1,IF($A176&lt;VLOOKUP(P$5,NFI,5,0),1,0)*Table_NFI[[#This Row],[Plastic Bucket]],Table_NFI[Plastic Bucket])</f>
        <v>0</v>
      </c>
      <c r="AF176" s="436">
        <f>IF(NFI_Expiration=1,IF($A176&lt;VLOOKUP(Q$5,NFI,5,0),1,0)*Table_NFI[[#This Row],[Plastic Mat]],Table_NFI[Plastic Mat])*IF(Table_NFI[[#This Row],[Distribution Date]]&gt;"2014-04-01",1,2.5)</f>
        <v>0</v>
      </c>
      <c r="AG176" s="436">
        <f>IF(NFI_Expiration=1,IF($A176&lt;VLOOKUP(R$5,NFI,5,0),1,0)*Table_NFI[[#This Row],[Winter Clothes Adult]],Table_NFI[Winter Clothes Adult])</f>
        <v>0</v>
      </c>
      <c r="AH176" s="436">
        <f>IF(NFI_Expiration=1,IF($A176&lt;VLOOKUP(S$5,NFI,5,0),1,0)*Table_NFI[[#This Row],[Winter Clothes Children]],Table_NFI[Winter Clothes Children])</f>
        <v>0</v>
      </c>
      <c r="AI176" s="436">
        <f>IF(NFI_Expiration=1,IF($A176&lt;VLOOKUP(T$5,NFI,5,0),1,0)*Table_NFI[[#This Row],[Winter Items Other]],Table_NFI[Winter Items Other])</f>
        <v>0</v>
      </c>
      <c r="AJ176" s="436">
        <f>IF(NFI_Expiration=1,IF($A176&lt;VLOOKUP(M$5,NFI,5,0),1,0)*Table_NFI[[#This Row],[Winter Blanket]],Table_NFI[[#This Row],[Winter Blanket]])</f>
        <v>0</v>
      </c>
      <c r="AK176" s="436">
        <f>IF(Table_NFI[[#This Row],[Winter Clothes Adult]]+Table_NFI[[#This Row],[Winter Clothes Children]]+Table_NFI[[#This Row],[Winter Items Other]]+Table_NFI[[#This Row],[Winter Blanket]]&gt;0,1,0)</f>
        <v>0</v>
      </c>
      <c r="AL176" s="439">
        <f>IF(NFI_Expiration=1,IF($A176&lt;VLOOKUP(V$5,NFI,5,0),1,0)*Table_NFI[[#This Row],[Jerry Can]],Table_NFI[Jerry Can])</f>
        <v>0</v>
      </c>
      <c r="AM176" s="781" t="str">
        <f>IFERROR(VLOOKUP(Table_NFI[[#This Row],[Camp Name]],CL,2,0),"")</f>
        <v>MMR001CMP126</v>
      </c>
      <c r="AN176" s="782">
        <f ca="1">IF(Table_NFI[[#This Row],[Pcode]]="","",IF(OFFSET(CampList[Opening Date],MATCH(Table_NFI[[#This Row],[Pcode]],CampList[CP_Pcode],0)-1,0,1,1)&gt;=NFI_Monitor_Date,1,0))</f>
        <v>0</v>
      </c>
      <c r="AO176" s="781" t="str">
        <f>IFERROR(VLOOKUP(Table_NFI[[#This Row],[Camp Name]],CL,3,0),"")</f>
        <v>Open</v>
      </c>
      <c r="AP176" s="436" t="str">
        <f ca="1">IF(Table_NFI[[#This Row],[Pcode]]="","",OFFSET(CampList[Priority],MATCH(Table_NFI[[#This Row],[Pcode]],CampList[CP_Pcode],0)-1,0,1,1))</f>
        <v>P2</v>
      </c>
      <c r="AQ176" s="438">
        <f>IFERROR(Table_NFI[[#This Row],[Kitchen Set]]/VLOOKUP(Table_NFI[[#This Row],[Camp Name]],CL,4,0),"")</f>
        <v>4.7619047619047616E-2</v>
      </c>
      <c r="AR176" s="779"/>
      <c r="AS176" s="783"/>
    </row>
    <row r="177" spans="1:45" s="784" customFormat="1" x14ac:dyDescent="0.25">
      <c r="A177" s="455">
        <f t="shared" si="2"/>
        <v>15.033333333333333</v>
      </c>
      <c r="B177" s="778">
        <v>41858</v>
      </c>
      <c r="C177" s="779" t="s">
        <v>454</v>
      </c>
      <c r="D177" s="779" t="s">
        <v>507</v>
      </c>
      <c r="E177" s="779" t="s">
        <v>380</v>
      </c>
      <c r="F177" s="779" t="s">
        <v>27</v>
      </c>
      <c r="G177" s="779" t="s">
        <v>365</v>
      </c>
      <c r="H177" s="436"/>
      <c r="I177" s="436"/>
      <c r="J177" s="436">
        <v>50</v>
      </c>
      <c r="K177" s="436">
        <v>25</v>
      </c>
      <c r="L177" s="437">
        <v>50</v>
      </c>
      <c r="M177" s="437">
        <v>25</v>
      </c>
      <c r="N177" s="437"/>
      <c r="O177" s="437">
        <v>25</v>
      </c>
      <c r="P177" s="439">
        <v>125</v>
      </c>
      <c r="Q177" s="439"/>
      <c r="R177" s="436"/>
      <c r="S177" s="436"/>
      <c r="T177" s="436"/>
      <c r="U177" s="436"/>
      <c r="V177" s="436"/>
      <c r="W177" s="436">
        <f>IF(NFI_Expiration=1,IF($A177&lt;VLOOKUP(H$5,NFI,5,0),1,0)*Table_NFI[[#This Row],[Hygiene Kit]],Table_NFI[Hygiene Kit])</f>
        <v>0</v>
      </c>
      <c r="X177" s="436">
        <f>IF(NFI_Expiration=1,IF($A177&lt;VLOOKUP(I$5,NFI,5,0),1,0)*Table_NFI[[#This Row],[NFI Core Kit]],Table_NFI[NFI Core Kit])</f>
        <v>0</v>
      </c>
      <c r="Y177" s="436">
        <f>IF(NFI_Expiration=1,IF($A177&lt;VLOOKUP(J$5,NFI,5,0),1,0)*Table_NFI[[#This Row],[Sanitary Kit]],Table_NFI[Sanitary Kit])</f>
        <v>0</v>
      </c>
      <c r="Z177" s="436">
        <f>IF(NFI_Expiration=1,IF($A177&lt;VLOOKUP(K$5,NFI,5,0),1,0)*Table_NFI[[#This Row],[Mosquito net]],Table_NFI[Mosquito net])</f>
        <v>0</v>
      </c>
      <c r="AA177" s="436">
        <f>IF(NFI_Expiration=1,IF($A177&lt;VLOOKUP(L$5,NFI,5,0),1,0)*Table_NFI[[#This Row],[Tarpaulin]],Table_NFI[[#This Row],[Tarpaulin]])</f>
        <v>0</v>
      </c>
      <c r="AB177" s="436">
        <f>IF(NFI_Expiration=1,IF($A177&lt;VLOOKUP(M$5,NFI,5,0),1,0)*Table_NFI[[#This Row],[Blanket]],Table_NFI[[#This Row],[Blanket]])</f>
        <v>0</v>
      </c>
      <c r="AC177" s="436">
        <f>IF(NFI_Expiration=1,IF($A177&lt;VLOOKUP(N$5,NFI,5,0),1,0)*Table_NFI[[#This Row],[Kitchen Set]],Table_NFI[Kitchen Set])</f>
        <v>0</v>
      </c>
      <c r="AD177" s="436">
        <f>IF(NFI_Expiration=1,IF($A177&lt;VLOOKUP(O$5,NFI,5,0),1,0)*Table_NFI[[#This Row],[Clothes Kit]],Table_NFI[Clothes Kit])</f>
        <v>0</v>
      </c>
      <c r="AE177" s="436">
        <f>IF(NFI_Expiration=1,IF($A177&lt;VLOOKUP(P$5,NFI,5,0),1,0)*Table_NFI[[#This Row],[Plastic Bucket]],Table_NFI[Plastic Bucket])</f>
        <v>0</v>
      </c>
      <c r="AF177" s="436">
        <f>IF(NFI_Expiration=1,IF($A177&lt;VLOOKUP(Q$5,NFI,5,0),1,0)*Table_NFI[[#This Row],[Plastic Mat]],Table_NFI[Plastic Mat])*IF(Table_NFI[[#This Row],[Distribution Date]]&gt;"2014-04-01",1,2.5)</f>
        <v>0</v>
      </c>
      <c r="AG177" s="436">
        <f>IF(NFI_Expiration=1,IF($A177&lt;VLOOKUP(R$5,NFI,5,0),1,0)*Table_NFI[[#This Row],[Winter Clothes Adult]],Table_NFI[Winter Clothes Adult])</f>
        <v>0</v>
      </c>
      <c r="AH177" s="436">
        <f>IF(NFI_Expiration=1,IF($A177&lt;VLOOKUP(S$5,NFI,5,0),1,0)*Table_NFI[[#This Row],[Winter Clothes Children]],Table_NFI[Winter Clothes Children])</f>
        <v>0</v>
      </c>
      <c r="AI177" s="436">
        <f>IF(NFI_Expiration=1,IF($A177&lt;VLOOKUP(T$5,NFI,5,0),1,0)*Table_NFI[[#This Row],[Winter Items Other]],Table_NFI[Winter Items Other])</f>
        <v>0</v>
      </c>
      <c r="AJ177" s="436">
        <f>IF(NFI_Expiration=1,IF($A177&lt;VLOOKUP(M$5,NFI,5,0),1,0)*Table_NFI[[#This Row],[Winter Blanket]],Table_NFI[[#This Row],[Winter Blanket]])</f>
        <v>0</v>
      </c>
      <c r="AK177" s="436">
        <f>IF(Table_NFI[[#This Row],[Winter Clothes Adult]]+Table_NFI[[#This Row],[Winter Clothes Children]]+Table_NFI[[#This Row],[Winter Items Other]]+Table_NFI[[#This Row],[Winter Blanket]]&gt;0,1,0)</f>
        <v>0</v>
      </c>
      <c r="AL177" s="439">
        <f>IF(NFI_Expiration=1,IF($A177&lt;VLOOKUP(V$5,NFI,5,0),1,0)*Table_NFI[[#This Row],[Jerry Can]],Table_NFI[Jerry Can])</f>
        <v>0</v>
      </c>
      <c r="AM177" s="781" t="str">
        <f>IFERROR(VLOOKUP(Table_NFI[[#This Row],[Camp Name]],CL,2,0),"")</f>
        <v>MMR001CMP195</v>
      </c>
      <c r="AN177" s="782">
        <f ca="1">IF(Table_NFI[[#This Row],[Pcode]]="","",IF(OFFSET(CampList[Opening Date],MATCH(Table_NFI[[#This Row],[Pcode]],CampList[CP_Pcode],0)-1,0,1,1)&gt;=NFI_Monitor_Date,1,0))</f>
        <v>0</v>
      </c>
      <c r="AO177" s="781" t="str">
        <f>IFERROR(VLOOKUP(Table_NFI[[#This Row],[Camp Name]],CL,3,0),"")</f>
        <v>Open</v>
      </c>
      <c r="AP177" s="436" t="str">
        <f ca="1">IF(Table_NFI[[#This Row],[Pcode]]="","",OFFSET(CampList[Priority],MATCH(Table_NFI[[#This Row],[Pcode]],CampList[CP_Pcode],0)-1,0,1,1))</f>
        <v>P1</v>
      </c>
      <c r="AQ177" s="438">
        <f>IFERROR(Table_NFI[[#This Row],[Kitchen Set]]/VLOOKUP(Table_NFI[[#This Row],[Camp Name]],CL,4,0),"")</f>
        <v>0</v>
      </c>
      <c r="AR177" s="779"/>
      <c r="AS177" s="783"/>
    </row>
    <row r="178" spans="1:45" s="784" customFormat="1" x14ac:dyDescent="0.25">
      <c r="A178" s="455">
        <f t="shared" si="2"/>
        <v>15.033333333333333</v>
      </c>
      <c r="B178" s="778">
        <v>41858</v>
      </c>
      <c r="C178" s="779" t="s">
        <v>454</v>
      </c>
      <c r="D178" s="779" t="s">
        <v>507</v>
      </c>
      <c r="E178" s="779" t="s">
        <v>380</v>
      </c>
      <c r="F178" s="779" t="s">
        <v>310</v>
      </c>
      <c r="G178" s="779" t="s">
        <v>318</v>
      </c>
      <c r="H178" s="436"/>
      <c r="I178" s="436"/>
      <c r="J178" s="436">
        <v>24</v>
      </c>
      <c r="K178" s="436">
        <v>12</v>
      </c>
      <c r="L178" s="437">
        <v>24</v>
      </c>
      <c r="M178" s="437">
        <v>12</v>
      </c>
      <c r="N178" s="437"/>
      <c r="O178" s="437">
        <v>12</v>
      </c>
      <c r="P178" s="439">
        <v>60</v>
      </c>
      <c r="Q178" s="439"/>
      <c r="R178" s="436"/>
      <c r="S178" s="436"/>
      <c r="T178" s="436"/>
      <c r="U178" s="436"/>
      <c r="V178" s="436"/>
      <c r="W178" s="436">
        <f>IF(NFI_Expiration=1,IF($A178&lt;VLOOKUP(H$5,NFI,5,0),1,0)*Table_NFI[[#This Row],[Hygiene Kit]],Table_NFI[Hygiene Kit])</f>
        <v>0</v>
      </c>
      <c r="X178" s="436">
        <f>IF(NFI_Expiration=1,IF($A178&lt;VLOOKUP(I$5,NFI,5,0),1,0)*Table_NFI[[#This Row],[NFI Core Kit]],Table_NFI[NFI Core Kit])</f>
        <v>0</v>
      </c>
      <c r="Y178" s="436">
        <f>IF(NFI_Expiration=1,IF($A178&lt;VLOOKUP(J$5,NFI,5,0),1,0)*Table_NFI[[#This Row],[Sanitary Kit]],Table_NFI[Sanitary Kit])</f>
        <v>0</v>
      </c>
      <c r="Z178" s="436">
        <f>IF(NFI_Expiration=1,IF($A178&lt;VLOOKUP(K$5,NFI,5,0),1,0)*Table_NFI[[#This Row],[Mosquito net]],Table_NFI[Mosquito net])</f>
        <v>0</v>
      </c>
      <c r="AA178" s="436">
        <f>IF(NFI_Expiration=1,IF($A178&lt;VLOOKUP(L$5,NFI,5,0),1,0)*Table_NFI[[#This Row],[Tarpaulin]],Table_NFI[[#This Row],[Tarpaulin]])</f>
        <v>0</v>
      </c>
      <c r="AB178" s="436">
        <f>IF(NFI_Expiration=1,IF($A178&lt;VLOOKUP(M$5,NFI,5,0),1,0)*Table_NFI[[#This Row],[Blanket]],Table_NFI[[#This Row],[Blanket]])</f>
        <v>0</v>
      </c>
      <c r="AC178" s="436">
        <f>IF(NFI_Expiration=1,IF($A178&lt;VLOOKUP(N$5,NFI,5,0),1,0)*Table_NFI[[#This Row],[Kitchen Set]],Table_NFI[Kitchen Set])</f>
        <v>0</v>
      </c>
      <c r="AD178" s="436">
        <f>IF(NFI_Expiration=1,IF($A178&lt;VLOOKUP(O$5,NFI,5,0),1,0)*Table_NFI[[#This Row],[Clothes Kit]],Table_NFI[Clothes Kit])</f>
        <v>0</v>
      </c>
      <c r="AE178" s="436">
        <f>IF(NFI_Expiration=1,IF($A178&lt;VLOOKUP(P$5,NFI,5,0),1,0)*Table_NFI[[#This Row],[Plastic Bucket]],Table_NFI[Plastic Bucket])</f>
        <v>0</v>
      </c>
      <c r="AF178" s="436">
        <f>IF(NFI_Expiration=1,IF($A178&lt;VLOOKUP(Q$5,NFI,5,0),1,0)*Table_NFI[[#This Row],[Plastic Mat]],Table_NFI[Plastic Mat])*IF(Table_NFI[[#This Row],[Distribution Date]]&gt;"2014-04-01",1,2.5)</f>
        <v>0</v>
      </c>
      <c r="AG178" s="436">
        <f>IF(NFI_Expiration=1,IF($A178&lt;VLOOKUP(R$5,NFI,5,0),1,0)*Table_NFI[[#This Row],[Winter Clothes Adult]],Table_NFI[Winter Clothes Adult])</f>
        <v>0</v>
      </c>
      <c r="AH178" s="436">
        <f>IF(NFI_Expiration=1,IF($A178&lt;VLOOKUP(S$5,NFI,5,0),1,0)*Table_NFI[[#This Row],[Winter Clothes Children]],Table_NFI[Winter Clothes Children])</f>
        <v>0</v>
      </c>
      <c r="AI178" s="436">
        <f>IF(NFI_Expiration=1,IF($A178&lt;VLOOKUP(T$5,NFI,5,0),1,0)*Table_NFI[[#This Row],[Winter Items Other]],Table_NFI[Winter Items Other])</f>
        <v>0</v>
      </c>
      <c r="AJ178" s="436">
        <f>IF(NFI_Expiration=1,IF($A178&lt;VLOOKUP(M$5,NFI,5,0),1,0)*Table_NFI[[#This Row],[Winter Blanket]],Table_NFI[[#This Row],[Winter Blanket]])</f>
        <v>0</v>
      </c>
      <c r="AK178" s="436">
        <f>IF(Table_NFI[[#This Row],[Winter Clothes Adult]]+Table_NFI[[#This Row],[Winter Clothes Children]]+Table_NFI[[#This Row],[Winter Items Other]]+Table_NFI[[#This Row],[Winter Blanket]]&gt;0,1,0)</f>
        <v>0</v>
      </c>
      <c r="AL178" s="439">
        <f>IF(NFI_Expiration=1,IF($A178&lt;VLOOKUP(V$5,NFI,5,0),1,0)*Table_NFI[[#This Row],[Jerry Can]],Table_NFI[Jerry Can])</f>
        <v>0</v>
      </c>
      <c r="AM178" s="781" t="str">
        <f>IFERROR(VLOOKUP(Table_NFI[[#This Row],[Camp Name]],CL,2,0),"")</f>
        <v>MMR001CMP032</v>
      </c>
      <c r="AN178" s="782">
        <f ca="1">IF(Table_NFI[[#This Row],[Pcode]]="","",IF(OFFSET(CampList[Opening Date],MATCH(Table_NFI[[#This Row],[Pcode]],CampList[CP_Pcode],0)-1,0,1,1)&gt;=NFI_Monitor_Date,1,0))</f>
        <v>0</v>
      </c>
      <c r="AO178" s="781" t="str">
        <f>IFERROR(VLOOKUP(Table_NFI[[#This Row],[Camp Name]],CL,3,0),"")</f>
        <v>Open</v>
      </c>
      <c r="AP178" s="436" t="str">
        <f ca="1">IF(Table_NFI[[#This Row],[Pcode]]="","",OFFSET(CampList[Priority],MATCH(Table_NFI[[#This Row],[Pcode]],CampList[CP_Pcode],0)-1,0,1,1))</f>
        <v>P4</v>
      </c>
      <c r="AQ178" s="438">
        <f>IFERROR(Table_NFI[[#This Row],[Kitchen Set]]/VLOOKUP(Table_NFI[[#This Row],[Camp Name]],CL,4,0),"")</f>
        <v>0</v>
      </c>
      <c r="AR178" s="779"/>
      <c r="AS178" s="783"/>
    </row>
    <row r="179" spans="1:45" s="784" customFormat="1" x14ac:dyDescent="0.25">
      <c r="A179" s="455">
        <f t="shared" si="2"/>
        <v>15.133333333333333</v>
      </c>
      <c r="B179" s="778">
        <v>41855</v>
      </c>
      <c r="C179" s="779" t="s">
        <v>454</v>
      </c>
      <c r="D179" s="779"/>
      <c r="E179" s="779" t="s">
        <v>380</v>
      </c>
      <c r="F179" s="779" t="s">
        <v>5</v>
      </c>
      <c r="G179" s="779"/>
      <c r="H179" s="436"/>
      <c r="I179" s="436"/>
      <c r="J179" s="436"/>
      <c r="K179" s="436"/>
      <c r="L179" s="437">
        <v>5</v>
      </c>
      <c r="M179" s="437"/>
      <c r="N179" s="437"/>
      <c r="O179" s="437"/>
      <c r="P179" s="439"/>
      <c r="Q179" s="439"/>
      <c r="R179" s="436"/>
      <c r="S179" s="436"/>
      <c r="T179" s="436"/>
      <c r="U179" s="436"/>
      <c r="V179" s="436"/>
      <c r="W179" s="436">
        <f>IF(NFI_Expiration=1,IF($A179&lt;VLOOKUP(H$5,NFI,5,0),1,0)*Table_NFI[[#This Row],[Hygiene Kit]],Table_NFI[Hygiene Kit])</f>
        <v>0</v>
      </c>
      <c r="X179" s="436">
        <f>IF(NFI_Expiration=1,IF($A179&lt;VLOOKUP(I$5,NFI,5,0),1,0)*Table_NFI[[#This Row],[NFI Core Kit]],Table_NFI[NFI Core Kit])</f>
        <v>0</v>
      </c>
      <c r="Y179" s="436">
        <f>IF(NFI_Expiration=1,IF($A179&lt;VLOOKUP(J$5,NFI,5,0),1,0)*Table_NFI[[#This Row],[Sanitary Kit]],Table_NFI[Sanitary Kit])</f>
        <v>0</v>
      </c>
      <c r="Z179" s="436">
        <f>IF(NFI_Expiration=1,IF($A179&lt;VLOOKUP(K$5,NFI,5,0),1,0)*Table_NFI[[#This Row],[Mosquito net]],Table_NFI[Mosquito net])</f>
        <v>0</v>
      </c>
      <c r="AA179" s="436">
        <f>IF(NFI_Expiration=1,IF($A179&lt;VLOOKUP(L$5,NFI,5,0),1,0)*Table_NFI[[#This Row],[Tarpaulin]],Table_NFI[[#This Row],[Tarpaulin]])</f>
        <v>0</v>
      </c>
      <c r="AB179" s="436">
        <f>IF(NFI_Expiration=1,IF($A179&lt;VLOOKUP(M$5,NFI,5,0),1,0)*Table_NFI[[#This Row],[Blanket]],Table_NFI[[#This Row],[Blanket]])</f>
        <v>0</v>
      </c>
      <c r="AC179" s="436">
        <f>IF(NFI_Expiration=1,IF($A179&lt;VLOOKUP(N$5,NFI,5,0),1,0)*Table_NFI[[#This Row],[Kitchen Set]],Table_NFI[Kitchen Set])</f>
        <v>0</v>
      </c>
      <c r="AD179" s="436">
        <f>IF(NFI_Expiration=1,IF($A179&lt;VLOOKUP(O$5,NFI,5,0),1,0)*Table_NFI[[#This Row],[Clothes Kit]],Table_NFI[Clothes Kit])</f>
        <v>0</v>
      </c>
      <c r="AE179" s="436">
        <f>IF(NFI_Expiration=1,IF($A179&lt;VLOOKUP(P$5,NFI,5,0),1,0)*Table_NFI[[#This Row],[Plastic Bucket]],Table_NFI[Plastic Bucket])</f>
        <v>0</v>
      </c>
      <c r="AF179" s="436">
        <f>IF(NFI_Expiration=1,IF($A179&lt;VLOOKUP(Q$5,NFI,5,0),1,0)*Table_NFI[[#This Row],[Plastic Mat]],Table_NFI[Plastic Mat])*IF(Table_NFI[[#This Row],[Distribution Date]]&gt;"2014-04-01",1,2.5)</f>
        <v>0</v>
      </c>
      <c r="AG179" s="436">
        <f>IF(NFI_Expiration=1,IF($A179&lt;VLOOKUP(R$5,NFI,5,0),1,0)*Table_NFI[[#This Row],[Winter Clothes Adult]],Table_NFI[Winter Clothes Adult])</f>
        <v>0</v>
      </c>
      <c r="AH179" s="436">
        <f>IF(NFI_Expiration=1,IF($A179&lt;VLOOKUP(S$5,NFI,5,0),1,0)*Table_NFI[[#This Row],[Winter Clothes Children]],Table_NFI[Winter Clothes Children])</f>
        <v>0</v>
      </c>
      <c r="AI179" s="436">
        <f>IF(NFI_Expiration=1,IF($A179&lt;VLOOKUP(T$5,NFI,5,0),1,0)*Table_NFI[[#This Row],[Winter Items Other]],Table_NFI[Winter Items Other])</f>
        <v>0</v>
      </c>
      <c r="AJ179" s="436">
        <f>IF(NFI_Expiration=1,IF($A179&lt;VLOOKUP(M$5,NFI,5,0),1,0)*Table_NFI[[#This Row],[Winter Blanket]],Table_NFI[[#This Row],[Winter Blanket]])</f>
        <v>0</v>
      </c>
      <c r="AK179" s="436">
        <f>IF(Table_NFI[[#This Row],[Winter Clothes Adult]]+Table_NFI[[#This Row],[Winter Clothes Children]]+Table_NFI[[#This Row],[Winter Items Other]]+Table_NFI[[#This Row],[Winter Blanket]]&gt;0,1,0)</f>
        <v>0</v>
      </c>
      <c r="AL179" s="439">
        <f>IF(NFI_Expiration=1,IF($A179&lt;VLOOKUP(V$5,NFI,5,0),1,0)*Table_NFI[[#This Row],[Jerry Can]],Table_NFI[Jerry Can])</f>
        <v>0</v>
      </c>
      <c r="AM179" s="781" t="str">
        <f>IFERROR(VLOOKUP(Table_NFI[[#This Row],[Camp Name]],CL,2,0),"")</f>
        <v/>
      </c>
      <c r="AN179" s="782" t="str">
        <f ca="1">IF(Table_NFI[[#This Row],[Pcode]]="","",IF(OFFSET(CampList[Opening Date],MATCH(Table_NFI[[#This Row],[Pcode]],CampList[CP_Pcode],0)-1,0,1,1)&gt;=NFI_Monitor_Date,1,0))</f>
        <v/>
      </c>
      <c r="AO179" s="781" t="str">
        <f>IFERROR(VLOOKUP(Table_NFI[[#This Row],[Camp Name]],CL,3,0),"")</f>
        <v/>
      </c>
      <c r="AP179" s="436" t="str">
        <f ca="1">IF(Table_NFI[[#This Row],[Pcode]]="","",OFFSET(CampList[Priority],MATCH(Table_NFI[[#This Row],[Pcode]],CampList[CP_Pcode],0)-1,0,1,1))</f>
        <v/>
      </c>
      <c r="AQ179" s="438" t="str">
        <f>IFERROR(Table_NFI[[#This Row],[Kitchen Set]]/VLOOKUP(Table_NFI[[#This Row],[Camp Name]],CL,4,0),"")</f>
        <v/>
      </c>
      <c r="AR179" s="779"/>
      <c r="AS179" s="783"/>
    </row>
    <row r="180" spans="1:45" s="784" customFormat="1" x14ac:dyDescent="0.25">
      <c r="A180" s="455">
        <f t="shared" si="2"/>
        <v>15.133333333333333</v>
      </c>
      <c r="B180" s="778">
        <v>41855</v>
      </c>
      <c r="C180" s="779" t="s">
        <v>454</v>
      </c>
      <c r="D180" s="779"/>
      <c r="E180" s="779" t="s">
        <v>380</v>
      </c>
      <c r="F180" s="779" t="s">
        <v>185</v>
      </c>
      <c r="G180" s="779" t="s">
        <v>223</v>
      </c>
      <c r="H180" s="436"/>
      <c r="I180" s="436"/>
      <c r="J180" s="436"/>
      <c r="K180" s="436"/>
      <c r="L180" s="437">
        <v>116</v>
      </c>
      <c r="M180" s="437"/>
      <c r="N180" s="437"/>
      <c r="O180" s="437"/>
      <c r="P180" s="439"/>
      <c r="Q180" s="439"/>
      <c r="R180" s="436"/>
      <c r="S180" s="436"/>
      <c r="T180" s="436"/>
      <c r="U180" s="436"/>
      <c r="V180" s="436"/>
      <c r="W180" s="436">
        <f>IF(NFI_Expiration=1,IF($A180&lt;VLOOKUP(H$5,NFI,5,0),1,0)*Table_NFI[[#This Row],[Hygiene Kit]],Table_NFI[Hygiene Kit])</f>
        <v>0</v>
      </c>
      <c r="X180" s="436">
        <f>IF(NFI_Expiration=1,IF($A180&lt;VLOOKUP(I$5,NFI,5,0),1,0)*Table_NFI[[#This Row],[NFI Core Kit]],Table_NFI[NFI Core Kit])</f>
        <v>0</v>
      </c>
      <c r="Y180" s="436">
        <f>IF(NFI_Expiration=1,IF($A180&lt;VLOOKUP(J$5,NFI,5,0),1,0)*Table_NFI[[#This Row],[Sanitary Kit]],Table_NFI[Sanitary Kit])</f>
        <v>0</v>
      </c>
      <c r="Z180" s="436">
        <f>IF(NFI_Expiration=1,IF($A180&lt;VLOOKUP(K$5,NFI,5,0),1,0)*Table_NFI[[#This Row],[Mosquito net]],Table_NFI[Mosquito net])</f>
        <v>0</v>
      </c>
      <c r="AA180" s="436">
        <f>IF(NFI_Expiration=1,IF($A180&lt;VLOOKUP(L$5,NFI,5,0),1,0)*Table_NFI[[#This Row],[Tarpaulin]],Table_NFI[[#This Row],[Tarpaulin]])</f>
        <v>0</v>
      </c>
      <c r="AB180" s="436">
        <f>IF(NFI_Expiration=1,IF($A180&lt;VLOOKUP(M$5,NFI,5,0),1,0)*Table_NFI[[#This Row],[Blanket]],Table_NFI[[#This Row],[Blanket]])</f>
        <v>0</v>
      </c>
      <c r="AC180" s="436">
        <f>IF(NFI_Expiration=1,IF($A180&lt;VLOOKUP(N$5,NFI,5,0),1,0)*Table_NFI[[#This Row],[Kitchen Set]],Table_NFI[Kitchen Set])</f>
        <v>0</v>
      </c>
      <c r="AD180" s="436">
        <f>IF(NFI_Expiration=1,IF($A180&lt;VLOOKUP(O$5,NFI,5,0),1,0)*Table_NFI[[#This Row],[Clothes Kit]],Table_NFI[Clothes Kit])</f>
        <v>0</v>
      </c>
      <c r="AE180" s="436">
        <f>IF(NFI_Expiration=1,IF($A180&lt;VLOOKUP(P$5,NFI,5,0),1,0)*Table_NFI[[#This Row],[Plastic Bucket]],Table_NFI[Plastic Bucket])</f>
        <v>0</v>
      </c>
      <c r="AF180" s="436">
        <f>IF(NFI_Expiration=1,IF($A180&lt;VLOOKUP(Q$5,NFI,5,0),1,0)*Table_NFI[[#This Row],[Plastic Mat]],Table_NFI[Plastic Mat])*IF(Table_NFI[[#This Row],[Distribution Date]]&gt;"2014-04-01",1,2.5)</f>
        <v>0</v>
      </c>
      <c r="AG180" s="436">
        <f>IF(NFI_Expiration=1,IF($A180&lt;VLOOKUP(R$5,NFI,5,0),1,0)*Table_NFI[[#This Row],[Winter Clothes Adult]],Table_NFI[Winter Clothes Adult])</f>
        <v>0</v>
      </c>
      <c r="AH180" s="436">
        <f>IF(NFI_Expiration=1,IF($A180&lt;VLOOKUP(S$5,NFI,5,0),1,0)*Table_NFI[[#This Row],[Winter Clothes Children]],Table_NFI[Winter Clothes Children])</f>
        <v>0</v>
      </c>
      <c r="AI180" s="436">
        <f>IF(NFI_Expiration=1,IF($A180&lt;VLOOKUP(T$5,NFI,5,0),1,0)*Table_NFI[[#This Row],[Winter Items Other]],Table_NFI[Winter Items Other])</f>
        <v>0</v>
      </c>
      <c r="AJ180" s="436">
        <f>IF(NFI_Expiration=1,IF($A180&lt;VLOOKUP(M$5,NFI,5,0),1,0)*Table_NFI[[#This Row],[Winter Blanket]],Table_NFI[[#This Row],[Winter Blanket]])</f>
        <v>0</v>
      </c>
      <c r="AK180" s="436">
        <f>IF(Table_NFI[[#This Row],[Winter Clothes Adult]]+Table_NFI[[#This Row],[Winter Clothes Children]]+Table_NFI[[#This Row],[Winter Items Other]]+Table_NFI[[#This Row],[Winter Blanket]]&gt;0,1,0)</f>
        <v>0</v>
      </c>
      <c r="AL180" s="439">
        <f>IF(NFI_Expiration=1,IF($A180&lt;VLOOKUP(V$5,NFI,5,0),1,0)*Table_NFI[[#This Row],[Jerry Can]],Table_NFI[Jerry Can])</f>
        <v>0</v>
      </c>
      <c r="AM180" s="781" t="str">
        <f>IFERROR(VLOOKUP(Table_NFI[[#This Row],[Camp Name]],CL,2,0),"")</f>
        <v>MMR001CMP069</v>
      </c>
      <c r="AN180" s="782">
        <f ca="1">IF(Table_NFI[[#This Row],[Pcode]]="","",IF(OFFSET(CampList[Opening Date],MATCH(Table_NFI[[#This Row],[Pcode]],CampList[CP_Pcode],0)-1,0,1,1)&gt;=NFI_Monitor_Date,1,0))</f>
        <v>0</v>
      </c>
      <c r="AO180" s="781" t="str">
        <f>IFERROR(VLOOKUP(Table_NFI[[#This Row],[Camp Name]],CL,3,0),"")</f>
        <v>Open</v>
      </c>
      <c r="AP180" s="436" t="str">
        <f ca="1">IF(Table_NFI[[#This Row],[Pcode]]="","",OFFSET(CampList[Priority],MATCH(Table_NFI[[#This Row],[Pcode]],CampList[CP_Pcode],0)-1,0,1,1))</f>
        <v>P3</v>
      </c>
      <c r="AQ180" s="438">
        <f>IFERROR(Table_NFI[[#This Row],[Kitchen Set]]/VLOOKUP(Table_NFI[[#This Row],[Camp Name]],CL,4,0),"")</f>
        <v>0</v>
      </c>
      <c r="AR180" s="779"/>
      <c r="AS180" s="783"/>
    </row>
    <row r="181" spans="1:45" s="136" customFormat="1" x14ac:dyDescent="0.25">
      <c r="A181" s="455">
        <f t="shared" si="2"/>
        <v>15.133333333333333</v>
      </c>
      <c r="B181" s="778">
        <v>41855</v>
      </c>
      <c r="C181" s="779" t="s">
        <v>454</v>
      </c>
      <c r="D181" s="779"/>
      <c r="E181" s="779" t="s">
        <v>380</v>
      </c>
      <c r="F181" s="779" t="s">
        <v>185</v>
      </c>
      <c r="G181" s="779" t="s">
        <v>190</v>
      </c>
      <c r="H181" s="436"/>
      <c r="I181" s="436"/>
      <c r="J181" s="436"/>
      <c r="K181" s="436">
        <v>84</v>
      </c>
      <c r="L181" s="437">
        <v>36</v>
      </c>
      <c r="M181" s="437">
        <v>84</v>
      </c>
      <c r="N181" s="437">
        <v>36</v>
      </c>
      <c r="O181" s="437"/>
      <c r="P181" s="439">
        <v>36</v>
      </c>
      <c r="Q181" s="439">
        <v>180</v>
      </c>
      <c r="R181" s="436"/>
      <c r="S181" s="436"/>
      <c r="T181" s="436"/>
      <c r="U181" s="436"/>
      <c r="V181" s="436"/>
      <c r="W181" s="436">
        <f>IF(NFI_Expiration=1,IF($A181&lt;VLOOKUP(H$5,NFI,5,0),1,0)*Table_NFI[[#This Row],[Hygiene Kit]],Table_NFI[Hygiene Kit])</f>
        <v>0</v>
      </c>
      <c r="X181" s="436">
        <f>IF(NFI_Expiration=1,IF($A181&lt;VLOOKUP(I$5,NFI,5,0),1,0)*Table_NFI[[#This Row],[NFI Core Kit]],Table_NFI[NFI Core Kit])</f>
        <v>0</v>
      </c>
      <c r="Y181" s="436">
        <f>IF(NFI_Expiration=1,IF($A181&lt;VLOOKUP(J$5,NFI,5,0),1,0)*Table_NFI[[#This Row],[Sanitary Kit]],Table_NFI[Sanitary Kit])</f>
        <v>0</v>
      </c>
      <c r="Z181" s="436">
        <f>IF(NFI_Expiration=1,IF($A181&lt;VLOOKUP(K$5,NFI,5,0),1,0)*Table_NFI[[#This Row],[Mosquito net]],Table_NFI[Mosquito net])</f>
        <v>0</v>
      </c>
      <c r="AA181" s="436">
        <f>IF(NFI_Expiration=1,IF($A181&lt;VLOOKUP(L$5,NFI,5,0),1,0)*Table_NFI[[#This Row],[Tarpaulin]],Table_NFI[[#This Row],[Tarpaulin]])</f>
        <v>0</v>
      </c>
      <c r="AB181" s="436">
        <f>IF(NFI_Expiration=1,IF($A181&lt;VLOOKUP(M$5,NFI,5,0),1,0)*Table_NFI[[#This Row],[Blanket]],Table_NFI[[#This Row],[Blanket]])</f>
        <v>0</v>
      </c>
      <c r="AC181" s="436">
        <f>IF(NFI_Expiration=1,IF($A181&lt;VLOOKUP(N$5,NFI,5,0),1,0)*Table_NFI[[#This Row],[Kitchen Set]],Table_NFI[Kitchen Set])</f>
        <v>0</v>
      </c>
      <c r="AD181" s="436">
        <f>IF(NFI_Expiration=1,IF($A181&lt;VLOOKUP(O$5,NFI,5,0),1,0)*Table_NFI[[#This Row],[Clothes Kit]],Table_NFI[Clothes Kit])</f>
        <v>0</v>
      </c>
      <c r="AE181" s="436">
        <f>IF(NFI_Expiration=1,IF($A181&lt;VLOOKUP(P$5,NFI,5,0),1,0)*Table_NFI[[#This Row],[Plastic Bucket]],Table_NFI[Plastic Bucket])</f>
        <v>0</v>
      </c>
      <c r="AF181" s="436">
        <f>IF(NFI_Expiration=1,IF($A181&lt;VLOOKUP(Q$5,NFI,5,0),1,0)*Table_NFI[[#This Row],[Plastic Mat]],Table_NFI[Plastic Mat])*IF(Table_NFI[[#This Row],[Distribution Date]]&gt;"2014-04-01",1,2.5)</f>
        <v>0</v>
      </c>
      <c r="AG181" s="436">
        <f>IF(NFI_Expiration=1,IF($A181&lt;VLOOKUP(R$5,NFI,5,0),1,0)*Table_NFI[[#This Row],[Winter Clothes Adult]],Table_NFI[Winter Clothes Adult])</f>
        <v>0</v>
      </c>
      <c r="AH181" s="436">
        <f>IF(NFI_Expiration=1,IF($A181&lt;VLOOKUP(S$5,NFI,5,0),1,0)*Table_NFI[[#This Row],[Winter Clothes Children]],Table_NFI[Winter Clothes Children])</f>
        <v>0</v>
      </c>
      <c r="AI181" s="436">
        <f>IF(NFI_Expiration=1,IF($A181&lt;VLOOKUP(T$5,NFI,5,0),1,0)*Table_NFI[[#This Row],[Winter Items Other]],Table_NFI[Winter Items Other])</f>
        <v>0</v>
      </c>
      <c r="AJ181" s="436">
        <f>IF(NFI_Expiration=1,IF($A181&lt;VLOOKUP(M$5,NFI,5,0),1,0)*Table_NFI[[#This Row],[Winter Blanket]],Table_NFI[[#This Row],[Winter Blanket]])</f>
        <v>0</v>
      </c>
      <c r="AK181" s="436">
        <f>IF(Table_NFI[[#This Row],[Winter Clothes Adult]]+Table_NFI[[#This Row],[Winter Clothes Children]]+Table_NFI[[#This Row],[Winter Items Other]]+Table_NFI[[#This Row],[Winter Blanket]]&gt;0,1,0)</f>
        <v>0</v>
      </c>
      <c r="AL181" s="439">
        <f>IF(NFI_Expiration=1,IF($A181&lt;VLOOKUP(V$5,NFI,5,0),1,0)*Table_NFI[[#This Row],[Jerry Can]],Table_NFI[Jerry Can])</f>
        <v>0</v>
      </c>
      <c r="AM181" s="781" t="str">
        <f>IFERROR(VLOOKUP(Table_NFI[[#This Row],[Camp Name]],CL,2,0),"")</f>
        <v>MMR001CMP070</v>
      </c>
      <c r="AN181" s="782">
        <f ca="1">IF(Table_NFI[[#This Row],[Pcode]]="","",IF(OFFSET(CampList[Opening Date],MATCH(Table_NFI[[#This Row],[Pcode]],CampList[CP_Pcode],0)-1,0,1,1)&gt;=NFI_Monitor_Date,1,0))</f>
        <v>0</v>
      </c>
      <c r="AO181" s="781" t="str">
        <f>IFERROR(VLOOKUP(Table_NFI[[#This Row],[Camp Name]],CL,3,0),"")</f>
        <v>Open</v>
      </c>
      <c r="AP181" s="436" t="str">
        <f ca="1">IF(Table_NFI[[#This Row],[Pcode]]="","",OFFSET(CampList[Priority],MATCH(Table_NFI[[#This Row],[Pcode]],CampList[CP_Pcode],0)-1,0,1,1))</f>
        <v>P3</v>
      </c>
      <c r="AQ181" s="438">
        <f>IFERROR(Table_NFI[[#This Row],[Kitchen Set]]/VLOOKUP(Table_NFI[[#This Row],[Camp Name]],CL,4,0),"")</f>
        <v>0.19148936170212766</v>
      </c>
      <c r="AR181" s="779"/>
      <c r="AS181" s="783"/>
    </row>
    <row r="182" spans="1:45" s="136" customFormat="1" x14ac:dyDescent="0.25">
      <c r="A182" s="455">
        <f t="shared" si="2"/>
        <v>15.133333333333333</v>
      </c>
      <c r="B182" s="778">
        <v>41855</v>
      </c>
      <c r="C182" s="779" t="s">
        <v>454</v>
      </c>
      <c r="D182" s="779"/>
      <c r="E182" s="779" t="s">
        <v>380</v>
      </c>
      <c r="F182" s="779" t="s">
        <v>151</v>
      </c>
      <c r="G182" s="779" t="s">
        <v>949</v>
      </c>
      <c r="H182" s="436"/>
      <c r="I182" s="436"/>
      <c r="J182" s="436"/>
      <c r="K182" s="436"/>
      <c r="L182" s="437"/>
      <c r="M182" s="437"/>
      <c r="N182" s="437"/>
      <c r="O182" s="437"/>
      <c r="P182" s="439">
        <v>2</v>
      </c>
      <c r="Q182" s="439"/>
      <c r="R182" s="436"/>
      <c r="S182" s="436"/>
      <c r="T182" s="436"/>
      <c r="U182" s="436"/>
      <c r="V182" s="436"/>
      <c r="W182" s="436">
        <f>IF(NFI_Expiration=1,IF($A182&lt;VLOOKUP(H$5,NFI,5,0),1,0)*Table_NFI[[#This Row],[Hygiene Kit]],Table_NFI[Hygiene Kit])</f>
        <v>0</v>
      </c>
      <c r="X182" s="436">
        <f>IF(NFI_Expiration=1,IF($A182&lt;VLOOKUP(I$5,NFI,5,0),1,0)*Table_NFI[[#This Row],[NFI Core Kit]],Table_NFI[NFI Core Kit])</f>
        <v>0</v>
      </c>
      <c r="Y182" s="436">
        <f>IF(NFI_Expiration=1,IF($A182&lt;VLOOKUP(J$5,NFI,5,0),1,0)*Table_NFI[[#This Row],[Sanitary Kit]],Table_NFI[Sanitary Kit])</f>
        <v>0</v>
      </c>
      <c r="Z182" s="436">
        <f>IF(NFI_Expiration=1,IF($A182&lt;VLOOKUP(K$5,NFI,5,0),1,0)*Table_NFI[[#This Row],[Mosquito net]],Table_NFI[Mosquito net])</f>
        <v>0</v>
      </c>
      <c r="AA182" s="436">
        <f>IF(NFI_Expiration=1,IF($A182&lt;VLOOKUP(L$5,NFI,5,0),1,0)*Table_NFI[[#This Row],[Tarpaulin]],Table_NFI[[#This Row],[Tarpaulin]])</f>
        <v>0</v>
      </c>
      <c r="AB182" s="436">
        <f>IF(NFI_Expiration=1,IF($A182&lt;VLOOKUP(M$5,NFI,5,0),1,0)*Table_NFI[[#This Row],[Blanket]],Table_NFI[[#This Row],[Blanket]])</f>
        <v>0</v>
      </c>
      <c r="AC182" s="436">
        <f>IF(NFI_Expiration=1,IF($A182&lt;VLOOKUP(N$5,NFI,5,0),1,0)*Table_NFI[[#This Row],[Kitchen Set]],Table_NFI[Kitchen Set])</f>
        <v>0</v>
      </c>
      <c r="AD182" s="436">
        <f>IF(NFI_Expiration=1,IF($A182&lt;VLOOKUP(O$5,NFI,5,0),1,0)*Table_NFI[[#This Row],[Clothes Kit]],Table_NFI[Clothes Kit])</f>
        <v>0</v>
      </c>
      <c r="AE182" s="436">
        <f>IF(NFI_Expiration=1,IF($A182&lt;VLOOKUP(P$5,NFI,5,0),1,0)*Table_NFI[[#This Row],[Plastic Bucket]],Table_NFI[Plastic Bucket])</f>
        <v>0</v>
      </c>
      <c r="AF182" s="436">
        <f>IF(NFI_Expiration=1,IF($A182&lt;VLOOKUP(Q$5,NFI,5,0),1,0)*Table_NFI[[#This Row],[Plastic Mat]],Table_NFI[Plastic Mat])*IF(Table_NFI[[#This Row],[Distribution Date]]&gt;"2014-04-01",1,2.5)</f>
        <v>0</v>
      </c>
      <c r="AG182" s="436">
        <f>IF(NFI_Expiration=1,IF($A182&lt;VLOOKUP(R$5,NFI,5,0),1,0)*Table_NFI[[#This Row],[Winter Clothes Adult]],Table_NFI[Winter Clothes Adult])</f>
        <v>0</v>
      </c>
      <c r="AH182" s="436">
        <f>IF(NFI_Expiration=1,IF($A182&lt;VLOOKUP(S$5,NFI,5,0),1,0)*Table_NFI[[#This Row],[Winter Clothes Children]],Table_NFI[Winter Clothes Children])</f>
        <v>0</v>
      </c>
      <c r="AI182" s="436">
        <f>IF(NFI_Expiration=1,IF($A182&lt;VLOOKUP(T$5,NFI,5,0),1,0)*Table_NFI[[#This Row],[Winter Items Other]],Table_NFI[Winter Items Other])</f>
        <v>0</v>
      </c>
      <c r="AJ182" s="436">
        <f>IF(NFI_Expiration=1,IF($A182&lt;VLOOKUP(M$5,NFI,5,0),1,0)*Table_NFI[[#This Row],[Winter Blanket]],Table_NFI[[#This Row],[Winter Blanket]])</f>
        <v>0</v>
      </c>
      <c r="AK182" s="436">
        <f>IF(Table_NFI[[#This Row],[Winter Clothes Adult]]+Table_NFI[[#This Row],[Winter Clothes Children]]+Table_NFI[[#This Row],[Winter Items Other]]+Table_NFI[[#This Row],[Winter Blanket]]&gt;0,1,0)</f>
        <v>0</v>
      </c>
      <c r="AL182" s="439">
        <f>IF(NFI_Expiration=1,IF($A182&lt;VLOOKUP(V$5,NFI,5,0),1,0)*Table_NFI[[#This Row],[Jerry Can]],Table_NFI[Jerry Can])</f>
        <v>0</v>
      </c>
      <c r="AM182" s="781" t="str">
        <f>IFERROR(VLOOKUP(Table_NFI[[#This Row],[Camp Name]],CL,2,0),"")</f>
        <v>MMR001CMP223</v>
      </c>
      <c r="AN182" s="782">
        <f ca="1">IF(Table_NFI[[#This Row],[Pcode]]="","",IF(OFFSET(CampList[Opening Date],MATCH(Table_NFI[[#This Row],[Pcode]],CampList[CP_Pcode],0)-1,0,1,1)&gt;=NFI_Monitor_Date,1,0))</f>
        <v>0</v>
      </c>
      <c r="AO182" s="781" t="str">
        <f>IFERROR(VLOOKUP(Table_NFI[[#This Row],[Camp Name]],CL,3,0),"")</f>
        <v>Open</v>
      </c>
      <c r="AP182" s="436" t="str">
        <f ca="1">IF(Table_NFI[[#This Row],[Pcode]]="","",OFFSET(CampList[Priority],MATCH(Table_NFI[[#This Row],[Pcode]],CampList[CP_Pcode],0)-1,0,1,1))</f>
        <v>P4</v>
      </c>
      <c r="AQ182" s="438">
        <f>IFERROR(Table_NFI[[#This Row],[Kitchen Set]]/VLOOKUP(Table_NFI[[#This Row],[Camp Name]],CL,4,0),"")</f>
        <v>0</v>
      </c>
      <c r="AR182" s="779"/>
      <c r="AS182" s="783"/>
    </row>
    <row r="183" spans="1:45" s="784" customFormat="1" x14ac:dyDescent="0.25">
      <c r="A183" s="455">
        <f t="shared" si="2"/>
        <v>15.333333333333334</v>
      </c>
      <c r="B183" s="778">
        <v>41849</v>
      </c>
      <c r="C183" s="779" t="s">
        <v>454</v>
      </c>
      <c r="D183" s="779"/>
      <c r="E183" s="779" t="s">
        <v>380</v>
      </c>
      <c r="F183" s="779" t="s">
        <v>185</v>
      </c>
      <c r="G183" s="779" t="s">
        <v>196</v>
      </c>
      <c r="H183" s="436"/>
      <c r="I183" s="436"/>
      <c r="J183" s="436"/>
      <c r="K183" s="436">
        <v>254</v>
      </c>
      <c r="L183" s="437">
        <v>204</v>
      </c>
      <c r="M183" s="437">
        <v>254</v>
      </c>
      <c r="N183" s="437">
        <v>134</v>
      </c>
      <c r="O183" s="437"/>
      <c r="P183" s="439">
        <v>134</v>
      </c>
      <c r="Q183" s="439">
        <v>608</v>
      </c>
      <c r="R183" s="436"/>
      <c r="S183" s="436"/>
      <c r="T183" s="436"/>
      <c r="U183" s="436"/>
      <c r="V183" s="436"/>
      <c r="W183" s="436">
        <f>IF(NFI_Expiration=1,IF($A183&lt;VLOOKUP(H$5,NFI,5,0),1,0)*Table_NFI[[#This Row],[Hygiene Kit]],Table_NFI[Hygiene Kit])</f>
        <v>0</v>
      </c>
      <c r="X183" s="436">
        <f>IF(NFI_Expiration=1,IF($A183&lt;VLOOKUP(I$5,NFI,5,0),1,0)*Table_NFI[[#This Row],[NFI Core Kit]],Table_NFI[NFI Core Kit])</f>
        <v>0</v>
      </c>
      <c r="Y183" s="436">
        <f>IF(NFI_Expiration=1,IF($A183&lt;VLOOKUP(J$5,NFI,5,0),1,0)*Table_NFI[[#This Row],[Sanitary Kit]],Table_NFI[Sanitary Kit])</f>
        <v>0</v>
      </c>
      <c r="Z183" s="436">
        <f>IF(NFI_Expiration=1,IF($A183&lt;VLOOKUP(K$5,NFI,5,0),1,0)*Table_NFI[[#This Row],[Mosquito net]],Table_NFI[Mosquito net])</f>
        <v>0</v>
      </c>
      <c r="AA183" s="436">
        <f>IF(NFI_Expiration=1,IF($A183&lt;VLOOKUP(L$5,NFI,5,0),1,0)*Table_NFI[[#This Row],[Tarpaulin]],Table_NFI[[#This Row],[Tarpaulin]])</f>
        <v>0</v>
      </c>
      <c r="AB183" s="436">
        <f>IF(NFI_Expiration=1,IF($A183&lt;VLOOKUP(M$5,NFI,5,0),1,0)*Table_NFI[[#This Row],[Blanket]],Table_NFI[[#This Row],[Blanket]])</f>
        <v>0</v>
      </c>
      <c r="AC183" s="436">
        <f>IF(NFI_Expiration=1,IF($A183&lt;VLOOKUP(N$5,NFI,5,0),1,0)*Table_NFI[[#This Row],[Kitchen Set]],Table_NFI[Kitchen Set])</f>
        <v>0</v>
      </c>
      <c r="AD183" s="436">
        <f>IF(NFI_Expiration=1,IF($A183&lt;VLOOKUP(O$5,NFI,5,0),1,0)*Table_NFI[[#This Row],[Clothes Kit]],Table_NFI[Clothes Kit])</f>
        <v>0</v>
      </c>
      <c r="AE183" s="436">
        <f>IF(NFI_Expiration=1,IF($A183&lt;VLOOKUP(P$5,NFI,5,0),1,0)*Table_NFI[[#This Row],[Plastic Bucket]],Table_NFI[Plastic Bucket])</f>
        <v>0</v>
      </c>
      <c r="AF183" s="436">
        <f>IF(NFI_Expiration=1,IF($A183&lt;VLOOKUP(Q$5,NFI,5,0),1,0)*Table_NFI[[#This Row],[Plastic Mat]],Table_NFI[Plastic Mat])*IF(Table_NFI[[#This Row],[Distribution Date]]&gt;"2014-04-01",1,2.5)</f>
        <v>0</v>
      </c>
      <c r="AG183" s="436">
        <f>IF(NFI_Expiration=1,IF($A183&lt;VLOOKUP(R$5,NFI,5,0),1,0)*Table_NFI[[#This Row],[Winter Clothes Adult]],Table_NFI[Winter Clothes Adult])</f>
        <v>0</v>
      </c>
      <c r="AH183" s="436">
        <f>IF(NFI_Expiration=1,IF($A183&lt;VLOOKUP(S$5,NFI,5,0),1,0)*Table_NFI[[#This Row],[Winter Clothes Children]],Table_NFI[Winter Clothes Children])</f>
        <v>0</v>
      </c>
      <c r="AI183" s="436">
        <f>IF(NFI_Expiration=1,IF($A183&lt;VLOOKUP(T$5,NFI,5,0),1,0)*Table_NFI[[#This Row],[Winter Items Other]],Table_NFI[Winter Items Other])</f>
        <v>0</v>
      </c>
      <c r="AJ183" s="436">
        <f>IF(NFI_Expiration=1,IF($A183&lt;VLOOKUP(M$5,NFI,5,0),1,0)*Table_NFI[[#This Row],[Winter Blanket]],Table_NFI[[#This Row],[Winter Blanket]])</f>
        <v>0</v>
      </c>
      <c r="AK183" s="436">
        <f>IF(Table_NFI[[#This Row],[Winter Clothes Adult]]+Table_NFI[[#This Row],[Winter Clothes Children]]+Table_NFI[[#This Row],[Winter Items Other]]+Table_NFI[[#This Row],[Winter Blanket]]&gt;0,1,0)</f>
        <v>0</v>
      </c>
      <c r="AL183" s="439">
        <f>IF(NFI_Expiration=1,IF($A183&lt;VLOOKUP(V$5,NFI,5,0),1,0)*Table_NFI[[#This Row],[Jerry Can]],Table_NFI[Jerry Can])</f>
        <v>0</v>
      </c>
      <c r="AM183" s="781" t="str">
        <f>IFERROR(VLOOKUP(Table_NFI[[#This Row],[Camp Name]],CL,2,0),"")</f>
        <v>MMR001CMP121</v>
      </c>
      <c r="AN183" s="782">
        <f ca="1">IF(Table_NFI[[#This Row],[Pcode]]="","",IF(OFFSET(CampList[Opening Date],MATCH(Table_NFI[[#This Row],[Pcode]],CampList[CP_Pcode],0)-1,0,1,1)&gt;=NFI_Monitor_Date,1,0))</f>
        <v>0</v>
      </c>
      <c r="AO183" s="781" t="str">
        <f>IFERROR(VLOOKUP(Table_NFI[[#This Row],[Camp Name]],CL,3,0),"")</f>
        <v>Open</v>
      </c>
      <c r="AP183" s="436" t="str">
        <f ca="1">IF(Table_NFI[[#This Row],[Pcode]]="","",OFFSET(CampList[Priority],MATCH(Table_NFI[[#This Row],[Pcode]],CampList[CP_Pcode],0)-1,0,1,1))</f>
        <v>P2</v>
      </c>
      <c r="AQ183" s="438">
        <f>IFERROR(Table_NFI[[#This Row],[Kitchen Set]]/VLOOKUP(Table_NFI[[#This Row],[Camp Name]],CL,4,0),"")</f>
        <v>7.9196217494089838E-2</v>
      </c>
      <c r="AR183" s="779"/>
      <c r="AS183" s="783"/>
    </row>
    <row r="184" spans="1:45" s="136" customFormat="1" x14ac:dyDescent="0.25">
      <c r="A184" s="455">
        <f t="shared" si="2"/>
        <v>15.333333333333334</v>
      </c>
      <c r="B184" s="778">
        <v>41849</v>
      </c>
      <c r="C184" s="779" t="s">
        <v>454</v>
      </c>
      <c r="D184" s="779"/>
      <c r="E184" s="779" t="s">
        <v>380</v>
      </c>
      <c r="F184" s="779" t="s">
        <v>310</v>
      </c>
      <c r="G184" s="779" t="s">
        <v>353</v>
      </c>
      <c r="H184" s="436"/>
      <c r="I184" s="436"/>
      <c r="J184" s="436"/>
      <c r="K184" s="436">
        <v>46</v>
      </c>
      <c r="L184" s="437">
        <v>46</v>
      </c>
      <c r="M184" s="437">
        <v>46</v>
      </c>
      <c r="N184" s="437">
        <v>16</v>
      </c>
      <c r="O184" s="437"/>
      <c r="P184" s="439">
        <v>16</v>
      </c>
      <c r="Q184" s="439">
        <v>142</v>
      </c>
      <c r="R184" s="436"/>
      <c r="S184" s="436"/>
      <c r="T184" s="436"/>
      <c r="U184" s="436"/>
      <c r="V184" s="436"/>
      <c r="W184" s="436">
        <f>IF(NFI_Expiration=1,IF($A184&lt;VLOOKUP(H$5,NFI,5,0),1,0)*Table_NFI[[#This Row],[Hygiene Kit]],Table_NFI[Hygiene Kit])</f>
        <v>0</v>
      </c>
      <c r="X184" s="436">
        <f>IF(NFI_Expiration=1,IF($A184&lt;VLOOKUP(I$5,NFI,5,0),1,0)*Table_NFI[[#This Row],[NFI Core Kit]],Table_NFI[NFI Core Kit])</f>
        <v>0</v>
      </c>
      <c r="Y184" s="436">
        <f>IF(NFI_Expiration=1,IF($A184&lt;VLOOKUP(J$5,NFI,5,0),1,0)*Table_NFI[[#This Row],[Sanitary Kit]],Table_NFI[Sanitary Kit])</f>
        <v>0</v>
      </c>
      <c r="Z184" s="436">
        <f>IF(NFI_Expiration=1,IF($A184&lt;VLOOKUP(K$5,NFI,5,0),1,0)*Table_NFI[[#This Row],[Mosquito net]],Table_NFI[Mosquito net])</f>
        <v>0</v>
      </c>
      <c r="AA184" s="436">
        <f>IF(NFI_Expiration=1,IF($A184&lt;VLOOKUP(L$5,NFI,5,0),1,0)*Table_NFI[[#This Row],[Tarpaulin]],Table_NFI[[#This Row],[Tarpaulin]])</f>
        <v>0</v>
      </c>
      <c r="AB184" s="436">
        <f>IF(NFI_Expiration=1,IF($A184&lt;VLOOKUP(M$5,NFI,5,0),1,0)*Table_NFI[[#This Row],[Blanket]],Table_NFI[[#This Row],[Blanket]])</f>
        <v>0</v>
      </c>
      <c r="AC184" s="436">
        <f>IF(NFI_Expiration=1,IF($A184&lt;VLOOKUP(N$5,NFI,5,0),1,0)*Table_NFI[[#This Row],[Kitchen Set]],Table_NFI[Kitchen Set])</f>
        <v>0</v>
      </c>
      <c r="AD184" s="436">
        <f>IF(NFI_Expiration=1,IF($A184&lt;VLOOKUP(O$5,NFI,5,0),1,0)*Table_NFI[[#This Row],[Clothes Kit]],Table_NFI[Clothes Kit])</f>
        <v>0</v>
      </c>
      <c r="AE184" s="436">
        <f>IF(NFI_Expiration=1,IF($A184&lt;VLOOKUP(P$5,NFI,5,0),1,0)*Table_NFI[[#This Row],[Plastic Bucket]],Table_NFI[Plastic Bucket])</f>
        <v>0</v>
      </c>
      <c r="AF184" s="436">
        <f>IF(NFI_Expiration=1,IF($A184&lt;VLOOKUP(Q$5,NFI,5,0),1,0)*Table_NFI[[#This Row],[Plastic Mat]],Table_NFI[Plastic Mat])*IF(Table_NFI[[#This Row],[Distribution Date]]&gt;"2014-04-01",1,2.5)</f>
        <v>0</v>
      </c>
      <c r="AG184" s="436">
        <f>IF(NFI_Expiration=1,IF($A184&lt;VLOOKUP(R$5,NFI,5,0),1,0)*Table_NFI[[#This Row],[Winter Clothes Adult]],Table_NFI[Winter Clothes Adult])</f>
        <v>0</v>
      </c>
      <c r="AH184" s="436">
        <f>IF(NFI_Expiration=1,IF($A184&lt;VLOOKUP(S$5,NFI,5,0),1,0)*Table_NFI[[#This Row],[Winter Clothes Children]],Table_NFI[Winter Clothes Children])</f>
        <v>0</v>
      </c>
      <c r="AI184" s="436">
        <f>IF(NFI_Expiration=1,IF($A184&lt;VLOOKUP(T$5,NFI,5,0),1,0)*Table_NFI[[#This Row],[Winter Items Other]],Table_NFI[Winter Items Other])</f>
        <v>0</v>
      </c>
      <c r="AJ184" s="436">
        <f>IF(NFI_Expiration=1,IF($A184&lt;VLOOKUP(M$5,NFI,5,0),1,0)*Table_NFI[[#This Row],[Winter Blanket]],Table_NFI[[#This Row],[Winter Blanket]])</f>
        <v>0</v>
      </c>
      <c r="AK184" s="436">
        <f>IF(Table_NFI[[#This Row],[Winter Clothes Adult]]+Table_NFI[[#This Row],[Winter Clothes Children]]+Table_NFI[[#This Row],[Winter Items Other]]+Table_NFI[[#This Row],[Winter Blanket]]&gt;0,1,0)</f>
        <v>0</v>
      </c>
      <c r="AL184" s="439">
        <f>IF(NFI_Expiration=1,IF($A184&lt;VLOOKUP(V$5,NFI,5,0),1,0)*Table_NFI[[#This Row],[Jerry Can]],Table_NFI[Jerry Can])</f>
        <v>0</v>
      </c>
      <c r="AM184" s="781" t="str">
        <f>IFERROR(VLOOKUP(Table_NFI[[#This Row],[Camp Name]],CL,2,0),"")</f>
        <v>MMR001CMP116</v>
      </c>
      <c r="AN184" s="782">
        <f ca="1">IF(Table_NFI[[#This Row],[Pcode]]="","",IF(OFFSET(CampList[Opening Date],MATCH(Table_NFI[[#This Row],[Pcode]],CampList[CP_Pcode],0)-1,0,1,1)&gt;=NFI_Monitor_Date,1,0))</f>
        <v>0</v>
      </c>
      <c r="AO184" s="781" t="str">
        <f>IFERROR(VLOOKUP(Table_NFI[[#This Row],[Camp Name]],CL,3,0),"")</f>
        <v>Open</v>
      </c>
      <c r="AP184" s="436" t="str">
        <f ca="1">IF(Table_NFI[[#This Row],[Pcode]]="","",OFFSET(CampList[Priority],MATCH(Table_NFI[[#This Row],[Pcode]],CampList[CP_Pcode],0)-1,0,1,1))</f>
        <v>P4</v>
      </c>
      <c r="AQ184" s="438">
        <f>IFERROR(Table_NFI[[#This Row],[Kitchen Set]]/VLOOKUP(Table_NFI[[#This Row],[Camp Name]],CL,4,0),"")</f>
        <v>1.1895910780669145E-2</v>
      </c>
      <c r="AR184" s="779"/>
      <c r="AS184" s="783"/>
    </row>
    <row r="185" spans="1:45" s="136" customFormat="1" x14ac:dyDescent="0.25">
      <c r="A185" s="455">
        <f t="shared" si="2"/>
        <v>15.466666666666667</v>
      </c>
      <c r="B185" s="778">
        <v>41845</v>
      </c>
      <c r="C185" s="779" t="s">
        <v>454</v>
      </c>
      <c r="D185" s="779"/>
      <c r="E185" s="779" t="s">
        <v>380</v>
      </c>
      <c r="F185" s="779" t="s">
        <v>5</v>
      </c>
      <c r="G185" s="779" t="s">
        <v>18</v>
      </c>
      <c r="H185" s="436"/>
      <c r="I185" s="436"/>
      <c r="J185" s="436"/>
      <c r="K185" s="436"/>
      <c r="L185" s="437">
        <v>7</v>
      </c>
      <c r="M185" s="437">
        <v>3</v>
      </c>
      <c r="N185" s="437"/>
      <c r="O185" s="437"/>
      <c r="P185" s="439">
        <v>4</v>
      </c>
      <c r="Q185" s="439">
        <v>9</v>
      </c>
      <c r="R185" s="436"/>
      <c r="S185" s="436"/>
      <c r="T185" s="436"/>
      <c r="U185" s="436"/>
      <c r="V185" s="436"/>
      <c r="W185" s="436">
        <f>IF(NFI_Expiration=1,IF($A185&lt;VLOOKUP(H$5,NFI,5,0),1,0)*Table_NFI[[#This Row],[Hygiene Kit]],Table_NFI[Hygiene Kit])</f>
        <v>0</v>
      </c>
      <c r="X185" s="436">
        <f>IF(NFI_Expiration=1,IF($A185&lt;VLOOKUP(I$5,NFI,5,0),1,0)*Table_NFI[[#This Row],[NFI Core Kit]],Table_NFI[NFI Core Kit])</f>
        <v>0</v>
      </c>
      <c r="Y185" s="436">
        <f>IF(NFI_Expiration=1,IF($A185&lt;VLOOKUP(J$5,NFI,5,0),1,0)*Table_NFI[[#This Row],[Sanitary Kit]],Table_NFI[Sanitary Kit])</f>
        <v>0</v>
      </c>
      <c r="Z185" s="436">
        <f>IF(NFI_Expiration=1,IF($A185&lt;VLOOKUP(K$5,NFI,5,0),1,0)*Table_NFI[[#This Row],[Mosquito net]],Table_NFI[Mosquito net])</f>
        <v>0</v>
      </c>
      <c r="AA185" s="436">
        <f>IF(NFI_Expiration=1,IF($A185&lt;VLOOKUP(L$5,NFI,5,0),1,0)*Table_NFI[[#This Row],[Tarpaulin]],Table_NFI[[#This Row],[Tarpaulin]])</f>
        <v>0</v>
      </c>
      <c r="AB185" s="436">
        <f>IF(NFI_Expiration=1,IF($A185&lt;VLOOKUP(M$5,NFI,5,0),1,0)*Table_NFI[[#This Row],[Blanket]],Table_NFI[[#This Row],[Blanket]])</f>
        <v>0</v>
      </c>
      <c r="AC185" s="436">
        <f>IF(NFI_Expiration=1,IF($A185&lt;VLOOKUP(N$5,NFI,5,0),1,0)*Table_NFI[[#This Row],[Kitchen Set]],Table_NFI[Kitchen Set])</f>
        <v>0</v>
      </c>
      <c r="AD185" s="436">
        <f>IF(NFI_Expiration=1,IF($A185&lt;VLOOKUP(O$5,NFI,5,0),1,0)*Table_NFI[[#This Row],[Clothes Kit]],Table_NFI[Clothes Kit])</f>
        <v>0</v>
      </c>
      <c r="AE185" s="436">
        <f>IF(NFI_Expiration=1,IF($A185&lt;VLOOKUP(P$5,NFI,5,0),1,0)*Table_NFI[[#This Row],[Plastic Bucket]],Table_NFI[Plastic Bucket])</f>
        <v>0</v>
      </c>
      <c r="AF185" s="436">
        <f>IF(NFI_Expiration=1,IF($A185&lt;VLOOKUP(Q$5,NFI,5,0),1,0)*Table_NFI[[#This Row],[Plastic Mat]],Table_NFI[Plastic Mat])*IF(Table_NFI[[#This Row],[Distribution Date]]&gt;"2014-04-01",1,2.5)</f>
        <v>0</v>
      </c>
      <c r="AG185" s="436">
        <f>IF(NFI_Expiration=1,IF($A185&lt;VLOOKUP(R$5,NFI,5,0),1,0)*Table_NFI[[#This Row],[Winter Clothes Adult]],Table_NFI[Winter Clothes Adult])</f>
        <v>0</v>
      </c>
      <c r="AH185" s="436">
        <f>IF(NFI_Expiration=1,IF($A185&lt;VLOOKUP(S$5,NFI,5,0),1,0)*Table_NFI[[#This Row],[Winter Clothes Children]],Table_NFI[Winter Clothes Children])</f>
        <v>0</v>
      </c>
      <c r="AI185" s="436">
        <f>IF(NFI_Expiration=1,IF($A185&lt;VLOOKUP(T$5,NFI,5,0),1,0)*Table_NFI[[#This Row],[Winter Items Other]],Table_NFI[Winter Items Other])</f>
        <v>0</v>
      </c>
      <c r="AJ185" s="436">
        <f>IF(NFI_Expiration=1,IF($A185&lt;VLOOKUP(M$5,NFI,5,0),1,0)*Table_NFI[[#This Row],[Winter Blanket]],Table_NFI[[#This Row],[Winter Blanket]])</f>
        <v>0</v>
      </c>
      <c r="AK185" s="436">
        <f>IF(Table_NFI[[#This Row],[Winter Clothes Adult]]+Table_NFI[[#This Row],[Winter Clothes Children]]+Table_NFI[[#This Row],[Winter Items Other]]+Table_NFI[[#This Row],[Winter Blanket]]&gt;0,1,0)</f>
        <v>0</v>
      </c>
      <c r="AL185" s="439">
        <f>IF(NFI_Expiration=1,IF($A185&lt;VLOOKUP(V$5,NFI,5,0),1,0)*Table_NFI[[#This Row],[Jerry Can]],Table_NFI[Jerry Can])</f>
        <v>0</v>
      </c>
      <c r="AM185" s="781" t="str">
        <f>IFERROR(VLOOKUP(Table_NFI[[#This Row],[Camp Name]],CL,2,0),"")</f>
        <v>MMR001CMP049</v>
      </c>
      <c r="AN185" s="782">
        <f ca="1">IF(Table_NFI[[#This Row],[Pcode]]="","",IF(OFFSET(CampList[Opening Date],MATCH(Table_NFI[[#This Row],[Pcode]],CampList[CP_Pcode],0)-1,0,1,1)&gt;=NFI_Monitor_Date,1,0))</f>
        <v>0</v>
      </c>
      <c r="AO185" s="781" t="str">
        <f>IFERROR(VLOOKUP(Table_NFI[[#This Row],[Camp Name]],CL,3,0),"")</f>
        <v>Open</v>
      </c>
      <c r="AP185" s="436" t="str">
        <f ca="1">IF(Table_NFI[[#This Row],[Pcode]]="","",OFFSET(CampList[Priority],MATCH(Table_NFI[[#This Row],[Pcode]],CampList[CP_Pcode],0)-1,0,1,1))</f>
        <v>P4</v>
      </c>
      <c r="AQ185" s="438">
        <f>IFERROR(Table_NFI[[#This Row],[Kitchen Set]]/VLOOKUP(Table_NFI[[#This Row],[Camp Name]],CL,4,0),"")</f>
        <v>0</v>
      </c>
      <c r="AR185" s="779"/>
      <c r="AS185" s="783"/>
    </row>
    <row r="186" spans="1:45" s="136" customFormat="1" x14ac:dyDescent="0.25">
      <c r="A186" s="455">
        <f t="shared" si="2"/>
        <v>15.6</v>
      </c>
      <c r="B186" s="778">
        <v>41841</v>
      </c>
      <c r="C186" s="779" t="s">
        <v>454</v>
      </c>
      <c r="D186" s="779"/>
      <c r="E186" s="779" t="s">
        <v>380</v>
      </c>
      <c r="F186" s="779" t="s">
        <v>5</v>
      </c>
      <c r="G186" s="779" t="s">
        <v>18</v>
      </c>
      <c r="H186" s="436"/>
      <c r="I186" s="436"/>
      <c r="J186" s="436"/>
      <c r="K186" s="436">
        <v>10</v>
      </c>
      <c r="L186" s="437">
        <v>36</v>
      </c>
      <c r="M186" s="437">
        <v>10</v>
      </c>
      <c r="N186" s="437">
        <v>5</v>
      </c>
      <c r="O186" s="437"/>
      <c r="P186" s="439">
        <v>33</v>
      </c>
      <c r="Q186" s="439">
        <v>117</v>
      </c>
      <c r="R186" s="436"/>
      <c r="S186" s="436"/>
      <c r="T186" s="436"/>
      <c r="U186" s="436"/>
      <c r="V186" s="436"/>
      <c r="W186" s="436">
        <f>IF(NFI_Expiration=1,IF($A186&lt;VLOOKUP(H$5,NFI,5,0),1,0)*Table_NFI[[#This Row],[Hygiene Kit]],Table_NFI[Hygiene Kit])</f>
        <v>0</v>
      </c>
      <c r="X186" s="436">
        <f>IF(NFI_Expiration=1,IF($A186&lt;VLOOKUP(I$5,NFI,5,0),1,0)*Table_NFI[[#This Row],[NFI Core Kit]],Table_NFI[NFI Core Kit])</f>
        <v>0</v>
      </c>
      <c r="Y186" s="436">
        <f>IF(NFI_Expiration=1,IF($A186&lt;VLOOKUP(J$5,NFI,5,0),1,0)*Table_NFI[[#This Row],[Sanitary Kit]],Table_NFI[Sanitary Kit])</f>
        <v>0</v>
      </c>
      <c r="Z186" s="436">
        <f>IF(NFI_Expiration=1,IF($A186&lt;VLOOKUP(K$5,NFI,5,0),1,0)*Table_NFI[[#This Row],[Mosquito net]],Table_NFI[Mosquito net])</f>
        <v>0</v>
      </c>
      <c r="AA186" s="436">
        <f>IF(NFI_Expiration=1,IF($A186&lt;VLOOKUP(L$5,NFI,5,0),1,0)*Table_NFI[[#This Row],[Tarpaulin]],Table_NFI[[#This Row],[Tarpaulin]])</f>
        <v>0</v>
      </c>
      <c r="AB186" s="436">
        <f>IF(NFI_Expiration=1,IF($A186&lt;VLOOKUP(M$5,NFI,5,0),1,0)*Table_NFI[[#This Row],[Blanket]],Table_NFI[[#This Row],[Blanket]])</f>
        <v>0</v>
      </c>
      <c r="AC186" s="436">
        <f>IF(NFI_Expiration=1,IF($A186&lt;VLOOKUP(N$5,NFI,5,0),1,0)*Table_NFI[[#This Row],[Kitchen Set]],Table_NFI[Kitchen Set])</f>
        <v>0</v>
      </c>
      <c r="AD186" s="436">
        <f>IF(NFI_Expiration=1,IF($A186&lt;VLOOKUP(O$5,NFI,5,0),1,0)*Table_NFI[[#This Row],[Clothes Kit]],Table_NFI[Clothes Kit])</f>
        <v>0</v>
      </c>
      <c r="AE186" s="436">
        <f>IF(NFI_Expiration=1,IF($A186&lt;VLOOKUP(P$5,NFI,5,0),1,0)*Table_NFI[[#This Row],[Plastic Bucket]],Table_NFI[Plastic Bucket])</f>
        <v>0</v>
      </c>
      <c r="AF186" s="436">
        <f>IF(NFI_Expiration=1,IF($A186&lt;VLOOKUP(Q$5,NFI,5,0),1,0)*Table_NFI[[#This Row],[Plastic Mat]],Table_NFI[Plastic Mat])*IF(Table_NFI[[#This Row],[Distribution Date]]&gt;"2014-04-01",1,2.5)</f>
        <v>0</v>
      </c>
      <c r="AG186" s="436">
        <f>IF(NFI_Expiration=1,IF($A186&lt;VLOOKUP(R$5,NFI,5,0),1,0)*Table_NFI[[#This Row],[Winter Clothes Adult]],Table_NFI[Winter Clothes Adult])</f>
        <v>0</v>
      </c>
      <c r="AH186" s="436">
        <f>IF(NFI_Expiration=1,IF($A186&lt;VLOOKUP(S$5,NFI,5,0),1,0)*Table_NFI[[#This Row],[Winter Clothes Children]],Table_NFI[Winter Clothes Children])</f>
        <v>0</v>
      </c>
      <c r="AI186" s="436">
        <f>IF(NFI_Expiration=1,IF($A186&lt;VLOOKUP(T$5,NFI,5,0),1,0)*Table_NFI[[#This Row],[Winter Items Other]],Table_NFI[Winter Items Other])</f>
        <v>0</v>
      </c>
      <c r="AJ186" s="436">
        <f>IF(NFI_Expiration=1,IF($A186&lt;VLOOKUP(M$5,NFI,5,0),1,0)*Table_NFI[[#This Row],[Winter Blanket]],Table_NFI[[#This Row],[Winter Blanket]])</f>
        <v>0</v>
      </c>
      <c r="AK186" s="436">
        <f>IF(Table_NFI[[#This Row],[Winter Clothes Adult]]+Table_NFI[[#This Row],[Winter Clothes Children]]+Table_NFI[[#This Row],[Winter Items Other]]+Table_NFI[[#This Row],[Winter Blanket]]&gt;0,1,0)</f>
        <v>0</v>
      </c>
      <c r="AL186" s="439">
        <f>IF(NFI_Expiration=1,IF($A186&lt;VLOOKUP(V$5,NFI,5,0),1,0)*Table_NFI[[#This Row],[Jerry Can]],Table_NFI[Jerry Can])</f>
        <v>0</v>
      </c>
      <c r="AM186" s="781" t="str">
        <f>IFERROR(VLOOKUP(Table_NFI[[#This Row],[Camp Name]],CL,2,0),"")</f>
        <v>MMR001CMP049</v>
      </c>
      <c r="AN186" s="782">
        <f ca="1">IF(Table_NFI[[#This Row],[Pcode]]="","",IF(OFFSET(CampList[Opening Date],MATCH(Table_NFI[[#This Row],[Pcode]],CampList[CP_Pcode],0)-1,0,1,1)&gt;=NFI_Monitor_Date,1,0))</f>
        <v>0</v>
      </c>
      <c r="AO186" s="781" t="str">
        <f>IFERROR(VLOOKUP(Table_NFI[[#This Row],[Camp Name]],CL,3,0),"")</f>
        <v>Open</v>
      </c>
      <c r="AP186" s="436" t="str">
        <f ca="1">IF(Table_NFI[[#This Row],[Pcode]]="","",OFFSET(CampList[Priority],MATCH(Table_NFI[[#This Row],[Pcode]],CampList[CP_Pcode],0)-1,0,1,1))</f>
        <v>P4</v>
      </c>
      <c r="AQ186" s="438">
        <f>IFERROR(Table_NFI[[#This Row],[Kitchen Set]]/VLOOKUP(Table_NFI[[#This Row],[Camp Name]],CL,4,0),"")</f>
        <v>4.3103448275862072E-2</v>
      </c>
      <c r="AR186" s="779"/>
      <c r="AS186" s="783"/>
    </row>
    <row r="187" spans="1:45" s="136" customFormat="1" x14ac:dyDescent="0.25">
      <c r="A187" s="455">
        <f t="shared" si="2"/>
        <v>15.6</v>
      </c>
      <c r="B187" s="778">
        <v>41841</v>
      </c>
      <c r="C187" s="779" t="s">
        <v>454</v>
      </c>
      <c r="D187" s="779"/>
      <c r="E187" s="779" t="s">
        <v>380</v>
      </c>
      <c r="F187" s="779" t="s">
        <v>185</v>
      </c>
      <c r="G187" s="779" t="s">
        <v>209</v>
      </c>
      <c r="H187" s="436"/>
      <c r="I187" s="436"/>
      <c r="J187" s="436"/>
      <c r="K187" s="436"/>
      <c r="L187" s="437">
        <v>75</v>
      </c>
      <c r="M187" s="437"/>
      <c r="N187" s="437"/>
      <c r="O187" s="437"/>
      <c r="P187" s="439"/>
      <c r="Q187" s="439"/>
      <c r="R187" s="436"/>
      <c r="S187" s="436"/>
      <c r="T187" s="436"/>
      <c r="U187" s="436"/>
      <c r="V187" s="436"/>
      <c r="W187" s="436">
        <f>IF(NFI_Expiration=1,IF($A187&lt;VLOOKUP(H$5,NFI,5,0),1,0)*Table_NFI[[#This Row],[Hygiene Kit]],Table_NFI[Hygiene Kit])</f>
        <v>0</v>
      </c>
      <c r="X187" s="436">
        <f>IF(NFI_Expiration=1,IF($A187&lt;VLOOKUP(I$5,NFI,5,0),1,0)*Table_NFI[[#This Row],[NFI Core Kit]],Table_NFI[NFI Core Kit])</f>
        <v>0</v>
      </c>
      <c r="Y187" s="436">
        <f>IF(NFI_Expiration=1,IF($A187&lt;VLOOKUP(J$5,NFI,5,0),1,0)*Table_NFI[[#This Row],[Sanitary Kit]],Table_NFI[Sanitary Kit])</f>
        <v>0</v>
      </c>
      <c r="Z187" s="436">
        <f>IF(NFI_Expiration=1,IF($A187&lt;VLOOKUP(K$5,NFI,5,0),1,0)*Table_NFI[[#This Row],[Mosquito net]],Table_NFI[Mosquito net])</f>
        <v>0</v>
      </c>
      <c r="AA187" s="436">
        <f>IF(NFI_Expiration=1,IF($A187&lt;VLOOKUP(L$5,NFI,5,0),1,0)*Table_NFI[[#This Row],[Tarpaulin]],Table_NFI[[#This Row],[Tarpaulin]])</f>
        <v>0</v>
      </c>
      <c r="AB187" s="436">
        <f>IF(NFI_Expiration=1,IF($A187&lt;VLOOKUP(M$5,NFI,5,0),1,0)*Table_NFI[[#This Row],[Blanket]],Table_NFI[[#This Row],[Blanket]])</f>
        <v>0</v>
      </c>
      <c r="AC187" s="436">
        <f>IF(NFI_Expiration=1,IF($A187&lt;VLOOKUP(N$5,NFI,5,0),1,0)*Table_NFI[[#This Row],[Kitchen Set]],Table_NFI[Kitchen Set])</f>
        <v>0</v>
      </c>
      <c r="AD187" s="436">
        <f>IF(NFI_Expiration=1,IF($A187&lt;VLOOKUP(O$5,NFI,5,0),1,0)*Table_NFI[[#This Row],[Clothes Kit]],Table_NFI[Clothes Kit])</f>
        <v>0</v>
      </c>
      <c r="AE187" s="436">
        <f>IF(NFI_Expiration=1,IF($A187&lt;VLOOKUP(P$5,NFI,5,0),1,0)*Table_NFI[[#This Row],[Plastic Bucket]],Table_NFI[Plastic Bucket])</f>
        <v>0</v>
      </c>
      <c r="AF187" s="436">
        <f>IF(NFI_Expiration=1,IF($A187&lt;VLOOKUP(Q$5,NFI,5,0),1,0)*Table_NFI[[#This Row],[Plastic Mat]],Table_NFI[Plastic Mat])*IF(Table_NFI[[#This Row],[Distribution Date]]&gt;"2014-04-01",1,2.5)</f>
        <v>0</v>
      </c>
      <c r="AG187" s="436">
        <f>IF(NFI_Expiration=1,IF($A187&lt;VLOOKUP(R$5,NFI,5,0),1,0)*Table_NFI[[#This Row],[Winter Clothes Adult]],Table_NFI[Winter Clothes Adult])</f>
        <v>0</v>
      </c>
      <c r="AH187" s="436">
        <f>IF(NFI_Expiration=1,IF($A187&lt;VLOOKUP(S$5,NFI,5,0),1,0)*Table_NFI[[#This Row],[Winter Clothes Children]],Table_NFI[Winter Clothes Children])</f>
        <v>0</v>
      </c>
      <c r="AI187" s="436">
        <f>IF(NFI_Expiration=1,IF($A187&lt;VLOOKUP(T$5,NFI,5,0),1,0)*Table_NFI[[#This Row],[Winter Items Other]],Table_NFI[Winter Items Other])</f>
        <v>0</v>
      </c>
      <c r="AJ187" s="436">
        <f>IF(NFI_Expiration=1,IF($A187&lt;VLOOKUP(M$5,NFI,5,0),1,0)*Table_NFI[[#This Row],[Winter Blanket]],Table_NFI[[#This Row],[Winter Blanket]])</f>
        <v>0</v>
      </c>
      <c r="AK187" s="436">
        <f>IF(Table_NFI[[#This Row],[Winter Clothes Adult]]+Table_NFI[[#This Row],[Winter Clothes Children]]+Table_NFI[[#This Row],[Winter Items Other]]+Table_NFI[[#This Row],[Winter Blanket]]&gt;0,1,0)</f>
        <v>0</v>
      </c>
      <c r="AL187" s="439">
        <f>IF(NFI_Expiration=1,IF($A187&lt;VLOOKUP(V$5,NFI,5,0),1,0)*Table_NFI[[#This Row],[Jerry Can]],Table_NFI[Jerry Can])</f>
        <v>0</v>
      </c>
      <c r="AM187" s="781" t="str">
        <f>IFERROR(VLOOKUP(Table_NFI[[#This Row],[Camp Name]],CL,2,0),"")</f>
        <v>MMR001CMP056</v>
      </c>
      <c r="AN187" s="782">
        <f ca="1">IF(Table_NFI[[#This Row],[Pcode]]="","",IF(OFFSET(CampList[Opening Date],MATCH(Table_NFI[[#This Row],[Pcode]],CampList[CP_Pcode],0)-1,0,1,1)&gt;=NFI_Monitor_Date,1,0))</f>
        <v>0</v>
      </c>
      <c r="AO187" s="781" t="str">
        <f>IFERROR(VLOOKUP(Table_NFI[[#This Row],[Camp Name]],CL,3,0),"")</f>
        <v>Open</v>
      </c>
      <c r="AP187" s="436" t="str">
        <f ca="1">IF(Table_NFI[[#This Row],[Pcode]]="","",OFFSET(CampList[Priority],MATCH(Table_NFI[[#This Row],[Pcode]],CampList[CP_Pcode],0)-1,0,1,1))</f>
        <v>P4</v>
      </c>
      <c r="AQ187" s="438">
        <f>IFERROR(Table_NFI[[#This Row],[Kitchen Set]]/VLOOKUP(Table_NFI[[#This Row],[Camp Name]],CL,4,0),"")</f>
        <v>0</v>
      </c>
      <c r="AR187" s="779"/>
      <c r="AS187" s="783"/>
    </row>
    <row r="188" spans="1:45" s="136" customFormat="1" x14ac:dyDescent="0.25">
      <c r="A188" s="455">
        <f t="shared" si="2"/>
        <v>16</v>
      </c>
      <c r="B188" s="778">
        <v>41829</v>
      </c>
      <c r="C188" s="779" t="s">
        <v>454</v>
      </c>
      <c r="D188" s="779"/>
      <c r="E188" s="779" t="s">
        <v>380</v>
      </c>
      <c r="F188" s="779" t="s">
        <v>151</v>
      </c>
      <c r="G188" s="779" t="s">
        <v>891</v>
      </c>
      <c r="H188" s="436"/>
      <c r="I188" s="436"/>
      <c r="J188" s="436"/>
      <c r="K188" s="436"/>
      <c r="L188" s="437"/>
      <c r="M188" s="437">
        <v>10</v>
      </c>
      <c r="N188" s="437"/>
      <c r="O188" s="437"/>
      <c r="P188" s="439"/>
      <c r="Q188" s="439"/>
      <c r="R188" s="436"/>
      <c r="S188" s="436"/>
      <c r="T188" s="436"/>
      <c r="U188" s="436"/>
      <c r="V188" s="436"/>
      <c r="W188" s="436">
        <f>IF(NFI_Expiration=1,IF($A188&lt;VLOOKUP(H$5,NFI,5,0),1,0)*Table_NFI[[#This Row],[Hygiene Kit]],Table_NFI[Hygiene Kit])</f>
        <v>0</v>
      </c>
      <c r="X188" s="436">
        <f>IF(NFI_Expiration=1,IF($A188&lt;VLOOKUP(I$5,NFI,5,0),1,0)*Table_NFI[[#This Row],[NFI Core Kit]],Table_NFI[NFI Core Kit])</f>
        <v>0</v>
      </c>
      <c r="Y188" s="436">
        <f>IF(NFI_Expiration=1,IF($A188&lt;VLOOKUP(J$5,NFI,5,0),1,0)*Table_NFI[[#This Row],[Sanitary Kit]],Table_NFI[Sanitary Kit])</f>
        <v>0</v>
      </c>
      <c r="Z188" s="436">
        <f>IF(NFI_Expiration=1,IF($A188&lt;VLOOKUP(K$5,NFI,5,0),1,0)*Table_NFI[[#This Row],[Mosquito net]],Table_NFI[Mosquito net])</f>
        <v>0</v>
      </c>
      <c r="AA188" s="436">
        <f>IF(NFI_Expiration=1,IF($A188&lt;VLOOKUP(L$5,NFI,5,0),1,0)*Table_NFI[[#This Row],[Tarpaulin]],Table_NFI[[#This Row],[Tarpaulin]])</f>
        <v>0</v>
      </c>
      <c r="AB188" s="436">
        <f>IF(NFI_Expiration=1,IF($A188&lt;VLOOKUP(M$5,NFI,5,0),1,0)*Table_NFI[[#This Row],[Blanket]],Table_NFI[[#This Row],[Blanket]])</f>
        <v>0</v>
      </c>
      <c r="AC188" s="436">
        <f>IF(NFI_Expiration=1,IF($A188&lt;VLOOKUP(N$5,NFI,5,0),1,0)*Table_NFI[[#This Row],[Kitchen Set]],Table_NFI[Kitchen Set])</f>
        <v>0</v>
      </c>
      <c r="AD188" s="436">
        <f>IF(NFI_Expiration=1,IF($A188&lt;VLOOKUP(O$5,NFI,5,0),1,0)*Table_NFI[[#This Row],[Clothes Kit]],Table_NFI[Clothes Kit])</f>
        <v>0</v>
      </c>
      <c r="AE188" s="436">
        <f>IF(NFI_Expiration=1,IF($A188&lt;VLOOKUP(P$5,NFI,5,0),1,0)*Table_NFI[[#This Row],[Plastic Bucket]],Table_NFI[Plastic Bucket])</f>
        <v>0</v>
      </c>
      <c r="AF188" s="436">
        <f>IF(NFI_Expiration=1,IF($A188&lt;VLOOKUP(Q$5,NFI,5,0),1,0)*Table_NFI[[#This Row],[Plastic Mat]],Table_NFI[Plastic Mat])*IF(Table_NFI[[#This Row],[Distribution Date]]&gt;"2014-04-01",1,2.5)</f>
        <v>0</v>
      </c>
      <c r="AG188" s="436">
        <f>IF(NFI_Expiration=1,IF($A188&lt;VLOOKUP(R$5,NFI,5,0),1,0)*Table_NFI[[#This Row],[Winter Clothes Adult]],Table_NFI[Winter Clothes Adult])</f>
        <v>0</v>
      </c>
      <c r="AH188" s="436">
        <f>IF(NFI_Expiration=1,IF($A188&lt;VLOOKUP(S$5,NFI,5,0),1,0)*Table_NFI[[#This Row],[Winter Clothes Children]],Table_NFI[Winter Clothes Children])</f>
        <v>0</v>
      </c>
      <c r="AI188" s="436">
        <f>IF(NFI_Expiration=1,IF($A188&lt;VLOOKUP(T$5,NFI,5,0),1,0)*Table_NFI[[#This Row],[Winter Items Other]],Table_NFI[Winter Items Other])</f>
        <v>0</v>
      </c>
      <c r="AJ188" s="436">
        <f>IF(NFI_Expiration=1,IF($A188&lt;VLOOKUP(M$5,NFI,5,0),1,0)*Table_NFI[[#This Row],[Winter Blanket]],Table_NFI[[#This Row],[Winter Blanket]])</f>
        <v>0</v>
      </c>
      <c r="AK188" s="436">
        <f>IF(Table_NFI[[#This Row],[Winter Clothes Adult]]+Table_NFI[[#This Row],[Winter Clothes Children]]+Table_NFI[[#This Row],[Winter Items Other]]+Table_NFI[[#This Row],[Winter Blanket]]&gt;0,1,0)</f>
        <v>0</v>
      </c>
      <c r="AL188" s="439">
        <f>IF(NFI_Expiration=1,IF($A188&lt;VLOOKUP(V$5,NFI,5,0),1,0)*Table_NFI[[#This Row],[Jerry Can]],Table_NFI[Jerry Can])</f>
        <v>0</v>
      </c>
      <c r="AM188" s="781" t="str">
        <f>IFERROR(VLOOKUP(Table_NFI[[#This Row],[Camp Name]],CL,2,0),"")</f>
        <v>MMR001CMP218</v>
      </c>
      <c r="AN188" s="782">
        <f ca="1">IF(Table_NFI[[#This Row],[Pcode]]="","",IF(OFFSET(CampList[Opening Date],MATCH(Table_NFI[[#This Row],[Pcode]],CampList[CP_Pcode],0)-1,0,1,1)&gt;=NFI_Monitor_Date,1,0))</f>
        <v>0</v>
      </c>
      <c r="AO188" s="781" t="str">
        <f>IFERROR(VLOOKUP(Table_NFI[[#This Row],[Camp Name]],CL,3,0),"")</f>
        <v>Open</v>
      </c>
      <c r="AP188" s="436" t="str">
        <f ca="1">IF(Table_NFI[[#This Row],[Pcode]]="","",OFFSET(CampList[Priority],MATCH(Table_NFI[[#This Row],[Pcode]],CampList[CP_Pcode],0)-1,0,1,1))</f>
        <v>P4</v>
      </c>
      <c r="AQ188" s="438">
        <f>IFERROR(Table_NFI[[#This Row],[Kitchen Set]]/VLOOKUP(Table_NFI[[#This Row],[Camp Name]],CL,4,0),"")</f>
        <v>0</v>
      </c>
      <c r="AR188" s="779"/>
      <c r="AS188" s="783"/>
    </row>
    <row r="189" spans="1:45" s="136" customFormat="1" x14ac:dyDescent="0.25">
      <c r="A189" s="455">
        <f t="shared" si="2"/>
        <v>16</v>
      </c>
      <c r="B189" s="778">
        <v>41829</v>
      </c>
      <c r="C189" s="779" t="s">
        <v>454</v>
      </c>
      <c r="D189" s="779"/>
      <c r="E189" s="779" t="s">
        <v>380</v>
      </c>
      <c r="F189" s="779" t="s">
        <v>151</v>
      </c>
      <c r="G189" s="779" t="s">
        <v>949</v>
      </c>
      <c r="H189" s="436"/>
      <c r="I189" s="436"/>
      <c r="J189" s="436"/>
      <c r="K189" s="436">
        <v>35</v>
      </c>
      <c r="L189" s="437">
        <v>13</v>
      </c>
      <c r="M189" s="437">
        <v>70</v>
      </c>
      <c r="N189" s="437">
        <v>13</v>
      </c>
      <c r="O189" s="437"/>
      <c r="P189" s="439">
        <v>13</v>
      </c>
      <c r="Q189" s="439">
        <v>25</v>
      </c>
      <c r="R189" s="436"/>
      <c r="S189" s="436"/>
      <c r="T189" s="436"/>
      <c r="U189" s="436"/>
      <c r="V189" s="436"/>
      <c r="W189" s="436">
        <f>IF(NFI_Expiration=1,IF($A189&lt;VLOOKUP(H$5,NFI,5,0),1,0)*Table_NFI[[#This Row],[Hygiene Kit]],Table_NFI[Hygiene Kit])</f>
        <v>0</v>
      </c>
      <c r="X189" s="436">
        <f>IF(NFI_Expiration=1,IF($A189&lt;VLOOKUP(I$5,NFI,5,0),1,0)*Table_NFI[[#This Row],[NFI Core Kit]],Table_NFI[NFI Core Kit])</f>
        <v>0</v>
      </c>
      <c r="Y189" s="436">
        <f>IF(NFI_Expiration=1,IF($A189&lt;VLOOKUP(J$5,NFI,5,0),1,0)*Table_NFI[[#This Row],[Sanitary Kit]],Table_NFI[Sanitary Kit])</f>
        <v>0</v>
      </c>
      <c r="Z189" s="436">
        <f>IF(NFI_Expiration=1,IF($A189&lt;VLOOKUP(K$5,NFI,5,0),1,0)*Table_NFI[[#This Row],[Mosquito net]],Table_NFI[Mosquito net])</f>
        <v>0</v>
      </c>
      <c r="AA189" s="436">
        <f>IF(NFI_Expiration=1,IF($A189&lt;VLOOKUP(L$5,NFI,5,0),1,0)*Table_NFI[[#This Row],[Tarpaulin]],Table_NFI[[#This Row],[Tarpaulin]])</f>
        <v>0</v>
      </c>
      <c r="AB189" s="436">
        <f>IF(NFI_Expiration=1,IF($A189&lt;VLOOKUP(M$5,NFI,5,0),1,0)*Table_NFI[[#This Row],[Blanket]],Table_NFI[[#This Row],[Blanket]])</f>
        <v>0</v>
      </c>
      <c r="AC189" s="436">
        <f>IF(NFI_Expiration=1,IF($A189&lt;VLOOKUP(N$5,NFI,5,0),1,0)*Table_NFI[[#This Row],[Kitchen Set]],Table_NFI[Kitchen Set])</f>
        <v>0</v>
      </c>
      <c r="AD189" s="436">
        <f>IF(NFI_Expiration=1,IF($A189&lt;VLOOKUP(O$5,NFI,5,0),1,0)*Table_NFI[[#This Row],[Clothes Kit]],Table_NFI[Clothes Kit])</f>
        <v>0</v>
      </c>
      <c r="AE189" s="436">
        <f>IF(NFI_Expiration=1,IF($A189&lt;VLOOKUP(P$5,NFI,5,0),1,0)*Table_NFI[[#This Row],[Plastic Bucket]],Table_NFI[Plastic Bucket])</f>
        <v>0</v>
      </c>
      <c r="AF189" s="436">
        <f>IF(NFI_Expiration=1,IF($A189&lt;VLOOKUP(Q$5,NFI,5,0),1,0)*Table_NFI[[#This Row],[Plastic Mat]],Table_NFI[Plastic Mat])*IF(Table_NFI[[#This Row],[Distribution Date]]&gt;"2014-04-01",1,2.5)</f>
        <v>0</v>
      </c>
      <c r="AG189" s="436">
        <f>IF(NFI_Expiration=1,IF($A189&lt;VLOOKUP(R$5,NFI,5,0),1,0)*Table_NFI[[#This Row],[Winter Clothes Adult]],Table_NFI[Winter Clothes Adult])</f>
        <v>0</v>
      </c>
      <c r="AH189" s="436">
        <f>IF(NFI_Expiration=1,IF($A189&lt;VLOOKUP(S$5,NFI,5,0),1,0)*Table_NFI[[#This Row],[Winter Clothes Children]],Table_NFI[Winter Clothes Children])</f>
        <v>0</v>
      </c>
      <c r="AI189" s="436">
        <f>IF(NFI_Expiration=1,IF($A189&lt;VLOOKUP(T$5,NFI,5,0),1,0)*Table_NFI[[#This Row],[Winter Items Other]],Table_NFI[Winter Items Other])</f>
        <v>0</v>
      </c>
      <c r="AJ189" s="436">
        <f>IF(NFI_Expiration=1,IF($A189&lt;VLOOKUP(M$5,NFI,5,0),1,0)*Table_NFI[[#This Row],[Winter Blanket]],Table_NFI[[#This Row],[Winter Blanket]])</f>
        <v>0</v>
      </c>
      <c r="AK189" s="436">
        <f>IF(Table_NFI[[#This Row],[Winter Clothes Adult]]+Table_NFI[[#This Row],[Winter Clothes Children]]+Table_NFI[[#This Row],[Winter Items Other]]+Table_NFI[[#This Row],[Winter Blanket]]&gt;0,1,0)</f>
        <v>0</v>
      </c>
      <c r="AL189" s="439">
        <f>IF(NFI_Expiration=1,IF($A189&lt;VLOOKUP(V$5,NFI,5,0),1,0)*Table_NFI[[#This Row],[Jerry Can]],Table_NFI[Jerry Can])</f>
        <v>0</v>
      </c>
      <c r="AM189" s="781" t="str">
        <f>IFERROR(VLOOKUP(Table_NFI[[#This Row],[Camp Name]],CL,2,0),"")</f>
        <v>MMR001CMP223</v>
      </c>
      <c r="AN189" s="782">
        <f ca="1">IF(Table_NFI[[#This Row],[Pcode]]="","",IF(OFFSET(CampList[Opening Date],MATCH(Table_NFI[[#This Row],[Pcode]],CampList[CP_Pcode],0)-1,0,1,1)&gt;=NFI_Monitor_Date,1,0))</f>
        <v>0</v>
      </c>
      <c r="AO189" s="781" t="str">
        <f>IFERROR(VLOOKUP(Table_NFI[[#This Row],[Camp Name]],CL,3,0),"")</f>
        <v>Open</v>
      </c>
      <c r="AP189" s="436" t="str">
        <f ca="1">IF(Table_NFI[[#This Row],[Pcode]]="","",OFFSET(CampList[Priority],MATCH(Table_NFI[[#This Row],[Pcode]],CampList[CP_Pcode],0)-1,0,1,1))</f>
        <v>P4</v>
      </c>
      <c r="AQ189" s="438">
        <f>IFERROR(Table_NFI[[#This Row],[Kitchen Set]]/VLOOKUP(Table_NFI[[#This Row],[Camp Name]],CL,4,0),"")</f>
        <v>0.10743801652892562</v>
      </c>
      <c r="AR189" s="779"/>
      <c r="AS189" s="783"/>
    </row>
    <row r="190" spans="1:45" s="136" customFormat="1" x14ac:dyDescent="0.25">
      <c r="A190" s="455">
        <f t="shared" si="2"/>
        <v>16.133333333333333</v>
      </c>
      <c r="B190" s="778">
        <v>41825</v>
      </c>
      <c r="C190" s="779" t="s">
        <v>1113</v>
      </c>
      <c r="D190" s="779" t="s">
        <v>907</v>
      </c>
      <c r="E190" s="779" t="s">
        <v>380</v>
      </c>
      <c r="F190" s="779" t="s">
        <v>310</v>
      </c>
      <c r="G190" s="779" t="s">
        <v>316</v>
      </c>
      <c r="H190" s="436"/>
      <c r="I190" s="436"/>
      <c r="J190" s="436"/>
      <c r="K190" s="436"/>
      <c r="L190" s="437"/>
      <c r="M190" s="437"/>
      <c r="N190" s="437"/>
      <c r="O190" s="437"/>
      <c r="P190" s="439"/>
      <c r="Q190" s="439"/>
      <c r="R190" s="436"/>
      <c r="S190" s="436"/>
      <c r="T190" s="436"/>
      <c r="U190" s="436">
        <v>124</v>
      </c>
      <c r="V190" s="436"/>
      <c r="W190" s="448">
        <f>IF(NFI_Expiration=1,IF($A190&lt;VLOOKUP(H$5,NFI,5,0),1,0)*Table_NFI[[#This Row],[Hygiene Kit]],Table_NFI[Hygiene Kit])</f>
        <v>0</v>
      </c>
      <c r="X190" s="448">
        <f>IF(NFI_Expiration=1,IF($A190&lt;VLOOKUP(I$5,NFI,5,0),1,0)*Table_NFI[[#This Row],[NFI Core Kit]],Table_NFI[NFI Core Kit])</f>
        <v>0</v>
      </c>
      <c r="Y190" s="448">
        <f>IF(NFI_Expiration=1,IF($A190&lt;VLOOKUP(J$5,NFI,5,0),1,0)*Table_NFI[[#This Row],[Sanitary Kit]],Table_NFI[Sanitary Kit])</f>
        <v>0</v>
      </c>
      <c r="Z190" s="448">
        <f>IF(NFI_Expiration=1,IF($A190&lt;VLOOKUP(K$5,NFI,5,0),1,0)*Table_NFI[[#This Row],[Mosquito net]],Table_NFI[Mosquito net])</f>
        <v>0</v>
      </c>
      <c r="AA190" s="448">
        <f>IF(NFI_Expiration=1,IF($A190&lt;VLOOKUP(L$5,NFI,5,0),1,0)*Table_NFI[[#This Row],[Tarpaulin]],Table_NFI[[#This Row],[Tarpaulin]])</f>
        <v>0</v>
      </c>
      <c r="AB190" s="448">
        <f>IF(NFI_Expiration=1,IF($A190&lt;VLOOKUP(M$5,NFI,5,0),1,0)*Table_NFI[[#This Row],[Blanket]],Table_NFI[[#This Row],[Blanket]])</f>
        <v>0</v>
      </c>
      <c r="AC190" s="448">
        <f>IF(NFI_Expiration=1,IF($A190&lt;VLOOKUP(N$5,NFI,5,0),1,0)*Table_NFI[[#This Row],[Kitchen Set]],Table_NFI[Kitchen Set])</f>
        <v>0</v>
      </c>
      <c r="AD190" s="448">
        <f>IF(NFI_Expiration=1,IF($A190&lt;VLOOKUP(O$5,NFI,5,0),1,0)*Table_NFI[[#This Row],[Clothes Kit]],Table_NFI[Clothes Kit])</f>
        <v>0</v>
      </c>
      <c r="AE190" s="448">
        <f>IF(NFI_Expiration=1,IF($A190&lt;VLOOKUP(P$5,NFI,5,0),1,0)*Table_NFI[[#This Row],[Plastic Bucket]],Table_NFI[Plastic Bucket])</f>
        <v>0</v>
      </c>
      <c r="AF190" s="448">
        <f>IF(NFI_Expiration=1,IF($A190&lt;VLOOKUP(Q$5,NFI,5,0),1,0)*Table_NFI[[#This Row],[Plastic Mat]],Table_NFI[Plastic Mat])*IF(Table_NFI[[#This Row],[Distribution Date]]&gt;"2014-04-01",1,2.5)</f>
        <v>0</v>
      </c>
      <c r="AG190" s="448">
        <f>IF(NFI_Expiration=1,IF($A190&lt;VLOOKUP(R$5,NFI,5,0),1,0)*Table_NFI[[#This Row],[Winter Clothes Adult]],Table_NFI[Winter Clothes Adult])</f>
        <v>0</v>
      </c>
      <c r="AH190" s="448">
        <f>IF(NFI_Expiration=1,IF($A190&lt;VLOOKUP(S$5,NFI,5,0),1,0)*Table_NFI[[#This Row],[Winter Clothes Children]],Table_NFI[Winter Clothes Children])</f>
        <v>0</v>
      </c>
      <c r="AI190" s="448">
        <f>IF(NFI_Expiration=1,IF($A190&lt;VLOOKUP(T$5,NFI,5,0),1,0)*Table_NFI[[#This Row],[Winter Items Other]],Table_NFI[Winter Items Other])</f>
        <v>0</v>
      </c>
      <c r="AJ190" s="448">
        <f>IF(NFI_Expiration=1,IF($A190&lt;VLOOKUP(M$5,NFI,5,0),1,0)*Table_NFI[[#This Row],[Winter Blanket]],Table_NFI[[#This Row],[Winter Blanket]])</f>
        <v>0</v>
      </c>
      <c r="AK190" s="448">
        <f>IF(Table_NFI[[#This Row],[Winter Clothes Adult]]+Table_NFI[[#This Row],[Winter Clothes Children]]+Table_NFI[[#This Row],[Winter Items Other]]+Table_NFI[[#This Row],[Winter Blanket]]&gt;0,1,0)</f>
        <v>1</v>
      </c>
      <c r="AL190" s="439">
        <f>IF(NFI_Expiration=1,IF($A190&lt;VLOOKUP(V$5,NFI,5,0),1,0)*Table_NFI[[#This Row],[Jerry Can]],Table_NFI[Jerry Can])</f>
        <v>0</v>
      </c>
      <c r="AM190" s="797" t="str">
        <f>IFERROR(VLOOKUP(Table_NFI[[#This Row],[Camp Name]],CL,2,0),"")</f>
        <v>MMR001CMP038</v>
      </c>
      <c r="AN190" s="798">
        <f ca="1">IF(Table_NFI[[#This Row],[Pcode]]="","",IF(OFFSET(CampList[Opening Date],MATCH(Table_NFI[[#This Row],[Pcode]],CampList[CP_Pcode],0)-1,0,1,1)&gt;=NFI_Monitor_Date,1,0))</f>
        <v>0</v>
      </c>
      <c r="AO190" s="797" t="str">
        <f>IFERROR(VLOOKUP(Table_NFI[[#This Row],[Camp Name]],CL,3,0),"")</f>
        <v>Open</v>
      </c>
      <c r="AP190" s="448" t="str">
        <f ca="1">IF(Table_NFI[[#This Row],[Pcode]]="","",OFFSET(CampList[Priority],MATCH(Table_NFI[[#This Row],[Pcode]],CampList[CP_Pcode],0)-1,0,1,1))</f>
        <v>P4</v>
      </c>
      <c r="AQ190" s="449">
        <f>IFERROR(Table_NFI[[#This Row],[Kitchen Set]]/VLOOKUP(Table_NFI[[#This Row],[Camp Name]],CL,4,0),"")</f>
        <v>0</v>
      </c>
      <c r="AR190" s="799"/>
      <c r="AS190" s="783"/>
    </row>
    <row r="191" spans="1:45" s="136" customFormat="1" x14ac:dyDescent="0.25">
      <c r="A191" s="455">
        <f t="shared" si="2"/>
        <v>16.2</v>
      </c>
      <c r="B191" s="778">
        <v>41823</v>
      </c>
      <c r="C191" s="779" t="s">
        <v>454</v>
      </c>
      <c r="D191" s="779"/>
      <c r="E191" s="779" t="s">
        <v>380</v>
      </c>
      <c r="F191" s="779" t="s">
        <v>151</v>
      </c>
      <c r="G191" s="779" t="s">
        <v>891</v>
      </c>
      <c r="H191" s="436"/>
      <c r="I191" s="436"/>
      <c r="J191" s="436"/>
      <c r="K191" s="436"/>
      <c r="L191" s="437"/>
      <c r="M191" s="437">
        <v>9</v>
      </c>
      <c r="N191" s="437"/>
      <c r="O191" s="437"/>
      <c r="P191" s="439">
        <v>19</v>
      </c>
      <c r="Q191" s="439">
        <v>1</v>
      </c>
      <c r="R191" s="436"/>
      <c r="S191" s="436"/>
      <c r="T191" s="436"/>
      <c r="U191" s="436"/>
      <c r="V191" s="436"/>
      <c r="W191" s="436">
        <f>IF(NFI_Expiration=1,IF($A191&lt;VLOOKUP(H$5,NFI,5,0),1,0)*Table_NFI[[#This Row],[Hygiene Kit]],Table_NFI[Hygiene Kit])</f>
        <v>0</v>
      </c>
      <c r="X191" s="436">
        <f>IF(NFI_Expiration=1,IF($A191&lt;VLOOKUP(I$5,NFI,5,0),1,0)*Table_NFI[[#This Row],[NFI Core Kit]],Table_NFI[NFI Core Kit])</f>
        <v>0</v>
      </c>
      <c r="Y191" s="436">
        <f>IF(NFI_Expiration=1,IF($A191&lt;VLOOKUP(J$5,NFI,5,0),1,0)*Table_NFI[[#This Row],[Sanitary Kit]],Table_NFI[Sanitary Kit])</f>
        <v>0</v>
      </c>
      <c r="Z191" s="436">
        <f>IF(NFI_Expiration=1,IF($A191&lt;VLOOKUP(K$5,NFI,5,0),1,0)*Table_NFI[[#This Row],[Mosquito net]],Table_NFI[Mosquito net])</f>
        <v>0</v>
      </c>
      <c r="AA191" s="436">
        <f>IF(NFI_Expiration=1,IF($A191&lt;VLOOKUP(L$5,NFI,5,0),1,0)*Table_NFI[[#This Row],[Tarpaulin]],Table_NFI[[#This Row],[Tarpaulin]])</f>
        <v>0</v>
      </c>
      <c r="AB191" s="436">
        <f>IF(NFI_Expiration=1,IF($A191&lt;VLOOKUP(M$5,NFI,5,0),1,0)*Table_NFI[[#This Row],[Blanket]],Table_NFI[[#This Row],[Blanket]])</f>
        <v>0</v>
      </c>
      <c r="AC191" s="436">
        <f>IF(NFI_Expiration=1,IF($A191&lt;VLOOKUP(N$5,NFI,5,0),1,0)*Table_NFI[[#This Row],[Kitchen Set]],Table_NFI[Kitchen Set])</f>
        <v>0</v>
      </c>
      <c r="AD191" s="436">
        <f>IF(NFI_Expiration=1,IF($A191&lt;VLOOKUP(O$5,NFI,5,0),1,0)*Table_NFI[[#This Row],[Clothes Kit]],Table_NFI[Clothes Kit])</f>
        <v>0</v>
      </c>
      <c r="AE191" s="436">
        <f>IF(NFI_Expiration=1,IF($A191&lt;VLOOKUP(P$5,NFI,5,0),1,0)*Table_NFI[[#This Row],[Plastic Bucket]],Table_NFI[Plastic Bucket])</f>
        <v>0</v>
      </c>
      <c r="AF191" s="436">
        <f>IF(NFI_Expiration=1,IF($A191&lt;VLOOKUP(Q$5,NFI,5,0),1,0)*Table_NFI[[#This Row],[Plastic Mat]],Table_NFI[Plastic Mat])*IF(Table_NFI[[#This Row],[Distribution Date]]&gt;"2014-04-01",1,2.5)</f>
        <v>0</v>
      </c>
      <c r="AG191" s="436">
        <f>IF(NFI_Expiration=1,IF($A191&lt;VLOOKUP(R$5,NFI,5,0),1,0)*Table_NFI[[#This Row],[Winter Clothes Adult]],Table_NFI[Winter Clothes Adult])</f>
        <v>0</v>
      </c>
      <c r="AH191" s="436">
        <f>IF(NFI_Expiration=1,IF($A191&lt;VLOOKUP(S$5,NFI,5,0),1,0)*Table_NFI[[#This Row],[Winter Clothes Children]],Table_NFI[Winter Clothes Children])</f>
        <v>0</v>
      </c>
      <c r="AI191" s="436">
        <f>IF(NFI_Expiration=1,IF($A191&lt;VLOOKUP(T$5,NFI,5,0),1,0)*Table_NFI[[#This Row],[Winter Items Other]],Table_NFI[Winter Items Other])</f>
        <v>0</v>
      </c>
      <c r="AJ191" s="436">
        <f>IF(NFI_Expiration=1,IF($A191&lt;VLOOKUP(M$5,NFI,5,0),1,0)*Table_NFI[[#This Row],[Winter Blanket]],Table_NFI[[#This Row],[Winter Blanket]])</f>
        <v>0</v>
      </c>
      <c r="AK191" s="436">
        <f>IF(Table_NFI[[#This Row],[Winter Clothes Adult]]+Table_NFI[[#This Row],[Winter Clothes Children]]+Table_NFI[[#This Row],[Winter Items Other]]+Table_NFI[[#This Row],[Winter Blanket]]&gt;0,1,0)</f>
        <v>0</v>
      </c>
      <c r="AL191" s="439">
        <f>IF(NFI_Expiration=1,IF($A191&lt;VLOOKUP(V$5,NFI,5,0),1,0)*Table_NFI[[#This Row],[Jerry Can]],Table_NFI[Jerry Can])</f>
        <v>0</v>
      </c>
      <c r="AM191" s="781" t="str">
        <f>IFERROR(VLOOKUP(Table_NFI[[#This Row],[Camp Name]],CL,2,0),"")</f>
        <v>MMR001CMP218</v>
      </c>
      <c r="AN191" s="782">
        <f ca="1">IF(Table_NFI[[#This Row],[Pcode]]="","",IF(OFFSET(CampList[Opening Date],MATCH(Table_NFI[[#This Row],[Pcode]],CampList[CP_Pcode],0)-1,0,1,1)&gt;=NFI_Monitor_Date,1,0))</f>
        <v>0</v>
      </c>
      <c r="AO191" s="781" t="str">
        <f>IFERROR(VLOOKUP(Table_NFI[[#This Row],[Camp Name]],CL,3,0),"")</f>
        <v>Open</v>
      </c>
      <c r="AP191" s="436" t="str">
        <f ca="1">IF(Table_NFI[[#This Row],[Pcode]]="","",OFFSET(CampList[Priority],MATCH(Table_NFI[[#This Row],[Pcode]],CampList[CP_Pcode],0)-1,0,1,1))</f>
        <v>P4</v>
      </c>
      <c r="AQ191" s="438">
        <f>IFERROR(Table_NFI[[#This Row],[Kitchen Set]]/VLOOKUP(Table_NFI[[#This Row],[Camp Name]],CL,4,0),"")</f>
        <v>0</v>
      </c>
      <c r="AR191" s="779"/>
      <c r="AS191" s="783"/>
    </row>
    <row r="192" spans="1:45" s="136" customFormat="1" x14ac:dyDescent="0.25">
      <c r="A192" s="455">
        <f t="shared" si="2"/>
        <v>16.2</v>
      </c>
      <c r="B192" s="778">
        <v>41823</v>
      </c>
      <c r="C192" s="779" t="s">
        <v>454</v>
      </c>
      <c r="D192" s="779"/>
      <c r="E192" s="779" t="s">
        <v>380</v>
      </c>
      <c r="F192" s="779" t="s">
        <v>151</v>
      </c>
      <c r="G192" s="779" t="s">
        <v>949</v>
      </c>
      <c r="H192" s="436"/>
      <c r="I192" s="436"/>
      <c r="J192" s="436"/>
      <c r="K192" s="436">
        <v>50</v>
      </c>
      <c r="L192" s="437">
        <v>15</v>
      </c>
      <c r="M192" s="437"/>
      <c r="N192" s="437">
        <v>15</v>
      </c>
      <c r="O192" s="437"/>
      <c r="P192" s="439">
        <v>15</v>
      </c>
      <c r="Q192" s="439">
        <v>60</v>
      </c>
      <c r="R192" s="436"/>
      <c r="S192" s="436"/>
      <c r="T192" s="436"/>
      <c r="U192" s="436"/>
      <c r="V192" s="436"/>
      <c r="W192" s="436">
        <f>IF(NFI_Expiration=1,IF($A192&lt;VLOOKUP(H$5,NFI,5,0),1,0)*Table_NFI[[#This Row],[Hygiene Kit]],Table_NFI[Hygiene Kit])</f>
        <v>0</v>
      </c>
      <c r="X192" s="436">
        <f>IF(NFI_Expiration=1,IF($A192&lt;VLOOKUP(I$5,NFI,5,0),1,0)*Table_NFI[[#This Row],[NFI Core Kit]],Table_NFI[NFI Core Kit])</f>
        <v>0</v>
      </c>
      <c r="Y192" s="436">
        <f>IF(NFI_Expiration=1,IF($A192&lt;VLOOKUP(J$5,NFI,5,0),1,0)*Table_NFI[[#This Row],[Sanitary Kit]],Table_NFI[Sanitary Kit])</f>
        <v>0</v>
      </c>
      <c r="Z192" s="436">
        <f>IF(NFI_Expiration=1,IF($A192&lt;VLOOKUP(K$5,NFI,5,0),1,0)*Table_NFI[[#This Row],[Mosquito net]],Table_NFI[Mosquito net])</f>
        <v>0</v>
      </c>
      <c r="AA192" s="436">
        <f>IF(NFI_Expiration=1,IF($A192&lt;VLOOKUP(L$5,NFI,5,0),1,0)*Table_NFI[[#This Row],[Tarpaulin]],Table_NFI[[#This Row],[Tarpaulin]])</f>
        <v>0</v>
      </c>
      <c r="AB192" s="436">
        <f>IF(NFI_Expiration=1,IF($A192&lt;VLOOKUP(M$5,NFI,5,0),1,0)*Table_NFI[[#This Row],[Blanket]],Table_NFI[[#This Row],[Blanket]])</f>
        <v>0</v>
      </c>
      <c r="AC192" s="436">
        <f>IF(NFI_Expiration=1,IF($A192&lt;VLOOKUP(N$5,NFI,5,0),1,0)*Table_NFI[[#This Row],[Kitchen Set]],Table_NFI[Kitchen Set])</f>
        <v>0</v>
      </c>
      <c r="AD192" s="436">
        <f>IF(NFI_Expiration=1,IF($A192&lt;VLOOKUP(O$5,NFI,5,0),1,0)*Table_NFI[[#This Row],[Clothes Kit]],Table_NFI[Clothes Kit])</f>
        <v>0</v>
      </c>
      <c r="AE192" s="436">
        <f>IF(NFI_Expiration=1,IF($A192&lt;VLOOKUP(P$5,NFI,5,0),1,0)*Table_NFI[[#This Row],[Plastic Bucket]],Table_NFI[Plastic Bucket])</f>
        <v>0</v>
      </c>
      <c r="AF192" s="436">
        <f>IF(NFI_Expiration=1,IF($A192&lt;VLOOKUP(Q$5,NFI,5,0),1,0)*Table_NFI[[#This Row],[Plastic Mat]],Table_NFI[Plastic Mat])*IF(Table_NFI[[#This Row],[Distribution Date]]&gt;"2014-04-01",1,2.5)</f>
        <v>0</v>
      </c>
      <c r="AG192" s="436">
        <f>IF(NFI_Expiration=1,IF($A192&lt;VLOOKUP(R$5,NFI,5,0),1,0)*Table_NFI[[#This Row],[Winter Clothes Adult]],Table_NFI[Winter Clothes Adult])</f>
        <v>0</v>
      </c>
      <c r="AH192" s="436">
        <f>IF(NFI_Expiration=1,IF($A192&lt;VLOOKUP(S$5,NFI,5,0),1,0)*Table_NFI[[#This Row],[Winter Clothes Children]],Table_NFI[Winter Clothes Children])</f>
        <v>0</v>
      </c>
      <c r="AI192" s="436">
        <f>IF(NFI_Expiration=1,IF($A192&lt;VLOOKUP(T$5,NFI,5,0),1,0)*Table_NFI[[#This Row],[Winter Items Other]],Table_NFI[Winter Items Other])</f>
        <v>0</v>
      </c>
      <c r="AJ192" s="436">
        <f>IF(NFI_Expiration=1,IF($A192&lt;VLOOKUP(M$5,NFI,5,0),1,0)*Table_NFI[[#This Row],[Winter Blanket]],Table_NFI[[#This Row],[Winter Blanket]])</f>
        <v>0</v>
      </c>
      <c r="AK192" s="436">
        <f>IF(Table_NFI[[#This Row],[Winter Clothes Adult]]+Table_NFI[[#This Row],[Winter Clothes Children]]+Table_NFI[[#This Row],[Winter Items Other]]+Table_NFI[[#This Row],[Winter Blanket]]&gt;0,1,0)</f>
        <v>0</v>
      </c>
      <c r="AL192" s="439">
        <f>IF(NFI_Expiration=1,IF($A192&lt;VLOOKUP(V$5,NFI,5,0),1,0)*Table_NFI[[#This Row],[Jerry Can]],Table_NFI[Jerry Can])</f>
        <v>0</v>
      </c>
      <c r="AM192" s="781" t="str">
        <f>IFERROR(VLOOKUP(Table_NFI[[#This Row],[Camp Name]],CL,2,0),"")</f>
        <v>MMR001CMP223</v>
      </c>
      <c r="AN192" s="782">
        <f ca="1">IF(Table_NFI[[#This Row],[Pcode]]="","",IF(OFFSET(CampList[Opening Date],MATCH(Table_NFI[[#This Row],[Pcode]],CampList[CP_Pcode],0)-1,0,1,1)&gt;=NFI_Monitor_Date,1,0))</f>
        <v>0</v>
      </c>
      <c r="AO192" s="781" t="str">
        <f>IFERROR(VLOOKUP(Table_NFI[[#This Row],[Camp Name]],CL,3,0),"")</f>
        <v>Open</v>
      </c>
      <c r="AP192" s="436" t="str">
        <f ca="1">IF(Table_NFI[[#This Row],[Pcode]]="","",OFFSET(CampList[Priority],MATCH(Table_NFI[[#This Row],[Pcode]],CampList[CP_Pcode],0)-1,0,1,1))</f>
        <v>P4</v>
      </c>
      <c r="AQ192" s="438">
        <f>IFERROR(Table_NFI[[#This Row],[Kitchen Set]]/VLOOKUP(Table_NFI[[#This Row],[Camp Name]],CL,4,0),"")</f>
        <v>0.12396694214876033</v>
      </c>
      <c r="AR192" s="779"/>
      <c r="AS192" s="783"/>
    </row>
    <row r="193" spans="1:45" s="136" customFormat="1" x14ac:dyDescent="0.25">
      <c r="A193" s="455">
        <f t="shared" si="2"/>
        <v>16.266666666666666</v>
      </c>
      <c r="B193" s="778">
        <v>41821</v>
      </c>
      <c r="C193" s="779" t="s">
        <v>454</v>
      </c>
      <c r="D193" s="779"/>
      <c r="E193" s="779" t="s">
        <v>380</v>
      </c>
      <c r="F193" s="779" t="s">
        <v>151</v>
      </c>
      <c r="G193" s="779" t="s">
        <v>891</v>
      </c>
      <c r="H193" s="436"/>
      <c r="I193" s="436"/>
      <c r="J193" s="436"/>
      <c r="K193" s="436"/>
      <c r="L193" s="437">
        <v>19</v>
      </c>
      <c r="M193" s="437"/>
      <c r="N193" s="437">
        <v>19</v>
      </c>
      <c r="O193" s="437"/>
      <c r="P193" s="439"/>
      <c r="Q193" s="439">
        <v>100</v>
      </c>
      <c r="R193" s="436"/>
      <c r="S193" s="436"/>
      <c r="T193" s="436"/>
      <c r="U193" s="436"/>
      <c r="V193" s="436"/>
      <c r="W193" s="436">
        <f>IF(NFI_Expiration=1,IF($A193&lt;VLOOKUP(H$5,NFI,5,0),1,0)*Table_NFI[[#This Row],[Hygiene Kit]],Table_NFI[Hygiene Kit])</f>
        <v>0</v>
      </c>
      <c r="X193" s="436">
        <f>IF(NFI_Expiration=1,IF($A193&lt;VLOOKUP(I$5,NFI,5,0),1,0)*Table_NFI[[#This Row],[NFI Core Kit]],Table_NFI[NFI Core Kit])</f>
        <v>0</v>
      </c>
      <c r="Y193" s="436">
        <f>IF(NFI_Expiration=1,IF($A193&lt;VLOOKUP(J$5,NFI,5,0),1,0)*Table_NFI[[#This Row],[Sanitary Kit]],Table_NFI[Sanitary Kit])</f>
        <v>0</v>
      </c>
      <c r="Z193" s="436">
        <f>IF(NFI_Expiration=1,IF($A193&lt;VLOOKUP(K$5,NFI,5,0),1,0)*Table_NFI[[#This Row],[Mosquito net]],Table_NFI[Mosquito net])</f>
        <v>0</v>
      </c>
      <c r="AA193" s="436">
        <f>IF(NFI_Expiration=1,IF($A193&lt;VLOOKUP(L$5,NFI,5,0),1,0)*Table_NFI[[#This Row],[Tarpaulin]],Table_NFI[[#This Row],[Tarpaulin]])</f>
        <v>0</v>
      </c>
      <c r="AB193" s="436">
        <f>IF(NFI_Expiration=1,IF($A193&lt;VLOOKUP(M$5,NFI,5,0),1,0)*Table_NFI[[#This Row],[Blanket]],Table_NFI[[#This Row],[Blanket]])</f>
        <v>0</v>
      </c>
      <c r="AC193" s="436">
        <f>IF(NFI_Expiration=1,IF($A193&lt;VLOOKUP(N$5,NFI,5,0),1,0)*Table_NFI[[#This Row],[Kitchen Set]],Table_NFI[Kitchen Set])</f>
        <v>0</v>
      </c>
      <c r="AD193" s="436">
        <f>IF(NFI_Expiration=1,IF($A193&lt;VLOOKUP(O$5,NFI,5,0),1,0)*Table_NFI[[#This Row],[Clothes Kit]],Table_NFI[Clothes Kit])</f>
        <v>0</v>
      </c>
      <c r="AE193" s="436">
        <f>IF(NFI_Expiration=1,IF($A193&lt;VLOOKUP(P$5,NFI,5,0),1,0)*Table_NFI[[#This Row],[Plastic Bucket]],Table_NFI[Plastic Bucket])</f>
        <v>0</v>
      </c>
      <c r="AF193" s="436">
        <f>IF(NFI_Expiration=1,IF($A193&lt;VLOOKUP(Q$5,NFI,5,0),1,0)*Table_NFI[[#This Row],[Plastic Mat]],Table_NFI[Plastic Mat])*IF(Table_NFI[[#This Row],[Distribution Date]]&gt;"2014-04-01",1,2.5)</f>
        <v>0</v>
      </c>
      <c r="AG193" s="436">
        <f>IF(NFI_Expiration=1,IF($A193&lt;VLOOKUP(R$5,NFI,5,0),1,0)*Table_NFI[[#This Row],[Winter Clothes Adult]],Table_NFI[Winter Clothes Adult])</f>
        <v>0</v>
      </c>
      <c r="AH193" s="436">
        <f>IF(NFI_Expiration=1,IF($A193&lt;VLOOKUP(S$5,NFI,5,0),1,0)*Table_NFI[[#This Row],[Winter Clothes Children]],Table_NFI[Winter Clothes Children])</f>
        <v>0</v>
      </c>
      <c r="AI193" s="436">
        <f>IF(NFI_Expiration=1,IF($A193&lt;VLOOKUP(T$5,NFI,5,0),1,0)*Table_NFI[[#This Row],[Winter Items Other]],Table_NFI[Winter Items Other])</f>
        <v>0</v>
      </c>
      <c r="AJ193" s="436">
        <f>IF(NFI_Expiration=1,IF($A193&lt;VLOOKUP(M$5,NFI,5,0),1,0)*Table_NFI[[#This Row],[Winter Blanket]],Table_NFI[[#This Row],[Winter Blanket]])</f>
        <v>0</v>
      </c>
      <c r="AK193" s="436">
        <f>IF(Table_NFI[[#This Row],[Winter Clothes Adult]]+Table_NFI[[#This Row],[Winter Clothes Children]]+Table_NFI[[#This Row],[Winter Items Other]]+Table_NFI[[#This Row],[Winter Blanket]]&gt;0,1,0)</f>
        <v>0</v>
      </c>
      <c r="AL193" s="439">
        <f>IF(NFI_Expiration=1,IF($A193&lt;VLOOKUP(V$5,NFI,5,0),1,0)*Table_NFI[[#This Row],[Jerry Can]],Table_NFI[Jerry Can])</f>
        <v>0</v>
      </c>
      <c r="AM193" s="781" t="str">
        <f>IFERROR(VLOOKUP(Table_NFI[[#This Row],[Camp Name]],CL,2,0),"")</f>
        <v>MMR001CMP218</v>
      </c>
      <c r="AN193" s="782">
        <f ca="1">IF(Table_NFI[[#This Row],[Pcode]]="","",IF(OFFSET(CampList[Opening Date],MATCH(Table_NFI[[#This Row],[Pcode]],CampList[CP_Pcode],0)-1,0,1,1)&gt;=NFI_Monitor_Date,1,0))</f>
        <v>0</v>
      </c>
      <c r="AO193" s="781" t="str">
        <f>IFERROR(VLOOKUP(Table_NFI[[#This Row],[Camp Name]],CL,3,0),"")</f>
        <v>Open</v>
      </c>
      <c r="AP193" s="436" t="str">
        <f ca="1">IF(Table_NFI[[#This Row],[Pcode]]="","",OFFSET(CampList[Priority],MATCH(Table_NFI[[#This Row],[Pcode]],CampList[CP_Pcode],0)-1,0,1,1))</f>
        <v>P4</v>
      </c>
      <c r="AQ193" s="438">
        <f>IFERROR(Table_NFI[[#This Row],[Kitchen Set]]/VLOOKUP(Table_NFI[[#This Row],[Camp Name]],CL,4,0),"")</f>
        <v>5.1075268817204304E-2</v>
      </c>
      <c r="AR193" s="779"/>
      <c r="AS193" s="783"/>
    </row>
    <row r="194" spans="1:45" s="136" customFormat="1" x14ac:dyDescent="0.25">
      <c r="A194" s="455">
        <f t="shared" si="2"/>
        <v>16.466666666666665</v>
      </c>
      <c r="B194" s="778">
        <v>41815</v>
      </c>
      <c r="C194" s="779" t="s">
        <v>1113</v>
      </c>
      <c r="D194" s="779" t="s">
        <v>907</v>
      </c>
      <c r="E194" s="779" t="s">
        <v>380</v>
      </c>
      <c r="F194" s="779" t="s">
        <v>185</v>
      </c>
      <c r="G194" s="779" t="s">
        <v>209</v>
      </c>
      <c r="H194" s="436"/>
      <c r="I194" s="436"/>
      <c r="J194" s="436"/>
      <c r="K194" s="436"/>
      <c r="L194" s="437"/>
      <c r="M194" s="437"/>
      <c r="N194" s="437"/>
      <c r="O194" s="437"/>
      <c r="P194" s="439"/>
      <c r="Q194" s="439"/>
      <c r="R194" s="436"/>
      <c r="S194" s="436"/>
      <c r="T194" s="436"/>
      <c r="U194" s="436">
        <v>832</v>
      </c>
      <c r="V194" s="436"/>
      <c r="W194" s="448">
        <f>IF(NFI_Expiration=1,IF($A194&lt;VLOOKUP(H$5,NFI,5,0),1,0)*Table_NFI[[#This Row],[Hygiene Kit]],Table_NFI[Hygiene Kit])</f>
        <v>0</v>
      </c>
      <c r="X194" s="448">
        <f>IF(NFI_Expiration=1,IF($A194&lt;VLOOKUP(I$5,NFI,5,0),1,0)*Table_NFI[[#This Row],[NFI Core Kit]],Table_NFI[NFI Core Kit])</f>
        <v>0</v>
      </c>
      <c r="Y194" s="448">
        <f>IF(NFI_Expiration=1,IF($A194&lt;VLOOKUP(J$5,NFI,5,0),1,0)*Table_NFI[[#This Row],[Sanitary Kit]],Table_NFI[Sanitary Kit])</f>
        <v>0</v>
      </c>
      <c r="Z194" s="448">
        <f>IF(NFI_Expiration=1,IF($A194&lt;VLOOKUP(K$5,NFI,5,0),1,0)*Table_NFI[[#This Row],[Mosquito net]],Table_NFI[Mosquito net])</f>
        <v>0</v>
      </c>
      <c r="AA194" s="448">
        <f>IF(NFI_Expiration=1,IF($A194&lt;VLOOKUP(L$5,NFI,5,0),1,0)*Table_NFI[[#This Row],[Tarpaulin]],Table_NFI[[#This Row],[Tarpaulin]])</f>
        <v>0</v>
      </c>
      <c r="AB194" s="448">
        <f>IF(NFI_Expiration=1,IF($A194&lt;VLOOKUP(M$5,NFI,5,0),1,0)*Table_NFI[[#This Row],[Blanket]],Table_NFI[[#This Row],[Blanket]])</f>
        <v>0</v>
      </c>
      <c r="AC194" s="448">
        <f>IF(NFI_Expiration=1,IF($A194&lt;VLOOKUP(N$5,NFI,5,0),1,0)*Table_NFI[[#This Row],[Kitchen Set]],Table_NFI[Kitchen Set])</f>
        <v>0</v>
      </c>
      <c r="AD194" s="448">
        <f>IF(NFI_Expiration=1,IF($A194&lt;VLOOKUP(O$5,NFI,5,0),1,0)*Table_NFI[[#This Row],[Clothes Kit]],Table_NFI[Clothes Kit])</f>
        <v>0</v>
      </c>
      <c r="AE194" s="448">
        <f>IF(NFI_Expiration=1,IF($A194&lt;VLOOKUP(P$5,NFI,5,0),1,0)*Table_NFI[[#This Row],[Plastic Bucket]],Table_NFI[Plastic Bucket])</f>
        <v>0</v>
      </c>
      <c r="AF194" s="448">
        <f>IF(NFI_Expiration=1,IF($A194&lt;VLOOKUP(Q$5,NFI,5,0),1,0)*Table_NFI[[#This Row],[Plastic Mat]],Table_NFI[Plastic Mat])*IF(Table_NFI[[#This Row],[Distribution Date]]&gt;"2014-04-01",1,2.5)</f>
        <v>0</v>
      </c>
      <c r="AG194" s="448">
        <f>IF(NFI_Expiration=1,IF($A194&lt;VLOOKUP(R$5,NFI,5,0),1,0)*Table_NFI[[#This Row],[Winter Clothes Adult]],Table_NFI[Winter Clothes Adult])</f>
        <v>0</v>
      </c>
      <c r="AH194" s="448">
        <f>IF(NFI_Expiration=1,IF($A194&lt;VLOOKUP(S$5,NFI,5,0),1,0)*Table_NFI[[#This Row],[Winter Clothes Children]],Table_NFI[Winter Clothes Children])</f>
        <v>0</v>
      </c>
      <c r="AI194" s="448">
        <f>IF(NFI_Expiration=1,IF($A194&lt;VLOOKUP(T$5,NFI,5,0),1,0)*Table_NFI[[#This Row],[Winter Items Other]],Table_NFI[Winter Items Other])</f>
        <v>0</v>
      </c>
      <c r="AJ194" s="448">
        <f>IF(NFI_Expiration=1,IF($A194&lt;VLOOKUP(M$5,NFI,5,0),1,0)*Table_NFI[[#This Row],[Winter Blanket]],Table_NFI[[#This Row],[Winter Blanket]])</f>
        <v>0</v>
      </c>
      <c r="AK194" s="448">
        <f>IF(Table_NFI[[#This Row],[Winter Clothes Adult]]+Table_NFI[[#This Row],[Winter Clothes Children]]+Table_NFI[[#This Row],[Winter Items Other]]+Table_NFI[[#This Row],[Winter Blanket]]&gt;0,1,0)</f>
        <v>1</v>
      </c>
      <c r="AL194" s="439">
        <f>IF(NFI_Expiration=1,IF($A194&lt;VLOOKUP(V$5,NFI,5,0),1,0)*Table_NFI[[#This Row],[Jerry Can]],Table_NFI[Jerry Can])</f>
        <v>0</v>
      </c>
      <c r="AM194" s="797" t="str">
        <f>IFERROR(VLOOKUP(Table_NFI[[#This Row],[Camp Name]],CL,2,0),"")</f>
        <v>MMR001CMP056</v>
      </c>
      <c r="AN194" s="798">
        <f ca="1">IF(Table_NFI[[#This Row],[Pcode]]="","",IF(OFFSET(CampList[Opening Date],MATCH(Table_NFI[[#This Row],[Pcode]],CampList[CP_Pcode],0)-1,0,1,1)&gt;=NFI_Monitor_Date,1,0))</f>
        <v>0</v>
      </c>
      <c r="AO194" s="797" t="str">
        <f>IFERROR(VLOOKUP(Table_NFI[[#This Row],[Camp Name]],CL,3,0),"")</f>
        <v>Open</v>
      </c>
      <c r="AP194" s="448" t="str">
        <f ca="1">IF(Table_NFI[[#This Row],[Pcode]]="","",OFFSET(CampList[Priority],MATCH(Table_NFI[[#This Row],[Pcode]],CampList[CP_Pcode],0)-1,0,1,1))</f>
        <v>P4</v>
      </c>
      <c r="AQ194" s="449">
        <f>IFERROR(Table_NFI[[#This Row],[Kitchen Set]]/VLOOKUP(Table_NFI[[#This Row],[Camp Name]],CL,4,0),"")</f>
        <v>0</v>
      </c>
      <c r="AR194" s="799"/>
      <c r="AS194" s="783"/>
    </row>
    <row r="195" spans="1:45" s="136" customFormat="1" x14ac:dyDescent="0.25">
      <c r="A195" s="455">
        <f t="shared" si="2"/>
        <v>16.5</v>
      </c>
      <c r="B195" s="778">
        <v>41814</v>
      </c>
      <c r="C195" s="779" t="s">
        <v>1113</v>
      </c>
      <c r="D195" s="779" t="s">
        <v>907</v>
      </c>
      <c r="E195" s="779" t="s">
        <v>380</v>
      </c>
      <c r="F195" s="779" t="s">
        <v>237</v>
      </c>
      <c r="G195" s="779" t="s">
        <v>263</v>
      </c>
      <c r="H195" s="436"/>
      <c r="I195" s="436"/>
      <c r="J195" s="436"/>
      <c r="K195" s="436"/>
      <c r="L195" s="437"/>
      <c r="M195" s="437"/>
      <c r="N195" s="437"/>
      <c r="O195" s="437"/>
      <c r="P195" s="439"/>
      <c r="Q195" s="439"/>
      <c r="R195" s="436"/>
      <c r="S195" s="436"/>
      <c r="T195" s="436"/>
      <c r="U195" s="436">
        <v>44</v>
      </c>
      <c r="V195" s="436"/>
      <c r="W195" s="448">
        <f>IF(NFI_Expiration=1,IF($A195&lt;VLOOKUP(H$5,NFI,5,0),1,0)*Table_NFI[[#This Row],[Hygiene Kit]],Table_NFI[Hygiene Kit])</f>
        <v>0</v>
      </c>
      <c r="X195" s="448">
        <f>IF(NFI_Expiration=1,IF($A195&lt;VLOOKUP(I$5,NFI,5,0),1,0)*Table_NFI[[#This Row],[NFI Core Kit]],Table_NFI[NFI Core Kit])</f>
        <v>0</v>
      </c>
      <c r="Y195" s="448">
        <f>IF(NFI_Expiration=1,IF($A195&lt;VLOOKUP(J$5,NFI,5,0),1,0)*Table_NFI[[#This Row],[Sanitary Kit]],Table_NFI[Sanitary Kit])</f>
        <v>0</v>
      </c>
      <c r="Z195" s="448">
        <f>IF(NFI_Expiration=1,IF($A195&lt;VLOOKUP(K$5,NFI,5,0),1,0)*Table_NFI[[#This Row],[Mosquito net]],Table_NFI[Mosquito net])</f>
        <v>0</v>
      </c>
      <c r="AA195" s="448">
        <f>IF(NFI_Expiration=1,IF($A195&lt;VLOOKUP(L$5,NFI,5,0),1,0)*Table_NFI[[#This Row],[Tarpaulin]],Table_NFI[[#This Row],[Tarpaulin]])</f>
        <v>0</v>
      </c>
      <c r="AB195" s="448">
        <f>IF(NFI_Expiration=1,IF($A195&lt;VLOOKUP(M$5,NFI,5,0),1,0)*Table_NFI[[#This Row],[Blanket]],Table_NFI[[#This Row],[Blanket]])</f>
        <v>0</v>
      </c>
      <c r="AC195" s="448">
        <f>IF(NFI_Expiration=1,IF($A195&lt;VLOOKUP(N$5,NFI,5,0),1,0)*Table_NFI[[#This Row],[Kitchen Set]],Table_NFI[Kitchen Set])</f>
        <v>0</v>
      </c>
      <c r="AD195" s="448">
        <f>IF(NFI_Expiration=1,IF($A195&lt;VLOOKUP(O$5,NFI,5,0),1,0)*Table_NFI[[#This Row],[Clothes Kit]],Table_NFI[Clothes Kit])</f>
        <v>0</v>
      </c>
      <c r="AE195" s="448">
        <f>IF(NFI_Expiration=1,IF($A195&lt;VLOOKUP(P$5,NFI,5,0),1,0)*Table_NFI[[#This Row],[Plastic Bucket]],Table_NFI[Plastic Bucket])</f>
        <v>0</v>
      </c>
      <c r="AF195" s="448">
        <f>IF(NFI_Expiration=1,IF($A195&lt;VLOOKUP(Q$5,NFI,5,0),1,0)*Table_NFI[[#This Row],[Plastic Mat]],Table_NFI[Plastic Mat])*IF(Table_NFI[[#This Row],[Distribution Date]]&gt;"2014-04-01",1,2.5)</f>
        <v>0</v>
      </c>
      <c r="AG195" s="448">
        <f>IF(NFI_Expiration=1,IF($A195&lt;VLOOKUP(R$5,NFI,5,0),1,0)*Table_NFI[[#This Row],[Winter Clothes Adult]],Table_NFI[Winter Clothes Adult])</f>
        <v>0</v>
      </c>
      <c r="AH195" s="448">
        <f>IF(NFI_Expiration=1,IF($A195&lt;VLOOKUP(S$5,NFI,5,0),1,0)*Table_NFI[[#This Row],[Winter Clothes Children]],Table_NFI[Winter Clothes Children])</f>
        <v>0</v>
      </c>
      <c r="AI195" s="448">
        <f>IF(NFI_Expiration=1,IF($A195&lt;VLOOKUP(T$5,NFI,5,0),1,0)*Table_NFI[[#This Row],[Winter Items Other]],Table_NFI[Winter Items Other])</f>
        <v>0</v>
      </c>
      <c r="AJ195" s="448">
        <f>IF(NFI_Expiration=1,IF($A195&lt;VLOOKUP(M$5,NFI,5,0),1,0)*Table_NFI[[#This Row],[Winter Blanket]],Table_NFI[[#This Row],[Winter Blanket]])</f>
        <v>0</v>
      </c>
      <c r="AK195" s="448">
        <f>IF(Table_NFI[[#This Row],[Winter Clothes Adult]]+Table_NFI[[#This Row],[Winter Clothes Children]]+Table_NFI[[#This Row],[Winter Items Other]]+Table_NFI[[#This Row],[Winter Blanket]]&gt;0,1,0)</f>
        <v>1</v>
      </c>
      <c r="AL195" s="439">
        <f>IF(NFI_Expiration=1,IF($A195&lt;VLOOKUP(V$5,NFI,5,0),1,0)*Table_NFI[[#This Row],[Jerry Can]],Table_NFI[Jerry Can])</f>
        <v>0</v>
      </c>
      <c r="AM195" s="797" t="str">
        <f>IFERROR(VLOOKUP(Table_NFI[[#This Row],[Camp Name]],CL,2,0),"")</f>
        <v>MMR001CMP020</v>
      </c>
      <c r="AN195" s="798">
        <f ca="1">IF(Table_NFI[[#This Row],[Pcode]]="","",IF(OFFSET(CampList[Opening Date],MATCH(Table_NFI[[#This Row],[Pcode]],CampList[CP_Pcode],0)-1,0,1,1)&gt;=NFI_Monitor_Date,1,0))</f>
        <v>0</v>
      </c>
      <c r="AO195" s="797" t="str">
        <f>IFERROR(VLOOKUP(Table_NFI[[#This Row],[Camp Name]],CL,3,0),"")</f>
        <v>Open</v>
      </c>
      <c r="AP195" s="448" t="str">
        <f ca="1">IF(Table_NFI[[#This Row],[Pcode]]="","",OFFSET(CampList[Priority],MATCH(Table_NFI[[#This Row],[Pcode]],CampList[CP_Pcode],0)-1,0,1,1))</f>
        <v>P4</v>
      </c>
      <c r="AQ195" s="449">
        <f>IFERROR(Table_NFI[[#This Row],[Kitchen Set]]/VLOOKUP(Table_NFI[[#This Row],[Camp Name]],CL,4,0),"")</f>
        <v>0</v>
      </c>
      <c r="AR195" s="799"/>
      <c r="AS195" s="783"/>
    </row>
    <row r="196" spans="1:45" s="784" customFormat="1" x14ac:dyDescent="0.25">
      <c r="A196" s="455">
        <f t="shared" si="2"/>
        <v>16.5</v>
      </c>
      <c r="B196" s="778">
        <v>41814</v>
      </c>
      <c r="C196" s="779" t="s">
        <v>1113</v>
      </c>
      <c r="D196" s="779" t="s">
        <v>907</v>
      </c>
      <c r="E196" s="779" t="s">
        <v>380</v>
      </c>
      <c r="F196" s="779" t="s">
        <v>237</v>
      </c>
      <c r="G196" s="779" t="s">
        <v>265</v>
      </c>
      <c r="H196" s="436"/>
      <c r="I196" s="436"/>
      <c r="J196" s="436"/>
      <c r="K196" s="436"/>
      <c r="L196" s="437"/>
      <c r="M196" s="437"/>
      <c r="N196" s="437"/>
      <c r="O196" s="437"/>
      <c r="P196" s="439"/>
      <c r="Q196" s="439"/>
      <c r="R196" s="436"/>
      <c r="S196" s="436"/>
      <c r="T196" s="436"/>
      <c r="U196" s="436">
        <v>28</v>
      </c>
      <c r="V196" s="436"/>
      <c r="W196" s="448">
        <f>IF(NFI_Expiration=1,IF($A196&lt;VLOOKUP(H$5,NFI,5,0),1,0)*Table_NFI[[#This Row],[Hygiene Kit]],Table_NFI[Hygiene Kit])</f>
        <v>0</v>
      </c>
      <c r="X196" s="448">
        <f>IF(NFI_Expiration=1,IF($A196&lt;VLOOKUP(I$5,NFI,5,0),1,0)*Table_NFI[[#This Row],[NFI Core Kit]],Table_NFI[NFI Core Kit])</f>
        <v>0</v>
      </c>
      <c r="Y196" s="448">
        <f>IF(NFI_Expiration=1,IF($A196&lt;VLOOKUP(J$5,NFI,5,0),1,0)*Table_NFI[[#This Row],[Sanitary Kit]],Table_NFI[Sanitary Kit])</f>
        <v>0</v>
      </c>
      <c r="Z196" s="448">
        <f>IF(NFI_Expiration=1,IF($A196&lt;VLOOKUP(K$5,NFI,5,0),1,0)*Table_NFI[[#This Row],[Mosquito net]],Table_NFI[Mosquito net])</f>
        <v>0</v>
      </c>
      <c r="AA196" s="448">
        <f>IF(NFI_Expiration=1,IF($A196&lt;VLOOKUP(L$5,NFI,5,0),1,0)*Table_NFI[[#This Row],[Tarpaulin]],Table_NFI[[#This Row],[Tarpaulin]])</f>
        <v>0</v>
      </c>
      <c r="AB196" s="448">
        <f>IF(NFI_Expiration=1,IF($A196&lt;VLOOKUP(M$5,NFI,5,0),1,0)*Table_NFI[[#This Row],[Blanket]],Table_NFI[[#This Row],[Blanket]])</f>
        <v>0</v>
      </c>
      <c r="AC196" s="448">
        <f>IF(NFI_Expiration=1,IF($A196&lt;VLOOKUP(N$5,NFI,5,0),1,0)*Table_NFI[[#This Row],[Kitchen Set]],Table_NFI[Kitchen Set])</f>
        <v>0</v>
      </c>
      <c r="AD196" s="448">
        <f>IF(NFI_Expiration=1,IF($A196&lt;VLOOKUP(O$5,NFI,5,0),1,0)*Table_NFI[[#This Row],[Clothes Kit]],Table_NFI[Clothes Kit])</f>
        <v>0</v>
      </c>
      <c r="AE196" s="448">
        <f>IF(NFI_Expiration=1,IF($A196&lt;VLOOKUP(P$5,NFI,5,0),1,0)*Table_NFI[[#This Row],[Plastic Bucket]],Table_NFI[Plastic Bucket])</f>
        <v>0</v>
      </c>
      <c r="AF196" s="448">
        <f>IF(NFI_Expiration=1,IF($A196&lt;VLOOKUP(Q$5,NFI,5,0),1,0)*Table_NFI[[#This Row],[Plastic Mat]],Table_NFI[Plastic Mat])*IF(Table_NFI[[#This Row],[Distribution Date]]&gt;"2014-04-01",1,2.5)</f>
        <v>0</v>
      </c>
      <c r="AG196" s="448">
        <f>IF(NFI_Expiration=1,IF($A196&lt;VLOOKUP(R$5,NFI,5,0),1,0)*Table_NFI[[#This Row],[Winter Clothes Adult]],Table_NFI[Winter Clothes Adult])</f>
        <v>0</v>
      </c>
      <c r="AH196" s="448">
        <f>IF(NFI_Expiration=1,IF($A196&lt;VLOOKUP(S$5,NFI,5,0),1,0)*Table_NFI[[#This Row],[Winter Clothes Children]],Table_NFI[Winter Clothes Children])</f>
        <v>0</v>
      </c>
      <c r="AI196" s="448">
        <f>IF(NFI_Expiration=1,IF($A196&lt;VLOOKUP(T$5,NFI,5,0),1,0)*Table_NFI[[#This Row],[Winter Items Other]],Table_NFI[Winter Items Other])</f>
        <v>0</v>
      </c>
      <c r="AJ196" s="448">
        <f>IF(NFI_Expiration=1,IF($A196&lt;VLOOKUP(M$5,NFI,5,0),1,0)*Table_NFI[[#This Row],[Winter Blanket]],Table_NFI[[#This Row],[Winter Blanket]])</f>
        <v>0</v>
      </c>
      <c r="AK196" s="448">
        <f>IF(Table_NFI[[#This Row],[Winter Clothes Adult]]+Table_NFI[[#This Row],[Winter Clothes Children]]+Table_NFI[[#This Row],[Winter Items Other]]+Table_NFI[[#This Row],[Winter Blanket]]&gt;0,1,0)</f>
        <v>1</v>
      </c>
      <c r="AL196" s="439">
        <f>IF(NFI_Expiration=1,IF($A196&lt;VLOOKUP(V$5,NFI,5,0),1,0)*Table_NFI[[#This Row],[Jerry Can]],Table_NFI[Jerry Can])</f>
        <v>0</v>
      </c>
      <c r="AM196" s="797" t="str">
        <f>IFERROR(VLOOKUP(Table_NFI[[#This Row],[Camp Name]],CL,2,0),"")</f>
        <v>MMR001CMP021</v>
      </c>
      <c r="AN196" s="798">
        <f ca="1">IF(Table_NFI[[#This Row],[Pcode]]="","",IF(OFFSET(CampList[Opening Date],MATCH(Table_NFI[[#This Row],[Pcode]],CampList[CP_Pcode],0)-1,0,1,1)&gt;=NFI_Monitor_Date,1,0))</f>
        <v>0</v>
      </c>
      <c r="AO196" s="797" t="str">
        <f>IFERROR(VLOOKUP(Table_NFI[[#This Row],[Camp Name]],CL,3,0),"")</f>
        <v>Open</v>
      </c>
      <c r="AP196" s="448" t="str">
        <f ca="1">IF(Table_NFI[[#This Row],[Pcode]]="","",OFFSET(CampList[Priority],MATCH(Table_NFI[[#This Row],[Pcode]],CampList[CP_Pcode],0)-1,0,1,1))</f>
        <v>P4</v>
      </c>
      <c r="AQ196" s="449">
        <f>IFERROR(Table_NFI[[#This Row],[Kitchen Set]]/VLOOKUP(Table_NFI[[#This Row],[Camp Name]],CL,4,0),"")</f>
        <v>0</v>
      </c>
      <c r="AR196" s="799"/>
      <c r="AS196" s="783"/>
    </row>
    <row r="197" spans="1:45" s="784" customFormat="1" x14ac:dyDescent="0.25">
      <c r="A197" s="455">
        <f t="shared" si="2"/>
        <v>16.533333333333335</v>
      </c>
      <c r="B197" s="778">
        <v>41813</v>
      </c>
      <c r="C197" s="779" t="s">
        <v>1113</v>
      </c>
      <c r="D197" s="779" t="s">
        <v>907</v>
      </c>
      <c r="E197" s="779" t="s">
        <v>380</v>
      </c>
      <c r="F197" s="779" t="s">
        <v>237</v>
      </c>
      <c r="G197" s="779" t="s">
        <v>275</v>
      </c>
      <c r="H197" s="436"/>
      <c r="I197" s="436"/>
      <c r="J197" s="436"/>
      <c r="K197" s="436"/>
      <c r="L197" s="437"/>
      <c r="M197" s="437"/>
      <c r="N197" s="437"/>
      <c r="O197" s="437"/>
      <c r="P197" s="439"/>
      <c r="Q197" s="439"/>
      <c r="R197" s="436"/>
      <c r="S197" s="436"/>
      <c r="T197" s="436"/>
      <c r="U197" s="436">
        <v>88</v>
      </c>
      <c r="V197" s="436"/>
      <c r="W197" s="448">
        <f>IF(NFI_Expiration=1,IF($A197&lt;VLOOKUP(H$5,NFI,5,0),1,0)*Table_NFI[[#This Row],[Hygiene Kit]],Table_NFI[Hygiene Kit])</f>
        <v>0</v>
      </c>
      <c r="X197" s="448">
        <f>IF(NFI_Expiration=1,IF($A197&lt;VLOOKUP(I$5,NFI,5,0),1,0)*Table_NFI[[#This Row],[NFI Core Kit]],Table_NFI[NFI Core Kit])</f>
        <v>0</v>
      </c>
      <c r="Y197" s="448">
        <f>IF(NFI_Expiration=1,IF($A197&lt;VLOOKUP(J$5,NFI,5,0),1,0)*Table_NFI[[#This Row],[Sanitary Kit]],Table_NFI[Sanitary Kit])</f>
        <v>0</v>
      </c>
      <c r="Z197" s="448">
        <f>IF(NFI_Expiration=1,IF($A197&lt;VLOOKUP(K$5,NFI,5,0),1,0)*Table_NFI[[#This Row],[Mosquito net]],Table_NFI[Mosquito net])</f>
        <v>0</v>
      </c>
      <c r="AA197" s="448">
        <f>IF(NFI_Expiration=1,IF($A197&lt;VLOOKUP(L$5,NFI,5,0),1,0)*Table_NFI[[#This Row],[Tarpaulin]],Table_NFI[[#This Row],[Tarpaulin]])</f>
        <v>0</v>
      </c>
      <c r="AB197" s="448">
        <f>IF(NFI_Expiration=1,IF($A197&lt;VLOOKUP(M$5,NFI,5,0),1,0)*Table_NFI[[#This Row],[Blanket]],Table_NFI[[#This Row],[Blanket]])</f>
        <v>0</v>
      </c>
      <c r="AC197" s="448">
        <f>IF(NFI_Expiration=1,IF($A197&lt;VLOOKUP(N$5,NFI,5,0),1,0)*Table_NFI[[#This Row],[Kitchen Set]],Table_NFI[Kitchen Set])</f>
        <v>0</v>
      </c>
      <c r="AD197" s="448">
        <f>IF(NFI_Expiration=1,IF($A197&lt;VLOOKUP(O$5,NFI,5,0),1,0)*Table_NFI[[#This Row],[Clothes Kit]],Table_NFI[Clothes Kit])</f>
        <v>0</v>
      </c>
      <c r="AE197" s="448">
        <f>IF(NFI_Expiration=1,IF($A197&lt;VLOOKUP(P$5,NFI,5,0),1,0)*Table_NFI[[#This Row],[Plastic Bucket]],Table_NFI[Plastic Bucket])</f>
        <v>0</v>
      </c>
      <c r="AF197" s="448">
        <f>IF(NFI_Expiration=1,IF($A197&lt;VLOOKUP(Q$5,NFI,5,0),1,0)*Table_NFI[[#This Row],[Plastic Mat]],Table_NFI[Plastic Mat])*IF(Table_NFI[[#This Row],[Distribution Date]]&gt;"2014-04-01",1,2.5)</f>
        <v>0</v>
      </c>
      <c r="AG197" s="448">
        <f>IF(NFI_Expiration=1,IF($A197&lt;VLOOKUP(R$5,NFI,5,0),1,0)*Table_NFI[[#This Row],[Winter Clothes Adult]],Table_NFI[Winter Clothes Adult])</f>
        <v>0</v>
      </c>
      <c r="AH197" s="448">
        <f>IF(NFI_Expiration=1,IF($A197&lt;VLOOKUP(S$5,NFI,5,0),1,0)*Table_NFI[[#This Row],[Winter Clothes Children]],Table_NFI[Winter Clothes Children])</f>
        <v>0</v>
      </c>
      <c r="AI197" s="448">
        <f>IF(NFI_Expiration=1,IF($A197&lt;VLOOKUP(T$5,NFI,5,0),1,0)*Table_NFI[[#This Row],[Winter Items Other]],Table_NFI[Winter Items Other])</f>
        <v>0</v>
      </c>
      <c r="AJ197" s="448">
        <f>IF(NFI_Expiration=1,IF($A197&lt;VLOOKUP(M$5,NFI,5,0),1,0)*Table_NFI[[#This Row],[Winter Blanket]],Table_NFI[[#This Row],[Winter Blanket]])</f>
        <v>0</v>
      </c>
      <c r="AK197" s="448">
        <f>IF(Table_NFI[[#This Row],[Winter Clothes Adult]]+Table_NFI[[#This Row],[Winter Clothes Children]]+Table_NFI[[#This Row],[Winter Items Other]]+Table_NFI[[#This Row],[Winter Blanket]]&gt;0,1,0)</f>
        <v>1</v>
      </c>
      <c r="AL197" s="439">
        <f>IF(NFI_Expiration=1,IF($A197&lt;VLOOKUP(V$5,NFI,5,0),1,0)*Table_NFI[[#This Row],[Jerry Can]],Table_NFI[Jerry Can])</f>
        <v>0</v>
      </c>
      <c r="AM197" s="797" t="str">
        <f>IFERROR(VLOOKUP(Table_NFI[[#This Row],[Camp Name]],CL,2,0),"")</f>
        <v>MMR001CMP005</v>
      </c>
      <c r="AN197" s="798">
        <f ca="1">IF(Table_NFI[[#This Row],[Pcode]]="","",IF(OFFSET(CampList[Opening Date],MATCH(Table_NFI[[#This Row],[Pcode]],CampList[CP_Pcode],0)-1,0,1,1)&gt;=NFI_Monitor_Date,1,0))</f>
        <v>0</v>
      </c>
      <c r="AO197" s="797" t="str">
        <f>IFERROR(VLOOKUP(Table_NFI[[#This Row],[Camp Name]],CL,3,0),"")</f>
        <v>Open</v>
      </c>
      <c r="AP197" s="448" t="str">
        <f ca="1">IF(Table_NFI[[#This Row],[Pcode]]="","",OFFSET(CampList[Priority],MATCH(Table_NFI[[#This Row],[Pcode]],CampList[CP_Pcode],0)-1,0,1,1))</f>
        <v>P4</v>
      </c>
      <c r="AQ197" s="449">
        <f>IFERROR(Table_NFI[[#This Row],[Kitchen Set]]/VLOOKUP(Table_NFI[[#This Row],[Camp Name]],CL,4,0),"")</f>
        <v>0</v>
      </c>
      <c r="AR197" s="799"/>
      <c r="AS197" s="783"/>
    </row>
    <row r="198" spans="1:45" s="784" customFormat="1" x14ac:dyDescent="0.25">
      <c r="A198" s="455">
        <f t="shared" ref="A198:A261" si="3">IF(ISBLANK(B198),"",(Report_Date-B198)/30)</f>
        <v>16.566666666666666</v>
      </c>
      <c r="B198" s="778">
        <v>41812</v>
      </c>
      <c r="C198" s="779" t="s">
        <v>1113</v>
      </c>
      <c r="D198" s="779" t="s">
        <v>907</v>
      </c>
      <c r="E198" s="779" t="s">
        <v>380</v>
      </c>
      <c r="F198" s="779" t="s">
        <v>185</v>
      </c>
      <c r="G198" s="779" t="s">
        <v>211</v>
      </c>
      <c r="H198" s="436"/>
      <c r="I198" s="436"/>
      <c r="J198" s="436"/>
      <c r="K198" s="436"/>
      <c r="L198" s="437"/>
      <c r="M198" s="437"/>
      <c r="N198" s="437"/>
      <c r="O198" s="437"/>
      <c r="P198" s="439"/>
      <c r="Q198" s="439"/>
      <c r="R198" s="436"/>
      <c r="S198" s="436"/>
      <c r="T198" s="436"/>
      <c r="U198" s="436">
        <v>462</v>
      </c>
      <c r="V198" s="436"/>
      <c r="W198" s="448">
        <f>IF(NFI_Expiration=1,IF($A198&lt;VLOOKUP(H$5,NFI,5,0),1,0)*Table_NFI[[#This Row],[Hygiene Kit]],Table_NFI[Hygiene Kit])</f>
        <v>0</v>
      </c>
      <c r="X198" s="448">
        <f>IF(NFI_Expiration=1,IF($A198&lt;VLOOKUP(I$5,NFI,5,0),1,0)*Table_NFI[[#This Row],[NFI Core Kit]],Table_NFI[NFI Core Kit])</f>
        <v>0</v>
      </c>
      <c r="Y198" s="448">
        <f>IF(NFI_Expiration=1,IF($A198&lt;VLOOKUP(J$5,NFI,5,0),1,0)*Table_NFI[[#This Row],[Sanitary Kit]],Table_NFI[Sanitary Kit])</f>
        <v>0</v>
      </c>
      <c r="Z198" s="448">
        <f>IF(NFI_Expiration=1,IF($A198&lt;VLOOKUP(K$5,NFI,5,0),1,0)*Table_NFI[[#This Row],[Mosquito net]],Table_NFI[Mosquito net])</f>
        <v>0</v>
      </c>
      <c r="AA198" s="448">
        <f>IF(NFI_Expiration=1,IF($A198&lt;VLOOKUP(L$5,NFI,5,0),1,0)*Table_NFI[[#This Row],[Tarpaulin]],Table_NFI[[#This Row],[Tarpaulin]])</f>
        <v>0</v>
      </c>
      <c r="AB198" s="448">
        <f>IF(NFI_Expiration=1,IF($A198&lt;VLOOKUP(M$5,NFI,5,0),1,0)*Table_NFI[[#This Row],[Blanket]],Table_NFI[[#This Row],[Blanket]])</f>
        <v>0</v>
      </c>
      <c r="AC198" s="448">
        <f>IF(NFI_Expiration=1,IF($A198&lt;VLOOKUP(N$5,NFI,5,0),1,0)*Table_NFI[[#This Row],[Kitchen Set]],Table_NFI[Kitchen Set])</f>
        <v>0</v>
      </c>
      <c r="AD198" s="448">
        <f>IF(NFI_Expiration=1,IF($A198&lt;VLOOKUP(O$5,NFI,5,0),1,0)*Table_NFI[[#This Row],[Clothes Kit]],Table_NFI[Clothes Kit])</f>
        <v>0</v>
      </c>
      <c r="AE198" s="448">
        <f>IF(NFI_Expiration=1,IF($A198&lt;VLOOKUP(P$5,NFI,5,0),1,0)*Table_NFI[[#This Row],[Plastic Bucket]],Table_NFI[Plastic Bucket])</f>
        <v>0</v>
      </c>
      <c r="AF198" s="448">
        <f>IF(NFI_Expiration=1,IF($A198&lt;VLOOKUP(Q$5,NFI,5,0),1,0)*Table_NFI[[#This Row],[Plastic Mat]],Table_NFI[Plastic Mat])*IF(Table_NFI[[#This Row],[Distribution Date]]&gt;"2014-04-01",1,2.5)</f>
        <v>0</v>
      </c>
      <c r="AG198" s="448">
        <f>IF(NFI_Expiration=1,IF($A198&lt;VLOOKUP(R$5,NFI,5,0),1,0)*Table_NFI[[#This Row],[Winter Clothes Adult]],Table_NFI[Winter Clothes Adult])</f>
        <v>0</v>
      </c>
      <c r="AH198" s="448">
        <f>IF(NFI_Expiration=1,IF($A198&lt;VLOOKUP(S$5,NFI,5,0),1,0)*Table_NFI[[#This Row],[Winter Clothes Children]],Table_NFI[Winter Clothes Children])</f>
        <v>0</v>
      </c>
      <c r="AI198" s="448">
        <f>IF(NFI_Expiration=1,IF($A198&lt;VLOOKUP(T$5,NFI,5,0),1,0)*Table_NFI[[#This Row],[Winter Items Other]],Table_NFI[Winter Items Other])</f>
        <v>0</v>
      </c>
      <c r="AJ198" s="448">
        <f>IF(NFI_Expiration=1,IF($A198&lt;VLOOKUP(M$5,NFI,5,0),1,0)*Table_NFI[[#This Row],[Winter Blanket]],Table_NFI[[#This Row],[Winter Blanket]])</f>
        <v>0</v>
      </c>
      <c r="AK198" s="448">
        <f>IF(Table_NFI[[#This Row],[Winter Clothes Adult]]+Table_NFI[[#This Row],[Winter Clothes Children]]+Table_NFI[[#This Row],[Winter Items Other]]+Table_NFI[[#This Row],[Winter Blanket]]&gt;0,1,0)</f>
        <v>1</v>
      </c>
      <c r="AL198" s="439">
        <f>IF(NFI_Expiration=1,IF($A198&lt;VLOOKUP(V$5,NFI,5,0),1,0)*Table_NFI[[#This Row],[Jerry Can]],Table_NFI[Jerry Can])</f>
        <v>0</v>
      </c>
      <c r="AM198" s="797" t="str">
        <f>IFERROR(VLOOKUP(Table_NFI[[#This Row],[Camp Name]],CL,2,0),"")</f>
        <v>MMR001CMP057</v>
      </c>
      <c r="AN198" s="798">
        <f ca="1">IF(Table_NFI[[#This Row],[Pcode]]="","",IF(OFFSET(CampList[Opening Date],MATCH(Table_NFI[[#This Row],[Pcode]],CampList[CP_Pcode],0)-1,0,1,1)&gt;=NFI_Monitor_Date,1,0))</f>
        <v>0</v>
      </c>
      <c r="AO198" s="797" t="str">
        <f>IFERROR(VLOOKUP(Table_NFI[[#This Row],[Camp Name]],CL,3,0),"")</f>
        <v>Closed</v>
      </c>
      <c r="AP198" s="448" t="str">
        <f ca="1">IF(Table_NFI[[#This Row],[Pcode]]="","",OFFSET(CampList[Priority],MATCH(Table_NFI[[#This Row],[Pcode]],CampList[CP_Pcode],0)-1,0,1,1))</f>
        <v>P4</v>
      </c>
      <c r="AQ198" s="449" t="str">
        <f>IFERROR(Table_NFI[[#This Row],[Kitchen Set]]/VLOOKUP(Table_NFI[[#This Row],[Camp Name]],CL,4,0),"")</f>
        <v/>
      </c>
      <c r="AR198" s="799"/>
      <c r="AS198" s="783"/>
    </row>
    <row r="199" spans="1:45" s="784" customFormat="1" x14ac:dyDescent="0.25">
      <c r="A199" s="455">
        <f t="shared" si="3"/>
        <v>16.600000000000001</v>
      </c>
      <c r="B199" s="778">
        <v>41811</v>
      </c>
      <c r="C199" s="779" t="s">
        <v>1113</v>
      </c>
      <c r="D199" s="779" t="s">
        <v>907</v>
      </c>
      <c r="E199" s="779" t="s">
        <v>380</v>
      </c>
      <c r="F199" s="779" t="s">
        <v>237</v>
      </c>
      <c r="G199" s="779" t="s">
        <v>243</v>
      </c>
      <c r="H199" s="436"/>
      <c r="I199" s="436"/>
      <c r="J199" s="436"/>
      <c r="K199" s="436"/>
      <c r="L199" s="437"/>
      <c r="M199" s="437"/>
      <c r="N199" s="437"/>
      <c r="O199" s="437"/>
      <c r="P199" s="439"/>
      <c r="Q199" s="439"/>
      <c r="R199" s="436"/>
      <c r="S199" s="436"/>
      <c r="T199" s="436"/>
      <c r="U199" s="436">
        <v>12</v>
      </c>
      <c r="V199" s="436"/>
      <c r="W199" s="448">
        <f>IF(NFI_Expiration=1,IF($A199&lt;VLOOKUP(H$5,NFI,5,0),1,0)*Table_NFI[[#This Row],[Hygiene Kit]],Table_NFI[Hygiene Kit])</f>
        <v>0</v>
      </c>
      <c r="X199" s="448">
        <f>IF(NFI_Expiration=1,IF($A199&lt;VLOOKUP(I$5,NFI,5,0),1,0)*Table_NFI[[#This Row],[NFI Core Kit]],Table_NFI[NFI Core Kit])</f>
        <v>0</v>
      </c>
      <c r="Y199" s="448">
        <f>IF(NFI_Expiration=1,IF($A199&lt;VLOOKUP(J$5,NFI,5,0),1,0)*Table_NFI[[#This Row],[Sanitary Kit]],Table_NFI[Sanitary Kit])</f>
        <v>0</v>
      </c>
      <c r="Z199" s="448">
        <f>IF(NFI_Expiration=1,IF($A199&lt;VLOOKUP(K$5,NFI,5,0),1,0)*Table_NFI[[#This Row],[Mosquito net]],Table_NFI[Mosquito net])</f>
        <v>0</v>
      </c>
      <c r="AA199" s="448">
        <f>IF(NFI_Expiration=1,IF($A199&lt;VLOOKUP(L$5,NFI,5,0),1,0)*Table_NFI[[#This Row],[Tarpaulin]],Table_NFI[[#This Row],[Tarpaulin]])</f>
        <v>0</v>
      </c>
      <c r="AB199" s="448">
        <f>IF(NFI_Expiration=1,IF($A199&lt;VLOOKUP(M$5,NFI,5,0),1,0)*Table_NFI[[#This Row],[Blanket]],Table_NFI[[#This Row],[Blanket]])</f>
        <v>0</v>
      </c>
      <c r="AC199" s="448">
        <f>IF(NFI_Expiration=1,IF($A199&lt;VLOOKUP(N$5,NFI,5,0),1,0)*Table_NFI[[#This Row],[Kitchen Set]],Table_NFI[Kitchen Set])</f>
        <v>0</v>
      </c>
      <c r="AD199" s="448">
        <f>IF(NFI_Expiration=1,IF($A199&lt;VLOOKUP(O$5,NFI,5,0),1,0)*Table_NFI[[#This Row],[Clothes Kit]],Table_NFI[Clothes Kit])</f>
        <v>0</v>
      </c>
      <c r="AE199" s="448">
        <f>IF(NFI_Expiration=1,IF($A199&lt;VLOOKUP(P$5,NFI,5,0),1,0)*Table_NFI[[#This Row],[Plastic Bucket]],Table_NFI[Plastic Bucket])</f>
        <v>0</v>
      </c>
      <c r="AF199" s="448">
        <f>IF(NFI_Expiration=1,IF($A199&lt;VLOOKUP(Q$5,NFI,5,0),1,0)*Table_NFI[[#This Row],[Plastic Mat]],Table_NFI[Plastic Mat])*IF(Table_NFI[[#This Row],[Distribution Date]]&gt;"2014-04-01",1,2.5)</f>
        <v>0</v>
      </c>
      <c r="AG199" s="448">
        <f>IF(NFI_Expiration=1,IF($A199&lt;VLOOKUP(R$5,NFI,5,0),1,0)*Table_NFI[[#This Row],[Winter Clothes Adult]],Table_NFI[Winter Clothes Adult])</f>
        <v>0</v>
      </c>
      <c r="AH199" s="448">
        <f>IF(NFI_Expiration=1,IF($A199&lt;VLOOKUP(S$5,NFI,5,0),1,0)*Table_NFI[[#This Row],[Winter Clothes Children]],Table_NFI[Winter Clothes Children])</f>
        <v>0</v>
      </c>
      <c r="AI199" s="448">
        <f>IF(NFI_Expiration=1,IF($A199&lt;VLOOKUP(T$5,NFI,5,0),1,0)*Table_NFI[[#This Row],[Winter Items Other]],Table_NFI[Winter Items Other])</f>
        <v>0</v>
      </c>
      <c r="AJ199" s="448">
        <f>IF(NFI_Expiration=1,IF($A199&lt;VLOOKUP(M$5,NFI,5,0),1,0)*Table_NFI[[#This Row],[Winter Blanket]],Table_NFI[[#This Row],[Winter Blanket]])</f>
        <v>0</v>
      </c>
      <c r="AK199" s="448">
        <f>IF(Table_NFI[[#This Row],[Winter Clothes Adult]]+Table_NFI[[#This Row],[Winter Clothes Children]]+Table_NFI[[#This Row],[Winter Items Other]]+Table_NFI[[#This Row],[Winter Blanket]]&gt;0,1,0)</f>
        <v>1</v>
      </c>
      <c r="AL199" s="439">
        <f>IF(NFI_Expiration=1,IF($A199&lt;VLOOKUP(V$5,NFI,5,0),1,0)*Table_NFI[[#This Row],[Jerry Can]],Table_NFI[Jerry Can])</f>
        <v>0</v>
      </c>
      <c r="AM199" s="797" t="str">
        <f>IFERROR(VLOOKUP(Table_NFI[[#This Row],[Camp Name]],CL,2,0),"")</f>
        <v>MMR001CMP012</v>
      </c>
      <c r="AN199" s="798">
        <f ca="1">IF(Table_NFI[[#This Row],[Pcode]]="","",IF(OFFSET(CampList[Opening Date],MATCH(Table_NFI[[#This Row],[Pcode]],CampList[CP_Pcode],0)-1,0,1,1)&gt;=NFI_Monitor_Date,1,0))</f>
        <v>0</v>
      </c>
      <c r="AO199" s="797" t="str">
        <f>IFERROR(VLOOKUP(Table_NFI[[#This Row],[Camp Name]],CL,3,0),"")</f>
        <v>Open</v>
      </c>
      <c r="AP199" s="448" t="str">
        <f ca="1">IF(Table_NFI[[#This Row],[Pcode]]="","",OFFSET(CampList[Priority],MATCH(Table_NFI[[#This Row],[Pcode]],CampList[CP_Pcode],0)-1,0,1,1))</f>
        <v>P4</v>
      </c>
      <c r="AQ199" s="449">
        <f>IFERROR(Table_NFI[[#This Row],[Kitchen Set]]/VLOOKUP(Table_NFI[[#This Row],[Camp Name]],CL,4,0),"")</f>
        <v>0</v>
      </c>
      <c r="AR199" s="799"/>
      <c r="AS199" s="783"/>
    </row>
    <row r="200" spans="1:45" s="784" customFormat="1" x14ac:dyDescent="0.25">
      <c r="A200" s="455">
        <f t="shared" si="3"/>
        <v>16.600000000000001</v>
      </c>
      <c r="B200" s="778">
        <v>41811</v>
      </c>
      <c r="C200" s="779" t="s">
        <v>1113</v>
      </c>
      <c r="D200" s="779" t="s">
        <v>907</v>
      </c>
      <c r="E200" s="779" t="s">
        <v>380</v>
      </c>
      <c r="F200" s="779" t="s">
        <v>237</v>
      </c>
      <c r="G200" s="779" t="s">
        <v>245</v>
      </c>
      <c r="H200" s="436"/>
      <c r="I200" s="436"/>
      <c r="J200" s="436"/>
      <c r="K200" s="436"/>
      <c r="L200" s="437"/>
      <c r="M200" s="437"/>
      <c r="N200" s="437"/>
      <c r="O200" s="437"/>
      <c r="P200" s="439"/>
      <c r="Q200" s="439"/>
      <c r="R200" s="436"/>
      <c r="S200" s="436"/>
      <c r="T200" s="436"/>
      <c r="U200" s="436">
        <v>12</v>
      </c>
      <c r="V200" s="436"/>
      <c r="W200" s="448">
        <f>IF(NFI_Expiration=1,IF($A200&lt;VLOOKUP(H$5,NFI,5,0),1,0)*Table_NFI[[#This Row],[Hygiene Kit]],Table_NFI[Hygiene Kit])</f>
        <v>0</v>
      </c>
      <c r="X200" s="448">
        <f>IF(NFI_Expiration=1,IF($A200&lt;VLOOKUP(I$5,NFI,5,0),1,0)*Table_NFI[[#This Row],[NFI Core Kit]],Table_NFI[NFI Core Kit])</f>
        <v>0</v>
      </c>
      <c r="Y200" s="448">
        <f>IF(NFI_Expiration=1,IF($A200&lt;VLOOKUP(J$5,NFI,5,0),1,0)*Table_NFI[[#This Row],[Sanitary Kit]],Table_NFI[Sanitary Kit])</f>
        <v>0</v>
      </c>
      <c r="Z200" s="448">
        <f>IF(NFI_Expiration=1,IF($A200&lt;VLOOKUP(K$5,NFI,5,0),1,0)*Table_NFI[[#This Row],[Mosquito net]],Table_NFI[Mosquito net])</f>
        <v>0</v>
      </c>
      <c r="AA200" s="448">
        <f>IF(NFI_Expiration=1,IF($A200&lt;VLOOKUP(L$5,NFI,5,0),1,0)*Table_NFI[[#This Row],[Tarpaulin]],Table_NFI[[#This Row],[Tarpaulin]])</f>
        <v>0</v>
      </c>
      <c r="AB200" s="448">
        <f>IF(NFI_Expiration=1,IF($A200&lt;VLOOKUP(M$5,NFI,5,0),1,0)*Table_NFI[[#This Row],[Blanket]],Table_NFI[[#This Row],[Blanket]])</f>
        <v>0</v>
      </c>
      <c r="AC200" s="448">
        <f>IF(NFI_Expiration=1,IF($A200&lt;VLOOKUP(N$5,NFI,5,0),1,0)*Table_NFI[[#This Row],[Kitchen Set]],Table_NFI[Kitchen Set])</f>
        <v>0</v>
      </c>
      <c r="AD200" s="448">
        <f>IF(NFI_Expiration=1,IF($A200&lt;VLOOKUP(O$5,NFI,5,0),1,0)*Table_NFI[[#This Row],[Clothes Kit]],Table_NFI[Clothes Kit])</f>
        <v>0</v>
      </c>
      <c r="AE200" s="448">
        <f>IF(NFI_Expiration=1,IF($A200&lt;VLOOKUP(P$5,NFI,5,0),1,0)*Table_NFI[[#This Row],[Plastic Bucket]],Table_NFI[Plastic Bucket])</f>
        <v>0</v>
      </c>
      <c r="AF200" s="448">
        <f>IF(NFI_Expiration=1,IF($A200&lt;VLOOKUP(Q$5,NFI,5,0),1,0)*Table_NFI[[#This Row],[Plastic Mat]],Table_NFI[Plastic Mat])*IF(Table_NFI[[#This Row],[Distribution Date]]&gt;"2014-04-01",1,2.5)</f>
        <v>0</v>
      </c>
      <c r="AG200" s="448">
        <f>IF(NFI_Expiration=1,IF($A200&lt;VLOOKUP(R$5,NFI,5,0),1,0)*Table_NFI[[#This Row],[Winter Clothes Adult]],Table_NFI[Winter Clothes Adult])</f>
        <v>0</v>
      </c>
      <c r="AH200" s="448">
        <f>IF(NFI_Expiration=1,IF($A200&lt;VLOOKUP(S$5,NFI,5,0),1,0)*Table_NFI[[#This Row],[Winter Clothes Children]],Table_NFI[Winter Clothes Children])</f>
        <v>0</v>
      </c>
      <c r="AI200" s="448">
        <f>IF(NFI_Expiration=1,IF($A200&lt;VLOOKUP(T$5,NFI,5,0),1,0)*Table_NFI[[#This Row],[Winter Items Other]],Table_NFI[Winter Items Other])</f>
        <v>0</v>
      </c>
      <c r="AJ200" s="448">
        <f>IF(NFI_Expiration=1,IF($A200&lt;VLOOKUP(M$5,NFI,5,0),1,0)*Table_NFI[[#This Row],[Winter Blanket]],Table_NFI[[#This Row],[Winter Blanket]])</f>
        <v>0</v>
      </c>
      <c r="AK200" s="448">
        <f>IF(Table_NFI[[#This Row],[Winter Clothes Adult]]+Table_NFI[[#This Row],[Winter Clothes Children]]+Table_NFI[[#This Row],[Winter Items Other]]+Table_NFI[[#This Row],[Winter Blanket]]&gt;0,1,0)</f>
        <v>1</v>
      </c>
      <c r="AL200" s="439">
        <f>IF(NFI_Expiration=1,IF($A200&lt;VLOOKUP(V$5,NFI,5,0),1,0)*Table_NFI[[#This Row],[Jerry Can]],Table_NFI[Jerry Can])</f>
        <v>0</v>
      </c>
      <c r="AM200" s="797" t="str">
        <f>IFERROR(VLOOKUP(Table_NFI[[#This Row],[Camp Name]],CL,2,0),"")</f>
        <v>MMR001CMP010</v>
      </c>
      <c r="AN200" s="798">
        <f ca="1">IF(Table_NFI[[#This Row],[Pcode]]="","",IF(OFFSET(CampList[Opening Date],MATCH(Table_NFI[[#This Row],[Pcode]],CampList[CP_Pcode],0)-1,0,1,1)&gt;=NFI_Monitor_Date,1,0))</f>
        <v>0</v>
      </c>
      <c r="AO200" s="797" t="str">
        <f>IFERROR(VLOOKUP(Table_NFI[[#This Row],[Camp Name]],CL,3,0),"")</f>
        <v>Open</v>
      </c>
      <c r="AP200" s="448" t="str">
        <f ca="1">IF(Table_NFI[[#This Row],[Pcode]]="","",OFFSET(CampList[Priority],MATCH(Table_NFI[[#This Row],[Pcode]],CampList[CP_Pcode],0)-1,0,1,1))</f>
        <v>P4</v>
      </c>
      <c r="AQ200" s="449">
        <f>IFERROR(Table_NFI[[#This Row],[Kitchen Set]]/VLOOKUP(Table_NFI[[#This Row],[Camp Name]],CL,4,0),"")</f>
        <v>0</v>
      </c>
      <c r="AR200" s="799"/>
      <c r="AS200" s="783"/>
    </row>
    <row r="201" spans="1:45" s="784" customFormat="1" x14ac:dyDescent="0.25">
      <c r="A201" s="455">
        <f t="shared" si="3"/>
        <v>16.600000000000001</v>
      </c>
      <c r="B201" s="778">
        <v>41811</v>
      </c>
      <c r="C201" s="779" t="s">
        <v>1113</v>
      </c>
      <c r="D201" s="779" t="s">
        <v>907</v>
      </c>
      <c r="E201" s="779" t="s">
        <v>380</v>
      </c>
      <c r="F201" s="779" t="s">
        <v>237</v>
      </c>
      <c r="G201" s="779" t="s">
        <v>247</v>
      </c>
      <c r="H201" s="436"/>
      <c r="I201" s="436"/>
      <c r="J201" s="436"/>
      <c r="K201" s="436"/>
      <c r="L201" s="437"/>
      <c r="M201" s="437"/>
      <c r="N201" s="437"/>
      <c r="O201" s="437"/>
      <c r="P201" s="439"/>
      <c r="Q201" s="439"/>
      <c r="R201" s="436"/>
      <c r="S201" s="436"/>
      <c r="T201" s="436"/>
      <c r="U201" s="436">
        <v>16</v>
      </c>
      <c r="V201" s="436"/>
      <c r="W201" s="448">
        <f>IF(NFI_Expiration=1,IF($A201&lt;VLOOKUP(H$5,NFI,5,0),1,0)*Table_NFI[[#This Row],[Hygiene Kit]],Table_NFI[Hygiene Kit])</f>
        <v>0</v>
      </c>
      <c r="X201" s="448">
        <f>IF(NFI_Expiration=1,IF($A201&lt;VLOOKUP(I$5,NFI,5,0),1,0)*Table_NFI[[#This Row],[NFI Core Kit]],Table_NFI[NFI Core Kit])</f>
        <v>0</v>
      </c>
      <c r="Y201" s="448">
        <f>IF(NFI_Expiration=1,IF($A201&lt;VLOOKUP(J$5,NFI,5,0),1,0)*Table_NFI[[#This Row],[Sanitary Kit]],Table_NFI[Sanitary Kit])</f>
        <v>0</v>
      </c>
      <c r="Z201" s="448">
        <f>IF(NFI_Expiration=1,IF($A201&lt;VLOOKUP(K$5,NFI,5,0),1,0)*Table_NFI[[#This Row],[Mosquito net]],Table_NFI[Mosquito net])</f>
        <v>0</v>
      </c>
      <c r="AA201" s="448">
        <f>IF(NFI_Expiration=1,IF($A201&lt;VLOOKUP(L$5,NFI,5,0),1,0)*Table_NFI[[#This Row],[Tarpaulin]],Table_NFI[[#This Row],[Tarpaulin]])</f>
        <v>0</v>
      </c>
      <c r="AB201" s="448">
        <f>IF(NFI_Expiration=1,IF($A201&lt;VLOOKUP(M$5,NFI,5,0),1,0)*Table_NFI[[#This Row],[Blanket]],Table_NFI[[#This Row],[Blanket]])</f>
        <v>0</v>
      </c>
      <c r="AC201" s="448">
        <f>IF(NFI_Expiration=1,IF($A201&lt;VLOOKUP(N$5,NFI,5,0),1,0)*Table_NFI[[#This Row],[Kitchen Set]],Table_NFI[Kitchen Set])</f>
        <v>0</v>
      </c>
      <c r="AD201" s="448">
        <f>IF(NFI_Expiration=1,IF($A201&lt;VLOOKUP(O$5,NFI,5,0),1,0)*Table_NFI[[#This Row],[Clothes Kit]],Table_NFI[Clothes Kit])</f>
        <v>0</v>
      </c>
      <c r="AE201" s="448">
        <f>IF(NFI_Expiration=1,IF($A201&lt;VLOOKUP(P$5,NFI,5,0),1,0)*Table_NFI[[#This Row],[Plastic Bucket]],Table_NFI[Plastic Bucket])</f>
        <v>0</v>
      </c>
      <c r="AF201" s="448">
        <f>IF(NFI_Expiration=1,IF($A201&lt;VLOOKUP(Q$5,NFI,5,0),1,0)*Table_NFI[[#This Row],[Plastic Mat]],Table_NFI[Plastic Mat])*IF(Table_NFI[[#This Row],[Distribution Date]]&gt;"2014-04-01",1,2.5)</f>
        <v>0</v>
      </c>
      <c r="AG201" s="448">
        <f>IF(NFI_Expiration=1,IF($A201&lt;VLOOKUP(R$5,NFI,5,0),1,0)*Table_NFI[[#This Row],[Winter Clothes Adult]],Table_NFI[Winter Clothes Adult])</f>
        <v>0</v>
      </c>
      <c r="AH201" s="448">
        <f>IF(NFI_Expiration=1,IF($A201&lt;VLOOKUP(S$5,NFI,5,0),1,0)*Table_NFI[[#This Row],[Winter Clothes Children]],Table_NFI[Winter Clothes Children])</f>
        <v>0</v>
      </c>
      <c r="AI201" s="448">
        <f>IF(NFI_Expiration=1,IF($A201&lt;VLOOKUP(T$5,NFI,5,0),1,0)*Table_NFI[[#This Row],[Winter Items Other]],Table_NFI[Winter Items Other])</f>
        <v>0</v>
      </c>
      <c r="AJ201" s="448">
        <f>IF(NFI_Expiration=1,IF($A201&lt;VLOOKUP(M$5,NFI,5,0),1,0)*Table_NFI[[#This Row],[Winter Blanket]],Table_NFI[[#This Row],[Winter Blanket]])</f>
        <v>0</v>
      </c>
      <c r="AK201" s="448">
        <f>IF(Table_NFI[[#This Row],[Winter Clothes Adult]]+Table_NFI[[#This Row],[Winter Clothes Children]]+Table_NFI[[#This Row],[Winter Items Other]]+Table_NFI[[#This Row],[Winter Blanket]]&gt;0,1,0)</f>
        <v>1</v>
      </c>
      <c r="AL201" s="439">
        <f>IF(NFI_Expiration=1,IF($A201&lt;VLOOKUP(V$5,NFI,5,0),1,0)*Table_NFI[[#This Row],[Jerry Can]],Table_NFI[Jerry Can])</f>
        <v>0</v>
      </c>
      <c r="AM201" s="797" t="str">
        <f>IFERROR(VLOOKUP(Table_NFI[[#This Row],[Camp Name]],CL,2,0),"")</f>
        <v>MMR001CMP011</v>
      </c>
      <c r="AN201" s="798">
        <f ca="1">IF(Table_NFI[[#This Row],[Pcode]]="","",IF(OFFSET(CampList[Opening Date],MATCH(Table_NFI[[#This Row],[Pcode]],CampList[CP_Pcode],0)-1,0,1,1)&gt;=NFI_Monitor_Date,1,0))</f>
        <v>0</v>
      </c>
      <c r="AO201" s="797" t="str">
        <f>IFERROR(VLOOKUP(Table_NFI[[#This Row],[Camp Name]],CL,3,0),"")</f>
        <v>Open</v>
      </c>
      <c r="AP201" s="448" t="str">
        <f ca="1">IF(Table_NFI[[#This Row],[Pcode]]="","",OFFSET(CampList[Priority],MATCH(Table_NFI[[#This Row],[Pcode]],CampList[CP_Pcode],0)-1,0,1,1))</f>
        <v>P4</v>
      </c>
      <c r="AQ201" s="449">
        <f>IFERROR(Table_NFI[[#This Row],[Kitchen Set]]/VLOOKUP(Table_NFI[[#This Row],[Camp Name]],CL,4,0),"")</f>
        <v>0</v>
      </c>
      <c r="AR201" s="799"/>
      <c r="AS201" s="783"/>
    </row>
    <row r="202" spans="1:45" s="136" customFormat="1" x14ac:dyDescent="0.25">
      <c r="A202" s="455">
        <f t="shared" si="3"/>
        <v>16.633333333333333</v>
      </c>
      <c r="B202" s="778">
        <v>41810</v>
      </c>
      <c r="C202" s="779" t="s">
        <v>1113</v>
      </c>
      <c r="D202" s="779" t="s">
        <v>907</v>
      </c>
      <c r="E202" s="779" t="s">
        <v>380</v>
      </c>
      <c r="F202" s="779" t="s">
        <v>237</v>
      </c>
      <c r="G202" s="779" t="s">
        <v>249</v>
      </c>
      <c r="H202" s="436"/>
      <c r="I202" s="436"/>
      <c r="J202" s="436"/>
      <c r="K202" s="436"/>
      <c r="L202" s="437"/>
      <c r="M202" s="437"/>
      <c r="N202" s="437"/>
      <c r="O202" s="437"/>
      <c r="P202" s="439"/>
      <c r="Q202" s="439"/>
      <c r="R202" s="436"/>
      <c r="S202" s="436"/>
      <c r="T202" s="436"/>
      <c r="U202" s="436">
        <v>16</v>
      </c>
      <c r="V202" s="436"/>
      <c r="W202" s="448">
        <f>IF(NFI_Expiration=1,IF($A202&lt;VLOOKUP(H$5,NFI,5,0),1,0)*Table_NFI[[#This Row],[Hygiene Kit]],Table_NFI[Hygiene Kit])</f>
        <v>0</v>
      </c>
      <c r="X202" s="448">
        <f>IF(NFI_Expiration=1,IF($A202&lt;VLOOKUP(I$5,NFI,5,0),1,0)*Table_NFI[[#This Row],[NFI Core Kit]],Table_NFI[NFI Core Kit])</f>
        <v>0</v>
      </c>
      <c r="Y202" s="448">
        <f>IF(NFI_Expiration=1,IF($A202&lt;VLOOKUP(J$5,NFI,5,0),1,0)*Table_NFI[[#This Row],[Sanitary Kit]],Table_NFI[Sanitary Kit])</f>
        <v>0</v>
      </c>
      <c r="Z202" s="448">
        <f>IF(NFI_Expiration=1,IF($A202&lt;VLOOKUP(K$5,NFI,5,0),1,0)*Table_NFI[[#This Row],[Mosquito net]],Table_NFI[Mosquito net])</f>
        <v>0</v>
      </c>
      <c r="AA202" s="448">
        <f>IF(NFI_Expiration=1,IF($A202&lt;VLOOKUP(L$5,NFI,5,0),1,0)*Table_NFI[[#This Row],[Tarpaulin]],Table_NFI[[#This Row],[Tarpaulin]])</f>
        <v>0</v>
      </c>
      <c r="AB202" s="448">
        <f>IF(NFI_Expiration=1,IF($A202&lt;VLOOKUP(M$5,NFI,5,0),1,0)*Table_NFI[[#This Row],[Blanket]],Table_NFI[[#This Row],[Blanket]])</f>
        <v>0</v>
      </c>
      <c r="AC202" s="448">
        <f>IF(NFI_Expiration=1,IF($A202&lt;VLOOKUP(N$5,NFI,5,0),1,0)*Table_NFI[[#This Row],[Kitchen Set]],Table_NFI[Kitchen Set])</f>
        <v>0</v>
      </c>
      <c r="AD202" s="448">
        <f>IF(NFI_Expiration=1,IF($A202&lt;VLOOKUP(O$5,NFI,5,0),1,0)*Table_NFI[[#This Row],[Clothes Kit]],Table_NFI[Clothes Kit])</f>
        <v>0</v>
      </c>
      <c r="AE202" s="448">
        <f>IF(NFI_Expiration=1,IF($A202&lt;VLOOKUP(P$5,NFI,5,0),1,0)*Table_NFI[[#This Row],[Plastic Bucket]],Table_NFI[Plastic Bucket])</f>
        <v>0</v>
      </c>
      <c r="AF202" s="448">
        <f>IF(NFI_Expiration=1,IF($A202&lt;VLOOKUP(Q$5,NFI,5,0),1,0)*Table_NFI[[#This Row],[Plastic Mat]],Table_NFI[Plastic Mat])*IF(Table_NFI[[#This Row],[Distribution Date]]&gt;"2014-04-01",1,2.5)</f>
        <v>0</v>
      </c>
      <c r="AG202" s="448">
        <f>IF(NFI_Expiration=1,IF($A202&lt;VLOOKUP(R$5,NFI,5,0),1,0)*Table_NFI[[#This Row],[Winter Clothes Adult]],Table_NFI[Winter Clothes Adult])</f>
        <v>0</v>
      </c>
      <c r="AH202" s="448">
        <f>IF(NFI_Expiration=1,IF($A202&lt;VLOOKUP(S$5,NFI,5,0),1,0)*Table_NFI[[#This Row],[Winter Clothes Children]],Table_NFI[Winter Clothes Children])</f>
        <v>0</v>
      </c>
      <c r="AI202" s="448">
        <f>IF(NFI_Expiration=1,IF($A202&lt;VLOOKUP(T$5,NFI,5,0),1,0)*Table_NFI[[#This Row],[Winter Items Other]],Table_NFI[Winter Items Other])</f>
        <v>0</v>
      </c>
      <c r="AJ202" s="448">
        <f>IF(NFI_Expiration=1,IF($A202&lt;VLOOKUP(M$5,NFI,5,0),1,0)*Table_NFI[[#This Row],[Winter Blanket]],Table_NFI[[#This Row],[Winter Blanket]])</f>
        <v>0</v>
      </c>
      <c r="AK202" s="448">
        <f>IF(Table_NFI[[#This Row],[Winter Clothes Adult]]+Table_NFI[[#This Row],[Winter Clothes Children]]+Table_NFI[[#This Row],[Winter Items Other]]+Table_NFI[[#This Row],[Winter Blanket]]&gt;0,1,0)</f>
        <v>1</v>
      </c>
      <c r="AL202" s="439">
        <f>IF(NFI_Expiration=1,IF($A202&lt;VLOOKUP(V$5,NFI,5,0),1,0)*Table_NFI[[#This Row],[Jerry Can]],Table_NFI[Jerry Can])</f>
        <v>0</v>
      </c>
      <c r="AM202" s="797" t="str">
        <f>IFERROR(VLOOKUP(Table_NFI[[#This Row],[Camp Name]],CL,2,0),"")</f>
        <v>MMR001CMP004</v>
      </c>
      <c r="AN202" s="798">
        <f ca="1">IF(Table_NFI[[#This Row],[Pcode]]="","",IF(OFFSET(CampList[Opening Date],MATCH(Table_NFI[[#This Row],[Pcode]],CampList[CP_Pcode],0)-1,0,1,1)&gt;=NFI_Monitor_Date,1,0))</f>
        <v>0</v>
      </c>
      <c r="AO202" s="797" t="str">
        <f>IFERROR(VLOOKUP(Table_NFI[[#This Row],[Camp Name]],CL,3,0),"")</f>
        <v>Open</v>
      </c>
      <c r="AP202" s="448" t="str">
        <f ca="1">IF(Table_NFI[[#This Row],[Pcode]]="","",OFFSET(CampList[Priority],MATCH(Table_NFI[[#This Row],[Pcode]],CampList[CP_Pcode],0)-1,0,1,1))</f>
        <v>P4</v>
      </c>
      <c r="AQ202" s="449">
        <f>IFERROR(Table_NFI[[#This Row],[Kitchen Set]]/VLOOKUP(Table_NFI[[#This Row],[Camp Name]],CL,4,0),"")</f>
        <v>0</v>
      </c>
      <c r="AR202" s="799"/>
      <c r="AS202" s="783"/>
    </row>
    <row r="203" spans="1:45" s="784" customFormat="1" x14ac:dyDescent="0.25">
      <c r="A203" s="455">
        <f t="shared" si="3"/>
        <v>16.733333333333334</v>
      </c>
      <c r="B203" s="778">
        <v>41807</v>
      </c>
      <c r="C203" s="779" t="s">
        <v>454</v>
      </c>
      <c r="D203" s="779"/>
      <c r="E203" s="779" t="s">
        <v>380</v>
      </c>
      <c r="F203" s="779" t="s">
        <v>151</v>
      </c>
      <c r="G203" s="779" t="s">
        <v>891</v>
      </c>
      <c r="H203" s="436"/>
      <c r="I203" s="436"/>
      <c r="J203" s="436"/>
      <c r="K203" s="436">
        <v>10</v>
      </c>
      <c r="L203" s="437">
        <v>3</v>
      </c>
      <c r="M203" s="437">
        <v>10</v>
      </c>
      <c r="N203" s="437">
        <v>3</v>
      </c>
      <c r="O203" s="437"/>
      <c r="P203" s="439">
        <v>3</v>
      </c>
      <c r="Q203" s="439">
        <v>10</v>
      </c>
      <c r="R203" s="436"/>
      <c r="S203" s="436"/>
      <c r="T203" s="436"/>
      <c r="U203" s="436"/>
      <c r="V203" s="436"/>
      <c r="W203" s="436">
        <f>IF(NFI_Expiration=1,IF($A203&lt;VLOOKUP(H$5,NFI,5,0),1,0)*Table_NFI[[#This Row],[Hygiene Kit]],Table_NFI[Hygiene Kit])</f>
        <v>0</v>
      </c>
      <c r="X203" s="436">
        <f>IF(NFI_Expiration=1,IF($A203&lt;VLOOKUP(I$5,NFI,5,0),1,0)*Table_NFI[[#This Row],[NFI Core Kit]],Table_NFI[NFI Core Kit])</f>
        <v>0</v>
      </c>
      <c r="Y203" s="436">
        <f>IF(NFI_Expiration=1,IF($A203&lt;VLOOKUP(J$5,NFI,5,0),1,0)*Table_NFI[[#This Row],[Sanitary Kit]],Table_NFI[Sanitary Kit])</f>
        <v>0</v>
      </c>
      <c r="Z203" s="436">
        <f>IF(NFI_Expiration=1,IF($A203&lt;VLOOKUP(K$5,NFI,5,0),1,0)*Table_NFI[[#This Row],[Mosquito net]],Table_NFI[Mosquito net])</f>
        <v>0</v>
      </c>
      <c r="AA203" s="436">
        <f>IF(NFI_Expiration=1,IF($A203&lt;VLOOKUP(L$5,NFI,5,0),1,0)*Table_NFI[[#This Row],[Tarpaulin]],Table_NFI[[#This Row],[Tarpaulin]])</f>
        <v>0</v>
      </c>
      <c r="AB203" s="436">
        <f>IF(NFI_Expiration=1,IF($A203&lt;VLOOKUP(M$5,NFI,5,0),1,0)*Table_NFI[[#This Row],[Blanket]],Table_NFI[[#This Row],[Blanket]])</f>
        <v>0</v>
      </c>
      <c r="AC203" s="436">
        <f>IF(NFI_Expiration=1,IF($A203&lt;VLOOKUP(N$5,NFI,5,0),1,0)*Table_NFI[[#This Row],[Kitchen Set]],Table_NFI[Kitchen Set])</f>
        <v>0</v>
      </c>
      <c r="AD203" s="436">
        <f>IF(NFI_Expiration=1,IF($A203&lt;VLOOKUP(O$5,NFI,5,0),1,0)*Table_NFI[[#This Row],[Clothes Kit]],Table_NFI[Clothes Kit])</f>
        <v>0</v>
      </c>
      <c r="AE203" s="436">
        <f>IF(NFI_Expiration=1,IF($A203&lt;VLOOKUP(P$5,NFI,5,0),1,0)*Table_NFI[[#This Row],[Plastic Bucket]],Table_NFI[Plastic Bucket])</f>
        <v>0</v>
      </c>
      <c r="AF203" s="436">
        <f>IF(NFI_Expiration=1,IF($A203&lt;VLOOKUP(Q$5,NFI,5,0),1,0)*Table_NFI[[#This Row],[Plastic Mat]],Table_NFI[Plastic Mat])*IF(Table_NFI[[#This Row],[Distribution Date]]&gt;"2014-04-01",1,2.5)</f>
        <v>0</v>
      </c>
      <c r="AG203" s="436">
        <f>IF(NFI_Expiration=1,IF($A203&lt;VLOOKUP(R$5,NFI,5,0),1,0)*Table_NFI[[#This Row],[Winter Clothes Adult]],Table_NFI[Winter Clothes Adult])</f>
        <v>0</v>
      </c>
      <c r="AH203" s="436">
        <f>IF(NFI_Expiration=1,IF($A203&lt;VLOOKUP(S$5,NFI,5,0),1,0)*Table_NFI[[#This Row],[Winter Clothes Children]],Table_NFI[Winter Clothes Children])</f>
        <v>0</v>
      </c>
      <c r="AI203" s="436">
        <f>IF(NFI_Expiration=1,IF($A203&lt;VLOOKUP(T$5,NFI,5,0),1,0)*Table_NFI[[#This Row],[Winter Items Other]],Table_NFI[Winter Items Other])</f>
        <v>0</v>
      </c>
      <c r="AJ203" s="436">
        <f>IF(NFI_Expiration=1,IF($A203&lt;VLOOKUP(M$5,NFI,5,0),1,0)*Table_NFI[[#This Row],[Winter Blanket]],Table_NFI[[#This Row],[Winter Blanket]])</f>
        <v>0</v>
      </c>
      <c r="AK203" s="436">
        <f>IF(Table_NFI[[#This Row],[Winter Clothes Adult]]+Table_NFI[[#This Row],[Winter Clothes Children]]+Table_NFI[[#This Row],[Winter Items Other]]+Table_NFI[[#This Row],[Winter Blanket]]&gt;0,1,0)</f>
        <v>0</v>
      </c>
      <c r="AL203" s="439">
        <f>IF(NFI_Expiration=1,IF($A203&lt;VLOOKUP(V$5,NFI,5,0),1,0)*Table_NFI[[#This Row],[Jerry Can]],Table_NFI[Jerry Can])</f>
        <v>0</v>
      </c>
      <c r="AM203" s="781" t="str">
        <f>IFERROR(VLOOKUP(Table_NFI[[#This Row],[Camp Name]],CL,2,0),"")</f>
        <v>MMR001CMP218</v>
      </c>
      <c r="AN203" s="782">
        <f ca="1">IF(Table_NFI[[#This Row],[Pcode]]="","",IF(OFFSET(CampList[Opening Date],MATCH(Table_NFI[[#This Row],[Pcode]],CampList[CP_Pcode],0)-1,0,1,1)&gt;=NFI_Monitor_Date,1,0))</f>
        <v>0</v>
      </c>
      <c r="AO203" s="781" t="str">
        <f>IFERROR(VLOOKUP(Table_NFI[[#This Row],[Camp Name]],CL,3,0),"")</f>
        <v>Open</v>
      </c>
      <c r="AP203" s="436" t="str">
        <f ca="1">IF(Table_NFI[[#This Row],[Pcode]]="","",OFFSET(CampList[Priority],MATCH(Table_NFI[[#This Row],[Pcode]],CampList[CP_Pcode],0)-1,0,1,1))</f>
        <v>P4</v>
      </c>
      <c r="AQ203" s="438">
        <f>IFERROR(Table_NFI[[#This Row],[Kitchen Set]]/VLOOKUP(Table_NFI[[#This Row],[Camp Name]],CL,4,0),"")</f>
        <v>8.0645161290322578E-3</v>
      </c>
      <c r="AR203" s="779"/>
      <c r="AS203" s="783"/>
    </row>
    <row r="204" spans="1:45" s="784" customFormat="1" x14ac:dyDescent="0.25">
      <c r="A204" s="455">
        <f t="shared" si="3"/>
        <v>16.8</v>
      </c>
      <c r="B204" s="778">
        <v>41805</v>
      </c>
      <c r="C204" s="779" t="s">
        <v>1113</v>
      </c>
      <c r="D204" s="779" t="s">
        <v>907</v>
      </c>
      <c r="E204" s="779" t="s">
        <v>380</v>
      </c>
      <c r="F204" s="779" t="s">
        <v>302</v>
      </c>
      <c r="G204" s="779" t="s">
        <v>306</v>
      </c>
      <c r="H204" s="436"/>
      <c r="I204" s="436"/>
      <c r="J204" s="436"/>
      <c r="K204" s="436"/>
      <c r="L204" s="437"/>
      <c r="M204" s="437"/>
      <c r="N204" s="437"/>
      <c r="O204" s="437"/>
      <c r="P204" s="439"/>
      <c r="Q204" s="439"/>
      <c r="R204" s="436"/>
      <c r="S204" s="436"/>
      <c r="T204" s="436"/>
      <c r="U204" s="436">
        <v>158</v>
      </c>
      <c r="V204" s="436"/>
      <c r="W204" s="448">
        <f>IF(NFI_Expiration=1,IF($A204&lt;VLOOKUP(H$5,NFI,5,0),1,0)*Table_NFI[[#This Row],[Hygiene Kit]],Table_NFI[Hygiene Kit])</f>
        <v>0</v>
      </c>
      <c r="X204" s="448">
        <f>IF(NFI_Expiration=1,IF($A204&lt;VLOOKUP(I$5,NFI,5,0),1,0)*Table_NFI[[#This Row],[NFI Core Kit]],Table_NFI[NFI Core Kit])</f>
        <v>0</v>
      </c>
      <c r="Y204" s="448">
        <f>IF(NFI_Expiration=1,IF($A204&lt;VLOOKUP(J$5,NFI,5,0),1,0)*Table_NFI[[#This Row],[Sanitary Kit]],Table_NFI[Sanitary Kit])</f>
        <v>0</v>
      </c>
      <c r="Z204" s="448">
        <f>IF(NFI_Expiration=1,IF($A204&lt;VLOOKUP(K$5,NFI,5,0),1,0)*Table_NFI[[#This Row],[Mosquito net]],Table_NFI[Mosquito net])</f>
        <v>0</v>
      </c>
      <c r="AA204" s="448">
        <f>IF(NFI_Expiration=1,IF($A204&lt;VLOOKUP(L$5,NFI,5,0),1,0)*Table_NFI[[#This Row],[Tarpaulin]],Table_NFI[[#This Row],[Tarpaulin]])</f>
        <v>0</v>
      </c>
      <c r="AB204" s="448">
        <f>IF(NFI_Expiration=1,IF($A204&lt;VLOOKUP(M$5,NFI,5,0),1,0)*Table_NFI[[#This Row],[Blanket]],Table_NFI[[#This Row],[Blanket]])</f>
        <v>0</v>
      </c>
      <c r="AC204" s="448">
        <f>IF(NFI_Expiration=1,IF($A204&lt;VLOOKUP(N$5,NFI,5,0),1,0)*Table_NFI[[#This Row],[Kitchen Set]],Table_NFI[Kitchen Set])</f>
        <v>0</v>
      </c>
      <c r="AD204" s="448">
        <f>IF(NFI_Expiration=1,IF($A204&lt;VLOOKUP(O$5,NFI,5,0),1,0)*Table_NFI[[#This Row],[Clothes Kit]],Table_NFI[Clothes Kit])</f>
        <v>0</v>
      </c>
      <c r="AE204" s="448">
        <f>IF(NFI_Expiration=1,IF($A204&lt;VLOOKUP(P$5,NFI,5,0),1,0)*Table_NFI[[#This Row],[Plastic Bucket]],Table_NFI[Plastic Bucket])</f>
        <v>0</v>
      </c>
      <c r="AF204" s="448">
        <f>IF(NFI_Expiration=1,IF($A204&lt;VLOOKUP(Q$5,NFI,5,0),1,0)*Table_NFI[[#This Row],[Plastic Mat]],Table_NFI[Plastic Mat])*IF(Table_NFI[[#This Row],[Distribution Date]]&gt;"2014-04-01",1,2.5)</f>
        <v>0</v>
      </c>
      <c r="AG204" s="448">
        <f>IF(NFI_Expiration=1,IF($A204&lt;VLOOKUP(R$5,NFI,5,0),1,0)*Table_NFI[[#This Row],[Winter Clothes Adult]],Table_NFI[Winter Clothes Adult])</f>
        <v>0</v>
      </c>
      <c r="AH204" s="448">
        <f>IF(NFI_Expiration=1,IF($A204&lt;VLOOKUP(S$5,NFI,5,0),1,0)*Table_NFI[[#This Row],[Winter Clothes Children]],Table_NFI[Winter Clothes Children])</f>
        <v>0</v>
      </c>
      <c r="AI204" s="448">
        <f>IF(NFI_Expiration=1,IF($A204&lt;VLOOKUP(T$5,NFI,5,0),1,0)*Table_NFI[[#This Row],[Winter Items Other]],Table_NFI[Winter Items Other])</f>
        <v>0</v>
      </c>
      <c r="AJ204" s="448">
        <f>IF(NFI_Expiration=1,IF($A204&lt;VLOOKUP(M$5,NFI,5,0),1,0)*Table_NFI[[#This Row],[Winter Blanket]],Table_NFI[[#This Row],[Winter Blanket]])</f>
        <v>0</v>
      </c>
      <c r="AK204" s="448">
        <f>IF(Table_NFI[[#This Row],[Winter Clothes Adult]]+Table_NFI[[#This Row],[Winter Clothes Children]]+Table_NFI[[#This Row],[Winter Items Other]]+Table_NFI[[#This Row],[Winter Blanket]]&gt;0,1,0)</f>
        <v>1</v>
      </c>
      <c r="AL204" s="439">
        <f>IF(NFI_Expiration=1,IF($A204&lt;VLOOKUP(V$5,NFI,5,0),1,0)*Table_NFI[[#This Row],[Jerry Can]],Table_NFI[Jerry Can])</f>
        <v>0</v>
      </c>
      <c r="AM204" s="797" t="str">
        <f>IFERROR(VLOOKUP(Table_NFI[[#This Row],[Camp Name]],CL,2,0),"")</f>
        <v>MMR001CMP067</v>
      </c>
      <c r="AN204" s="798">
        <f ca="1">IF(Table_NFI[[#This Row],[Pcode]]="","",IF(OFFSET(CampList[Opening Date],MATCH(Table_NFI[[#This Row],[Pcode]],CampList[CP_Pcode],0)-1,0,1,1)&gt;=NFI_Monitor_Date,1,0))</f>
        <v>0</v>
      </c>
      <c r="AO204" s="797" t="str">
        <f>IFERROR(VLOOKUP(Table_NFI[[#This Row],[Camp Name]],CL,3,0),"")</f>
        <v>Open</v>
      </c>
      <c r="AP204" s="448" t="str">
        <f ca="1">IF(Table_NFI[[#This Row],[Pcode]]="","",OFFSET(CampList[Priority],MATCH(Table_NFI[[#This Row],[Pcode]],CampList[CP_Pcode],0)-1,0,1,1))</f>
        <v>P4</v>
      </c>
      <c r="AQ204" s="449">
        <f>IFERROR(Table_NFI[[#This Row],[Kitchen Set]]/VLOOKUP(Table_NFI[[#This Row],[Camp Name]],CL,4,0),"")</f>
        <v>0</v>
      </c>
      <c r="AR204" s="799"/>
      <c r="AS204" s="783"/>
    </row>
    <row r="205" spans="1:45" s="784" customFormat="1" x14ac:dyDescent="0.25">
      <c r="A205" s="455">
        <f t="shared" si="3"/>
        <v>16.8</v>
      </c>
      <c r="B205" s="778">
        <v>41805</v>
      </c>
      <c r="C205" s="779" t="s">
        <v>1113</v>
      </c>
      <c r="D205" s="779" t="s">
        <v>907</v>
      </c>
      <c r="E205" s="779" t="s">
        <v>380</v>
      </c>
      <c r="F205" s="779" t="s">
        <v>302</v>
      </c>
      <c r="G205" s="779" t="s">
        <v>308</v>
      </c>
      <c r="H205" s="436"/>
      <c r="I205" s="436"/>
      <c r="J205" s="436"/>
      <c r="K205" s="436"/>
      <c r="L205" s="437"/>
      <c r="M205" s="437"/>
      <c r="N205" s="437"/>
      <c r="O205" s="437"/>
      <c r="P205" s="439"/>
      <c r="Q205" s="439"/>
      <c r="R205" s="436"/>
      <c r="S205" s="436"/>
      <c r="T205" s="436"/>
      <c r="U205" s="436">
        <v>112</v>
      </c>
      <c r="V205" s="436"/>
      <c r="W205" s="448">
        <f>IF(NFI_Expiration=1,IF($A205&lt;VLOOKUP(H$5,NFI,5,0),1,0)*Table_NFI[[#This Row],[Hygiene Kit]],Table_NFI[Hygiene Kit])</f>
        <v>0</v>
      </c>
      <c r="X205" s="448">
        <f>IF(NFI_Expiration=1,IF($A205&lt;VLOOKUP(I$5,NFI,5,0),1,0)*Table_NFI[[#This Row],[NFI Core Kit]],Table_NFI[NFI Core Kit])</f>
        <v>0</v>
      </c>
      <c r="Y205" s="448">
        <f>IF(NFI_Expiration=1,IF($A205&lt;VLOOKUP(J$5,NFI,5,0),1,0)*Table_NFI[[#This Row],[Sanitary Kit]],Table_NFI[Sanitary Kit])</f>
        <v>0</v>
      </c>
      <c r="Z205" s="448">
        <f>IF(NFI_Expiration=1,IF($A205&lt;VLOOKUP(K$5,NFI,5,0),1,0)*Table_NFI[[#This Row],[Mosquito net]],Table_NFI[Mosquito net])</f>
        <v>0</v>
      </c>
      <c r="AA205" s="448">
        <f>IF(NFI_Expiration=1,IF($A205&lt;VLOOKUP(L$5,NFI,5,0),1,0)*Table_NFI[[#This Row],[Tarpaulin]],Table_NFI[[#This Row],[Tarpaulin]])</f>
        <v>0</v>
      </c>
      <c r="AB205" s="448">
        <f>IF(NFI_Expiration=1,IF($A205&lt;VLOOKUP(M$5,NFI,5,0),1,0)*Table_NFI[[#This Row],[Blanket]],Table_NFI[[#This Row],[Blanket]])</f>
        <v>0</v>
      </c>
      <c r="AC205" s="448">
        <f>IF(NFI_Expiration=1,IF($A205&lt;VLOOKUP(N$5,NFI,5,0),1,0)*Table_NFI[[#This Row],[Kitchen Set]],Table_NFI[Kitchen Set])</f>
        <v>0</v>
      </c>
      <c r="AD205" s="448">
        <f>IF(NFI_Expiration=1,IF($A205&lt;VLOOKUP(O$5,NFI,5,0),1,0)*Table_NFI[[#This Row],[Clothes Kit]],Table_NFI[Clothes Kit])</f>
        <v>0</v>
      </c>
      <c r="AE205" s="448">
        <f>IF(NFI_Expiration=1,IF($A205&lt;VLOOKUP(P$5,NFI,5,0),1,0)*Table_NFI[[#This Row],[Plastic Bucket]],Table_NFI[Plastic Bucket])</f>
        <v>0</v>
      </c>
      <c r="AF205" s="448">
        <f>IF(NFI_Expiration=1,IF($A205&lt;VLOOKUP(Q$5,NFI,5,0),1,0)*Table_NFI[[#This Row],[Plastic Mat]],Table_NFI[Plastic Mat])*IF(Table_NFI[[#This Row],[Distribution Date]]&gt;"2014-04-01",1,2.5)</f>
        <v>0</v>
      </c>
      <c r="AG205" s="448">
        <f>IF(NFI_Expiration=1,IF($A205&lt;VLOOKUP(R$5,NFI,5,0),1,0)*Table_NFI[[#This Row],[Winter Clothes Adult]],Table_NFI[Winter Clothes Adult])</f>
        <v>0</v>
      </c>
      <c r="AH205" s="448">
        <f>IF(NFI_Expiration=1,IF($A205&lt;VLOOKUP(S$5,NFI,5,0),1,0)*Table_NFI[[#This Row],[Winter Clothes Children]],Table_NFI[Winter Clothes Children])</f>
        <v>0</v>
      </c>
      <c r="AI205" s="448">
        <f>IF(NFI_Expiration=1,IF($A205&lt;VLOOKUP(T$5,NFI,5,0),1,0)*Table_NFI[[#This Row],[Winter Items Other]],Table_NFI[Winter Items Other])</f>
        <v>0</v>
      </c>
      <c r="AJ205" s="448">
        <f>IF(NFI_Expiration=1,IF($A205&lt;VLOOKUP(M$5,NFI,5,0),1,0)*Table_NFI[[#This Row],[Winter Blanket]],Table_NFI[[#This Row],[Winter Blanket]])</f>
        <v>0</v>
      </c>
      <c r="AK205" s="448">
        <f>IF(Table_NFI[[#This Row],[Winter Clothes Adult]]+Table_NFI[[#This Row],[Winter Clothes Children]]+Table_NFI[[#This Row],[Winter Items Other]]+Table_NFI[[#This Row],[Winter Blanket]]&gt;0,1,0)</f>
        <v>1</v>
      </c>
      <c r="AL205" s="439">
        <f>IF(NFI_Expiration=1,IF($A205&lt;VLOOKUP(V$5,NFI,5,0),1,0)*Table_NFI[[#This Row],[Jerry Can]],Table_NFI[Jerry Can])</f>
        <v>0</v>
      </c>
      <c r="AM205" s="797" t="str">
        <f>IFERROR(VLOOKUP(Table_NFI[[#This Row],[Camp Name]],CL,2,0),"")</f>
        <v>MMR001CMP068</v>
      </c>
      <c r="AN205" s="798">
        <f ca="1">IF(Table_NFI[[#This Row],[Pcode]]="","",IF(OFFSET(CampList[Opening Date],MATCH(Table_NFI[[#This Row],[Pcode]],CampList[CP_Pcode],0)-1,0,1,1)&gt;=NFI_Monitor_Date,1,0))</f>
        <v>0</v>
      </c>
      <c r="AO205" s="797" t="str">
        <f>IFERROR(VLOOKUP(Table_NFI[[#This Row],[Camp Name]],CL,3,0),"")</f>
        <v>Open</v>
      </c>
      <c r="AP205" s="448" t="str">
        <f ca="1">IF(Table_NFI[[#This Row],[Pcode]]="","",OFFSET(CampList[Priority],MATCH(Table_NFI[[#This Row],[Pcode]],CampList[CP_Pcode],0)-1,0,1,1))</f>
        <v>P4</v>
      </c>
      <c r="AQ205" s="449">
        <f>IFERROR(Table_NFI[[#This Row],[Kitchen Set]]/VLOOKUP(Table_NFI[[#This Row],[Camp Name]],CL,4,0),"")</f>
        <v>0</v>
      </c>
      <c r="AR205" s="799"/>
      <c r="AS205" s="783"/>
    </row>
    <row r="206" spans="1:45" s="784" customFormat="1" x14ac:dyDescent="0.25">
      <c r="A206" s="455">
        <f t="shared" si="3"/>
        <v>16.833333333333332</v>
      </c>
      <c r="B206" s="778">
        <v>41804</v>
      </c>
      <c r="C206" s="779" t="s">
        <v>1113</v>
      </c>
      <c r="D206" s="779" t="s">
        <v>907</v>
      </c>
      <c r="E206" s="779" t="s">
        <v>380</v>
      </c>
      <c r="F206" s="779" t="s">
        <v>237</v>
      </c>
      <c r="G206" s="779" t="s">
        <v>253</v>
      </c>
      <c r="H206" s="436"/>
      <c r="I206" s="436"/>
      <c r="J206" s="436"/>
      <c r="K206" s="436"/>
      <c r="L206" s="437"/>
      <c r="M206" s="437"/>
      <c r="N206" s="437"/>
      <c r="O206" s="437"/>
      <c r="P206" s="439"/>
      <c r="Q206" s="439"/>
      <c r="R206" s="436"/>
      <c r="S206" s="436"/>
      <c r="T206" s="436"/>
      <c r="U206" s="436">
        <v>406</v>
      </c>
      <c r="V206" s="436"/>
      <c r="W206" s="448">
        <f>IF(NFI_Expiration=1,IF($A206&lt;VLOOKUP(H$5,NFI,5,0),1,0)*Table_NFI[[#This Row],[Hygiene Kit]],Table_NFI[Hygiene Kit])</f>
        <v>0</v>
      </c>
      <c r="X206" s="448">
        <f>IF(NFI_Expiration=1,IF($A206&lt;VLOOKUP(I$5,NFI,5,0),1,0)*Table_NFI[[#This Row],[NFI Core Kit]],Table_NFI[NFI Core Kit])</f>
        <v>0</v>
      </c>
      <c r="Y206" s="448">
        <f>IF(NFI_Expiration=1,IF($A206&lt;VLOOKUP(J$5,NFI,5,0),1,0)*Table_NFI[[#This Row],[Sanitary Kit]],Table_NFI[Sanitary Kit])</f>
        <v>0</v>
      </c>
      <c r="Z206" s="448">
        <f>IF(NFI_Expiration=1,IF($A206&lt;VLOOKUP(K$5,NFI,5,0),1,0)*Table_NFI[[#This Row],[Mosquito net]],Table_NFI[Mosquito net])</f>
        <v>0</v>
      </c>
      <c r="AA206" s="448">
        <f>IF(NFI_Expiration=1,IF($A206&lt;VLOOKUP(L$5,NFI,5,0),1,0)*Table_NFI[[#This Row],[Tarpaulin]],Table_NFI[[#This Row],[Tarpaulin]])</f>
        <v>0</v>
      </c>
      <c r="AB206" s="448">
        <f>IF(NFI_Expiration=1,IF($A206&lt;VLOOKUP(M$5,NFI,5,0),1,0)*Table_NFI[[#This Row],[Blanket]],Table_NFI[[#This Row],[Blanket]])</f>
        <v>0</v>
      </c>
      <c r="AC206" s="448">
        <f>IF(NFI_Expiration=1,IF($A206&lt;VLOOKUP(N$5,NFI,5,0),1,0)*Table_NFI[[#This Row],[Kitchen Set]],Table_NFI[Kitchen Set])</f>
        <v>0</v>
      </c>
      <c r="AD206" s="448">
        <f>IF(NFI_Expiration=1,IF($A206&lt;VLOOKUP(O$5,NFI,5,0),1,0)*Table_NFI[[#This Row],[Clothes Kit]],Table_NFI[Clothes Kit])</f>
        <v>0</v>
      </c>
      <c r="AE206" s="448">
        <f>IF(NFI_Expiration=1,IF($A206&lt;VLOOKUP(P$5,NFI,5,0),1,0)*Table_NFI[[#This Row],[Plastic Bucket]],Table_NFI[Plastic Bucket])</f>
        <v>0</v>
      </c>
      <c r="AF206" s="448">
        <f>IF(NFI_Expiration=1,IF($A206&lt;VLOOKUP(Q$5,NFI,5,0),1,0)*Table_NFI[[#This Row],[Plastic Mat]],Table_NFI[Plastic Mat])*IF(Table_NFI[[#This Row],[Distribution Date]]&gt;"2014-04-01",1,2.5)</f>
        <v>0</v>
      </c>
      <c r="AG206" s="448">
        <f>IF(NFI_Expiration=1,IF($A206&lt;VLOOKUP(R$5,NFI,5,0),1,0)*Table_NFI[[#This Row],[Winter Clothes Adult]],Table_NFI[Winter Clothes Adult])</f>
        <v>0</v>
      </c>
      <c r="AH206" s="448">
        <f>IF(NFI_Expiration=1,IF($A206&lt;VLOOKUP(S$5,NFI,5,0),1,0)*Table_NFI[[#This Row],[Winter Clothes Children]],Table_NFI[Winter Clothes Children])</f>
        <v>0</v>
      </c>
      <c r="AI206" s="448">
        <f>IF(NFI_Expiration=1,IF($A206&lt;VLOOKUP(T$5,NFI,5,0),1,0)*Table_NFI[[#This Row],[Winter Items Other]],Table_NFI[Winter Items Other])</f>
        <v>0</v>
      </c>
      <c r="AJ206" s="448">
        <f>IF(NFI_Expiration=1,IF($A206&lt;VLOOKUP(M$5,NFI,5,0),1,0)*Table_NFI[[#This Row],[Winter Blanket]],Table_NFI[[#This Row],[Winter Blanket]])</f>
        <v>0</v>
      </c>
      <c r="AK206" s="448">
        <f>IF(Table_NFI[[#This Row],[Winter Clothes Adult]]+Table_NFI[[#This Row],[Winter Clothes Children]]+Table_NFI[[#This Row],[Winter Items Other]]+Table_NFI[[#This Row],[Winter Blanket]]&gt;0,1,0)</f>
        <v>1</v>
      </c>
      <c r="AL206" s="439">
        <f>IF(NFI_Expiration=1,IF($A206&lt;VLOOKUP(V$5,NFI,5,0),1,0)*Table_NFI[[#This Row],[Jerry Can]],Table_NFI[Jerry Can])</f>
        <v>0</v>
      </c>
      <c r="AM206" s="797" t="str">
        <f>IFERROR(VLOOKUP(Table_NFI[[#This Row],[Camp Name]],CL,2,0),"")</f>
        <v>MMR001CMP018</v>
      </c>
      <c r="AN206" s="798">
        <f ca="1">IF(Table_NFI[[#This Row],[Pcode]]="","",IF(OFFSET(CampList[Opening Date],MATCH(Table_NFI[[#This Row],[Pcode]],CampList[CP_Pcode],0)-1,0,1,1)&gt;=NFI_Monitor_Date,1,0))</f>
        <v>0</v>
      </c>
      <c r="AO206" s="797" t="str">
        <f>IFERROR(VLOOKUP(Table_NFI[[#This Row],[Camp Name]],CL,3,0),"")</f>
        <v>Open</v>
      </c>
      <c r="AP206" s="448" t="str">
        <f ca="1">IF(Table_NFI[[#This Row],[Pcode]]="","",OFFSET(CampList[Priority],MATCH(Table_NFI[[#This Row],[Pcode]],CampList[CP_Pcode],0)-1,0,1,1))</f>
        <v>P4</v>
      </c>
      <c r="AQ206" s="449">
        <f>IFERROR(Table_NFI[[#This Row],[Kitchen Set]]/VLOOKUP(Table_NFI[[#This Row],[Camp Name]],CL,4,0),"")</f>
        <v>0</v>
      </c>
      <c r="AR206" s="799"/>
      <c r="AS206" s="783"/>
    </row>
    <row r="207" spans="1:45" s="784" customFormat="1" x14ac:dyDescent="0.25">
      <c r="A207" s="455">
        <f t="shared" si="3"/>
        <v>16.833333333333332</v>
      </c>
      <c r="B207" s="778">
        <v>41804</v>
      </c>
      <c r="C207" s="779" t="s">
        <v>1113</v>
      </c>
      <c r="D207" s="779" t="s">
        <v>907</v>
      </c>
      <c r="E207" s="779" t="s">
        <v>380</v>
      </c>
      <c r="F207" s="779" t="s">
        <v>237</v>
      </c>
      <c r="G207" s="779" t="s">
        <v>255</v>
      </c>
      <c r="H207" s="436"/>
      <c r="I207" s="436"/>
      <c r="J207" s="436"/>
      <c r="K207" s="436"/>
      <c r="L207" s="437"/>
      <c r="M207" s="437"/>
      <c r="N207" s="437"/>
      <c r="O207" s="437"/>
      <c r="P207" s="439"/>
      <c r="Q207" s="439"/>
      <c r="R207" s="436"/>
      <c r="S207" s="436"/>
      <c r="T207" s="436"/>
      <c r="U207" s="436">
        <v>216</v>
      </c>
      <c r="V207" s="436"/>
      <c r="W207" s="448">
        <f>IF(NFI_Expiration=1,IF($A207&lt;VLOOKUP(H$5,NFI,5,0),1,0)*Table_NFI[[#This Row],[Hygiene Kit]],Table_NFI[Hygiene Kit])</f>
        <v>0</v>
      </c>
      <c r="X207" s="448">
        <f>IF(NFI_Expiration=1,IF($A207&lt;VLOOKUP(I$5,NFI,5,0),1,0)*Table_NFI[[#This Row],[NFI Core Kit]],Table_NFI[NFI Core Kit])</f>
        <v>0</v>
      </c>
      <c r="Y207" s="448">
        <f>IF(NFI_Expiration=1,IF($A207&lt;VLOOKUP(J$5,NFI,5,0),1,0)*Table_NFI[[#This Row],[Sanitary Kit]],Table_NFI[Sanitary Kit])</f>
        <v>0</v>
      </c>
      <c r="Z207" s="448">
        <f>IF(NFI_Expiration=1,IF($A207&lt;VLOOKUP(K$5,NFI,5,0),1,0)*Table_NFI[[#This Row],[Mosquito net]],Table_NFI[Mosquito net])</f>
        <v>0</v>
      </c>
      <c r="AA207" s="448">
        <f>IF(NFI_Expiration=1,IF($A207&lt;VLOOKUP(L$5,NFI,5,0),1,0)*Table_NFI[[#This Row],[Tarpaulin]],Table_NFI[[#This Row],[Tarpaulin]])</f>
        <v>0</v>
      </c>
      <c r="AB207" s="448">
        <f>IF(NFI_Expiration=1,IF($A207&lt;VLOOKUP(M$5,NFI,5,0),1,0)*Table_NFI[[#This Row],[Blanket]],Table_NFI[[#This Row],[Blanket]])</f>
        <v>0</v>
      </c>
      <c r="AC207" s="448">
        <f>IF(NFI_Expiration=1,IF($A207&lt;VLOOKUP(N$5,NFI,5,0),1,0)*Table_NFI[[#This Row],[Kitchen Set]],Table_NFI[Kitchen Set])</f>
        <v>0</v>
      </c>
      <c r="AD207" s="448">
        <f>IF(NFI_Expiration=1,IF($A207&lt;VLOOKUP(O$5,NFI,5,0),1,0)*Table_NFI[[#This Row],[Clothes Kit]],Table_NFI[Clothes Kit])</f>
        <v>0</v>
      </c>
      <c r="AE207" s="448">
        <f>IF(NFI_Expiration=1,IF($A207&lt;VLOOKUP(P$5,NFI,5,0),1,0)*Table_NFI[[#This Row],[Plastic Bucket]],Table_NFI[Plastic Bucket])</f>
        <v>0</v>
      </c>
      <c r="AF207" s="448">
        <f>IF(NFI_Expiration=1,IF($A207&lt;VLOOKUP(Q$5,NFI,5,0),1,0)*Table_NFI[[#This Row],[Plastic Mat]],Table_NFI[Plastic Mat])*IF(Table_NFI[[#This Row],[Distribution Date]]&gt;"2014-04-01",1,2.5)</f>
        <v>0</v>
      </c>
      <c r="AG207" s="448">
        <f>IF(NFI_Expiration=1,IF($A207&lt;VLOOKUP(R$5,NFI,5,0),1,0)*Table_NFI[[#This Row],[Winter Clothes Adult]],Table_NFI[Winter Clothes Adult])</f>
        <v>0</v>
      </c>
      <c r="AH207" s="448">
        <f>IF(NFI_Expiration=1,IF($A207&lt;VLOOKUP(S$5,NFI,5,0),1,0)*Table_NFI[[#This Row],[Winter Clothes Children]],Table_NFI[Winter Clothes Children])</f>
        <v>0</v>
      </c>
      <c r="AI207" s="448">
        <f>IF(NFI_Expiration=1,IF($A207&lt;VLOOKUP(T$5,NFI,5,0),1,0)*Table_NFI[[#This Row],[Winter Items Other]],Table_NFI[Winter Items Other])</f>
        <v>0</v>
      </c>
      <c r="AJ207" s="448">
        <f>IF(NFI_Expiration=1,IF($A207&lt;VLOOKUP(M$5,NFI,5,0),1,0)*Table_NFI[[#This Row],[Winter Blanket]],Table_NFI[[#This Row],[Winter Blanket]])</f>
        <v>0</v>
      </c>
      <c r="AK207" s="448">
        <f>IF(Table_NFI[[#This Row],[Winter Clothes Adult]]+Table_NFI[[#This Row],[Winter Clothes Children]]+Table_NFI[[#This Row],[Winter Items Other]]+Table_NFI[[#This Row],[Winter Blanket]]&gt;0,1,0)</f>
        <v>1</v>
      </c>
      <c r="AL207" s="439">
        <f>IF(NFI_Expiration=1,IF($A207&lt;VLOOKUP(V$5,NFI,5,0),1,0)*Table_NFI[[#This Row],[Jerry Can]],Table_NFI[Jerry Can])</f>
        <v>0</v>
      </c>
      <c r="AM207" s="797" t="str">
        <f>IFERROR(VLOOKUP(Table_NFI[[#This Row],[Camp Name]],CL,2,0),"")</f>
        <v>MMR001CMP019</v>
      </c>
      <c r="AN207" s="798">
        <f ca="1">IF(Table_NFI[[#This Row],[Pcode]]="","",IF(OFFSET(CampList[Opening Date],MATCH(Table_NFI[[#This Row],[Pcode]],CampList[CP_Pcode],0)-1,0,1,1)&gt;=NFI_Monitor_Date,1,0))</f>
        <v>0</v>
      </c>
      <c r="AO207" s="797" t="str">
        <f>IFERROR(VLOOKUP(Table_NFI[[#This Row],[Camp Name]],CL,3,0),"")</f>
        <v>Open</v>
      </c>
      <c r="AP207" s="448" t="str">
        <f ca="1">IF(Table_NFI[[#This Row],[Pcode]]="","",OFFSET(CampList[Priority],MATCH(Table_NFI[[#This Row],[Pcode]],CampList[CP_Pcode],0)-1,0,1,1))</f>
        <v>P4</v>
      </c>
      <c r="AQ207" s="449">
        <f>IFERROR(Table_NFI[[#This Row],[Kitchen Set]]/VLOOKUP(Table_NFI[[#This Row],[Camp Name]],CL,4,0),"")</f>
        <v>0</v>
      </c>
      <c r="AR207" s="799"/>
      <c r="AS207" s="783"/>
    </row>
    <row r="208" spans="1:45" s="784" customFormat="1" x14ac:dyDescent="0.25">
      <c r="A208" s="455">
        <f t="shared" si="3"/>
        <v>16.866666666666667</v>
      </c>
      <c r="B208" s="778">
        <v>41803</v>
      </c>
      <c r="C208" s="779" t="s">
        <v>454</v>
      </c>
      <c r="D208" s="779"/>
      <c r="E208" s="779" t="s">
        <v>380</v>
      </c>
      <c r="F208" s="779" t="s">
        <v>151</v>
      </c>
      <c r="G208" s="779" t="s">
        <v>891</v>
      </c>
      <c r="H208" s="436"/>
      <c r="I208" s="436"/>
      <c r="J208" s="436"/>
      <c r="K208" s="436">
        <v>54</v>
      </c>
      <c r="L208" s="437">
        <v>18</v>
      </c>
      <c r="M208" s="437">
        <v>45</v>
      </c>
      <c r="N208" s="437">
        <v>18</v>
      </c>
      <c r="O208" s="437"/>
      <c r="P208" s="439">
        <v>18</v>
      </c>
      <c r="Q208" s="439">
        <v>50</v>
      </c>
      <c r="R208" s="436"/>
      <c r="S208" s="436"/>
      <c r="T208" s="436"/>
      <c r="U208" s="436"/>
      <c r="V208" s="436"/>
      <c r="W208" s="436">
        <f>IF(NFI_Expiration=1,IF($A208&lt;VLOOKUP(H$5,NFI,5,0),1,0)*Table_NFI[[#This Row],[Hygiene Kit]],Table_NFI[Hygiene Kit])</f>
        <v>0</v>
      </c>
      <c r="X208" s="436">
        <f>IF(NFI_Expiration=1,IF($A208&lt;VLOOKUP(I$5,NFI,5,0),1,0)*Table_NFI[[#This Row],[NFI Core Kit]],Table_NFI[NFI Core Kit])</f>
        <v>0</v>
      </c>
      <c r="Y208" s="436">
        <f>IF(NFI_Expiration=1,IF($A208&lt;VLOOKUP(J$5,NFI,5,0),1,0)*Table_NFI[[#This Row],[Sanitary Kit]],Table_NFI[Sanitary Kit])</f>
        <v>0</v>
      </c>
      <c r="Z208" s="436">
        <f>IF(NFI_Expiration=1,IF($A208&lt;VLOOKUP(K$5,NFI,5,0),1,0)*Table_NFI[[#This Row],[Mosquito net]],Table_NFI[Mosquito net])</f>
        <v>0</v>
      </c>
      <c r="AA208" s="436">
        <f>IF(NFI_Expiration=1,IF($A208&lt;VLOOKUP(L$5,NFI,5,0),1,0)*Table_NFI[[#This Row],[Tarpaulin]],Table_NFI[[#This Row],[Tarpaulin]])</f>
        <v>0</v>
      </c>
      <c r="AB208" s="436">
        <f>IF(NFI_Expiration=1,IF($A208&lt;VLOOKUP(M$5,NFI,5,0),1,0)*Table_NFI[[#This Row],[Blanket]],Table_NFI[[#This Row],[Blanket]])</f>
        <v>0</v>
      </c>
      <c r="AC208" s="436">
        <f>IF(NFI_Expiration=1,IF($A208&lt;VLOOKUP(N$5,NFI,5,0),1,0)*Table_NFI[[#This Row],[Kitchen Set]],Table_NFI[Kitchen Set])</f>
        <v>0</v>
      </c>
      <c r="AD208" s="436">
        <f>IF(NFI_Expiration=1,IF($A208&lt;VLOOKUP(O$5,NFI,5,0),1,0)*Table_NFI[[#This Row],[Clothes Kit]],Table_NFI[Clothes Kit])</f>
        <v>0</v>
      </c>
      <c r="AE208" s="436">
        <f>IF(NFI_Expiration=1,IF($A208&lt;VLOOKUP(P$5,NFI,5,0),1,0)*Table_NFI[[#This Row],[Plastic Bucket]],Table_NFI[Plastic Bucket])</f>
        <v>0</v>
      </c>
      <c r="AF208" s="436">
        <f>IF(NFI_Expiration=1,IF($A208&lt;VLOOKUP(Q$5,NFI,5,0),1,0)*Table_NFI[[#This Row],[Plastic Mat]],Table_NFI[Plastic Mat])*IF(Table_NFI[[#This Row],[Distribution Date]]&gt;"2014-04-01",1,2.5)</f>
        <v>0</v>
      </c>
      <c r="AG208" s="436">
        <f>IF(NFI_Expiration=1,IF($A208&lt;VLOOKUP(R$5,NFI,5,0),1,0)*Table_NFI[[#This Row],[Winter Clothes Adult]],Table_NFI[Winter Clothes Adult])</f>
        <v>0</v>
      </c>
      <c r="AH208" s="436">
        <f>IF(NFI_Expiration=1,IF($A208&lt;VLOOKUP(S$5,NFI,5,0),1,0)*Table_NFI[[#This Row],[Winter Clothes Children]],Table_NFI[Winter Clothes Children])</f>
        <v>0</v>
      </c>
      <c r="AI208" s="436">
        <f>IF(NFI_Expiration=1,IF($A208&lt;VLOOKUP(T$5,NFI,5,0),1,0)*Table_NFI[[#This Row],[Winter Items Other]],Table_NFI[Winter Items Other])</f>
        <v>0</v>
      </c>
      <c r="AJ208" s="436">
        <f>IF(NFI_Expiration=1,IF($A208&lt;VLOOKUP(M$5,NFI,5,0),1,0)*Table_NFI[[#This Row],[Winter Blanket]],Table_NFI[[#This Row],[Winter Blanket]])</f>
        <v>0</v>
      </c>
      <c r="AK208" s="436">
        <f>IF(Table_NFI[[#This Row],[Winter Clothes Adult]]+Table_NFI[[#This Row],[Winter Clothes Children]]+Table_NFI[[#This Row],[Winter Items Other]]+Table_NFI[[#This Row],[Winter Blanket]]&gt;0,1,0)</f>
        <v>0</v>
      </c>
      <c r="AL208" s="439">
        <f>IF(NFI_Expiration=1,IF($A208&lt;VLOOKUP(V$5,NFI,5,0),1,0)*Table_NFI[[#This Row],[Jerry Can]],Table_NFI[Jerry Can])</f>
        <v>0</v>
      </c>
      <c r="AM208" s="781" t="str">
        <f>IFERROR(VLOOKUP(Table_NFI[[#This Row],[Camp Name]],CL,2,0),"")</f>
        <v>MMR001CMP218</v>
      </c>
      <c r="AN208" s="782">
        <f ca="1">IF(Table_NFI[[#This Row],[Pcode]]="","",IF(OFFSET(CampList[Opening Date],MATCH(Table_NFI[[#This Row],[Pcode]],CampList[CP_Pcode],0)-1,0,1,1)&gt;=NFI_Monitor_Date,1,0))</f>
        <v>0</v>
      </c>
      <c r="AO208" s="781" t="str">
        <f>IFERROR(VLOOKUP(Table_NFI[[#This Row],[Camp Name]],CL,3,0),"")</f>
        <v>Open</v>
      </c>
      <c r="AP208" s="436" t="str">
        <f ca="1">IF(Table_NFI[[#This Row],[Pcode]]="","",OFFSET(CampList[Priority],MATCH(Table_NFI[[#This Row],[Pcode]],CampList[CP_Pcode],0)-1,0,1,1))</f>
        <v>P4</v>
      </c>
      <c r="AQ208" s="438">
        <f>IFERROR(Table_NFI[[#This Row],[Kitchen Set]]/VLOOKUP(Table_NFI[[#This Row],[Camp Name]],CL,4,0),"")</f>
        <v>4.8387096774193547E-2</v>
      </c>
      <c r="AR208" s="779"/>
      <c r="AS208" s="783"/>
    </row>
    <row r="209" spans="1:45" s="784" customFormat="1" x14ac:dyDescent="0.25">
      <c r="A209" s="455">
        <f t="shared" si="3"/>
        <v>17.066666666666666</v>
      </c>
      <c r="B209" s="778">
        <v>41797</v>
      </c>
      <c r="C209" s="779" t="s">
        <v>1113</v>
      </c>
      <c r="D209" s="779" t="s">
        <v>907</v>
      </c>
      <c r="E209" s="779" t="s">
        <v>380</v>
      </c>
      <c r="F209" s="779" t="s">
        <v>180</v>
      </c>
      <c r="G209" s="779" t="s">
        <v>287</v>
      </c>
      <c r="H209" s="436"/>
      <c r="I209" s="436"/>
      <c r="J209" s="436"/>
      <c r="K209" s="436"/>
      <c r="L209" s="437"/>
      <c r="M209" s="437"/>
      <c r="N209" s="437"/>
      <c r="O209" s="437"/>
      <c r="P209" s="439"/>
      <c r="Q209" s="439"/>
      <c r="R209" s="436"/>
      <c r="S209" s="436"/>
      <c r="T209" s="436"/>
      <c r="U209" s="436">
        <v>40</v>
      </c>
      <c r="V209" s="436"/>
      <c r="W209" s="448">
        <f>IF(NFI_Expiration=1,IF($A209&lt;VLOOKUP(H$5,NFI,5,0),1,0)*Table_NFI[[#This Row],[Hygiene Kit]],Table_NFI[Hygiene Kit])</f>
        <v>0</v>
      </c>
      <c r="X209" s="448">
        <f>IF(NFI_Expiration=1,IF($A209&lt;VLOOKUP(I$5,NFI,5,0),1,0)*Table_NFI[[#This Row],[NFI Core Kit]],Table_NFI[NFI Core Kit])</f>
        <v>0</v>
      </c>
      <c r="Y209" s="448">
        <f>IF(NFI_Expiration=1,IF($A209&lt;VLOOKUP(J$5,NFI,5,0),1,0)*Table_NFI[[#This Row],[Sanitary Kit]],Table_NFI[Sanitary Kit])</f>
        <v>0</v>
      </c>
      <c r="Z209" s="448">
        <f>IF(NFI_Expiration=1,IF($A209&lt;VLOOKUP(K$5,NFI,5,0),1,0)*Table_NFI[[#This Row],[Mosquito net]],Table_NFI[Mosquito net])</f>
        <v>0</v>
      </c>
      <c r="AA209" s="448">
        <f>IF(NFI_Expiration=1,IF($A209&lt;VLOOKUP(L$5,NFI,5,0),1,0)*Table_NFI[[#This Row],[Tarpaulin]],Table_NFI[[#This Row],[Tarpaulin]])</f>
        <v>0</v>
      </c>
      <c r="AB209" s="448">
        <f>IF(NFI_Expiration=1,IF($A209&lt;VLOOKUP(M$5,NFI,5,0),1,0)*Table_NFI[[#This Row],[Blanket]],Table_NFI[[#This Row],[Blanket]])</f>
        <v>0</v>
      </c>
      <c r="AC209" s="448">
        <f>IF(NFI_Expiration=1,IF($A209&lt;VLOOKUP(N$5,NFI,5,0),1,0)*Table_NFI[[#This Row],[Kitchen Set]],Table_NFI[Kitchen Set])</f>
        <v>0</v>
      </c>
      <c r="AD209" s="448">
        <f>IF(NFI_Expiration=1,IF($A209&lt;VLOOKUP(O$5,NFI,5,0),1,0)*Table_NFI[[#This Row],[Clothes Kit]],Table_NFI[Clothes Kit])</f>
        <v>0</v>
      </c>
      <c r="AE209" s="448">
        <f>IF(NFI_Expiration=1,IF($A209&lt;VLOOKUP(P$5,NFI,5,0),1,0)*Table_NFI[[#This Row],[Plastic Bucket]],Table_NFI[Plastic Bucket])</f>
        <v>0</v>
      </c>
      <c r="AF209" s="448">
        <f>IF(NFI_Expiration=1,IF($A209&lt;VLOOKUP(Q$5,NFI,5,0),1,0)*Table_NFI[[#This Row],[Plastic Mat]],Table_NFI[Plastic Mat])*IF(Table_NFI[[#This Row],[Distribution Date]]&gt;"2014-04-01",1,2.5)</f>
        <v>0</v>
      </c>
      <c r="AG209" s="448">
        <f>IF(NFI_Expiration=1,IF($A209&lt;VLOOKUP(R$5,NFI,5,0),1,0)*Table_NFI[[#This Row],[Winter Clothes Adult]],Table_NFI[Winter Clothes Adult])</f>
        <v>0</v>
      </c>
      <c r="AH209" s="448">
        <f>IF(NFI_Expiration=1,IF($A209&lt;VLOOKUP(S$5,NFI,5,0),1,0)*Table_NFI[[#This Row],[Winter Clothes Children]],Table_NFI[Winter Clothes Children])</f>
        <v>0</v>
      </c>
      <c r="AI209" s="448">
        <f>IF(NFI_Expiration=1,IF($A209&lt;VLOOKUP(T$5,NFI,5,0),1,0)*Table_NFI[[#This Row],[Winter Items Other]],Table_NFI[Winter Items Other])</f>
        <v>0</v>
      </c>
      <c r="AJ209" s="448">
        <f>IF(NFI_Expiration=1,IF($A209&lt;VLOOKUP(M$5,NFI,5,0),1,0)*Table_NFI[[#This Row],[Winter Blanket]],Table_NFI[[#This Row],[Winter Blanket]])</f>
        <v>0</v>
      </c>
      <c r="AK209" s="448">
        <f>IF(Table_NFI[[#This Row],[Winter Clothes Adult]]+Table_NFI[[#This Row],[Winter Clothes Children]]+Table_NFI[[#This Row],[Winter Items Other]]+Table_NFI[[#This Row],[Winter Blanket]]&gt;0,1,0)</f>
        <v>1</v>
      </c>
      <c r="AL209" s="439">
        <f>IF(NFI_Expiration=1,IF($A209&lt;VLOOKUP(V$5,NFI,5,0),1,0)*Table_NFI[[#This Row],[Jerry Can]],Table_NFI[Jerry Can])</f>
        <v>0</v>
      </c>
      <c r="AM209" s="797" t="str">
        <f>IFERROR(VLOOKUP(Table_NFI[[#This Row],[Camp Name]],CL,2,0),"")</f>
        <v>MMR001CMP152</v>
      </c>
      <c r="AN209" s="798">
        <f ca="1">IF(Table_NFI[[#This Row],[Pcode]]="","",IF(OFFSET(CampList[Opening Date],MATCH(Table_NFI[[#This Row],[Pcode]],CampList[CP_Pcode],0)-1,0,1,1)&gt;=NFI_Monitor_Date,1,0))</f>
        <v>0</v>
      </c>
      <c r="AO209" s="797" t="str">
        <f>IFERROR(VLOOKUP(Table_NFI[[#This Row],[Camp Name]],CL,3,0),"")</f>
        <v>Open</v>
      </c>
      <c r="AP209" s="448" t="str">
        <f ca="1">IF(Table_NFI[[#This Row],[Pcode]]="","",OFFSET(CampList[Priority],MATCH(Table_NFI[[#This Row],[Pcode]],CampList[CP_Pcode],0)-1,0,1,1))</f>
        <v>P4</v>
      </c>
      <c r="AQ209" s="449">
        <f>IFERROR(Table_NFI[[#This Row],[Kitchen Set]]/VLOOKUP(Table_NFI[[#This Row],[Camp Name]],CL,4,0),"")</f>
        <v>0</v>
      </c>
      <c r="AR209" s="799"/>
      <c r="AS209" s="783"/>
    </row>
    <row r="210" spans="1:45" s="784" customFormat="1" x14ac:dyDescent="0.25">
      <c r="A210" s="455">
        <f t="shared" si="3"/>
        <v>17.100000000000001</v>
      </c>
      <c r="B210" s="778">
        <v>41796</v>
      </c>
      <c r="C210" s="779" t="s">
        <v>1113</v>
      </c>
      <c r="D210" s="779" t="s">
        <v>907</v>
      </c>
      <c r="E210" s="779" t="s">
        <v>380</v>
      </c>
      <c r="F210" s="779" t="s">
        <v>180</v>
      </c>
      <c r="G210" s="779" t="s">
        <v>181</v>
      </c>
      <c r="H210" s="436"/>
      <c r="I210" s="436"/>
      <c r="J210" s="436"/>
      <c r="K210" s="436"/>
      <c r="L210" s="437"/>
      <c r="M210" s="437"/>
      <c r="N210" s="437"/>
      <c r="O210" s="437"/>
      <c r="P210" s="439"/>
      <c r="Q210" s="439"/>
      <c r="R210" s="436"/>
      <c r="S210" s="436"/>
      <c r="T210" s="436"/>
      <c r="U210" s="436">
        <v>24</v>
      </c>
      <c r="V210" s="436"/>
      <c r="W210" s="448">
        <f>IF(NFI_Expiration=1,IF($A210&lt;VLOOKUP(H$5,NFI,5,0),1,0)*Table_NFI[[#This Row],[Hygiene Kit]],Table_NFI[Hygiene Kit])</f>
        <v>0</v>
      </c>
      <c r="X210" s="448">
        <f>IF(NFI_Expiration=1,IF($A210&lt;VLOOKUP(I$5,NFI,5,0),1,0)*Table_NFI[[#This Row],[NFI Core Kit]],Table_NFI[NFI Core Kit])</f>
        <v>0</v>
      </c>
      <c r="Y210" s="448">
        <f>IF(NFI_Expiration=1,IF($A210&lt;VLOOKUP(J$5,NFI,5,0),1,0)*Table_NFI[[#This Row],[Sanitary Kit]],Table_NFI[Sanitary Kit])</f>
        <v>0</v>
      </c>
      <c r="Z210" s="448">
        <f>IF(NFI_Expiration=1,IF($A210&lt;VLOOKUP(K$5,NFI,5,0),1,0)*Table_NFI[[#This Row],[Mosquito net]],Table_NFI[Mosquito net])</f>
        <v>0</v>
      </c>
      <c r="AA210" s="448">
        <f>IF(NFI_Expiration=1,IF($A210&lt;VLOOKUP(L$5,NFI,5,0),1,0)*Table_NFI[[#This Row],[Tarpaulin]],Table_NFI[[#This Row],[Tarpaulin]])</f>
        <v>0</v>
      </c>
      <c r="AB210" s="448">
        <f>IF(NFI_Expiration=1,IF($A210&lt;VLOOKUP(M$5,NFI,5,0),1,0)*Table_NFI[[#This Row],[Blanket]],Table_NFI[[#This Row],[Blanket]])</f>
        <v>0</v>
      </c>
      <c r="AC210" s="448">
        <f>IF(NFI_Expiration=1,IF($A210&lt;VLOOKUP(N$5,NFI,5,0),1,0)*Table_NFI[[#This Row],[Kitchen Set]],Table_NFI[Kitchen Set])</f>
        <v>0</v>
      </c>
      <c r="AD210" s="448">
        <f>IF(NFI_Expiration=1,IF($A210&lt;VLOOKUP(O$5,NFI,5,0),1,0)*Table_NFI[[#This Row],[Clothes Kit]],Table_NFI[Clothes Kit])</f>
        <v>0</v>
      </c>
      <c r="AE210" s="448">
        <f>IF(NFI_Expiration=1,IF($A210&lt;VLOOKUP(P$5,NFI,5,0),1,0)*Table_NFI[[#This Row],[Plastic Bucket]],Table_NFI[Plastic Bucket])</f>
        <v>0</v>
      </c>
      <c r="AF210" s="448">
        <f>IF(NFI_Expiration=1,IF($A210&lt;VLOOKUP(Q$5,NFI,5,0),1,0)*Table_NFI[[#This Row],[Plastic Mat]],Table_NFI[Plastic Mat])*IF(Table_NFI[[#This Row],[Distribution Date]]&gt;"2014-04-01",1,2.5)</f>
        <v>0</v>
      </c>
      <c r="AG210" s="448">
        <f>IF(NFI_Expiration=1,IF($A210&lt;VLOOKUP(R$5,NFI,5,0),1,0)*Table_NFI[[#This Row],[Winter Clothes Adult]],Table_NFI[Winter Clothes Adult])</f>
        <v>0</v>
      </c>
      <c r="AH210" s="448">
        <f>IF(NFI_Expiration=1,IF($A210&lt;VLOOKUP(S$5,NFI,5,0),1,0)*Table_NFI[[#This Row],[Winter Clothes Children]],Table_NFI[Winter Clothes Children])</f>
        <v>0</v>
      </c>
      <c r="AI210" s="448">
        <f>IF(NFI_Expiration=1,IF($A210&lt;VLOOKUP(T$5,NFI,5,0),1,0)*Table_NFI[[#This Row],[Winter Items Other]],Table_NFI[Winter Items Other])</f>
        <v>0</v>
      </c>
      <c r="AJ210" s="448">
        <f>IF(NFI_Expiration=1,IF($A210&lt;VLOOKUP(M$5,NFI,5,0),1,0)*Table_NFI[[#This Row],[Winter Blanket]],Table_NFI[[#This Row],[Winter Blanket]])</f>
        <v>0</v>
      </c>
      <c r="AK210" s="448">
        <f>IF(Table_NFI[[#This Row],[Winter Clothes Adult]]+Table_NFI[[#This Row],[Winter Clothes Children]]+Table_NFI[[#This Row],[Winter Items Other]]+Table_NFI[[#This Row],[Winter Blanket]]&gt;0,1,0)</f>
        <v>1</v>
      </c>
      <c r="AL210" s="439">
        <f>IF(NFI_Expiration=1,IF($A210&lt;VLOOKUP(V$5,NFI,5,0),1,0)*Table_NFI[[#This Row],[Jerry Can]],Table_NFI[Jerry Can])</f>
        <v>0</v>
      </c>
      <c r="AM210" s="797" t="str">
        <f>IFERROR(VLOOKUP(Table_NFI[[#This Row],[Camp Name]],CL,2,0),"")</f>
        <v>MMR001CMP080</v>
      </c>
      <c r="AN210" s="798">
        <f ca="1">IF(Table_NFI[[#This Row],[Pcode]]="","",IF(OFFSET(CampList[Opening Date],MATCH(Table_NFI[[#This Row],[Pcode]],CampList[CP_Pcode],0)-1,0,1,1)&gt;=NFI_Monitor_Date,1,0))</f>
        <v>0</v>
      </c>
      <c r="AO210" s="797" t="str">
        <f>IFERROR(VLOOKUP(Table_NFI[[#This Row],[Camp Name]],CL,3,0),"")</f>
        <v>Open</v>
      </c>
      <c r="AP210" s="448" t="str">
        <f ca="1">IF(Table_NFI[[#This Row],[Pcode]]="","",OFFSET(CampList[Priority],MATCH(Table_NFI[[#This Row],[Pcode]],CampList[CP_Pcode],0)-1,0,1,1))</f>
        <v>P4</v>
      </c>
      <c r="AQ210" s="449">
        <f>IFERROR(Table_NFI[[#This Row],[Kitchen Set]]/VLOOKUP(Table_NFI[[#This Row],[Camp Name]],CL,4,0),"")</f>
        <v>0</v>
      </c>
      <c r="AR210" s="799"/>
      <c r="AS210" s="783"/>
    </row>
    <row r="211" spans="1:45" s="784" customFormat="1" x14ac:dyDescent="0.25">
      <c r="A211" s="455">
        <f t="shared" si="3"/>
        <v>17.333333333333332</v>
      </c>
      <c r="B211" s="778">
        <v>41789</v>
      </c>
      <c r="C211" s="779" t="s">
        <v>1113</v>
      </c>
      <c r="D211" s="779" t="s">
        <v>907</v>
      </c>
      <c r="E211" s="779" t="s">
        <v>380</v>
      </c>
      <c r="F211" s="779" t="s">
        <v>237</v>
      </c>
      <c r="G211" s="779" t="s">
        <v>283</v>
      </c>
      <c r="H211" s="436"/>
      <c r="I211" s="436"/>
      <c r="J211" s="436"/>
      <c r="K211" s="436"/>
      <c r="L211" s="437"/>
      <c r="M211" s="437"/>
      <c r="N211" s="437"/>
      <c r="O211" s="437"/>
      <c r="P211" s="439"/>
      <c r="Q211" s="439"/>
      <c r="R211" s="436"/>
      <c r="S211" s="436"/>
      <c r="T211" s="436"/>
      <c r="U211" s="436">
        <v>12</v>
      </c>
      <c r="V211" s="436"/>
      <c r="W211" s="448">
        <f>IF(NFI_Expiration=1,IF($A211&lt;VLOOKUP(H$5,NFI,5,0),1,0)*Table_NFI[[#This Row],[Hygiene Kit]],Table_NFI[Hygiene Kit])</f>
        <v>0</v>
      </c>
      <c r="X211" s="448">
        <f>IF(NFI_Expiration=1,IF($A211&lt;VLOOKUP(I$5,NFI,5,0),1,0)*Table_NFI[[#This Row],[NFI Core Kit]],Table_NFI[NFI Core Kit])</f>
        <v>0</v>
      </c>
      <c r="Y211" s="448">
        <f>IF(NFI_Expiration=1,IF($A211&lt;VLOOKUP(J$5,NFI,5,0),1,0)*Table_NFI[[#This Row],[Sanitary Kit]],Table_NFI[Sanitary Kit])</f>
        <v>0</v>
      </c>
      <c r="Z211" s="448">
        <f>IF(NFI_Expiration=1,IF($A211&lt;VLOOKUP(K$5,NFI,5,0),1,0)*Table_NFI[[#This Row],[Mosquito net]],Table_NFI[Mosquito net])</f>
        <v>0</v>
      </c>
      <c r="AA211" s="448">
        <f>IF(NFI_Expiration=1,IF($A211&lt;VLOOKUP(L$5,NFI,5,0),1,0)*Table_NFI[[#This Row],[Tarpaulin]],Table_NFI[[#This Row],[Tarpaulin]])</f>
        <v>0</v>
      </c>
      <c r="AB211" s="448">
        <f>IF(NFI_Expiration=1,IF($A211&lt;VLOOKUP(M$5,NFI,5,0),1,0)*Table_NFI[[#This Row],[Blanket]],Table_NFI[[#This Row],[Blanket]])</f>
        <v>0</v>
      </c>
      <c r="AC211" s="448">
        <f>IF(NFI_Expiration=1,IF($A211&lt;VLOOKUP(N$5,NFI,5,0),1,0)*Table_NFI[[#This Row],[Kitchen Set]],Table_NFI[Kitchen Set])</f>
        <v>0</v>
      </c>
      <c r="AD211" s="448">
        <f>IF(NFI_Expiration=1,IF($A211&lt;VLOOKUP(O$5,NFI,5,0),1,0)*Table_NFI[[#This Row],[Clothes Kit]],Table_NFI[Clothes Kit])</f>
        <v>0</v>
      </c>
      <c r="AE211" s="448">
        <f>IF(NFI_Expiration=1,IF($A211&lt;VLOOKUP(P$5,NFI,5,0),1,0)*Table_NFI[[#This Row],[Plastic Bucket]],Table_NFI[Plastic Bucket])</f>
        <v>0</v>
      </c>
      <c r="AF211" s="448">
        <f>IF(NFI_Expiration=1,IF($A211&lt;VLOOKUP(Q$5,NFI,5,0),1,0)*Table_NFI[[#This Row],[Plastic Mat]],Table_NFI[Plastic Mat])*IF(Table_NFI[[#This Row],[Distribution Date]]&gt;"2014-04-01",1,2.5)</f>
        <v>0</v>
      </c>
      <c r="AG211" s="448">
        <f>IF(NFI_Expiration=1,IF($A211&lt;VLOOKUP(R$5,NFI,5,0),1,0)*Table_NFI[[#This Row],[Winter Clothes Adult]],Table_NFI[Winter Clothes Adult])</f>
        <v>0</v>
      </c>
      <c r="AH211" s="448">
        <f>IF(NFI_Expiration=1,IF($A211&lt;VLOOKUP(S$5,NFI,5,0),1,0)*Table_NFI[[#This Row],[Winter Clothes Children]],Table_NFI[Winter Clothes Children])</f>
        <v>0</v>
      </c>
      <c r="AI211" s="448">
        <f>IF(NFI_Expiration=1,IF($A211&lt;VLOOKUP(T$5,NFI,5,0),1,0)*Table_NFI[[#This Row],[Winter Items Other]],Table_NFI[Winter Items Other])</f>
        <v>0</v>
      </c>
      <c r="AJ211" s="448">
        <f>IF(NFI_Expiration=1,IF($A211&lt;VLOOKUP(M$5,NFI,5,0),1,0)*Table_NFI[[#This Row],[Winter Blanket]],Table_NFI[[#This Row],[Winter Blanket]])</f>
        <v>0</v>
      </c>
      <c r="AK211" s="448">
        <f>IF(Table_NFI[[#This Row],[Winter Clothes Adult]]+Table_NFI[[#This Row],[Winter Clothes Children]]+Table_NFI[[#This Row],[Winter Items Other]]+Table_NFI[[#This Row],[Winter Blanket]]&gt;0,1,0)</f>
        <v>1</v>
      </c>
      <c r="AL211" s="439">
        <f>IF(NFI_Expiration=1,IF($A211&lt;VLOOKUP(V$5,NFI,5,0),1,0)*Table_NFI[[#This Row],[Jerry Can]],Table_NFI[Jerry Can])</f>
        <v>0</v>
      </c>
      <c r="AM211" s="797" t="str">
        <f>IFERROR(VLOOKUP(Table_NFI[[#This Row],[Camp Name]],CL,2,0),"")</f>
        <v>MMR001CMP022</v>
      </c>
      <c r="AN211" s="798">
        <f ca="1">IF(Table_NFI[[#This Row],[Pcode]]="","",IF(OFFSET(CampList[Opening Date],MATCH(Table_NFI[[#This Row],[Pcode]],CampList[CP_Pcode],0)-1,0,1,1)&gt;=NFI_Monitor_Date,1,0))</f>
        <v>0</v>
      </c>
      <c r="AO211" s="797" t="str">
        <f>IFERROR(VLOOKUP(Table_NFI[[#This Row],[Camp Name]],CL,3,0),"")</f>
        <v>Open</v>
      </c>
      <c r="AP211" s="448" t="str">
        <f ca="1">IF(Table_NFI[[#This Row],[Pcode]]="","",OFFSET(CampList[Priority],MATCH(Table_NFI[[#This Row],[Pcode]],CampList[CP_Pcode],0)-1,0,1,1))</f>
        <v>P4</v>
      </c>
      <c r="AQ211" s="449">
        <f>IFERROR(Table_NFI[[#This Row],[Kitchen Set]]/VLOOKUP(Table_NFI[[#This Row],[Camp Name]],CL,4,0),"")</f>
        <v>0</v>
      </c>
      <c r="AR211" s="799"/>
      <c r="AS211" s="783"/>
    </row>
    <row r="212" spans="1:45" s="784" customFormat="1" x14ac:dyDescent="0.25">
      <c r="A212" s="455">
        <f t="shared" si="3"/>
        <v>17.399999999999999</v>
      </c>
      <c r="B212" s="778">
        <v>41787</v>
      </c>
      <c r="C212" s="779" t="s">
        <v>1113</v>
      </c>
      <c r="D212" s="779" t="s">
        <v>907</v>
      </c>
      <c r="E212" s="779" t="s">
        <v>380</v>
      </c>
      <c r="F212" s="779" t="s">
        <v>237</v>
      </c>
      <c r="G212" s="779" t="s">
        <v>238</v>
      </c>
      <c r="H212" s="436"/>
      <c r="I212" s="436"/>
      <c r="J212" s="436"/>
      <c r="K212" s="436"/>
      <c r="L212" s="437"/>
      <c r="M212" s="437"/>
      <c r="N212" s="437"/>
      <c r="O212" s="437"/>
      <c r="P212" s="439"/>
      <c r="Q212" s="439"/>
      <c r="R212" s="436"/>
      <c r="S212" s="436"/>
      <c r="T212" s="436"/>
      <c r="U212" s="436">
        <v>120</v>
      </c>
      <c r="V212" s="436"/>
      <c r="W212" s="448">
        <f>IF(NFI_Expiration=1,IF($A212&lt;VLOOKUP(H$5,NFI,5,0),1,0)*Table_NFI[[#This Row],[Hygiene Kit]],Table_NFI[Hygiene Kit])</f>
        <v>0</v>
      </c>
      <c r="X212" s="448">
        <f>IF(NFI_Expiration=1,IF($A212&lt;VLOOKUP(I$5,NFI,5,0),1,0)*Table_NFI[[#This Row],[NFI Core Kit]],Table_NFI[NFI Core Kit])</f>
        <v>0</v>
      </c>
      <c r="Y212" s="448">
        <f>IF(NFI_Expiration=1,IF($A212&lt;VLOOKUP(J$5,NFI,5,0),1,0)*Table_NFI[[#This Row],[Sanitary Kit]],Table_NFI[Sanitary Kit])</f>
        <v>0</v>
      </c>
      <c r="Z212" s="448">
        <f>IF(NFI_Expiration=1,IF($A212&lt;VLOOKUP(K$5,NFI,5,0),1,0)*Table_NFI[[#This Row],[Mosquito net]],Table_NFI[Mosquito net])</f>
        <v>0</v>
      </c>
      <c r="AA212" s="448">
        <f>IF(NFI_Expiration=1,IF($A212&lt;VLOOKUP(L$5,NFI,5,0),1,0)*Table_NFI[[#This Row],[Tarpaulin]],Table_NFI[[#This Row],[Tarpaulin]])</f>
        <v>0</v>
      </c>
      <c r="AB212" s="448">
        <f>IF(NFI_Expiration=1,IF($A212&lt;VLOOKUP(M$5,NFI,5,0),1,0)*Table_NFI[[#This Row],[Blanket]],Table_NFI[[#This Row],[Blanket]])</f>
        <v>0</v>
      </c>
      <c r="AC212" s="448">
        <f>IF(NFI_Expiration=1,IF($A212&lt;VLOOKUP(N$5,NFI,5,0),1,0)*Table_NFI[[#This Row],[Kitchen Set]],Table_NFI[Kitchen Set])</f>
        <v>0</v>
      </c>
      <c r="AD212" s="448">
        <f>IF(NFI_Expiration=1,IF($A212&lt;VLOOKUP(O$5,NFI,5,0),1,0)*Table_NFI[[#This Row],[Clothes Kit]],Table_NFI[Clothes Kit])</f>
        <v>0</v>
      </c>
      <c r="AE212" s="448">
        <f>IF(NFI_Expiration=1,IF($A212&lt;VLOOKUP(P$5,NFI,5,0),1,0)*Table_NFI[[#This Row],[Plastic Bucket]],Table_NFI[Plastic Bucket])</f>
        <v>0</v>
      </c>
      <c r="AF212" s="448">
        <f>IF(NFI_Expiration=1,IF($A212&lt;VLOOKUP(Q$5,NFI,5,0),1,0)*Table_NFI[[#This Row],[Plastic Mat]],Table_NFI[Plastic Mat])*IF(Table_NFI[[#This Row],[Distribution Date]]&gt;"2014-04-01",1,2.5)</f>
        <v>0</v>
      </c>
      <c r="AG212" s="448">
        <f>IF(NFI_Expiration=1,IF($A212&lt;VLOOKUP(R$5,NFI,5,0),1,0)*Table_NFI[[#This Row],[Winter Clothes Adult]],Table_NFI[Winter Clothes Adult])</f>
        <v>0</v>
      </c>
      <c r="AH212" s="448">
        <f>IF(NFI_Expiration=1,IF($A212&lt;VLOOKUP(S$5,NFI,5,0),1,0)*Table_NFI[[#This Row],[Winter Clothes Children]],Table_NFI[Winter Clothes Children])</f>
        <v>0</v>
      </c>
      <c r="AI212" s="448">
        <f>IF(NFI_Expiration=1,IF($A212&lt;VLOOKUP(T$5,NFI,5,0),1,0)*Table_NFI[[#This Row],[Winter Items Other]],Table_NFI[Winter Items Other])</f>
        <v>0</v>
      </c>
      <c r="AJ212" s="448">
        <f>IF(NFI_Expiration=1,IF($A212&lt;VLOOKUP(M$5,NFI,5,0),1,0)*Table_NFI[[#This Row],[Winter Blanket]],Table_NFI[[#This Row],[Winter Blanket]])</f>
        <v>0</v>
      </c>
      <c r="AK212" s="448">
        <f>IF(Table_NFI[[#This Row],[Winter Clothes Adult]]+Table_NFI[[#This Row],[Winter Clothes Children]]+Table_NFI[[#This Row],[Winter Items Other]]+Table_NFI[[#This Row],[Winter Blanket]]&gt;0,1,0)</f>
        <v>1</v>
      </c>
      <c r="AL212" s="439">
        <f>IF(NFI_Expiration=1,IF($A212&lt;VLOOKUP(V$5,NFI,5,0),1,0)*Table_NFI[[#This Row],[Jerry Can]],Table_NFI[Jerry Can])</f>
        <v>0</v>
      </c>
      <c r="AM212" s="797" t="str">
        <f>IFERROR(VLOOKUP(Table_NFI[[#This Row],[Camp Name]],CL,2,0),"")</f>
        <v>MMR001CMP001</v>
      </c>
      <c r="AN212" s="798">
        <f ca="1">IF(Table_NFI[[#This Row],[Pcode]]="","",IF(OFFSET(CampList[Opening Date],MATCH(Table_NFI[[#This Row],[Pcode]],CampList[CP_Pcode],0)-1,0,1,1)&gt;=NFI_Monitor_Date,1,0))</f>
        <v>0</v>
      </c>
      <c r="AO212" s="797" t="str">
        <f>IFERROR(VLOOKUP(Table_NFI[[#This Row],[Camp Name]],CL,3,0),"")</f>
        <v>Open</v>
      </c>
      <c r="AP212" s="448" t="str">
        <f ca="1">IF(Table_NFI[[#This Row],[Pcode]]="","",OFFSET(CampList[Priority],MATCH(Table_NFI[[#This Row],[Pcode]],CampList[CP_Pcode],0)-1,0,1,1))</f>
        <v>P4</v>
      </c>
      <c r="AQ212" s="449">
        <f>IFERROR(Table_NFI[[#This Row],[Kitchen Set]]/VLOOKUP(Table_NFI[[#This Row],[Camp Name]],CL,4,0),"")</f>
        <v>0</v>
      </c>
      <c r="AR212" s="799"/>
      <c r="AS212" s="783"/>
    </row>
    <row r="213" spans="1:45" s="784" customFormat="1" x14ac:dyDescent="0.25">
      <c r="A213" s="455">
        <f t="shared" si="3"/>
        <v>17.399999999999999</v>
      </c>
      <c r="B213" s="778">
        <v>41787</v>
      </c>
      <c r="C213" s="779" t="s">
        <v>1113</v>
      </c>
      <c r="D213" s="779" t="s">
        <v>907</v>
      </c>
      <c r="E213" s="779" t="s">
        <v>380</v>
      </c>
      <c r="F213" s="779" t="s">
        <v>237</v>
      </c>
      <c r="G213" s="779" t="s">
        <v>1267</v>
      </c>
      <c r="H213" s="436"/>
      <c r="I213" s="436"/>
      <c r="J213" s="436"/>
      <c r="K213" s="436"/>
      <c r="L213" s="437"/>
      <c r="M213" s="437"/>
      <c r="N213" s="437"/>
      <c r="O213" s="437"/>
      <c r="P213" s="439"/>
      <c r="Q213" s="439"/>
      <c r="R213" s="436"/>
      <c r="S213" s="436"/>
      <c r="T213" s="436"/>
      <c r="U213" s="436">
        <v>138</v>
      </c>
      <c r="V213" s="436"/>
      <c r="W213" s="448">
        <f>IF(NFI_Expiration=1,IF($A213&lt;VLOOKUP(H$5,NFI,5,0),1,0)*Table_NFI[[#This Row],[Hygiene Kit]],Table_NFI[Hygiene Kit])</f>
        <v>0</v>
      </c>
      <c r="X213" s="448">
        <f>IF(NFI_Expiration=1,IF($A213&lt;VLOOKUP(I$5,NFI,5,0),1,0)*Table_NFI[[#This Row],[NFI Core Kit]],Table_NFI[NFI Core Kit])</f>
        <v>0</v>
      </c>
      <c r="Y213" s="448">
        <f>IF(NFI_Expiration=1,IF($A213&lt;VLOOKUP(J$5,NFI,5,0),1,0)*Table_NFI[[#This Row],[Sanitary Kit]],Table_NFI[Sanitary Kit])</f>
        <v>0</v>
      </c>
      <c r="Z213" s="448">
        <f>IF(NFI_Expiration=1,IF($A213&lt;VLOOKUP(K$5,NFI,5,0),1,0)*Table_NFI[[#This Row],[Mosquito net]],Table_NFI[Mosquito net])</f>
        <v>0</v>
      </c>
      <c r="AA213" s="448">
        <f>IF(NFI_Expiration=1,IF($A213&lt;VLOOKUP(L$5,NFI,5,0),1,0)*Table_NFI[[#This Row],[Tarpaulin]],Table_NFI[[#This Row],[Tarpaulin]])</f>
        <v>0</v>
      </c>
      <c r="AB213" s="448">
        <f>IF(NFI_Expiration=1,IF($A213&lt;VLOOKUP(M$5,NFI,5,0),1,0)*Table_NFI[[#This Row],[Blanket]],Table_NFI[[#This Row],[Blanket]])</f>
        <v>0</v>
      </c>
      <c r="AC213" s="448">
        <f>IF(NFI_Expiration=1,IF($A213&lt;VLOOKUP(N$5,NFI,5,0),1,0)*Table_NFI[[#This Row],[Kitchen Set]],Table_NFI[Kitchen Set])</f>
        <v>0</v>
      </c>
      <c r="AD213" s="448">
        <f>IF(NFI_Expiration=1,IF($A213&lt;VLOOKUP(O$5,NFI,5,0),1,0)*Table_NFI[[#This Row],[Clothes Kit]],Table_NFI[Clothes Kit])</f>
        <v>0</v>
      </c>
      <c r="AE213" s="448">
        <f>IF(NFI_Expiration=1,IF($A213&lt;VLOOKUP(P$5,NFI,5,0),1,0)*Table_NFI[[#This Row],[Plastic Bucket]],Table_NFI[Plastic Bucket])</f>
        <v>0</v>
      </c>
      <c r="AF213" s="448">
        <f>IF(NFI_Expiration=1,IF($A213&lt;VLOOKUP(Q$5,NFI,5,0),1,0)*Table_NFI[[#This Row],[Plastic Mat]],Table_NFI[Plastic Mat])*IF(Table_NFI[[#This Row],[Distribution Date]]&gt;"2014-04-01",1,2.5)</f>
        <v>0</v>
      </c>
      <c r="AG213" s="448">
        <f>IF(NFI_Expiration=1,IF($A213&lt;VLOOKUP(R$5,NFI,5,0),1,0)*Table_NFI[[#This Row],[Winter Clothes Adult]],Table_NFI[Winter Clothes Adult])</f>
        <v>0</v>
      </c>
      <c r="AH213" s="448">
        <f>IF(NFI_Expiration=1,IF($A213&lt;VLOOKUP(S$5,NFI,5,0),1,0)*Table_NFI[[#This Row],[Winter Clothes Children]],Table_NFI[Winter Clothes Children])</f>
        <v>0</v>
      </c>
      <c r="AI213" s="448">
        <f>IF(NFI_Expiration=1,IF($A213&lt;VLOOKUP(T$5,NFI,5,0),1,0)*Table_NFI[[#This Row],[Winter Items Other]],Table_NFI[Winter Items Other])</f>
        <v>0</v>
      </c>
      <c r="AJ213" s="448">
        <f>IF(NFI_Expiration=1,IF($A213&lt;VLOOKUP(M$5,NFI,5,0),1,0)*Table_NFI[[#This Row],[Winter Blanket]],Table_NFI[[#This Row],[Winter Blanket]])</f>
        <v>0</v>
      </c>
      <c r="AK213" s="448">
        <f>IF(Table_NFI[[#This Row],[Winter Clothes Adult]]+Table_NFI[[#This Row],[Winter Clothes Children]]+Table_NFI[[#This Row],[Winter Items Other]]+Table_NFI[[#This Row],[Winter Blanket]]&gt;0,1,0)</f>
        <v>1</v>
      </c>
      <c r="AL213" s="439">
        <f>IF(NFI_Expiration=1,IF($A213&lt;VLOOKUP(V$5,NFI,5,0),1,0)*Table_NFI[[#This Row],[Jerry Can]],Table_NFI[Jerry Can])</f>
        <v>0</v>
      </c>
      <c r="AM213" s="797" t="str">
        <f>IFERROR(VLOOKUP(Table_NFI[[#This Row],[Camp Name]],CL,2,0),"")</f>
        <v>MMR001CMP023</v>
      </c>
      <c r="AN213" s="798">
        <f ca="1">IF(Table_NFI[[#This Row],[Pcode]]="","",IF(OFFSET(CampList[Opening Date],MATCH(Table_NFI[[#This Row],[Pcode]],CampList[CP_Pcode],0)-1,0,1,1)&gt;=NFI_Monitor_Date,1,0))</f>
        <v>0</v>
      </c>
      <c r="AO213" s="797" t="str">
        <f>IFERROR(VLOOKUP(Table_NFI[[#This Row],[Camp Name]],CL,3,0),"")</f>
        <v>Open</v>
      </c>
      <c r="AP213" s="448" t="str">
        <f ca="1">IF(Table_NFI[[#This Row],[Pcode]]="","",OFFSET(CampList[Priority],MATCH(Table_NFI[[#This Row],[Pcode]],CampList[CP_Pcode],0)-1,0,1,1))</f>
        <v>P4</v>
      </c>
      <c r="AQ213" s="449">
        <f>IFERROR(Table_NFI[[#This Row],[Kitchen Set]]/VLOOKUP(Table_NFI[[#This Row],[Camp Name]],CL,4,0),"")</f>
        <v>0</v>
      </c>
      <c r="AR213" s="799"/>
      <c r="AS213" s="783"/>
    </row>
    <row r="214" spans="1:45" s="784" customFormat="1" x14ac:dyDescent="0.25">
      <c r="A214" s="455">
        <f t="shared" si="3"/>
        <v>17.399999999999999</v>
      </c>
      <c r="B214" s="778">
        <v>41787</v>
      </c>
      <c r="C214" s="779" t="s">
        <v>1113</v>
      </c>
      <c r="D214" s="779" t="s">
        <v>907</v>
      </c>
      <c r="E214" s="779" t="s">
        <v>380</v>
      </c>
      <c r="F214" s="779" t="s">
        <v>237</v>
      </c>
      <c r="G214" s="779" t="s">
        <v>251</v>
      </c>
      <c r="H214" s="436"/>
      <c r="I214" s="436"/>
      <c r="J214" s="436"/>
      <c r="K214" s="436"/>
      <c r="L214" s="437"/>
      <c r="M214" s="437"/>
      <c r="N214" s="437"/>
      <c r="O214" s="437"/>
      <c r="P214" s="439"/>
      <c r="Q214" s="439"/>
      <c r="R214" s="436"/>
      <c r="S214" s="436"/>
      <c r="T214" s="436"/>
      <c r="U214" s="436">
        <v>58</v>
      </c>
      <c r="V214" s="436"/>
      <c r="W214" s="448">
        <f>IF(NFI_Expiration=1,IF($A214&lt;VLOOKUP(H$5,NFI,5,0),1,0)*Table_NFI[[#This Row],[Hygiene Kit]],Table_NFI[Hygiene Kit])</f>
        <v>0</v>
      </c>
      <c r="X214" s="448">
        <f>IF(NFI_Expiration=1,IF($A214&lt;VLOOKUP(I$5,NFI,5,0),1,0)*Table_NFI[[#This Row],[NFI Core Kit]],Table_NFI[NFI Core Kit])</f>
        <v>0</v>
      </c>
      <c r="Y214" s="448">
        <f>IF(NFI_Expiration=1,IF($A214&lt;VLOOKUP(J$5,NFI,5,0),1,0)*Table_NFI[[#This Row],[Sanitary Kit]],Table_NFI[Sanitary Kit])</f>
        <v>0</v>
      </c>
      <c r="Z214" s="448">
        <f>IF(NFI_Expiration=1,IF($A214&lt;VLOOKUP(K$5,NFI,5,0),1,0)*Table_NFI[[#This Row],[Mosquito net]],Table_NFI[Mosquito net])</f>
        <v>0</v>
      </c>
      <c r="AA214" s="448">
        <f>IF(NFI_Expiration=1,IF($A214&lt;VLOOKUP(L$5,NFI,5,0),1,0)*Table_NFI[[#This Row],[Tarpaulin]],Table_NFI[[#This Row],[Tarpaulin]])</f>
        <v>0</v>
      </c>
      <c r="AB214" s="448">
        <f>IF(NFI_Expiration=1,IF($A214&lt;VLOOKUP(M$5,NFI,5,0),1,0)*Table_NFI[[#This Row],[Blanket]],Table_NFI[[#This Row],[Blanket]])</f>
        <v>0</v>
      </c>
      <c r="AC214" s="448">
        <f>IF(NFI_Expiration=1,IF($A214&lt;VLOOKUP(N$5,NFI,5,0),1,0)*Table_NFI[[#This Row],[Kitchen Set]],Table_NFI[Kitchen Set])</f>
        <v>0</v>
      </c>
      <c r="AD214" s="448">
        <f>IF(NFI_Expiration=1,IF($A214&lt;VLOOKUP(O$5,NFI,5,0),1,0)*Table_NFI[[#This Row],[Clothes Kit]],Table_NFI[Clothes Kit])</f>
        <v>0</v>
      </c>
      <c r="AE214" s="448">
        <f>IF(NFI_Expiration=1,IF($A214&lt;VLOOKUP(P$5,NFI,5,0),1,0)*Table_NFI[[#This Row],[Plastic Bucket]],Table_NFI[Plastic Bucket])</f>
        <v>0</v>
      </c>
      <c r="AF214" s="448">
        <f>IF(NFI_Expiration=1,IF($A214&lt;VLOOKUP(Q$5,NFI,5,0),1,0)*Table_NFI[[#This Row],[Plastic Mat]],Table_NFI[Plastic Mat])*IF(Table_NFI[[#This Row],[Distribution Date]]&gt;"2014-04-01",1,2.5)</f>
        <v>0</v>
      </c>
      <c r="AG214" s="448">
        <f>IF(NFI_Expiration=1,IF($A214&lt;VLOOKUP(R$5,NFI,5,0),1,0)*Table_NFI[[#This Row],[Winter Clothes Adult]],Table_NFI[Winter Clothes Adult])</f>
        <v>0</v>
      </c>
      <c r="AH214" s="448">
        <f>IF(NFI_Expiration=1,IF($A214&lt;VLOOKUP(S$5,NFI,5,0),1,0)*Table_NFI[[#This Row],[Winter Clothes Children]],Table_NFI[Winter Clothes Children])</f>
        <v>0</v>
      </c>
      <c r="AI214" s="448">
        <f>IF(NFI_Expiration=1,IF($A214&lt;VLOOKUP(T$5,NFI,5,0),1,0)*Table_NFI[[#This Row],[Winter Items Other]],Table_NFI[Winter Items Other])</f>
        <v>0</v>
      </c>
      <c r="AJ214" s="448">
        <f>IF(NFI_Expiration=1,IF($A214&lt;VLOOKUP(M$5,NFI,5,0),1,0)*Table_NFI[[#This Row],[Winter Blanket]],Table_NFI[[#This Row],[Winter Blanket]])</f>
        <v>0</v>
      </c>
      <c r="AK214" s="448">
        <f>IF(Table_NFI[[#This Row],[Winter Clothes Adult]]+Table_NFI[[#This Row],[Winter Clothes Children]]+Table_NFI[[#This Row],[Winter Items Other]]+Table_NFI[[#This Row],[Winter Blanket]]&gt;0,1,0)</f>
        <v>1</v>
      </c>
      <c r="AL214" s="439">
        <f>IF(NFI_Expiration=1,IF($A214&lt;VLOOKUP(V$5,NFI,5,0),1,0)*Table_NFI[[#This Row],[Jerry Can]],Table_NFI[Jerry Can])</f>
        <v>0</v>
      </c>
      <c r="AM214" s="797" t="str">
        <f>IFERROR(VLOOKUP(Table_NFI[[#This Row],[Camp Name]],CL,2,0),"")</f>
        <v>MMR001CMP003</v>
      </c>
      <c r="AN214" s="798">
        <f ca="1">IF(Table_NFI[[#This Row],[Pcode]]="","",IF(OFFSET(CampList[Opening Date],MATCH(Table_NFI[[#This Row],[Pcode]],CampList[CP_Pcode],0)-1,0,1,1)&gt;=NFI_Monitor_Date,1,0))</f>
        <v>0</v>
      </c>
      <c r="AO214" s="797" t="str">
        <f>IFERROR(VLOOKUP(Table_NFI[[#This Row],[Camp Name]],CL,3,0),"")</f>
        <v>Open</v>
      </c>
      <c r="AP214" s="448" t="str">
        <f ca="1">IF(Table_NFI[[#This Row],[Pcode]]="","",OFFSET(CampList[Priority],MATCH(Table_NFI[[#This Row],[Pcode]],CampList[CP_Pcode],0)-1,0,1,1))</f>
        <v>P4</v>
      </c>
      <c r="AQ214" s="449">
        <f>IFERROR(Table_NFI[[#This Row],[Kitchen Set]]/VLOOKUP(Table_NFI[[#This Row],[Camp Name]],CL,4,0),"")</f>
        <v>0</v>
      </c>
      <c r="AR214" s="799"/>
      <c r="AS214" s="783"/>
    </row>
    <row r="215" spans="1:45" s="784" customFormat="1" x14ac:dyDescent="0.25">
      <c r="A215" s="455">
        <f t="shared" si="3"/>
        <v>17.433333333333334</v>
      </c>
      <c r="B215" s="778">
        <v>41786</v>
      </c>
      <c r="C215" s="779" t="s">
        <v>454</v>
      </c>
      <c r="D215" s="779" t="s">
        <v>507</v>
      </c>
      <c r="E215" s="779" t="s">
        <v>380</v>
      </c>
      <c r="F215" s="779" t="s">
        <v>27</v>
      </c>
      <c r="G215" s="779" t="s">
        <v>28</v>
      </c>
      <c r="H215" s="436"/>
      <c r="I215" s="436"/>
      <c r="J215" s="436">
        <v>36</v>
      </c>
      <c r="K215" s="436">
        <v>18</v>
      </c>
      <c r="L215" s="437">
        <v>36</v>
      </c>
      <c r="M215" s="437">
        <v>18</v>
      </c>
      <c r="N215" s="437"/>
      <c r="O215" s="437">
        <v>18</v>
      </c>
      <c r="P215" s="439">
        <v>90</v>
      </c>
      <c r="Q215" s="439"/>
      <c r="R215" s="436"/>
      <c r="S215" s="436"/>
      <c r="T215" s="436"/>
      <c r="U215" s="436"/>
      <c r="V215" s="436"/>
      <c r="W215" s="436">
        <f>IF(NFI_Expiration=1,IF($A215&lt;VLOOKUP(H$5,NFI,5,0),1,0)*Table_NFI[[#This Row],[Hygiene Kit]],Table_NFI[Hygiene Kit])</f>
        <v>0</v>
      </c>
      <c r="X215" s="436">
        <f>IF(NFI_Expiration=1,IF($A215&lt;VLOOKUP(I$5,NFI,5,0),1,0)*Table_NFI[[#This Row],[NFI Core Kit]],Table_NFI[NFI Core Kit])</f>
        <v>0</v>
      </c>
      <c r="Y215" s="436">
        <f>IF(NFI_Expiration=1,IF($A215&lt;VLOOKUP(J$5,NFI,5,0),1,0)*Table_NFI[[#This Row],[Sanitary Kit]],Table_NFI[Sanitary Kit])</f>
        <v>0</v>
      </c>
      <c r="Z215" s="436">
        <f>IF(NFI_Expiration=1,IF($A215&lt;VLOOKUP(K$5,NFI,5,0),1,0)*Table_NFI[[#This Row],[Mosquito net]],Table_NFI[Mosquito net])</f>
        <v>0</v>
      </c>
      <c r="AA215" s="436">
        <f>IF(NFI_Expiration=1,IF($A215&lt;VLOOKUP(L$5,NFI,5,0),1,0)*Table_NFI[[#This Row],[Tarpaulin]],Table_NFI[[#This Row],[Tarpaulin]])</f>
        <v>0</v>
      </c>
      <c r="AB215" s="436">
        <f>IF(NFI_Expiration=1,IF($A215&lt;VLOOKUP(M$5,NFI,5,0),1,0)*Table_NFI[[#This Row],[Blanket]],Table_NFI[[#This Row],[Blanket]])</f>
        <v>0</v>
      </c>
      <c r="AC215" s="436">
        <f>IF(NFI_Expiration=1,IF($A215&lt;VLOOKUP(N$5,NFI,5,0),1,0)*Table_NFI[[#This Row],[Kitchen Set]],Table_NFI[Kitchen Set])</f>
        <v>0</v>
      </c>
      <c r="AD215" s="436">
        <f>IF(NFI_Expiration=1,IF($A215&lt;VLOOKUP(O$5,NFI,5,0),1,0)*Table_NFI[[#This Row],[Clothes Kit]],Table_NFI[Clothes Kit])</f>
        <v>0</v>
      </c>
      <c r="AE215" s="436">
        <f>IF(NFI_Expiration=1,IF($A215&lt;VLOOKUP(P$5,NFI,5,0),1,0)*Table_NFI[[#This Row],[Plastic Bucket]],Table_NFI[Plastic Bucket])</f>
        <v>0</v>
      </c>
      <c r="AF215" s="436">
        <f>IF(NFI_Expiration=1,IF($A215&lt;VLOOKUP(Q$5,NFI,5,0),1,0)*Table_NFI[[#This Row],[Plastic Mat]],Table_NFI[Plastic Mat])*IF(Table_NFI[[#This Row],[Distribution Date]]&gt;"2014-04-01",1,2.5)</f>
        <v>0</v>
      </c>
      <c r="AG215" s="436">
        <f>IF(NFI_Expiration=1,IF($A215&lt;VLOOKUP(R$5,NFI,5,0),1,0)*Table_NFI[[#This Row],[Winter Clothes Adult]],Table_NFI[Winter Clothes Adult])</f>
        <v>0</v>
      </c>
      <c r="AH215" s="436">
        <f>IF(NFI_Expiration=1,IF($A215&lt;VLOOKUP(S$5,NFI,5,0),1,0)*Table_NFI[[#This Row],[Winter Clothes Children]],Table_NFI[Winter Clothes Children])</f>
        <v>0</v>
      </c>
      <c r="AI215" s="436">
        <f>IF(NFI_Expiration=1,IF($A215&lt;VLOOKUP(T$5,NFI,5,0),1,0)*Table_NFI[[#This Row],[Winter Items Other]],Table_NFI[Winter Items Other])</f>
        <v>0</v>
      </c>
      <c r="AJ215" s="436">
        <f>IF(NFI_Expiration=1,IF($A215&lt;VLOOKUP(M$5,NFI,5,0),1,0)*Table_NFI[[#This Row],[Winter Blanket]],Table_NFI[[#This Row],[Winter Blanket]])</f>
        <v>0</v>
      </c>
      <c r="AK215" s="436">
        <f>IF(Table_NFI[[#This Row],[Winter Clothes Adult]]+Table_NFI[[#This Row],[Winter Clothes Children]]+Table_NFI[[#This Row],[Winter Items Other]]+Table_NFI[[#This Row],[Winter Blanket]]&gt;0,1,0)</f>
        <v>0</v>
      </c>
      <c r="AL215" s="439">
        <f>IF(NFI_Expiration=1,IF($A215&lt;VLOOKUP(V$5,NFI,5,0),1,0)*Table_NFI[[#This Row],[Jerry Can]],Table_NFI[Jerry Can])</f>
        <v>0</v>
      </c>
      <c r="AM215" s="781" t="str">
        <f>IFERROR(VLOOKUP(Table_NFI[[#This Row],[Camp Name]],CL,2,0),"")</f>
        <v>MMR001CMP042</v>
      </c>
      <c r="AN215" s="782">
        <f ca="1">IF(Table_NFI[[#This Row],[Pcode]]="","",IF(OFFSET(CampList[Opening Date],MATCH(Table_NFI[[#This Row],[Pcode]],CampList[CP_Pcode],0)-1,0,1,1)&gt;=NFI_Monitor_Date,1,0))</f>
        <v>0</v>
      </c>
      <c r="AO215" s="781" t="str">
        <f>IFERROR(VLOOKUP(Table_NFI[[#This Row],[Camp Name]],CL,3,0),"")</f>
        <v>Open</v>
      </c>
      <c r="AP215" s="436" t="str">
        <f ca="1">IF(Table_NFI[[#This Row],[Pcode]]="","",OFFSET(CampList[Priority],MATCH(Table_NFI[[#This Row],[Pcode]],CampList[CP_Pcode],0)-1,0,1,1))</f>
        <v>P1</v>
      </c>
      <c r="AQ215" s="438">
        <f>IFERROR(Table_NFI[[#This Row],[Kitchen Set]]/VLOOKUP(Table_NFI[[#This Row],[Camp Name]],CL,4,0),"")</f>
        <v>0</v>
      </c>
      <c r="AR215" s="779"/>
      <c r="AS215" s="783"/>
    </row>
    <row r="216" spans="1:45" s="784" customFormat="1" x14ac:dyDescent="0.25">
      <c r="A216" s="455">
        <f t="shared" si="3"/>
        <v>17.433333333333334</v>
      </c>
      <c r="B216" s="778">
        <v>41786</v>
      </c>
      <c r="C216" s="779" t="s">
        <v>454</v>
      </c>
      <c r="D216" s="779" t="s">
        <v>507</v>
      </c>
      <c r="E216" s="779" t="s">
        <v>380</v>
      </c>
      <c r="F216" s="779" t="s">
        <v>310</v>
      </c>
      <c r="G216" s="779" t="s">
        <v>313</v>
      </c>
      <c r="H216" s="436"/>
      <c r="I216" s="436"/>
      <c r="J216" s="436">
        <v>2</v>
      </c>
      <c r="K216" s="436">
        <v>1</v>
      </c>
      <c r="L216" s="437">
        <v>2</v>
      </c>
      <c r="M216" s="437">
        <v>1</v>
      </c>
      <c r="N216" s="437"/>
      <c r="O216" s="437">
        <v>1</v>
      </c>
      <c r="P216" s="439">
        <v>5</v>
      </c>
      <c r="Q216" s="439"/>
      <c r="R216" s="436"/>
      <c r="S216" s="436"/>
      <c r="T216" s="436"/>
      <c r="U216" s="436"/>
      <c r="V216" s="436"/>
      <c r="W216" s="436">
        <f>IF(NFI_Expiration=1,IF($A216&lt;VLOOKUP(H$5,NFI,5,0),1,0)*Table_NFI[[#This Row],[Hygiene Kit]],Table_NFI[Hygiene Kit])</f>
        <v>0</v>
      </c>
      <c r="X216" s="436">
        <f>IF(NFI_Expiration=1,IF($A216&lt;VLOOKUP(I$5,NFI,5,0),1,0)*Table_NFI[[#This Row],[NFI Core Kit]],Table_NFI[NFI Core Kit])</f>
        <v>0</v>
      </c>
      <c r="Y216" s="436">
        <f>IF(NFI_Expiration=1,IF($A216&lt;VLOOKUP(J$5,NFI,5,0),1,0)*Table_NFI[[#This Row],[Sanitary Kit]],Table_NFI[Sanitary Kit])</f>
        <v>0</v>
      </c>
      <c r="Z216" s="436">
        <f>IF(NFI_Expiration=1,IF($A216&lt;VLOOKUP(K$5,NFI,5,0),1,0)*Table_NFI[[#This Row],[Mosquito net]],Table_NFI[Mosquito net])</f>
        <v>0</v>
      </c>
      <c r="AA216" s="436">
        <f>IF(NFI_Expiration=1,IF($A216&lt;VLOOKUP(L$5,NFI,5,0),1,0)*Table_NFI[[#This Row],[Tarpaulin]],Table_NFI[[#This Row],[Tarpaulin]])</f>
        <v>0</v>
      </c>
      <c r="AB216" s="436">
        <f>IF(NFI_Expiration=1,IF($A216&lt;VLOOKUP(M$5,NFI,5,0),1,0)*Table_NFI[[#This Row],[Blanket]],Table_NFI[[#This Row],[Blanket]])</f>
        <v>0</v>
      </c>
      <c r="AC216" s="436">
        <f>IF(NFI_Expiration=1,IF($A216&lt;VLOOKUP(N$5,NFI,5,0),1,0)*Table_NFI[[#This Row],[Kitchen Set]],Table_NFI[Kitchen Set])</f>
        <v>0</v>
      </c>
      <c r="AD216" s="436">
        <f>IF(NFI_Expiration=1,IF($A216&lt;VLOOKUP(O$5,NFI,5,0),1,0)*Table_NFI[[#This Row],[Clothes Kit]],Table_NFI[Clothes Kit])</f>
        <v>0</v>
      </c>
      <c r="AE216" s="436">
        <f>IF(NFI_Expiration=1,IF($A216&lt;VLOOKUP(P$5,NFI,5,0),1,0)*Table_NFI[[#This Row],[Plastic Bucket]],Table_NFI[Plastic Bucket])</f>
        <v>0</v>
      </c>
      <c r="AF216" s="436">
        <f>IF(NFI_Expiration=1,IF($A216&lt;VLOOKUP(Q$5,NFI,5,0),1,0)*Table_NFI[[#This Row],[Plastic Mat]],Table_NFI[Plastic Mat])*IF(Table_NFI[[#This Row],[Distribution Date]]&gt;"2014-04-01",1,2.5)</f>
        <v>0</v>
      </c>
      <c r="AG216" s="436">
        <f>IF(NFI_Expiration=1,IF($A216&lt;VLOOKUP(R$5,NFI,5,0),1,0)*Table_NFI[[#This Row],[Winter Clothes Adult]],Table_NFI[Winter Clothes Adult])</f>
        <v>0</v>
      </c>
      <c r="AH216" s="436">
        <f>IF(NFI_Expiration=1,IF($A216&lt;VLOOKUP(S$5,NFI,5,0),1,0)*Table_NFI[[#This Row],[Winter Clothes Children]],Table_NFI[Winter Clothes Children])</f>
        <v>0</v>
      </c>
      <c r="AI216" s="436">
        <f>IF(NFI_Expiration=1,IF($A216&lt;VLOOKUP(T$5,NFI,5,0),1,0)*Table_NFI[[#This Row],[Winter Items Other]],Table_NFI[Winter Items Other])</f>
        <v>0</v>
      </c>
      <c r="AJ216" s="436">
        <f>IF(NFI_Expiration=1,IF($A216&lt;VLOOKUP(M$5,NFI,5,0),1,0)*Table_NFI[[#This Row],[Winter Blanket]],Table_NFI[[#This Row],[Winter Blanket]])</f>
        <v>0</v>
      </c>
      <c r="AK216" s="436">
        <f>IF(Table_NFI[[#This Row],[Winter Clothes Adult]]+Table_NFI[[#This Row],[Winter Clothes Children]]+Table_NFI[[#This Row],[Winter Items Other]]+Table_NFI[[#This Row],[Winter Blanket]]&gt;0,1,0)</f>
        <v>0</v>
      </c>
      <c r="AL216" s="439">
        <f>IF(NFI_Expiration=1,IF($A216&lt;VLOOKUP(V$5,NFI,5,0),1,0)*Table_NFI[[#This Row],[Jerry Can]],Table_NFI[Jerry Can])</f>
        <v>0</v>
      </c>
      <c r="AM216" s="781" t="str">
        <f>IFERROR(VLOOKUP(Table_NFI[[#This Row],[Camp Name]],CL,2,0),"")</f>
        <v>MMR001CMP028</v>
      </c>
      <c r="AN216" s="782">
        <f ca="1">IF(Table_NFI[[#This Row],[Pcode]]="","",IF(OFFSET(CampList[Opening Date],MATCH(Table_NFI[[#This Row],[Pcode]],CampList[CP_Pcode],0)-1,0,1,1)&gt;=NFI_Monitor_Date,1,0))</f>
        <v>0</v>
      </c>
      <c r="AO216" s="781" t="str">
        <f>IFERROR(VLOOKUP(Table_NFI[[#This Row],[Camp Name]],CL,3,0),"")</f>
        <v>Open</v>
      </c>
      <c r="AP216" s="436" t="str">
        <f ca="1">IF(Table_NFI[[#This Row],[Pcode]]="","",OFFSET(CampList[Priority],MATCH(Table_NFI[[#This Row],[Pcode]],CampList[CP_Pcode],0)-1,0,1,1))</f>
        <v>P4</v>
      </c>
      <c r="AQ216" s="438">
        <f>IFERROR(Table_NFI[[#This Row],[Kitchen Set]]/VLOOKUP(Table_NFI[[#This Row],[Camp Name]],CL,4,0),"")</f>
        <v>0</v>
      </c>
      <c r="AR216" s="779"/>
      <c r="AS216" s="783"/>
    </row>
    <row r="217" spans="1:45" s="784" customFormat="1" x14ac:dyDescent="0.25">
      <c r="A217" s="455">
        <f t="shared" si="3"/>
        <v>17.433333333333334</v>
      </c>
      <c r="B217" s="778">
        <v>41786</v>
      </c>
      <c r="C217" s="779" t="s">
        <v>454</v>
      </c>
      <c r="D217" s="779" t="s">
        <v>507</v>
      </c>
      <c r="E217" s="779" t="s">
        <v>380</v>
      </c>
      <c r="F217" s="779" t="s">
        <v>310</v>
      </c>
      <c r="G217" s="779" t="s">
        <v>328</v>
      </c>
      <c r="H217" s="436"/>
      <c r="I217" s="436"/>
      <c r="J217" s="436">
        <v>50</v>
      </c>
      <c r="K217" s="436">
        <v>25</v>
      </c>
      <c r="L217" s="437">
        <v>50</v>
      </c>
      <c r="M217" s="437">
        <v>25</v>
      </c>
      <c r="N217" s="437"/>
      <c r="O217" s="437">
        <v>25</v>
      </c>
      <c r="P217" s="439">
        <v>125</v>
      </c>
      <c r="Q217" s="439"/>
      <c r="R217" s="436"/>
      <c r="S217" s="436"/>
      <c r="T217" s="436"/>
      <c r="U217" s="436"/>
      <c r="V217" s="436"/>
      <c r="W217" s="436">
        <f>IF(NFI_Expiration=1,IF($A217&lt;VLOOKUP(H$5,NFI,5,0),1,0)*Table_NFI[[#This Row],[Hygiene Kit]],Table_NFI[Hygiene Kit])</f>
        <v>0</v>
      </c>
      <c r="X217" s="436">
        <f>IF(NFI_Expiration=1,IF($A217&lt;VLOOKUP(I$5,NFI,5,0),1,0)*Table_NFI[[#This Row],[NFI Core Kit]],Table_NFI[NFI Core Kit])</f>
        <v>0</v>
      </c>
      <c r="Y217" s="436">
        <f>IF(NFI_Expiration=1,IF($A217&lt;VLOOKUP(J$5,NFI,5,0),1,0)*Table_NFI[[#This Row],[Sanitary Kit]],Table_NFI[Sanitary Kit])</f>
        <v>0</v>
      </c>
      <c r="Z217" s="436">
        <f>IF(NFI_Expiration=1,IF($A217&lt;VLOOKUP(K$5,NFI,5,0),1,0)*Table_NFI[[#This Row],[Mosquito net]],Table_NFI[Mosquito net])</f>
        <v>0</v>
      </c>
      <c r="AA217" s="436">
        <f>IF(NFI_Expiration=1,IF($A217&lt;VLOOKUP(L$5,NFI,5,0),1,0)*Table_NFI[[#This Row],[Tarpaulin]],Table_NFI[[#This Row],[Tarpaulin]])</f>
        <v>0</v>
      </c>
      <c r="AB217" s="436">
        <f>IF(NFI_Expiration=1,IF($A217&lt;VLOOKUP(M$5,NFI,5,0),1,0)*Table_NFI[[#This Row],[Blanket]],Table_NFI[[#This Row],[Blanket]])</f>
        <v>0</v>
      </c>
      <c r="AC217" s="436">
        <f>IF(NFI_Expiration=1,IF($A217&lt;VLOOKUP(N$5,NFI,5,0),1,0)*Table_NFI[[#This Row],[Kitchen Set]],Table_NFI[Kitchen Set])</f>
        <v>0</v>
      </c>
      <c r="AD217" s="436">
        <f>IF(NFI_Expiration=1,IF($A217&lt;VLOOKUP(O$5,NFI,5,0),1,0)*Table_NFI[[#This Row],[Clothes Kit]],Table_NFI[Clothes Kit])</f>
        <v>0</v>
      </c>
      <c r="AE217" s="436">
        <f>IF(NFI_Expiration=1,IF($A217&lt;VLOOKUP(P$5,NFI,5,0),1,0)*Table_NFI[[#This Row],[Plastic Bucket]],Table_NFI[Plastic Bucket])</f>
        <v>0</v>
      </c>
      <c r="AF217" s="436">
        <f>IF(NFI_Expiration=1,IF($A217&lt;VLOOKUP(Q$5,NFI,5,0),1,0)*Table_NFI[[#This Row],[Plastic Mat]],Table_NFI[Plastic Mat])*IF(Table_NFI[[#This Row],[Distribution Date]]&gt;"2014-04-01",1,2.5)</f>
        <v>0</v>
      </c>
      <c r="AG217" s="436">
        <f>IF(NFI_Expiration=1,IF($A217&lt;VLOOKUP(R$5,NFI,5,0),1,0)*Table_NFI[[#This Row],[Winter Clothes Adult]],Table_NFI[Winter Clothes Adult])</f>
        <v>0</v>
      </c>
      <c r="AH217" s="436">
        <f>IF(NFI_Expiration=1,IF($A217&lt;VLOOKUP(S$5,NFI,5,0),1,0)*Table_NFI[[#This Row],[Winter Clothes Children]],Table_NFI[Winter Clothes Children])</f>
        <v>0</v>
      </c>
      <c r="AI217" s="436">
        <f>IF(NFI_Expiration=1,IF($A217&lt;VLOOKUP(T$5,NFI,5,0),1,0)*Table_NFI[[#This Row],[Winter Items Other]],Table_NFI[Winter Items Other])</f>
        <v>0</v>
      </c>
      <c r="AJ217" s="436">
        <f>IF(NFI_Expiration=1,IF($A217&lt;VLOOKUP(M$5,NFI,5,0),1,0)*Table_NFI[[#This Row],[Winter Blanket]],Table_NFI[[#This Row],[Winter Blanket]])</f>
        <v>0</v>
      </c>
      <c r="AK217" s="436">
        <f>IF(Table_NFI[[#This Row],[Winter Clothes Adult]]+Table_NFI[[#This Row],[Winter Clothes Children]]+Table_NFI[[#This Row],[Winter Items Other]]+Table_NFI[[#This Row],[Winter Blanket]]&gt;0,1,0)</f>
        <v>0</v>
      </c>
      <c r="AL217" s="439">
        <f>IF(NFI_Expiration=1,IF($A217&lt;VLOOKUP(V$5,NFI,5,0),1,0)*Table_NFI[[#This Row],[Jerry Can]],Table_NFI[Jerry Can])</f>
        <v>0</v>
      </c>
      <c r="AM217" s="781" t="str">
        <f>IFERROR(VLOOKUP(Table_NFI[[#This Row],[Camp Name]],CL,2,0),"")</f>
        <v>MMR001CMP031</v>
      </c>
      <c r="AN217" s="782">
        <f ca="1">IF(Table_NFI[[#This Row],[Pcode]]="","",IF(OFFSET(CampList[Opening Date],MATCH(Table_NFI[[#This Row],[Pcode]],CampList[CP_Pcode],0)-1,0,1,1)&gt;=NFI_Monitor_Date,1,0))</f>
        <v>0</v>
      </c>
      <c r="AO217" s="781" t="str">
        <f>IFERROR(VLOOKUP(Table_NFI[[#This Row],[Camp Name]],CL,3,0),"")</f>
        <v>Open</v>
      </c>
      <c r="AP217" s="436" t="str">
        <f ca="1">IF(Table_NFI[[#This Row],[Pcode]]="","",OFFSET(CampList[Priority],MATCH(Table_NFI[[#This Row],[Pcode]],CampList[CP_Pcode],0)-1,0,1,1))</f>
        <v>P4</v>
      </c>
      <c r="AQ217" s="438">
        <f>IFERROR(Table_NFI[[#This Row],[Kitchen Set]]/VLOOKUP(Table_NFI[[#This Row],[Camp Name]],CL,4,0),"")</f>
        <v>0</v>
      </c>
      <c r="AR217" s="779"/>
      <c r="AS217" s="783"/>
    </row>
    <row r="218" spans="1:45" s="784" customFormat="1" x14ac:dyDescent="0.25">
      <c r="A218" s="455">
        <f t="shared" si="3"/>
        <v>17.433333333333334</v>
      </c>
      <c r="B218" s="778">
        <v>41786</v>
      </c>
      <c r="C218" s="779" t="s">
        <v>454</v>
      </c>
      <c r="D218" s="779" t="s">
        <v>507</v>
      </c>
      <c r="E218" s="779" t="s">
        <v>380</v>
      </c>
      <c r="F218" s="779" t="s">
        <v>237</v>
      </c>
      <c r="G218" s="779" t="s">
        <v>263</v>
      </c>
      <c r="H218" s="436"/>
      <c r="I218" s="436"/>
      <c r="J218" s="436">
        <v>12</v>
      </c>
      <c r="K218" s="436">
        <v>6</v>
      </c>
      <c r="L218" s="437">
        <v>12</v>
      </c>
      <c r="M218" s="437">
        <v>6</v>
      </c>
      <c r="N218" s="437"/>
      <c r="O218" s="437">
        <v>6</v>
      </c>
      <c r="P218" s="439">
        <v>30</v>
      </c>
      <c r="Q218" s="439"/>
      <c r="R218" s="436"/>
      <c r="S218" s="436"/>
      <c r="T218" s="436"/>
      <c r="U218" s="436"/>
      <c r="V218" s="436"/>
      <c r="W218" s="436">
        <f>IF(NFI_Expiration=1,IF($A218&lt;VLOOKUP(H$5,NFI,5,0),1,0)*Table_NFI[[#This Row],[Hygiene Kit]],Table_NFI[Hygiene Kit])</f>
        <v>0</v>
      </c>
      <c r="X218" s="436">
        <f>IF(NFI_Expiration=1,IF($A218&lt;VLOOKUP(I$5,NFI,5,0),1,0)*Table_NFI[[#This Row],[NFI Core Kit]],Table_NFI[NFI Core Kit])</f>
        <v>0</v>
      </c>
      <c r="Y218" s="436">
        <f>IF(NFI_Expiration=1,IF($A218&lt;VLOOKUP(J$5,NFI,5,0),1,0)*Table_NFI[[#This Row],[Sanitary Kit]],Table_NFI[Sanitary Kit])</f>
        <v>0</v>
      </c>
      <c r="Z218" s="436">
        <f>IF(NFI_Expiration=1,IF($A218&lt;VLOOKUP(K$5,NFI,5,0),1,0)*Table_NFI[[#This Row],[Mosquito net]],Table_NFI[Mosquito net])</f>
        <v>0</v>
      </c>
      <c r="AA218" s="436">
        <f>IF(NFI_Expiration=1,IF($A218&lt;VLOOKUP(L$5,NFI,5,0),1,0)*Table_NFI[[#This Row],[Tarpaulin]],Table_NFI[[#This Row],[Tarpaulin]])</f>
        <v>0</v>
      </c>
      <c r="AB218" s="436">
        <f>IF(NFI_Expiration=1,IF($A218&lt;VLOOKUP(M$5,NFI,5,0),1,0)*Table_NFI[[#This Row],[Blanket]],Table_NFI[[#This Row],[Blanket]])</f>
        <v>0</v>
      </c>
      <c r="AC218" s="436">
        <f>IF(NFI_Expiration=1,IF($A218&lt;VLOOKUP(N$5,NFI,5,0),1,0)*Table_NFI[[#This Row],[Kitchen Set]],Table_NFI[Kitchen Set])</f>
        <v>0</v>
      </c>
      <c r="AD218" s="436">
        <f>IF(NFI_Expiration=1,IF($A218&lt;VLOOKUP(O$5,NFI,5,0),1,0)*Table_NFI[[#This Row],[Clothes Kit]],Table_NFI[Clothes Kit])</f>
        <v>0</v>
      </c>
      <c r="AE218" s="436">
        <f>IF(NFI_Expiration=1,IF($A218&lt;VLOOKUP(P$5,NFI,5,0),1,0)*Table_NFI[[#This Row],[Plastic Bucket]],Table_NFI[Plastic Bucket])</f>
        <v>0</v>
      </c>
      <c r="AF218" s="436">
        <f>IF(NFI_Expiration=1,IF($A218&lt;VLOOKUP(Q$5,NFI,5,0),1,0)*Table_NFI[[#This Row],[Plastic Mat]],Table_NFI[Plastic Mat])*IF(Table_NFI[[#This Row],[Distribution Date]]&gt;"2014-04-01",1,2.5)</f>
        <v>0</v>
      </c>
      <c r="AG218" s="436">
        <f>IF(NFI_Expiration=1,IF($A218&lt;VLOOKUP(R$5,NFI,5,0),1,0)*Table_NFI[[#This Row],[Winter Clothes Adult]],Table_NFI[Winter Clothes Adult])</f>
        <v>0</v>
      </c>
      <c r="AH218" s="436">
        <f>IF(NFI_Expiration=1,IF($A218&lt;VLOOKUP(S$5,NFI,5,0),1,0)*Table_NFI[[#This Row],[Winter Clothes Children]],Table_NFI[Winter Clothes Children])</f>
        <v>0</v>
      </c>
      <c r="AI218" s="436">
        <f>IF(NFI_Expiration=1,IF($A218&lt;VLOOKUP(T$5,NFI,5,0),1,0)*Table_NFI[[#This Row],[Winter Items Other]],Table_NFI[Winter Items Other])</f>
        <v>0</v>
      </c>
      <c r="AJ218" s="436">
        <f>IF(NFI_Expiration=1,IF($A218&lt;VLOOKUP(M$5,NFI,5,0),1,0)*Table_NFI[[#This Row],[Winter Blanket]],Table_NFI[[#This Row],[Winter Blanket]])</f>
        <v>0</v>
      </c>
      <c r="AK218" s="436">
        <f>IF(Table_NFI[[#This Row],[Winter Clothes Adult]]+Table_NFI[[#This Row],[Winter Clothes Children]]+Table_NFI[[#This Row],[Winter Items Other]]+Table_NFI[[#This Row],[Winter Blanket]]&gt;0,1,0)</f>
        <v>0</v>
      </c>
      <c r="AL218" s="439">
        <f>IF(NFI_Expiration=1,IF($A218&lt;VLOOKUP(V$5,NFI,5,0),1,0)*Table_NFI[[#This Row],[Jerry Can]],Table_NFI[Jerry Can])</f>
        <v>0</v>
      </c>
      <c r="AM218" s="781" t="str">
        <f>IFERROR(VLOOKUP(Table_NFI[[#This Row],[Camp Name]],CL,2,0),"")</f>
        <v>MMR001CMP020</v>
      </c>
      <c r="AN218" s="782">
        <f ca="1">IF(Table_NFI[[#This Row],[Pcode]]="","",IF(OFFSET(CampList[Opening Date],MATCH(Table_NFI[[#This Row],[Pcode]],CampList[CP_Pcode],0)-1,0,1,1)&gt;=NFI_Monitor_Date,1,0))</f>
        <v>0</v>
      </c>
      <c r="AO218" s="781" t="str">
        <f>IFERROR(VLOOKUP(Table_NFI[[#This Row],[Camp Name]],CL,3,0),"")</f>
        <v>Open</v>
      </c>
      <c r="AP218" s="436" t="str">
        <f ca="1">IF(Table_NFI[[#This Row],[Pcode]]="","",OFFSET(CampList[Priority],MATCH(Table_NFI[[#This Row],[Pcode]],CampList[CP_Pcode],0)-1,0,1,1))</f>
        <v>P4</v>
      </c>
      <c r="AQ218" s="438">
        <f>IFERROR(Table_NFI[[#This Row],[Kitchen Set]]/VLOOKUP(Table_NFI[[#This Row],[Camp Name]],CL,4,0),"")</f>
        <v>0</v>
      </c>
      <c r="AR218" s="779"/>
      <c r="AS218" s="783"/>
    </row>
    <row r="219" spans="1:45" s="784" customFormat="1" x14ac:dyDescent="0.25">
      <c r="A219" s="455">
        <f t="shared" si="3"/>
        <v>17.433333333333334</v>
      </c>
      <c r="B219" s="778">
        <v>41786</v>
      </c>
      <c r="C219" s="779" t="s">
        <v>454</v>
      </c>
      <c r="D219" s="779" t="s">
        <v>507</v>
      </c>
      <c r="E219" s="779" t="s">
        <v>380</v>
      </c>
      <c r="F219" s="779" t="s">
        <v>310</v>
      </c>
      <c r="G219" s="779" t="s">
        <v>351</v>
      </c>
      <c r="H219" s="436"/>
      <c r="I219" s="436"/>
      <c r="J219" s="436">
        <v>3</v>
      </c>
      <c r="K219" s="436">
        <v>3</v>
      </c>
      <c r="L219" s="437">
        <v>6</v>
      </c>
      <c r="M219" s="437">
        <v>3</v>
      </c>
      <c r="N219" s="437"/>
      <c r="O219" s="437">
        <v>3</v>
      </c>
      <c r="P219" s="439">
        <v>15</v>
      </c>
      <c r="Q219" s="439"/>
      <c r="R219" s="436"/>
      <c r="S219" s="436"/>
      <c r="T219" s="436"/>
      <c r="U219" s="436"/>
      <c r="V219" s="436"/>
      <c r="W219" s="436">
        <f>IF(NFI_Expiration=1,IF($A219&lt;VLOOKUP(H$5,NFI,5,0),1,0)*Table_NFI[[#This Row],[Hygiene Kit]],Table_NFI[Hygiene Kit])</f>
        <v>0</v>
      </c>
      <c r="X219" s="436">
        <f>IF(NFI_Expiration=1,IF($A219&lt;VLOOKUP(I$5,NFI,5,0),1,0)*Table_NFI[[#This Row],[NFI Core Kit]],Table_NFI[NFI Core Kit])</f>
        <v>0</v>
      </c>
      <c r="Y219" s="436">
        <f>IF(NFI_Expiration=1,IF($A219&lt;VLOOKUP(J$5,NFI,5,0),1,0)*Table_NFI[[#This Row],[Sanitary Kit]],Table_NFI[Sanitary Kit])</f>
        <v>0</v>
      </c>
      <c r="Z219" s="436">
        <f>IF(NFI_Expiration=1,IF($A219&lt;VLOOKUP(K$5,NFI,5,0),1,0)*Table_NFI[[#This Row],[Mosquito net]],Table_NFI[Mosquito net])</f>
        <v>0</v>
      </c>
      <c r="AA219" s="436">
        <f>IF(NFI_Expiration=1,IF($A219&lt;VLOOKUP(L$5,NFI,5,0),1,0)*Table_NFI[[#This Row],[Tarpaulin]],Table_NFI[[#This Row],[Tarpaulin]])</f>
        <v>0</v>
      </c>
      <c r="AB219" s="436">
        <f>IF(NFI_Expiration=1,IF($A219&lt;VLOOKUP(M$5,NFI,5,0),1,0)*Table_NFI[[#This Row],[Blanket]],Table_NFI[[#This Row],[Blanket]])</f>
        <v>0</v>
      </c>
      <c r="AC219" s="436">
        <f>IF(NFI_Expiration=1,IF($A219&lt;VLOOKUP(N$5,NFI,5,0),1,0)*Table_NFI[[#This Row],[Kitchen Set]],Table_NFI[Kitchen Set])</f>
        <v>0</v>
      </c>
      <c r="AD219" s="436">
        <f>IF(NFI_Expiration=1,IF($A219&lt;VLOOKUP(O$5,NFI,5,0),1,0)*Table_NFI[[#This Row],[Clothes Kit]],Table_NFI[Clothes Kit])</f>
        <v>0</v>
      </c>
      <c r="AE219" s="436">
        <f>IF(NFI_Expiration=1,IF($A219&lt;VLOOKUP(P$5,NFI,5,0),1,0)*Table_NFI[[#This Row],[Plastic Bucket]],Table_NFI[Plastic Bucket])</f>
        <v>0</v>
      </c>
      <c r="AF219" s="436">
        <f>IF(NFI_Expiration=1,IF($A219&lt;VLOOKUP(Q$5,NFI,5,0),1,0)*Table_NFI[[#This Row],[Plastic Mat]],Table_NFI[Plastic Mat])*IF(Table_NFI[[#This Row],[Distribution Date]]&gt;"2014-04-01",1,2.5)</f>
        <v>0</v>
      </c>
      <c r="AG219" s="436">
        <f>IF(NFI_Expiration=1,IF($A219&lt;VLOOKUP(R$5,NFI,5,0),1,0)*Table_NFI[[#This Row],[Winter Clothes Adult]],Table_NFI[Winter Clothes Adult])</f>
        <v>0</v>
      </c>
      <c r="AH219" s="436">
        <f>IF(NFI_Expiration=1,IF($A219&lt;VLOOKUP(S$5,NFI,5,0),1,0)*Table_NFI[[#This Row],[Winter Clothes Children]],Table_NFI[Winter Clothes Children])</f>
        <v>0</v>
      </c>
      <c r="AI219" s="436">
        <f>IF(NFI_Expiration=1,IF($A219&lt;VLOOKUP(T$5,NFI,5,0),1,0)*Table_NFI[[#This Row],[Winter Items Other]],Table_NFI[Winter Items Other])</f>
        <v>0</v>
      </c>
      <c r="AJ219" s="436">
        <f>IF(NFI_Expiration=1,IF($A219&lt;VLOOKUP(M$5,NFI,5,0),1,0)*Table_NFI[[#This Row],[Winter Blanket]],Table_NFI[[#This Row],[Winter Blanket]])</f>
        <v>0</v>
      </c>
      <c r="AK219" s="436">
        <f>IF(Table_NFI[[#This Row],[Winter Clothes Adult]]+Table_NFI[[#This Row],[Winter Clothes Children]]+Table_NFI[[#This Row],[Winter Items Other]]+Table_NFI[[#This Row],[Winter Blanket]]&gt;0,1,0)</f>
        <v>0</v>
      </c>
      <c r="AL219" s="439">
        <f>IF(NFI_Expiration=1,IF($A219&lt;VLOOKUP(V$5,NFI,5,0),1,0)*Table_NFI[[#This Row],[Jerry Can]],Table_NFI[Jerry Can])</f>
        <v>0</v>
      </c>
      <c r="AM219" s="781" t="str">
        <f>IFERROR(VLOOKUP(Table_NFI[[#This Row],[Camp Name]],CL,2,0),"")</f>
        <v>MMR001CMP026</v>
      </c>
      <c r="AN219" s="782">
        <f ca="1">IF(Table_NFI[[#This Row],[Pcode]]="","",IF(OFFSET(CampList[Opening Date],MATCH(Table_NFI[[#This Row],[Pcode]],CampList[CP_Pcode],0)-1,0,1,1)&gt;=NFI_Monitor_Date,1,0))</f>
        <v>0</v>
      </c>
      <c r="AO219" s="781" t="str">
        <f>IFERROR(VLOOKUP(Table_NFI[[#This Row],[Camp Name]],CL,3,0),"")</f>
        <v>Open</v>
      </c>
      <c r="AP219" s="436" t="str">
        <f ca="1">IF(Table_NFI[[#This Row],[Pcode]]="","",OFFSET(CampList[Priority],MATCH(Table_NFI[[#This Row],[Pcode]],CampList[CP_Pcode],0)-1,0,1,1))</f>
        <v>P4</v>
      </c>
      <c r="AQ219" s="438">
        <f>IFERROR(Table_NFI[[#This Row],[Kitchen Set]]/VLOOKUP(Table_NFI[[#This Row],[Camp Name]],CL,4,0),"")</f>
        <v>0</v>
      </c>
      <c r="AR219" s="779"/>
      <c r="AS219" s="783"/>
    </row>
    <row r="220" spans="1:45" s="784" customFormat="1" x14ac:dyDescent="0.25">
      <c r="A220" s="455">
        <f t="shared" si="3"/>
        <v>17.433333333333334</v>
      </c>
      <c r="B220" s="778">
        <v>41786</v>
      </c>
      <c r="C220" s="779" t="s">
        <v>454</v>
      </c>
      <c r="D220" s="779" t="s">
        <v>507</v>
      </c>
      <c r="E220" s="779" t="s">
        <v>380</v>
      </c>
      <c r="F220" s="779" t="s">
        <v>310</v>
      </c>
      <c r="G220" s="779" t="s">
        <v>349</v>
      </c>
      <c r="H220" s="436"/>
      <c r="I220" s="436"/>
      <c r="J220" s="436">
        <v>18</v>
      </c>
      <c r="K220" s="436">
        <v>9</v>
      </c>
      <c r="L220" s="437">
        <v>18</v>
      </c>
      <c r="M220" s="437">
        <v>9</v>
      </c>
      <c r="N220" s="437"/>
      <c r="O220" s="437">
        <v>9</v>
      </c>
      <c r="P220" s="439">
        <v>45</v>
      </c>
      <c r="Q220" s="439"/>
      <c r="R220" s="436"/>
      <c r="S220" s="436"/>
      <c r="T220" s="436"/>
      <c r="U220" s="436"/>
      <c r="V220" s="436"/>
      <c r="W220" s="436">
        <f>IF(NFI_Expiration=1,IF($A220&lt;VLOOKUP(H$5,NFI,5,0),1,0)*Table_NFI[[#This Row],[Hygiene Kit]],Table_NFI[Hygiene Kit])</f>
        <v>0</v>
      </c>
      <c r="X220" s="436">
        <f>IF(NFI_Expiration=1,IF($A220&lt;VLOOKUP(I$5,NFI,5,0),1,0)*Table_NFI[[#This Row],[NFI Core Kit]],Table_NFI[NFI Core Kit])</f>
        <v>0</v>
      </c>
      <c r="Y220" s="436">
        <f>IF(NFI_Expiration=1,IF($A220&lt;VLOOKUP(J$5,NFI,5,0),1,0)*Table_NFI[[#This Row],[Sanitary Kit]],Table_NFI[Sanitary Kit])</f>
        <v>0</v>
      </c>
      <c r="Z220" s="436">
        <f>IF(NFI_Expiration=1,IF($A220&lt;VLOOKUP(K$5,NFI,5,0),1,0)*Table_NFI[[#This Row],[Mosquito net]],Table_NFI[Mosquito net])</f>
        <v>0</v>
      </c>
      <c r="AA220" s="436">
        <f>IF(NFI_Expiration=1,IF($A220&lt;VLOOKUP(L$5,NFI,5,0),1,0)*Table_NFI[[#This Row],[Tarpaulin]],Table_NFI[[#This Row],[Tarpaulin]])</f>
        <v>0</v>
      </c>
      <c r="AB220" s="436">
        <f>IF(NFI_Expiration=1,IF($A220&lt;VLOOKUP(M$5,NFI,5,0),1,0)*Table_NFI[[#This Row],[Blanket]],Table_NFI[[#This Row],[Blanket]])</f>
        <v>0</v>
      </c>
      <c r="AC220" s="436">
        <f>IF(NFI_Expiration=1,IF($A220&lt;VLOOKUP(N$5,NFI,5,0),1,0)*Table_NFI[[#This Row],[Kitchen Set]],Table_NFI[Kitchen Set])</f>
        <v>0</v>
      </c>
      <c r="AD220" s="436">
        <f>IF(NFI_Expiration=1,IF($A220&lt;VLOOKUP(O$5,NFI,5,0),1,0)*Table_NFI[[#This Row],[Clothes Kit]],Table_NFI[Clothes Kit])</f>
        <v>0</v>
      </c>
      <c r="AE220" s="436">
        <f>IF(NFI_Expiration=1,IF($A220&lt;VLOOKUP(P$5,NFI,5,0),1,0)*Table_NFI[[#This Row],[Plastic Bucket]],Table_NFI[Plastic Bucket])</f>
        <v>0</v>
      </c>
      <c r="AF220" s="436">
        <f>IF(NFI_Expiration=1,IF($A220&lt;VLOOKUP(Q$5,NFI,5,0),1,0)*Table_NFI[[#This Row],[Plastic Mat]],Table_NFI[Plastic Mat])*IF(Table_NFI[[#This Row],[Distribution Date]]&gt;"2014-04-01",1,2.5)</f>
        <v>0</v>
      </c>
      <c r="AG220" s="436">
        <f>IF(NFI_Expiration=1,IF($A220&lt;VLOOKUP(R$5,NFI,5,0),1,0)*Table_NFI[[#This Row],[Winter Clothes Adult]],Table_NFI[Winter Clothes Adult])</f>
        <v>0</v>
      </c>
      <c r="AH220" s="436">
        <f>IF(NFI_Expiration=1,IF($A220&lt;VLOOKUP(S$5,NFI,5,0),1,0)*Table_NFI[[#This Row],[Winter Clothes Children]],Table_NFI[Winter Clothes Children])</f>
        <v>0</v>
      </c>
      <c r="AI220" s="436">
        <f>IF(NFI_Expiration=1,IF($A220&lt;VLOOKUP(T$5,NFI,5,0),1,0)*Table_NFI[[#This Row],[Winter Items Other]],Table_NFI[Winter Items Other])</f>
        <v>0</v>
      </c>
      <c r="AJ220" s="436">
        <f>IF(NFI_Expiration=1,IF($A220&lt;VLOOKUP(M$5,NFI,5,0),1,0)*Table_NFI[[#This Row],[Winter Blanket]],Table_NFI[[#This Row],[Winter Blanket]])</f>
        <v>0</v>
      </c>
      <c r="AK220" s="436">
        <f>IF(Table_NFI[[#This Row],[Winter Clothes Adult]]+Table_NFI[[#This Row],[Winter Clothes Children]]+Table_NFI[[#This Row],[Winter Items Other]]+Table_NFI[[#This Row],[Winter Blanket]]&gt;0,1,0)</f>
        <v>0</v>
      </c>
      <c r="AL220" s="439">
        <f>IF(NFI_Expiration=1,IF($A220&lt;VLOOKUP(V$5,NFI,5,0),1,0)*Table_NFI[[#This Row],[Jerry Can]],Table_NFI[Jerry Can])</f>
        <v>0</v>
      </c>
      <c r="AM220" s="781" t="str">
        <f>IFERROR(VLOOKUP(Table_NFI[[#This Row],[Camp Name]],CL,2,0),"")</f>
        <v>MMR001CMP037</v>
      </c>
      <c r="AN220" s="782">
        <f ca="1">IF(Table_NFI[[#This Row],[Pcode]]="","",IF(OFFSET(CampList[Opening Date],MATCH(Table_NFI[[#This Row],[Pcode]],CampList[CP_Pcode],0)-1,0,1,1)&gt;=NFI_Monitor_Date,1,0))</f>
        <v>0</v>
      </c>
      <c r="AO220" s="781" t="str">
        <f>IFERROR(VLOOKUP(Table_NFI[[#This Row],[Camp Name]],CL,3,0),"")</f>
        <v>Open</v>
      </c>
      <c r="AP220" s="436" t="str">
        <f ca="1">IF(Table_NFI[[#This Row],[Pcode]]="","",OFFSET(CampList[Priority],MATCH(Table_NFI[[#This Row],[Pcode]],CampList[CP_Pcode],0)-1,0,1,1))</f>
        <v>P4</v>
      </c>
      <c r="AQ220" s="438">
        <f>IFERROR(Table_NFI[[#This Row],[Kitchen Set]]/VLOOKUP(Table_NFI[[#This Row],[Camp Name]],CL,4,0),"")</f>
        <v>0</v>
      </c>
      <c r="AR220" s="779"/>
      <c r="AS220" s="783"/>
    </row>
    <row r="221" spans="1:45" s="784" customFormat="1" x14ac:dyDescent="0.25">
      <c r="A221" s="455">
        <f t="shared" si="3"/>
        <v>17.466666666666665</v>
      </c>
      <c r="B221" s="778">
        <v>41785</v>
      </c>
      <c r="C221" s="779" t="s">
        <v>1113</v>
      </c>
      <c r="D221" s="779" t="s">
        <v>907</v>
      </c>
      <c r="E221" s="779" t="s">
        <v>380</v>
      </c>
      <c r="F221" s="779" t="s">
        <v>310</v>
      </c>
      <c r="G221" s="779" t="s">
        <v>344</v>
      </c>
      <c r="H221" s="436"/>
      <c r="I221" s="436"/>
      <c r="J221" s="436"/>
      <c r="K221" s="436"/>
      <c r="L221" s="437"/>
      <c r="M221" s="437"/>
      <c r="N221" s="437"/>
      <c r="O221" s="437"/>
      <c r="P221" s="439"/>
      <c r="Q221" s="439"/>
      <c r="R221" s="436"/>
      <c r="S221" s="436"/>
      <c r="T221" s="436"/>
      <c r="U221" s="436">
        <v>36</v>
      </c>
      <c r="V221" s="436"/>
      <c r="W221" s="448">
        <f>IF(NFI_Expiration=1,IF($A221&lt;VLOOKUP(H$5,NFI,5,0),1,0)*Table_NFI[[#This Row],[Hygiene Kit]],Table_NFI[Hygiene Kit])</f>
        <v>0</v>
      </c>
      <c r="X221" s="448">
        <f>IF(NFI_Expiration=1,IF($A221&lt;VLOOKUP(I$5,NFI,5,0),1,0)*Table_NFI[[#This Row],[NFI Core Kit]],Table_NFI[NFI Core Kit])</f>
        <v>0</v>
      </c>
      <c r="Y221" s="448">
        <f>IF(NFI_Expiration=1,IF($A221&lt;VLOOKUP(J$5,NFI,5,0),1,0)*Table_NFI[[#This Row],[Sanitary Kit]],Table_NFI[Sanitary Kit])</f>
        <v>0</v>
      </c>
      <c r="Z221" s="448">
        <f>IF(NFI_Expiration=1,IF($A221&lt;VLOOKUP(K$5,NFI,5,0),1,0)*Table_NFI[[#This Row],[Mosquito net]],Table_NFI[Mosquito net])</f>
        <v>0</v>
      </c>
      <c r="AA221" s="448">
        <f>IF(NFI_Expiration=1,IF($A221&lt;VLOOKUP(L$5,NFI,5,0),1,0)*Table_NFI[[#This Row],[Tarpaulin]],Table_NFI[[#This Row],[Tarpaulin]])</f>
        <v>0</v>
      </c>
      <c r="AB221" s="448">
        <f>IF(NFI_Expiration=1,IF($A221&lt;VLOOKUP(M$5,NFI,5,0),1,0)*Table_NFI[[#This Row],[Blanket]],Table_NFI[[#This Row],[Blanket]])</f>
        <v>0</v>
      </c>
      <c r="AC221" s="448">
        <f>IF(NFI_Expiration=1,IF($A221&lt;VLOOKUP(N$5,NFI,5,0),1,0)*Table_NFI[[#This Row],[Kitchen Set]],Table_NFI[Kitchen Set])</f>
        <v>0</v>
      </c>
      <c r="AD221" s="448">
        <f>IF(NFI_Expiration=1,IF($A221&lt;VLOOKUP(O$5,NFI,5,0),1,0)*Table_NFI[[#This Row],[Clothes Kit]],Table_NFI[Clothes Kit])</f>
        <v>0</v>
      </c>
      <c r="AE221" s="448">
        <f>IF(NFI_Expiration=1,IF($A221&lt;VLOOKUP(P$5,NFI,5,0),1,0)*Table_NFI[[#This Row],[Plastic Bucket]],Table_NFI[Plastic Bucket])</f>
        <v>0</v>
      </c>
      <c r="AF221" s="448">
        <f>IF(NFI_Expiration=1,IF($A221&lt;VLOOKUP(Q$5,NFI,5,0),1,0)*Table_NFI[[#This Row],[Plastic Mat]],Table_NFI[Plastic Mat])*IF(Table_NFI[[#This Row],[Distribution Date]]&gt;"2014-04-01",1,2.5)</f>
        <v>0</v>
      </c>
      <c r="AG221" s="448">
        <f>IF(NFI_Expiration=1,IF($A221&lt;VLOOKUP(R$5,NFI,5,0),1,0)*Table_NFI[[#This Row],[Winter Clothes Adult]],Table_NFI[Winter Clothes Adult])</f>
        <v>0</v>
      </c>
      <c r="AH221" s="448">
        <f>IF(NFI_Expiration=1,IF($A221&lt;VLOOKUP(S$5,NFI,5,0),1,0)*Table_NFI[[#This Row],[Winter Clothes Children]],Table_NFI[Winter Clothes Children])</f>
        <v>0</v>
      </c>
      <c r="AI221" s="448">
        <f>IF(NFI_Expiration=1,IF($A221&lt;VLOOKUP(T$5,NFI,5,0),1,0)*Table_NFI[[#This Row],[Winter Items Other]],Table_NFI[Winter Items Other])</f>
        <v>0</v>
      </c>
      <c r="AJ221" s="448">
        <f>IF(NFI_Expiration=1,IF($A221&lt;VLOOKUP(M$5,NFI,5,0),1,0)*Table_NFI[[#This Row],[Winter Blanket]],Table_NFI[[#This Row],[Winter Blanket]])</f>
        <v>0</v>
      </c>
      <c r="AK221" s="448">
        <f>IF(Table_NFI[[#This Row],[Winter Clothes Adult]]+Table_NFI[[#This Row],[Winter Clothes Children]]+Table_NFI[[#This Row],[Winter Items Other]]+Table_NFI[[#This Row],[Winter Blanket]]&gt;0,1,0)</f>
        <v>1</v>
      </c>
      <c r="AL221" s="439">
        <f>IF(NFI_Expiration=1,IF($A221&lt;VLOOKUP(V$5,NFI,5,0),1,0)*Table_NFI[[#This Row],[Jerry Can]],Table_NFI[Jerry Can])</f>
        <v>0</v>
      </c>
      <c r="AM221" s="797" t="str">
        <f>IFERROR(VLOOKUP(Table_NFI[[#This Row],[Camp Name]],CL,2,0),"")</f>
        <v>MMR001CMP033</v>
      </c>
      <c r="AN221" s="798">
        <f ca="1">IF(Table_NFI[[#This Row],[Pcode]]="","",IF(OFFSET(CampList[Opening Date],MATCH(Table_NFI[[#This Row],[Pcode]],CampList[CP_Pcode],0)-1,0,1,1)&gt;=NFI_Monitor_Date,1,0))</f>
        <v>0</v>
      </c>
      <c r="AO221" s="797" t="str">
        <f>IFERROR(VLOOKUP(Table_NFI[[#This Row],[Camp Name]],CL,3,0),"")</f>
        <v>Open</v>
      </c>
      <c r="AP221" s="448" t="str">
        <f ca="1">IF(Table_NFI[[#This Row],[Pcode]]="","",OFFSET(CampList[Priority],MATCH(Table_NFI[[#This Row],[Pcode]],CampList[CP_Pcode],0)-1,0,1,1))</f>
        <v>P4</v>
      </c>
      <c r="AQ221" s="449">
        <f>IFERROR(Table_NFI[[#This Row],[Kitchen Set]]/VLOOKUP(Table_NFI[[#This Row],[Camp Name]],CL,4,0),"")</f>
        <v>0</v>
      </c>
      <c r="AR221" s="799"/>
      <c r="AS221" s="783"/>
    </row>
    <row r="222" spans="1:45" s="784" customFormat="1" x14ac:dyDescent="0.25">
      <c r="A222" s="455">
        <f t="shared" si="3"/>
        <v>17.5</v>
      </c>
      <c r="B222" s="778">
        <v>41784</v>
      </c>
      <c r="C222" s="779" t="s">
        <v>1113</v>
      </c>
      <c r="D222" s="779" t="s">
        <v>907</v>
      </c>
      <c r="E222" s="779" t="s">
        <v>380</v>
      </c>
      <c r="F222" s="779" t="s">
        <v>310</v>
      </c>
      <c r="G222" s="779" t="s">
        <v>313</v>
      </c>
      <c r="H222" s="436"/>
      <c r="I222" s="436"/>
      <c r="J222" s="436"/>
      <c r="K222" s="436"/>
      <c r="L222" s="437"/>
      <c r="M222" s="437"/>
      <c r="N222" s="437"/>
      <c r="O222" s="437"/>
      <c r="P222" s="439"/>
      <c r="Q222" s="439"/>
      <c r="R222" s="436"/>
      <c r="S222" s="436"/>
      <c r="T222" s="436"/>
      <c r="U222" s="436">
        <v>224</v>
      </c>
      <c r="V222" s="436"/>
      <c r="W222" s="448">
        <f>IF(NFI_Expiration=1,IF($A222&lt;VLOOKUP(H$5,NFI,5,0),1,0)*Table_NFI[[#This Row],[Hygiene Kit]],Table_NFI[Hygiene Kit])</f>
        <v>0</v>
      </c>
      <c r="X222" s="448">
        <f>IF(NFI_Expiration=1,IF($A222&lt;VLOOKUP(I$5,NFI,5,0),1,0)*Table_NFI[[#This Row],[NFI Core Kit]],Table_NFI[NFI Core Kit])</f>
        <v>0</v>
      </c>
      <c r="Y222" s="448">
        <f>IF(NFI_Expiration=1,IF($A222&lt;VLOOKUP(J$5,NFI,5,0),1,0)*Table_NFI[[#This Row],[Sanitary Kit]],Table_NFI[Sanitary Kit])</f>
        <v>0</v>
      </c>
      <c r="Z222" s="448">
        <f>IF(NFI_Expiration=1,IF($A222&lt;VLOOKUP(K$5,NFI,5,0),1,0)*Table_NFI[[#This Row],[Mosquito net]],Table_NFI[Mosquito net])</f>
        <v>0</v>
      </c>
      <c r="AA222" s="448">
        <f>IF(NFI_Expiration=1,IF($A222&lt;VLOOKUP(L$5,NFI,5,0),1,0)*Table_NFI[[#This Row],[Tarpaulin]],Table_NFI[[#This Row],[Tarpaulin]])</f>
        <v>0</v>
      </c>
      <c r="AB222" s="448">
        <f>IF(NFI_Expiration=1,IF($A222&lt;VLOOKUP(M$5,NFI,5,0),1,0)*Table_NFI[[#This Row],[Blanket]],Table_NFI[[#This Row],[Blanket]])</f>
        <v>0</v>
      </c>
      <c r="AC222" s="448">
        <f>IF(NFI_Expiration=1,IF($A222&lt;VLOOKUP(N$5,NFI,5,0),1,0)*Table_NFI[[#This Row],[Kitchen Set]],Table_NFI[Kitchen Set])</f>
        <v>0</v>
      </c>
      <c r="AD222" s="448">
        <f>IF(NFI_Expiration=1,IF($A222&lt;VLOOKUP(O$5,NFI,5,0),1,0)*Table_NFI[[#This Row],[Clothes Kit]],Table_NFI[Clothes Kit])</f>
        <v>0</v>
      </c>
      <c r="AE222" s="448">
        <f>IF(NFI_Expiration=1,IF($A222&lt;VLOOKUP(P$5,NFI,5,0),1,0)*Table_NFI[[#This Row],[Plastic Bucket]],Table_NFI[Plastic Bucket])</f>
        <v>0</v>
      </c>
      <c r="AF222" s="448">
        <f>IF(NFI_Expiration=1,IF($A222&lt;VLOOKUP(Q$5,NFI,5,0),1,0)*Table_NFI[[#This Row],[Plastic Mat]],Table_NFI[Plastic Mat])*IF(Table_NFI[[#This Row],[Distribution Date]]&gt;"2014-04-01",1,2.5)</f>
        <v>0</v>
      </c>
      <c r="AG222" s="448">
        <f>IF(NFI_Expiration=1,IF($A222&lt;VLOOKUP(R$5,NFI,5,0),1,0)*Table_NFI[[#This Row],[Winter Clothes Adult]],Table_NFI[Winter Clothes Adult])</f>
        <v>0</v>
      </c>
      <c r="AH222" s="448">
        <f>IF(NFI_Expiration=1,IF($A222&lt;VLOOKUP(S$5,NFI,5,0),1,0)*Table_NFI[[#This Row],[Winter Clothes Children]],Table_NFI[Winter Clothes Children])</f>
        <v>0</v>
      </c>
      <c r="AI222" s="448">
        <f>IF(NFI_Expiration=1,IF($A222&lt;VLOOKUP(T$5,NFI,5,0),1,0)*Table_NFI[[#This Row],[Winter Items Other]],Table_NFI[Winter Items Other])</f>
        <v>0</v>
      </c>
      <c r="AJ222" s="448">
        <f>IF(NFI_Expiration=1,IF($A222&lt;VLOOKUP(M$5,NFI,5,0),1,0)*Table_NFI[[#This Row],[Winter Blanket]],Table_NFI[[#This Row],[Winter Blanket]])</f>
        <v>0</v>
      </c>
      <c r="AK222" s="448">
        <f>IF(Table_NFI[[#This Row],[Winter Clothes Adult]]+Table_NFI[[#This Row],[Winter Clothes Children]]+Table_NFI[[#This Row],[Winter Items Other]]+Table_NFI[[#This Row],[Winter Blanket]]&gt;0,1,0)</f>
        <v>1</v>
      </c>
      <c r="AL222" s="439">
        <f>IF(NFI_Expiration=1,IF($A222&lt;VLOOKUP(V$5,NFI,5,0),1,0)*Table_NFI[[#This Row],[Jerry Can]],Table_NFI[Jerry Can])</f>
        <v>0</v>
      </c>
      <c r="AM222" s="797" t="str">
        <f>IFERROR(VLOOKUP(Table_NFI[[#This Row],[Camp Name]],CL,2,0),"")</f>
        <v>MMR001CMP028</v>
      </c>
      <c r="AN222" s="798">
        <f ca="1">IF(Table_NFI[[#This Row],[Pcode]]="","",IF(OFFSET(CampList[Opening Date],MATCH(Table_NFI[[#This Row],[Pcode]],CampList[CP_Pcode],0)-1,0,1,1)&gt;=NFI_Monitor_Date,1,0))</f>
        <v>0</v>
      </c>
      <c r="AO222" s="797" t="str">
        <f>IFERROR(VLOOKUP(Table_NFI[[#This Row],[Camp Name]],CL,3,0),"")</f>
        <v>Open</v>
      </c>
      <c r="AP222" s="448" t="str">
        <f ca="1">IF(Table_NFI[[#This Row],[Pcode]]="","",OFFSET(CampList[Priority],MATCH(Table_NFI[[#This Row],[Pcode]],CampList[CP_Pcode],0)-1,0,1,1))</f>
        <v>P4</v>
      </c>
      <c r="AQ222" s="449">
        <f>IFERROR(Table_NFI[[#This Row],[Kitchen Set]]/VLOOKUP(Table_NFI[[#This Row],[Camp Name]],CL,4,0),"")</f>
        <v>0</v>
      </c>
      <c r="AR222" s="799"/>
      <c r="AS222" s="783"/>
    </row>
    <row r="223" spans="1:45" s="784" customFormat="1" x14ac:dyDescent="0.25">
      <c r="A223" s="455">
        <f t="shared" si="3"/>
        <v>17.5</v>
      </c>
      <c r="B223" s="778">
        <v>41784</v>
      </c>
      <c r="C223" s="779" t="s">
        <v>1113</v>
      </c>
      <c r="D223" s="779" t="s">
        <v>907</v>
      </c>
      <c r="E223" s="779" t="s">
        <v>380</v>
      </c>
      <c r="F223" s="779" t="s">
        <v>310</v>
      </c>
      <c r="G223" s="779" t="s">
        <v>351</v>
      </c>
      <c r="H223" s="436"/>
      <c r="I223" s="436"/>
      <c r="J223" s="436"/>
      <c r="K223" s="436"/>
      <c r="L223" s="437"/>
      <c r="M223" s="437"/>
      <c r="N223" s="437"/>
      <c r="O223" s="437"/>
      <c r="P223" s="439"/>
      <c r="Q223" s="439"/>
      <c r="R223" s="436"/>
      <c r="S223" s="436"/>
      <c r="T223" s="436"/>
      <c r="U223" s="436">
        <v>182</v>
      </c>
      <c r="V223" s="436"/>
      <c r="W223" s="448">
        <f>IF(NFI_Expiration=1,IF($A223&lt;VLOOKUP(H$5,NFI,5,0),1,0)*Table_NFI[[#This Row],[Hygiene Kit]],Table_NFI[Hygiene Kit])</f>
        <v>0</v>
      </c>
      <c r="X223" s="448">
        <f>IF(NFI_Expiration=1,IF($A223&lt;VLOOKUP(I$5,NFI,5,0),1,0)*Table_NFI[[#This Row],[NFI Core Kit]],Table_NFI[NFI Core Kit])</f>
        <v>0</v>
      </c>
      <c r="Y223" s="448">
        <f>IF(NFI_Expiration=1,IF($A223&lt;VLOOKUP(J$5,NFI,5,0),1,0)*Table_NFI[[#This Row],[Sanitary Kit]],Table_NFI[Sanitary Kit])</f>
        <v>0</v>
      </c>
      <c r="Z223" s="448">
        <f>IF(NFI_Expiration=1,IF($A223&lt;VLOOKUP(K$5,NFI,5,0),1,0)*Table_NFI[[#This Row],[Mosquito net]],Table_NFI[Mosquito net])</f>
        <v>0</v>
      </c>
      <c r="AA223" s="448">
        <f>IF(NFI_Expiration=1,IF($A223&lt;VLOOKUP(L$5,NFI,5,0),1,0)*Table_NFI[[#This Row],[Tarpaulin]],Table_NFI[[#This Row],[Tarpaulin]])</f>
        <v>0</v>
      </c>
      <c r="AB223" s="448">
        <f>IF(NFI_Expiration=1,IF($A223&lt;VLOOKUP(M$5,NFI,5,0),1,0)*Table_NFI[[#This Row],[Blanket]],Table_NFI[[#This Row],[Blanket]])</f>
        <v>0</v>
      </c>
      <c r="AC223" s="448">
        <f>IF(NFI_Expiration=1,IF($A223&lt;VLOOKUP(N$5,NFI,5,0),1,0)*Table_NFI[[#This Row],[Kitchen Set]],Table_NFI[Kitchen Set])</f>
        <v>0</v>
      </c>
      <c r="AD223" s="448">
        <f>IF(NFI_Expiration=1,IF($A223&lt;VLOOKUP(O$5,NFI,5,0),1,0)*Table_NFI[[#This Row],[Clothes Kit]],Table_NFI[Clothes Kit])</f>
        <v>0</v>
      </c>
      <c r="AE223" s="448">
        <f>IF(NFI_Expiration=1,IF($A223&lt;VLOOKUP(P$5,NFI,5,0),1,0)*Table_NFI[[#This Row],[Plastic Bucket]],Table_NFI[Plastic Bucket])</f>
        <v>0</v>
      </c>
      <c r="AF223" s="448">
        <f>IF(NFI_Expiration=1,IF($A223&lt;VLOOKUP(Q$5,NFI,5,0),1,0)*Table_NFI[[#This Row],[Plastic Mat]],Table_NFI[Plastic Mat])*IF(Table_NFI[[#This Row],[Distribution Date]]&gt;"2014-04-01",1,2.5)</f>
        <v>0</v>
      </c>
      <c r="AG223" s="448">
        <f>IF(NFI_Expiration=1,IF($A223&lt;VLOOKUP(R$5,NFI,5,0),1,0)*Table_NFI[[#This Row],[Winter Clothes Adult]],Table_NFI[Winter Clothes Adult])</f>
        <v>0</v>
      </c>
      <c r="AH223" s="448">
        <f>IF(NFI_Expiration=1,IF($A223&lt;VLOOKUP(S$5,NFI,5,0),1,0)*Table_NFI[[#This Row],[Winter Clothes Children]],Table_NFI[Winter Clothes Children])</f>
        <v>0</v>
      </c>
      <c r="AI223" s="448">
        <f>IF(NFI_Expiration=1,IF($A223&lt;VLOOKUP(T$5,NFI,5,0),1,0)*Table_NFI[[#This Row],[Winter Items Other]],Table_NFI[Winter Items Other])</f>
        <v>0</v>
      </c>
      <c r="AJ223" s="448">
        <f>IF(NFI_Expiration=1,IF($A223&lt;VLOOKUP(M$5,NFI,5,0),1,0)*Table_NFI[[#This Row],[Winter Blanket]],Table_NFI[[#This Row],[Winter Blanket]])</f>
        <v>0</v>
      </c>
      <c r="AK223" s="448">
        <f>IF(Table_NFI[[#This Row],[Winter Clothes Adult]]+Table_NFI[[#This Row],[Winter Clothes Children]]+Table_NFI[[#This Row],[Winter Items Other]]+Table_NFI[[#This Row],[Winter Blanket]]&gt;0,1,0)</f>
        <v>1</v>
      </c>
      <c r="AL223" s="439">
        <f>IF(NFI_Expiration=1,IF($A223&lt;VLOOKUP(V$5,NFI,5,0),1,0)*Table_NFI[[#This Row],[Jerry Can]],Table_NFI[Jerry Can])</f>
        <v>0</v>
      </c>
      <c r="AM223" s="797" t="str">
        <f>IFERROR(VLOOKUP(Table_NFI[[#This Row],[Camp Name]],CL,2,0),"")</f>
        <v>MMR001CMP026</v>
      </c>
      <c r="AN223" s="798">
        <f ca="1">IF(Table_NFI[[#This Row],[Pcode]]="","",IF(OFFSET(CampList[Opening Date],MATCH(Table_NFI[[#This Row],[Pcode]],CampList[CP_Pcode],0)-1,0,1,1)&gt;=NFI_Monitor_Date,1,0))</f>
        <v>0</v>
      </c>
      <c r="AO223" s="797" t="str">
        <f>IFERROR(VLOOKUP(Table_NFI[[#This Row],[Camp Name]],CL,3,0),"")</f>
        <v>Open</v>
      </c>
      <c r="AP223" s="448" t="str">
        <f ca="1">IF(Table_NFI[[#This Row],[Pcode]]="","",OFFSET(CampList[Priority],MATCH(Table_NFI[[#This Row],[Pcode]],CampList[CP_Pcode],0)-1,0,1,1))</f>
        <v>P4</v>
      </c>
      <c r="AQ223" s="449">
        <f>IFERROR(Table_NFI[[#This Row],[Kitchen Set]]/VLOOKUP(Table_NFI[[#This Row],[Camp Name]],CL,4,0),"")</f>
        <v>0</v>
      </c>
      <c r="AR223" s="799"/>
      <c r="AS223" s="783"/>
    </row>
    <row r="224" spans="1:45" s="784" customFormat="1" x14ac:dyDescent="0.25">
      <c r="A224" s="455">
        <f t="shared" si="3"/>
        <v>17.600000000000001</v>
      </c>
      <c r="B224" s="778">
        <v>41781</v>
      </c>
      <c r="C224" s="779" t="s">
        <v>1113</v>
      </c>
      <c r="D224" s="779" t="s">
        <v>907</v>
      </c>
      <c r="E224" s="779" t="s">
        <v>380</v>
      </c>
      <c r="F224" s="435" t="s">
        <v>310</v>
      </c>
      <c r="G224" s="779" t="s">
        <v>320</v>
      </c>
      <c r="H224" s="436"/>
      <c r="I224" s="436"/>
      <c r="J224" s="436"/>
      <c r="K224" s="436"/>
      <c r="L224" s="437"/>
      <c r="M224" s="437"/>
      <c r="N224" s="437"/>
      <c r="O224" s="437"/>
      <c r="P224" s="439"/>
      <c r="Q224" s="439"/>
      <c r="R224" s="436"/>
      <c r="S224" s="436"/>
      <c r="T224" s="436"/>
      <c r="U224" s="436">
        <v>46</v>
      </c>
      <c r="V224" s="436"/>
      <c r="W224" s="448">
        <f>IF(NFI_Expiration=1,IF($A224&lt;VLOOKUP(H$5,NFI,5,0),1,0)*Table_NFI[[#This Row],[Hygiene Kit]],Table_NFI[Hygiene Kit])</f>
        <v>0</v>
      </c>
      <c r="X224" s="448">
        <f>IF(NFI_Expiration=1,IF($A224&lt;VLOOKUP(I$5,NFI,5,0),1,0)*Table_NFI[[#This Row],[NFI Core Kit]],Table_NFI[NFI Core Kit])</f>
        <v>0</v>
      </c>
      <c r="Y224" s="448">
        <f>IF(NFI_Expiration=1,IF($A224&lt;VLOOKUP(J$5,NFI,5,0),1,0)*Table_NFI[[#This Row],[Sanitary Kit]],Table_NFI[Sanitary Kit])</f>
        <v>0</v>
      </c>
      <c r="Z224" s="448">
        <f>IF(NFI_Expiration=1,IF($A224&lt;VLOOKUP(K$5,NFI,5,0),1,0)*Table_NFI[[#This Row],[Mosquito net]],Table_NFI[Mosquito net])</f>
        <v>0</v>
      </c>
      <c r="AA224" s="448">
        <f>IF(NFI_Expiration=1,IF($A224&lt;VLOOKUP(L$5,NFI,5,0),1,0)*Table_NFI[[#This Row],[Tarpaulin]],Table_NFI[[#This Row],[Tarpaulin]])</f>
        <v>0</v>
      </c>
      <c r="AB224" s="448">
        <f>IF(NFI_Expiration=1,IF($A224&lt;VLOOKUP(M$5,NFI,5,0),1,0)*Table_NFI[[#This Row],[Blanket]],Table_NFI[[#This Row],[Blanket]])</f>
        <v>0</v>
      </c>
      <c r="AC224" s="448">
        <f>IF(NFI_Expiration=1,IF($A224&lt;VLOOKUP(N$5,NFI,5,0),1,0)*Table_NFI[[#This Row],[Kitchen Set]],Table_NFI[Kitchen Set])</f>
        <v>0</v>
      </c>
      <c r="AD224" s="448">
        <f>IF(NFI_Expiration=1,IF($A224&lt;VLOOKUP(O$5,NFI,5,0),1,0)*Table_NFI[[#This Row],[Clothes Kit]],Table_NFI[Clothes Kit])</f>
        <v>0</v>
      </c>
      <c r="AE224" s="448">
        <f>IF(NFI_Expiration=1,IF($A224&lt;VLOOKUP(P$5,NFI,5,0),1,0)*Table_NFI[[#This Row],[Plastic Bucket]],Table_NFI[Plastic Bucket])</f>
        <v>0</v>
      </c>
      <c r="AF224" s="448">
        <f>IF(NFI_Expiration=1,IF($A224&lt;VLOOKUP(Q$5,NFI,5,0),1,0)*Table_NFI[[#This Row],[Plastic Mat]],Table_NFI[Plastic Mat])*IF(Table_NFI[[#This Row],[Distribution Date]]&gt;"2014-04-01",1,2.5)</f>
        <v>0</v>
      </c>
      <c r="AG224" s="448">
        <f>IF(NFI_Expiration=1,IF($A224&lt;VLOOKUP(R$5,NFI,5,0),1,0)*Table_NFI[[#This Row],[Winter Clothes Adult]],Table_NFI[Winter Clothes Adult])</f>
        <v>0</v>
      </c>
      <c r="AH224" s="448">
        <f>IF(NFI_Expiration=1,IF($A224&lt;VLOOKUP(S$5,NFI,5,0),1,0)*Table_NFI[[#This Row],[Winter Clothes Children]],Table_NFI[Winter Clothes Children])</f>
        <v>0</v>
      </c>
      <c r="AI224" s="448">
        <f>IF(NFI_Expiration=1,IF($A224&lt;VLOOKUP(T$5,NFI,5,0),1,0)*Table_NFI[[#This Row],[Winter Items Other]],Table_NFI[Winter Items Other])</f>
        <v>0</v>
      </c>
      <c r="AJ224" s="448">
        <f>IF(NFI_Expiration=1,IF($A224&lt;VLOOKUP(M$5,NFI,5,0),1,0)*Table_NFI[[#This Row],[Winter Blanket]],Table_NFI[[#This Row],[Winter Blanket]])</f>
        <v>0</v>
      </c>
      <c r="AK224" s="448">
        <f>IF(Table_NFI[[#This Row],[Winter Clothes Adult]]+Table_NFI[[#This Row],[Winter Clothes Children]]+Table_NFI[[#This Row],[Winter Items Other]]+Table_NFI[[#This Row],[Winter Blanket]]&gt;0,1,0)</f>
        <v>1</v>
      </c>
      <c r="AL224" s="439">
        <f>IF(NFI_Expiration=1,IF($A224&lt;VLOOKUP(V$5,NFI,5,0),1,0)*Table_NFI[[#This Row],[Jerry Can]],Table_NFI[Jerry Can])</f>
        <v>0</v>
      </c>
      <c r="AM224" s="797" t="str">
        <f>IFERROR(VLOOKUP(Table_NFI[[#This Row],[Camp Name]],CL,2,0),"")</f>
        <v>MMR001CMP027</v>
      </c>
      <c r="AN224" s="798">
        <f ca="1">IF(Table_NFI[[#This Row],[Pcode]]="","",IF(OFFSET(CampList[Opening Date],MATCH(Table_NFI[[#This Row],[Pcode]],CampList[CP_Pcode],0)-1,0,1,1)&gt;=NFI_Monitor_Date,1,0))</f>
        <v>0</v>
      </c>
      <c r="AO224" s="797" t="str">
        <f>IFERROR(VLOOKUP(Table_NFI[[#This Row],[Camp Name]],CL,3,0),"")</f>
        <v>Open</v>
      </c>
      <c r="AP224" s="448" t="str">
        <f ca="1">IF(Table_NFI[[#This Row],[Pcode]]="","",OFFSET(CampList[Priority],MATCH(Table_NFI[[#This Row],[Pcode]],CampList[CP_Pcode],0)-1,0,1,1))</f>
        <v>P4</v>
      </c>
      <c r="AQ224" s="449">
        <f>IFERROR(Table_NFI[[#This Row],[Kitchen Set]]/VLOOKUP(Table_NFI[[#This Row],[Camp Name]],CL,4,0),"")</f>
        <v>0</v>
      </c>
      <c r="AR224" s="799"/>
      <c r="AS224" s="783"/>
    </row>
    <row r="225" spans="1:45" s="784" customFormat="1" x14ac:dyDescent="0.25">
      <c r="A225" s="455">
        <f t="shared" si="3"/>
        <v>17.600000000000001</v>
      </c>
      <c r="B225" s="778">
        <v>41781</v>
      </c>
      <c r="C225" s="779" t="s">
        <v>1113</v>
      </c>
      <c r="D225" s="779" t="s">
        <v>907</v>
      </c>
      <c r="E225" s="779" t="s">
        <v>380</v>
      </c>
      <c r="F225" s="779" t="s">
        <v>310</v>
      </c>
      <c r="G225" s="779" t="s">
        <v>318</v>
      </c>
      <c r="H225" s="436"/>
      <c r="I225" s="436"/>
      <c r="J225" s="436"/>
      <c r="K225" s="436"/>
      <c r="L225" s="437"/>
      <c r="M225" s="437"/>
      <c r="N225" s="437"/>
      <c r="O225" s="437"/>
      <c r="P225" s="439"/>
      <c r="Q225" s="439"/>
      <c r="R225" s="436"/>
      <c r="S225" s="436"/>
      <c r="T225" s="436"/>
      <c r="U225" s="436">
        <v>88</v>
      </c>
      <c r="V225" s="436"/>
      <c r="W225" s="448">
        <f>IF(NFI_Expiration=1,IF($A225&lt;VLOOKUP(H$5,NFI,5,0),1,0)*Table_NFI[[#This Row],[Hygiene Kit]],Table_NFI[Hygiene Kit])</f>
        <v>0</v>
      </c>
      <c r="X225" s="448">
        <f>IF(NFI_Expiration=1,IF($A225&lt;VLOOKUP(I$5,NFI,5,0),1,0)*Table_NFI[[#This Row],[NFI Core Kit]],Table_NFI[NFI Core Kit])</f>
        <v>0</v>
      </c>
      <c r="Y225" s="448">
        <f>IF(NFI_Expiration=1,IF($A225&lt;VLOOKUP(J$5,NFI,5,0),1,0)*Table_NFI[[#This Row],[Sanitary Kit]],Table_NFI[Sanitary Kit])</f>
        <v>0</v>
      </c>
      <c r="Z225" s="448">
        <f>IF(NFI_Expiration=1,IF($A225&lt;VLOOKUP(K$5,NFI,5,0),1,0)*Table_NFI[[#This Row],[Mosquito net]],Table_NFI[Mosquito net])</f>
        <v>0</v>
      </c>
      <c r="AA225" s="448">
        <f>IF(NFI_Expiration=1,IF($A225&lt;VLOOKUP(L$5,NFI,5,0),1,0)*Table_NFI[[#This Row],[Tarpaulin]],Table_NFI[[#This Row],[Tarpaulin]])</f>
        <v>0</v>
      </c>
      <c r="AB225" s="448">
        <f>IF(NFI_Expiration=1,IF($A225&lt;VLOOKUP(M$5,NFI,5,0),1,0)*Table_NFI[[#This Row],[Blanket]],Table_NFI[[#This Row],[Blanket]])</f>
        <v>0</v>
      </c>
      <c r="AC225" s="448">
        <f>IF(NFI_Expiration=1,IF($A225&lt;VLOOKUP(N$5,NFI,5,0),1,0)*Table_NFI[[#This Row],[Kitchen Set]],Table_NFI[Kitchen Set])</f>
        <v>0</v>
      </c>
      <c r="AD225" s="448">
        <f>IF(NFI_Expiration=1,IF($A225&lt;VLOOKUP(O$5,NFI,5,0),1,0)*Table_NFI[[#This Row],[Clothes Kit]],Table_NFI[Clothes Kit])</f>
        <v>0</v>
      </c>
      <c r="AE225" s="448">
        <f>IF(NFI_Expiration=1,IF($A225&lt;VLOOKUP(P$5,NFI,5,0),1,0)*Table_NFI[[#This Row],[Plastic Bucket]],Table_NFI[Plastic Bucket])</f>
        <v>0</v>
      </c>
      <c r="AF225" s="448">
        <f>IF(NFI_Expiration=1,IF($A225&lt;VLOOKUP(Q$5,NFI,5,0),1,0)*Table_NFI[[#This Row],[Plastic Mat]],Table_NFI[Plastic Mat])*IF(Table_NFI[[#This Row],[Distribution Date]]&gt;"2014-04-01",1,2.5)</f>
        <v>0</v>
      </c>
      <c r="AG225" s="448">
        <f>IF(NFI_Expiration=1,IF($A225&lt;VLOOKUP(R$5,NFI,5,0),1,0)*Table_NFI[[#This Row],[Winter Clothes Adult]],Table_NFI[Winter Clothes Adult])</f>
        <v>0</v>
      </c>
      <c r="AH225" s="448">
        <f>IF(NFI_Expiration=1,IF($A225&lt;VLOOKUP(S$5,NFI,5,0),1,0)*Table_NFI[[#This Row],[Winter Clothes Children]],Table_NFI[Winter Clothes Children])</f>
        <v>0</v>
      </c>
      <c r="AI225" s="448">
        <f>IF(NFI_Expiration=1,IF($A225&lt;VLOOKUP(T$5,NFI,5,0),1,0)*Table_NFI[[#This Row],[Winter Items Other]],Table_NFI[Winter Items Other])</f>
        <v>0</v>
      </c>
      <c r="AJ225" s="448">
        <f>IF(NFI_Expiration=1,IF($A225&lt;VLOOKUP(M$5,NFI,5,0),1,0)*Table_NFI[[#This Row],[Winter Blanket]],Table_NFI[[#This Row],[Winter Blanket]])</f>
        <v>0</v>
      </c>
      <c r="AK225" s="448">
        <f>IF(Table_NFI[[#This Row],[Winter Clothes Adult]]+Table_NFI[[#This Row],[Winter Clothes Children]]+Table_NFI[[#This Row],[Winter Items Other]]+Table_NFI[[#This Row],[Winter Blanket]]&gt;0,1,0)</f>
        <v>1</v>
      </c>
      <c r="AL225" s="439">
        <f>IF(NFI_Expiration=1,IF($A225&lt;VLOOKUP(V$5,NFI,5,0),1,0)*Table_NFI[[#This Row],[Jerry Can]],Table_NFI[Jerry Can])</f>
        <v>0</v>
      </c>
      <c r="AM225" s="797" t="str">
        <f>IFERROR(VLOOKUP(Table_NFI[[#This Row],[Camp Name]],CL,2,0),"")</f>
        <v>MMR001CMP032</v>
      </c>
      <c r="AN225" s="798">
        <f ca="1">IF(Table_NFI[[#This Row],[Pcode]]="","",IF(OFFSET(CampList[Opening Date],MATCH(Table_NFI[[#This Row],[Pcode]],CampList[CP_Pcode],0)-1,0,1,1)&gt;=NFI_Monitor_Date,1,0))</f>
        <v>0</v>
      </c>
      <c r="AO225" s="797" t="str">
        <f>IFERROR(VLOOKUP(Table_NFI[[#This Row],[Camp Name]],CL,3,0),"")</f>
        <v>Open</v>
      </c>
      <c r="AP225" s="448" t="str">
        <f ca="1">IF(Table_NFI[[#This Row],[Pcode]]="","",OFFSET(CampList[Priority],MATCH(Table_NFI[[#This Row],[Pcode]],CampList[CP_Pcode],0)-1,0,1,1))</f>
        <v>P4</v>
      </c>
      <c r="AQ225" s="449">
        <f>IFERROR(Table_NFI[[#This Row],[Kitchen Set]]/VLOOKUP(Table_NFI[[#This Row],[Camp Name]],CL,4,0),"")</f>
        <v>0</v>
      </c>
      <c r="AR225" s="799"/>
      <c r="AS225" s="783"/>
    </row>
    <row r="226" spans="1:45" s="784" customFormat="1" x14ac:dyDescent="0.25">
      <c r="A226" s="455">
        <f t="shared" si="3"/>
        <v>17.600000000000001</v>
      </c>
      <c r="B226" s="778">
        <v>41781</v>
      </c>
      <c r="C226" s="779" t="s">
        <v>1113</v>
      </c>
      <c r="D226" s="779" t="s">
        <v>907</v>
      </c>
      <c r="E226" s="779" t="s">
        <v>380</v>
      </c>
      <c r="F226" s="435" t="s">
        <v>310</v>
      </c>
      <c r="G226" s="779" t="s">
        <v>342</v>
      </c>
      <c r="H226" s="436"/>
      <c r="I226" s="436"/>
      <c r="J226" s="436"/>
      <c r="K226" s="436"/>
      <c r="L226" s="437"/>
      <c r="M226" s="437"/>
      <c r="N226" s="437"/>
      <c r="O226" s="437"/>
      <c r="P226" s="439"/>
      <c r="Q226" s="439"/>
      <c r="R226" s="436"/>
      <c r="S226" s="436"/>
      <c r="T226" s="436"/>
      <c r="U226" s="436">
        <v>140</v>
      </c>
      <c r="V226" s="436"/>
      <c r="W226" s="448">
        <f>IF(NFI_Expiration=1,IF($A226&lt;VLOOKUP(H$5,NFI,5,0),1,0)*Table_NFI[[#This Row],[Hygiene Kit]],Table_NFI[Hygiene Kit])</f>
        <v>0</v>
      </c>
      <c r="X226" s="448">
        <f>IF(NFI_Expiration=1,IF($A226&lt;VLOOKUP(I$5,NFI,5,0),1,0)*Table_NFI[[#This Row],[NFI Core Kit]],Table_NFI[NFI Core Kit])</f>
        <v>0</v>
      </c>
      <c r="Y226" s="448">
        <f>IF(NFI_Expiration=1,IF($A226&lt;VLOOKUP(J$5,NFI,5,0),1,0)*Table_NFI[[#This Row],[Sanitary Kit]],Table_NFI[Sanitary Kit])</f>
        <v>0</v>
      </c>
      <c r="Z226" s="448">
        <f>IF(NFI_Expiration=1,IF($A226&lt;VLOOKUP(K$5,NFI,5,0),1,0)*Table_NFI[[#This Row],[Mosquito net]],Table_NFI[Mosquito net])</f>
        <v>0</v>
      </c>
      <c r="AA226" s="448">
        <f>IF(NFI_Expiration=1,IF($A226&lt;VLOOKUP(L$5,NFI,5,0),1,0)*Table_NFI[[#This Row],[Tarpaulin]],Table_NFI[[#This Row],[Tarpaulin]])</f>
        <v>0</v>
      </c>
      <c r="AB226" s="448">
        <f>IF(NFI_Expiration=1,IF($A226&lt;VLOOKUP(M$5,NFI,5,0),1,0)*Table_NFI[[#This Row],[Blanket]],Table_NFI[[#This Row],[Blanket]])</f>
        <v>0</v>
      </c>
      <c r="AC226" s="448">
        <f>IF(NFI_Expiration=1,IF($A226&lt;VLOOKUP(N$5,NFI,5,0),1,0)*Table_NFI[[#This Row],[Kitchen Set]],Table_NFI[Kitchen Set])</f>
        <v>0</v>
      </c>
      <c r="AD226" s="448">
        <f>IF(NFI_Expiration=1,IF($A226&lt;VLOOKUP(O$5,NFI,5,0),1,0)*Table_NFI[[#This Row],[Clothes Kit]],Table_NFI[Clothes Kit])</f>
        <v>0</v>
      </c>
      <c r="AE226" s="448">
        <f>IF(NFI_Expiration=1,IF($A226&lt;VLOOKUP(P$5,NFI,5,0),1,0)*Table_NFI[[#This Row],[Plastic Bucket]],Table_NFI[Plastic Bucket])</f>
        <v>0</v>
      </c>
      <c r="AF226" s="448">
        <f>IF(NFI_Expiration=1,IF($A226&lt;VLOOKUP(Q$5,NFI,5,0),1,0)*Table_NFI[[#This Row],[Plastic Mat]],Table_NFI[Plastic Mat])*IF(Table_NFI[[#This Row],[Distribution Date]]&gt;"2014-04-01",1,2.5)</f>
        <v>0</v>
      </c>
      <c r="AG226" s="448">
        <f>IF(NFI_Expiration=1,IF($A226&lt;VLOOKUP(R$5,NFI,5,0),1,0)*Table_NFI[[#This Row],[Winter Clothes Adult]],Table_NFI[Winter Clothes Adult])</f>
        <v>0</v>
      </c>
      <c r="AH226" s="448">
        <f>IF(NFI_Expiration=1,IF($A226&lt;VLOOKUP(S$5,NFI,5,0),1,0)*Table_NFI[[#This Row],[Winter Clothes Children]],Table_NFI[Winter Clothes Children])</f>
        <v>0</v>
      </c>
      <c r="AI226" s="448">
        <f>IF(NFI_Expiration=1,IF($A226&lt;VLOOKUP(T$5,NFI,5,0),1,0)*Table_NFI[[#This Row],[Winter Items Other]],Table_NFI[Winter Items Other])</f>
        <v>0</v>
      </c>
      <c r="AJ226" s="448">
        <f>IF(NFI_Expiration=1,IF($A226&lt;VLOOKUP(M$5,NFI,5,0),1,0)*Table_NFI[[#This Row],[Winter Blanket]],Table_NFI[[#This Row],[Winter Blanket]])</f>
        <v>0</v>
      </c>
      <c r="AK226" s="448">
        <f>IF(Table_NFI[[#This Row],[Winter Clothes Adult]]+Table_NFI[[#This Row],[Winter Clothes Children]]+Table_NFI[[#This Row],[Winter Items Other]]+Table_NFI[[#This Row],[Winter Blanket]]&gt;0,1,0)</f>
        <v>1</v>
      </c>
      <c r="AL226" s="439">
        <f>IF(NFI_Expiration=1,IF($A226&lt;VLOOKUP(V$5,NFI,5,0),1,0)*Table_NFI[[#This Row],[Jerry Can]],Table_NFI[Jerry Can])</f>
        <v>0</v>
      </c>
      <c r="AM226" s="797" t="str">
        <f>IFERROR(VLOOKUP(Table_NFI[[#This Row],[Camp Name]],CL,2,0),"")</f>
        <v>MMR001CMP025</v>
      </c>
      <c r="AN226" s="798">
        <f ca="1">IF(Table_NFI[[#This Row],[Pcode]]="","",IF(OFFSET(CampList[Opening Date],MATCH(Table_NFI[[#This Row],[Pcode]],CampList[CP_Pcode],0)-1,0,1,1)&gt;=NFI_Monitor_Date,1,0))</f>
        <v>0</v>
      </c>
      <c r="AO226" s="797" t="str">
        <f>IFERROR(VLOOKUP(Table_NFI[[#This Row],[Camp Name]],CL,3,0),"")</f>
        <v>Open</v>
      </c>
      <c r="AP226" s="448" t="str">
        <f ca="1">IF(Table_NFI[[#This Row],[Pcode]]="","",OFFSET(CampList[Priority],MATCH(Table_NFI[[#This Row],[Pcode]],CampList[CP_Pcode],0)-1,0,1,1))</f>
        <v>P4</v>
      </c>
      <c r="AQ226" s="449">
        <f>IFERROR(Table_NFI[[#This Row],[Kitchen Set]]/VLOOKUP(Table_NFI[[#This Row],[Camp Name]],CL,4,0),"")</f>
        <v>0</v>
      </c>
      <c r="AR226" s="799"/>
      <c r="AS226" s="783"/>
    </row>
    <row r="227" spans="1:45" s="784" customFormat="1" x14ac:dyDescent="0.25">
      <c r="A227" s="455">
        <f t="shared" si="3"/>
        <v>17.633333333333333</v>
      </c>
      <c r="B227" s="778">
        <v>41780</v>
      </c>
      <c r="C227" s="779" t="s">
        <v>1113</v>
      </c>
      <c r="D227" s="779" t="s">
        <v>907</v>
      </c>
      <c r="E227" s="779" t="s">
        <v>380</v>
      </c>
      <c r="F227" s="779" t="s">
        <v>237</v>
      </c>
      <c r="G227" s="779" t="s">
        <v>267</v>
      </c>
      <c r="H227" s="436"/>
      <c r="I227" s="436"/>
      <c r="J227" s="436"/>
      <c r="K227" s="436"/>
      <c r="L227" s="437"/>
      <c r="M227" s="437"/>
      <c r="N227" s="437"/>
      <c r="O227" s="437"/>
      <c r="P227" s="439"/>
      <c r="Q227" s="439"/>
      <c r="R227" s="436"/>
      <c r="S227" s="436"/>
      <c r="T227" s="436"/>
      <c r="U227" s="436">
        <v>24</v>
      </c>
      <c r="V227" s="436"/>
      <c r="W227" s="448">
        <f>IF(NFI_Expiration=1,IF($A227&lt;VLOOKUP(H$5,NFI,5,0),1,0)*Table_NFI[[#This Row],[Hygiene Kit]],Table_NFI[Hygiene Kit])</f>
        <v>0</v>
      </c>
      <c r="X227" s="448">
        <f>IF(NFI_Expiration=1,IF($A227&lt;VLOOKUP(I$5,NFI,5,0),1,0)*Table_NFI[[#This Row],[NFI Core Kit]],Table_NFI[NFI Core Kit])</f>
        <v>0</v>
      </c>
      <c r="Y227" s="448">
        <f>IF(NFI_Expiration=1,IF($A227&lt;VLOOKUP(J$5,NFI,5,0),1,0)*Table_NFI[[#This Row],[Sanitary Kit]],Table_NFI[Sanitary Kit])</f>
        <v>0</v>
      </c>
      <c r="Z227" s="448">
        <f>IF(NFI_Expiration=1,IF($A227&lt;VLOOKUP(K$5,NFI,5,0),1,0)*Table_NFI[[#This Row],[Mosquito net]],Table_NFI[Mosquito net])</f>
        <v>0</v>
      </c>
      <c r="AA227" s="448">
        <f>IF(NFI_Expiration=1,IF($A227&lt;VLOOKUP(L$5,NFI,5,0),1,0)*Table_NFI[[#This Row],[Tarpaulin]],Table_NFI[[#This Row],[Tarpaulin]])</f>
        <v>0</v>
      </c>
      <c r="AB227" s="448">
        <f>IF(NFI_Expiration=1,IF($A227&lt;VLOOKUP(M$5,NFI,5,0),1,0)*Table_NFI[[#This Row],[Blanket]],Table_NFI[[#This Row],[Blanket]])</f>
        <v>0</v>
      </c>
      <c r="AC227" s="448">
        <f>IF(NFI_Expiration=1,IF($A227&lt;VLOOKUP(N$5,NFI,5,0),1,0)*Table_NFI[[#This Row],[Kitchen Set]],Table_NFI[Kitchen Set])</f>
        <v>0</v>
      </c>
      <c r="AD227" s="448">
        <f>IF(NFI_Expiration=1,IF($A227&lt;VLOOKUP(O$5,NFI,5,0),1,0)*Table_NFI[[#This Row],[Clothes Kit]],Table_NFI[Clothes Kit])</f>
        <v>0</v>
      </c>
      <c r="AE227" s="448">
        <f>IF(NFI_Expiration=1,IF($A227&lt;VLOOKUP(P$5,NFI,5,0),1,0)*Table_NFI[[#This Row],[Plastic Bucket]],Table_NFI[Plastic Bucket])</f>
        <v>0</v>
      </c>
      <c r="AF227" s="448">
        <f>IF(NFI_Expiration=1,IF($A227&lt;VLOOKUP(Q$5,NFI,5,0),1,0)*Table_NFI[[#This Row],[Plastic Mat]],Table_NFI[Plastic Mat])*IF(Table_NFI[[#This Row],[Distribution Date]]&gt;"2014-04-01",1,2.5)</f>
        <v>0</v>
      </c>
      <c r="AG227" s="448">
        <f>IF(NFI_Expiration=1,IF($A227&lt;VLOOKUP(R$5,NFI,5,0),1,0)*Table_NFI[[#This Row],[Winter Clothes Adult]],Table_NFI[Winter Clothes Adult])</f>
        <v>0</v>
      </c>
      <c r="AH227" s="448">
        <f>IF(NFI_Expiration=1,IF($A227&lt;VLOOKUP(S$5,NFI,5,0),1,0)*Table_NFI[[#This Row],[Winter Clothes Children]],Table_NFI[Winter Clothes Children])</f>
        <v>0</v>
      </c>
      <c r="AI227" s="448">
        <f>IF(NFI_Expiration=1,IF($A227&lt;VLOOKUP(T$5,NFI,5,0),1,0)*Table_NFI[[#This Row],[Winter Items Other]],Table_NFI[Winter Items Other])</f>
        <v>0</v>
      </c>
      <c r="AJ227" s="448">
        <f>IF(NFI_Expiration=1,IF($A227&lt;VLOOKUP(M$5,NFI,5,0),1,0)*Table_NFI[[#This Row],[Winter Blanket]],Table_NFI[[#This Row],[Winter Blanket]])</f>
        <v>0</v>
      </c>
      <c r="AK227" s="448">
        <f>IF(Table_NFI[[#This Row],[Winter Clothes Adult]]+Table_NFI[[#This Row],[Winter Clothes Children]]+Table_NFI[[#This Row],[Winter Items Other]]+Table_NFI[[#This Row],[Winter Blanket]]&gt;0,1,0)</f>
        <v>1</v>
      </c>
      <c r="AL227" s="439">
        <f>IF(NFI_Expiration=1,IF($A227&lt;VLOOKUP(V$5,NFI,5,0),1,0)*Table_NFI[[#This Row],[Jerry Can]],Table_NFI[Jerry Can])</f>
        <v>0</v>
      </c>
      <c r="AM227" s="797" t="str">
        <f>IFERROR(VLOOKUP(Table_NFI[[#This Row],[Camp Name]],CL,2,0),"")</f>
        <v>MMR001CMP017</v>
      </c>
      <c r="AN227" s="798">
        <f ca="1">IF(Table_NFI[[#This Row],[Pcode]]="","",IF(OFFSET(CampList[Opening Date],MATCH(Table_NFI[[#This Row],[Pcode]],CampList[CP_Pcode],0)-1,0,1,1)&gt;=NFI_Monitor_Date,1,0))</f>
        <v>0</v>
      </c>
      <c r="AO227" s="797" t="str">
        <f>IFERROR(VLOOKUP(Table_NFI[[#This Row],[Camp Name]],CL,3,0),"")</f>
        <v>Closed</v>
      </c>
      <c r="AP227" s="448" t="str">
        <f ca="1">IF(Table_NFI[[#This Row],[Pcode]]="","",OFFSET(CampList[Priority],MATCH(Table_NFI[[#This Row],[Pcode]],CampList[CP_Pcode],0)-1,0,1,1))</f>
        <v>P4</v>
      </c>
      <c r="AQ227" s="449" t="str">
        <f>IFERROR(Table_NFI[[#This Row],[Kitchen Set]]/VLOOKUP(Table_NFI[[#This Row],[Camp Name]],CL,4,0),"")</f>
        <v/>
      </c>
      <c r="AR227" s="799"/>
      <c r="AS227" s="783"/>
    </row>
    <row r="228" spans="1:45" s="784" customFormat="1" x14ac:dyDescent="0.25">
      <c r="A228" s="455">
        <f t="shared" si="3"/>
        <v>17.633333333333333</v>
      </c>
      <c r="B228" s="778">
        <v>41780</v>
      </c>
      <c r="C228" s="779" t="s">
        <v>1113</v>
      </c>
      <c r="D228" s="779" t="s">
        <v>907</v>
      </c>
      <c r="E228" s="779" t="s">
        <v>380</v>
      </c>
      <c r="F228" s="779" t="s">
        <v>237</v>
      </c>
      <c r="G228" s="779" t="s">
        <v>279</v>
      </c>
      <c r="H228" s="436"/>
      <c r="I228" s="436"/>
      <c r="J228" s="436"/>
      <c r="K228" s="436"/>
      <c r="L228" s="437"/>
      <c r="M228" s="437"/>
      <c r="N228" s="437"/>
      <c r="O228" s="437"/>
      <c r="P228" s="439"/>
      <c r="Q228" s="439"/>
      <c r="R228" s="436"/>
      <c r="S228" s="436"/>
      <c r="T228" s="436"/>
      <c r="U228" s="436">
        <v>30</v>
      </c>
      <c r="V228" s="436"/>
      <c r="W228" s="448">
        <f>IF(NFI_Expiration=1,IF($A228&lt;VLOOKUP(H$5,NFI,5,0),1,0)*Table_NFI[[#This Row],[Hygiene Kit]],Table_NFI[Hygiene Kit])</f>
        <v>0</v>
      </c>
      <c r="X228" s="448">
        <f>IF(NFI_Expiration=1,IF($A228&lt;VLOOKUP(I$5,NFI,5,0),1,0)*Table_NFI[[#This Row],[NFI Core Kit]],Table_NFI[NFI Core Kit])</f>
        <v>0</v>
      </c>
      <c r="Y228" s="448">
        <f>IF(NFI_Expiration=1,IF($A228&lt;VLOOKUP(J$5,NFI,5,0),1,0)*Table_NFI[[#This Row],[Sanitary Kit]],Table_NFI[Sanitary Kit])</f>
        <v>0</v>
      </c>
      <c r="Z228" s="448">
        <f>IF(NFI_Expiration=1,IF($A228&lt;VLOOKUP(K$5,NFI,5,0),1,0)*Table_NFI[[#This Row],[Mosquito net]],Table_NFI[Mosquito net])</f>
        <v>0</v>
      </c>
      <c r="AA228" s="448">
        <f>IF(NFI_Expiration=1,IF($A228&lt;VLOOKUP(L$5,NFI,5,0),1,0)*Table_NFI[[#This Row],[Tarpaulin]],Table_NFI[[#This Row],[Tarpaulin]])</f>
        <v>0</v>
      </c>
      <c r="AB228" s="448">
        <f>IF(NFI_Expiration=1,IF($A228&lt;VLOOKUP(M$5,NFI,5,0),1,0)*Table_NFI[[#This Row],[Blanket]],Table_NFI[[#This Row],[Blanket]])</f>
        <v>0</v>
      </c>
      <c r="AC228" s="448">
        <f>IF(NFI_Expiration=1,IF($A228&lt;VLOOKUP(N$5,NFI,5,0),1,0)*Table_NFI[[#This Row],[Kitchen Set]],Table_NFI[Kitchen Set])</f>
        <v>0</v>
      </c>
      <c r="AD228" s="448">
        <f>IF(NFI_Expiration=1,IF($A228&lt;VLOOKUP(O$5,NFI,5,0),1,0)*Table_NFI[[#This Row],[Clothes Kit]],Table_NFI[Clothes Kit])</f>
        <v>0</v>
      </c>
      <c r="AE228" s="448">
        <f>IF(NFI_Expiration=1,IF($A228&lt;VLOOKUP(P$5,NFI,5,0),1,0)*Table_NFI[[#This Row],[Plastic Bucket]],Table_NFI[Plastic Bucket])</f>
        <v>0</v>
      </c>
      <c r="AF228" s="448">
        <f>IF(NFI_Expiration=1,IF($A228&lt;VLOOKUP(Q$5,NFI,5,0),1,0)*Table_NFI[[#This Row],[Plastic Mat]],Table_NFI[Plastic Mat])*IF(Table_NFI[[#This Row],[Distribution Date]]&gt;"2014-04-01",1,2.5)</f>
        <v>0</v>
      </c>
      <c r="AG228" s="448">
        <f>IF(NFI_Expiration=1,IF($A228&lt;VLOOKUP(R$5,NFI,5,0),1,0)*Table_NFI[[#This Row],[Winter Clothes Adult]],Table_NFI[Winter Clothes Adult])</f>
        <v>0</v>
      </c>
      <c r="AH228" s="448">
        <f>IF(NFI_Expiration=1,IF($A228&lt;VLOOKUP(S$5,NFI,5,0),1,0)*Table_NFI[[#This Row],[Winter Clothes Children]],Table_NFI[Winter Clothes Children])</f>
        <v>0</v>
      </c>
      <c r="AI228" s="448">
        <f>IF(NFI_Expiration=1,IF($A228&lt;VLOOKUP(T$5,NFI,5,0),1,0)*Table_NFI[[#This Row],[Winter Items Other]],Table_NFI[Winter Items Other])</f>
        <v>0</v>
      </c>
      <c r="AJ228" s="448">
        <f>IF(NFI_Expiration=1,IF($A228&lt;VLOOKUP(M$5,NFI,5,0),1,0)*Table_NFI[[#This Row],[Winter Blanket]],Table_NFI[[#This Row],[Winter Blanket]])</f>
        <v>0</v>
      </c>
      <c r="AK228" s="448">
        <f>IF(Table_NFI[[#This Row],[Winter Clothes Adult]]+Table_NFI[[#This Row],[Winter Clothes Children]]+Table_NFI[[#This Row],[Winter Items Other]]+Table_NFI[[#This Row],[Winter Blanket]]&gt;0,1,0)</f>
        <v>1</v>
      </c>
      <c r="AL228" s="439">
        <f>IF(NFI_Expiration=1,IF($A228&lt;VLOOKUP(V$5,NFI,5,0),1,0)*Table_NFI[[#This Row],[Jerry Can]],Table_NFI[Jerry Can])</f>
        <v>0</v>
      </c>
      <c r="AM228" s="797" t="str">
        <f>IFERROR(VLOOKUP(Table_NFI[[#This Row],[Camp Name]],CL,2,0),"")</f>
        <v>MMR001CMP007</v>
      </c>
      <c r="AN228" s="798">
        <f ca="1">IF(Table_NFI[[#This Row],[Pcode]]="","",IF(OFFSET(CampList[Opening Date],MATCH(Table_NFI[[#This Row],[Pcode]],CampList[CP_Pcode],0)-1,0,1,1)&gt;=NFI_Monitor_Date,1,0))</f>
        <v>0</v>
      </c>
      <c r="AO228" s="797" t="str">
        <f>IFERROR(VLOOKUP(Table_NFI[[#This Row],[Camp Name]],CL,3,0),"")</f>
        <v>Open</v>
      </c>
      <c r="AP228" s="448" t="str">
        <f ca="1">IF(Table_NFI[[#This Row],[Pcode]]="","",OFFSET(CampList[Priority],MATCH(Table_NFI[[#This Row],[Pcode]],CampList[CP_Pcode],0)-1,0,1,1))</f>
        <v>P4</v>
      </c>
      <c r="AQ228" s="449">
        <f>IFERROR(Table_NFI[[#This Row],[Kitchen Set]]/VLOOKUP(Table_NFI[[#This Row],[Camp Name]],CL,4,0),"")</f>
        <v>0</v>
      </c>
      <c r="AR228" s="799"/>
      <c r="AS228" s="783"/>
    </row>
    <row r="229" spans="1:45" s="784" customFormat="1" x14ac:dyDescent="0.25">
      <c r="A229" s="455">
        <f t="shared" si="3"/>
        <v>17.633333333333333</v>
      </c>
      <c r="B229" s="778">
        <v>41780</v>
      </c>
      <c r="C229" s="779" t="s">
        <v>1113</v>
      </c>
      <c r="D229" s="779" t="s">
        <v>907</v>
      </c>
      <c r="E229" s="779" t="s">
        <v>380</v>
      </c>
      <c r="F229" s="779" t="s">
        <v>310</v>
      </c>
      <c r="G229" s="779" t="s">
        <v>349</v>
      </c>
      <c r="H229" s="436"/>
      <c r="I229" s="436"/>
      <c r="J229" s="436"/>
      <c r="K229" s="436"/>
      <c r="L229" s="437"/>
      <c r="M229" s="437"/>
      <c r="N229" s="437"/>
      <c r="O229" s="437"/>
      <c r="P229" s="439"/>
      <c r="Q229" s="439"/>
      <c r="R229" s="436"/>
      <c r="S229" s="436"/>
      <c r="T229" s="436"/>
      <c r="U229" s="436">
        <v>136</v>
      </c>
      <c r="V229" s="436"/>
      <c r="W229" s="448">
        <f>IF(NFI_Expiration=1,IF($A229&lt;VLOOKUP(H$5,NFI,5,0),1,0)*Table_NFI[[#This Row],[Hygiene Kit]],Table_NFI[Hygiene Kit])</f>
        <v>0</v>
      </c>
      <c r="X229" s="448">
        <f>IF(NFI_Expiration=1,IF($A229&lt;VLOOKUP(I$5,NFI,5,0),1,0)*Table_NFI[[#This Row],[NFI Core Kit]],Table_NFI[NFI Core Kit])</f>
        <v>0</v>
      </c>
      <c r="Y229" s="448">
        <f>IF(NFI_Expiration=1,IF($A229&lt;VLOOKUP(J$5,NFI,5,0),1,0)*Table_NFI[[#This Row],[Sanitary Kit]],Table_NFI[Sanitary Kit])</f>
        <v>0</v>
      </c>
      <c r="Z229" s="448">
        <f>IF(NFI_Expiration=1,IF($A229&lt;VLOOKUP(K$5,NFI,5,0),1,0)*Table_NFI[[#This Row],[Mosquito net]],Table_NFI[Mosquito net])</f>
        <v>0</v>
      </c>
      <c r="AA229" s="448">
        <f>IF(NFI_Expiration=1,IF($A229&lt;VLOOKUP(L$5,NFI,5,0),1,0)*Table_NFI[[#This Row],[Tarpaulin]],Table_NFI[[#This Row],[Tarpaulin]])</f>
        <v>0</v>
      </c>
      <c r="AB229" s="448">
        <f>IF(NFI_Expiration=1,IF($A229&lt;VLOOKUP(M$5,NFI,5,0),1,0)*Table_NFI[[#This Row],[Blanket]],Table_NFI[[#This Row],[Blanket]])</f>
        <v>0</v>
      </c>
      <c r="AC229" s="448">
        <f>IF(NFI_Expiration=1,IF($A229&lt;VLOOKUP(N$5,NFI,5,0),1,0)*Table_NFI[[#This Row],[Kitchen Set]],Table_NFI[Kitchen Set])</f>
        <v>0</v>
      </c>
      <c r="AD229" s="448">
        <f>IF(NFI_Expiration=1,IF($A229&lt;VLOOKUP(O$5,NFI,5,0),1,0)*Table_NFI[[#This Row],[Clothes Kit]],Table_NFI[Clothes Kit])</f>
        <v>0</v>
      </c>
      <c r="AE229" s="448">
        <f>IF(NFI_Expiration=1,IF($A229&lt;VLOOKUP(P$5,NFI,5,0),1,0)*Table_NFI[[#This Row],[Plastic Bucket]],Table_NFI[Plastic Bucket])</f>
        <v>0</v>
      </c>
      <c r="AF229" s="448">
        <f>IF(NFI_Expiration=1,IF($A229&lt;VLOOKUP(Q$5,NFI,5,0),1,0)*Table_NFI[[#This Row],[Plastic Mat]],Table_NFI[Plastic Mat])*IF(Table_NFI[[#This Row],[Distribution Date]]&gt;"2014-04-01",1,2.5)</f>
        <v>0</v>
      </c>
      <c r="AG229" s="448">
        <f>IF(NFI_Expiration=1,IF($A229&lt;VLOOKUP(R$5,NFI,5,0),1,0)*Table_NFI[[#This Row],[Winter Clothes Adult]],Table_NFI[Winter Clothes Adult])</f>
        <v>0</v>
      </c>
      <c r="AH229" s="448">
        <f>IF(NFI_Expiration=1,IF($A229&lt;VLOOKUP(S$5,NFI,5,0),1,0)*Table_NFI[[#This Row],[Winter Clothes Children]],Table_NFI[Winter Clothes Children])</f>
        <v>0</v>
      </c>
      <c r="AI229" s="448">
        <f>IF(NFI_Expiration=1,IF($A229&lt;VLOOKUP(T$5,NFI,5,0),1,0)*Table_NFI[[#This Row],[Winter Items Other]],Table_NFI[Winter Items Other])</f>
        <v>0</v>
      </c>
      <c r="AJ229" s="448">
        <f>IF(NFI_Expiration=1,IF($A229&lt;VLOOKUP(M$5,NFI,5,0),1,0)*Table_NFI[[#This Row],[Winter Blanket]],Table_NFI[[#This Row],[Winter Blanket]])</f>
        <v>0</v>
      </c>
      <c r="AK229" s="448">
        <f>IF(Table_NFI[[#This Row],[Winter Clothes Adult]]+Table_NFI[[#This Row],[Winter Clothes Children]]+Table_NFI[[#This Row],[Winter Items Other]]+Table_NFI[[#This Row],[Winter Blanket]]&gt;0,1,0)</f>
        <v>1</v>
      </c>
      <c r="AL229" s="439">
        <f>IF(NFI_Expiration=1,IF($A229&lt;VLOOKUP(V$5,NFI,5,0),1,0)*Table_NFI[[#This Row],[Jerry Can]],Table_NFI[Jerry Can])</f>
        <v>0</v>
      </c>
      <c r="AM229" s="797" t="str">
        <f>IFERROR(VLOOKUP(Table_NFI[[#This Row],[Camp Name]],CL,2,0),"")</f>
        <v>MMR001CMP037</v>
      </c>
      <c r="AN229" s="798">
        <f ca="1">IF(Table_NFI[[#This Row],[Pcode]]="","",IF(OFFSET(CampList[Opening Date],MATCH(Table_NFI[[#This Row],[Pcode]],CampList[CP_Pcode],0)-1,0,1,1)&gt;=NFI_Monitor_Date,1,0))</f>
        <v>0</v>
      </c>
      <c r="AO229" s="797" t="str">
        <f>IFERROR(VLOOKUP(Table_NFI[[#This Row],[Camp Name]],CL,3,0),"")</f>
        <v>Open</v>
      </c>
      <c r="AP229" s="448" t="str">
        <f ca="1">IF(Table_NFI[[#This Row],[Pcode]]="","",OFFSET(CampList[Priority],MATCH(Table_NFI[[#This Row],[Pcode]],CampList[CP_Pcode],0)-1,0,1,1))</f>
        <v>P4</v>
      </c>
      <c r="AQ229" s="449">
        <f>IFERROR(Table_NFI[[#This Row],[Kitchen Set]]/VLOOKUP(Table_NFI[[#This Row],[Camp Name]],CL,4,0),"")</f>
        <v>0</v>
      </c>
      <c r="AR229" s="799"/>
      <c r="AS229" s="783"/>
    </row>
    <row r="230" spans="1:45" s="784" customFormat="1" x14ac:dyDescent="0.25">
      <c r="A230" s="455">
        <f t="shared" si="3"/>
        <v>17.666666666666668</v>
      </c>
      <c r="B230" s="778">
        <v>41779</v>
      </c>
      <c r="C230" s="779" t="s">
        <v>1113</v>
      </c>
      <c r="D230" s="779" t="s">
        <v>907</v>
      </c>
      <c r="E230" s="779" t="s">
        <v>380</v>
      </c>
      <c r="F230" s="779" t="s">
        <v>237</v>
      </c>
      <c r="G230" s="779" t="s">
        <v>257</v>
      </c>
      <c r="H230" s="436"/>
      <c r="I230" s="436"/>
      <c r="J230" s="436"/>
      <c r="K230" s="436"/>
      <c r="L230" s="437"/>
      <c r="M230" s="437"/>
      <c r="N230" s="437"/>
      <c r="O230" s="437"/>
      <c r="P230" s="439"/>
      <c r="Q230" s="439"/>
      <c r="R230" s="436"/>
      <c r="S230" s="436"/>
      <c r="T230" s="436"/>
      <c r="U230" s="436">
        <v>88</v>
      </c>
      <c r="V230" s="436"/>
      <c r="W230" s="448">
        <f>IF(NFI_Expiration=1,IF($A230&lt;VLOOKUP(H$5,NFI,5,0),1,0)*Table_NFI[[#This Row],[Hygiene Kit]],Table_NFI[Hygiene Kit])</f>
        <v>0</v>
      </c>
      <c r="X230" s="448">
        <f>IF(NFI_Expiration=1,IF($A230&lt;VLOOKUP(I$5,NFI,5,0),1,0)*Table_NFI[[#This Row],[NFI Core Kit]],Table_NFI[NFI Core Kit])</f>
        <v>0</v>
      </c>
      <c r="Y230" s="448">
        <f>IF(NFI_Expiration=1,IF($A230&lt;VLOOKUP(J$5,NFI,5,0),1,0)*Table_NFI[[#This Row],[Sanitary Kit]],Table_NFI[Sanitary Kit])</f>
        <v>0</v>
      </c>
      <c r="Z230" s="448">
        <f>IF(NFI_Expiration=1,IF($A230&lt;VLOOKUP(K$5,NFI,5,0),1,0)*Table_NFI[[#This Row],[Mosquito net]],Table_NFI[Mosquito net])</f>
        <v>0</v>
      </c>
      <c r="AA230" s="448">
        <f>IF(NFI_Expiration=1,IF($A230&lt;VLOOKUP(L$5,NFI,5,0),1,0)*Table_NFI[[#This Row],[Tarpaulin]],Table_NFI[[#This Row],[Tarpaulin]])</f>
        <v>0</v>
      </c>
      <c r="AB230" s="448">
        <f>IF(NFI_Expiration=1,IF($A230&lt;VLOOKUP(M$5,NFI,5,0),1,0)*Table_NFI[[#This Row],[Blanket]],Table_NFI[[#This Row],[Blanket]])</f>
        <v>0</v>
      </c>
      <c r="AC230" s="448">
        <f>IF(NFI_Expiration=1,IF($A230&lt;VLOOKUP(N$5,NFI,5,0),1,0)*Table_NFI[[#This Row],[Kitchen Set]],Table_NFI[Kitchen Set])</f>
        <v>0</v>
      </c>
      <c r="AD230" s="448">
        <f>IF(NFI_Expiration=1,IF($A230&lt;VLOOKUP(O$5,NFI,5,0),1,0)*Table_NFI[[#This Row],[Clothes Kit]],Table_NFI[Clothes Kit])</f>
        <v>0</v>
      </c>
      <c r="AE230" s="448">
        <f>IF(NFI_Expiration=1,IF($A230&lt;VLOOKUP(P$5,NFI,5,0),1,0)*Table_NFI[[#This Row],[Plastic Bucket]],Table_NFI[Plastic Bucket])</f>
        <v>0</v>
      </c>
      <c r="AF230" s="448">
        <f>IF(NFI_Expiration=1,IF($A230&lt;VLOOKUP(Q$5,NFI,5,0),1,0)*Table_NFI[[#This Row],[Plastic Mat]],Table_NFI[Plastic Mat])*IF(Table_NFI[[#This Row],[Distribution Date]]&gt;"2014-04-01",1,2.5)</f>
        <v>0</v>
      </c>
      <c r="AG230" s="448">
        <f>IF(NFI_Expiration=1,IF($A230&lt;VLOOKUP(R$5,NFI,5,0),1,0)*Table_NFI[[#This Row],[Winter Clothes Adult]],Table_NFI[Winter Clothes Adult])</f>
        <v>0</v>
      </c>
      <c r="AH230" s="448">
        <f>IF(NFI_Expiration=1,IF($A230&lt;VLOOKUP(S$5,NFI,5,0),1,0)*Table_NFI[[#This Row],[Winter Clothes Children]],Table_NFI[Winter Clothes Children])</f>
        <v>0</v>
      </c>
      <c r="AI230" s="448">
        <f>IF(NFI_Expiration=1,IF($A230&lt;VLOOKUP(T$5,NFI,5,0),1,0)*Table_NFI[[#This Row],[Winter Items Other]],Table_NFI[Winter Items Other])</f>
        <v>0</v>
      </c>
      <c r="AJ230" s="448">
        <f>IF(NFI_Expiration=1,IF($A230&lt;VLOOKUP(M$5,NFI,5,0),1,0)*Table_NFI[[#This Row],[Winter Blanket]],Table_NFI[[#This Row],[Winter Blanket]])</f>
        <v>0</v>
      </c>
      <c r="AK230" s="448">
        <f>IF(Table_NFI[[#This Row],[Winter Clothes Adult]]+Table_NFI[[#This Row],[Winter Clothes Children]]+Table_NFI[[#This Row],[Winter Items Other]]+Table_NFI[[#This Row],[Winter Blanket]]&gt;0,1,0)</f>
        <v>1</v>
      </c>
      <c r="AL230" s="439">
        <f>IF(NFI_Expiration=1,IF($A230&lt;VLOOKUP(V$5,NFI,5,0),1,0)*Table_NFI[[#This Row],[Jerry Can]],Table_NFI[Jerry Can])</f>
        <v>0</v>
      </c>
      <c r="AM230" s="797" t="str">
        <f>IFERROR(VLOOKUP(Table_NFI[[#This Row],[Camp Name]],CL,2,0),"")</f>
        <v>MMR001CMP013</v>
      </c>
      <c r="AN230" s="798">
        <f ca="1">IF(Table_NFI[[#This Row],[Pcode]]="","",IF(OFFSET(CampList[Opening Date],MATCH(Table_NFI[[#This Row],[Pcode]],CampList[CP_Pcode],0)-1,0,1,1)&gt;=NFI_Monitor_Date,1,0))</f>
        <v>0</v>
      </c>
      <c r="AO230" s="797" t="str">
        <f>IFERROR(VLOOKUP(Table_NFI[[#This Row],[Camp Name]],CL,3,0),"")</f>
        <v>Open</v>
      </c>
      <c r="AP230" s="448" t="str">
        <f ca="1">IF(Table_NFI[[#This Row],[Pcode]]="","",OFFSET(CampList[Priority],MATCH(Table_NFI[[#This Row],[Pcode]],CampList[CP_Pcode],0)-1,0,1,1))</f>
        <v>P4</v>
      </c>
      <c r="AQ230" s="449">
        <f>IFERROR(Table_NFI[[#This Row],[Kitchen Set]]/VLOOKUP(Table_NFI[[#This Row],[Camp Name]],CL,4,0),"")</f>
        <v>0</v>
      </c>
      <c r="AR230" s="799"/>
      <c r="AS230" s="783"/>
    </row>
    <row r="231" spans="1:45" s="784" customFormat="1" x14ac:dyDescent="0.25">
      <c r="A231" s="455">
        <f t="shared" si="3"/>
        <v>17.666666666666668</v>
      </c>
      <c r="B231" s="778">
        <v>41779</v>
      </c>
      <c r="C231" s="779" t="s">
        <v>1113</v>
      </c>
      <c r="D231" s="779" t="s">
        <v>907</v>
      </c>
      <c r="E231" s="779" t="s">
        <v>380</v>
      </c>
      <c r="F231" s="779" t="s">
        <v>237</v>
      </c>
      <c r="G231" s="779" t="s">
        <v>240</v>
      </c>
      <c r="H231" s="436"/>
      <c r="I231" s="436"/>
      <c r="J231" s="436"/>
      <c r="K231" s="436"/>
      <c r="L231" s="437"/>
      <c r="M231" s="437"/>
      <c r="N231" s="437"/>
      <c r="O231" s="437"/>
      <c r="P231" s="439"/>
      <c r="Q231" s="439"/>
      <c r="R231" s="436"/>
      <c r="S231" s="436"/>
      <c r="T231" s="436"/>
      <c r="U231" s="436">
        <v>188</v>
      </c>
      <c r="V231" s="436"/>
      <c r="W231" s="448">
        <f>IF(NFI_Expiration=1,IF($A231&lt;VLOOKUP(H$5,NFI,5,0),1,0)*Table_NFI[[#This Row],[Hygiene Kit]],Table_NFI[Hygiene Kit])</f>
        <v>0</v>
      </c>
      <c r="X231" s="448">
        <f>IF(NFI_Expiration=1,IF($A231&lt;VLOOKUP(I$5,NFI,5,0),1,0)*Table_NFI[[#This Row],[NFI Core Kit]],Table_NFI[NFI Core Kit])</f>
        <v>0</v>
      </c>
      <c r="Y231" s="448">
        <f>IF(NFI_Expiration=1,IF($A231&lt;VLOOKUP(J$5,NFI,5,0),1,0)*Table_NFI[[#This Row],[Sanitary Kit]],Table_NFI[Sanitary Kit])</f>
        <v>0</v>
      </c>
      <c r="Z231" s="448">
        <f>IF(NFI_Expiration=1,IF($A231&lt;VLOOKUP(K$5,NFI,5,0),1,0)*Table_NFI[[#This Row],[Mosquito net]],Table_NFI[Mosquito net])</f>
        <v>0</v>
      </c>
      <c r="AA231" s="448">
        <f>IF(NFI_Expiration=1,IF($A231&lt;VLOOKUP(L$5,NFI,5,0),1,0)*Table_NFI[[#This Row],[Tarpaulin]],Table_NFI[[#This Row],[Tarpaulin]])</f>
        <v>0</v>
      </c>
      <c r="AB231" s="448">
        <f>IF(NFI_Expiration=1,IF($A231&lt;VLOOKUP(M$5,NFI,5,0),1,0)*Table_NFI[[#This Row],[Blanket]],Table_NFI[[#This Row],[Blanket]])</f>
        <v>0</v>
      </c>
      <c r="AC231" s="448">
        <f>IF(NFI_Expiration=1,IF($A231&lt;VLOOKUP(N$5,NFI,5,0),1,0)*Table_NFI[[#This Row],[Kitchen Set]],Table_NFI[Kitchen Set])</f>
        <v>0</v>
      </c>
      <c r="AD231" s="448">
        <f>IF(NFI_Expiration=1,IF($A231&lt;VLOOKUP(O$5,NFI,5,0),1,0)*Table_NFI[[#This Row],[Clothes Kit]],Table_NFI[Clothes Kit])</f>
        <v>0</v>
      </c>
      <c r="AE231" s="448">
        <f>IF(NFI_Expiration=1,IF($A231&lt;VLOOKUP(P$5,NFI,5,0),1,0)*Table_NFI[[#This Row],[Plastic Bucket]],Table_NFI[Plastic Bucket])</f>
        <v>0</v>
      </c>
      <c r="AF231" s="448">
        <f>IF(NFI_Expiration=1,IF($A231&lt;VLOOKUP(Q$5,NFI,5,0),1,0)*Table_NFI[[#This Row],[Plastic Mat]],Table_NFI[Plastic Mat])*IF(Table_NFI[[#This Row],[Distribution Date]]&gt;"2014-04-01",1,2.5)</f>
        <v>0</v>
      </c>
      <c r="AG231" s="448">
        <f>IF(NFI_Expiration=1,IF($A231&lt;VLOOKUP(R$5,NFI,5,0),1,0)*Table_NFI[[#This Row],[Winter Clothes Adult]],Table_NFI[Winter Clothes Adult])</f>
        <v>0</v>
      </c>
      <c r="AH231" s="448">
        <f>IF(NFI_Expiration=1,IF($A231&lt;VLOOKUP(S$5,NFI,5,0),1,0)*Table_NFI[[#This Row],[Winter Clothes Children]],Table_NFI[Winter Clothes Children])</f>
        <v>0</v>
      </c>
      <c r="AI231" s="448">
        <f>IF(NFI_Expiration=1,IF($A231&lt;VLOOKUP(T$5,NFI,5,0),1,0)*Table_NFI[[#This Row],[Winter Items Other]],Table_NFI[Winter Items Other])</f>
        <v>0</v>
      </c>
      <c r="AJ231" s="448">
        <f>IF(NFI_Expiration=1,IF($A231&lt;VLOOKUP(M$5,NFI,5,0),1,0)*Table_NFI[[#This Row],[Winter Blanket]],Table_NFI[[#This Row],[Winter Blanket]])</f>
        <v>0</v>
      </c>
      <c r="AK231" s="448">
        <f>IF(Table_NFI[[#This Row],[Winter Clothes Adult]]+Table_NFI[[#This Row],[Winter Clothes Children]]+Table_NFI[[#This Row],[Winter Items Other]]+Table_NFI[[#This Row],[Winter Blanket]]&gt;0,1,0)</f>
        <v>1</v>
      </c>
      <c r="AL231" s="439">
        <f>IF(NFI_Expiration=1,IF($A231&lt;VLOOKUP(V$5,NFI,5,0),1,0)*Table_NFI[[#This Row],[Jerry Can]],Table_NFI[Jerry Can])</f>
        <v>0</v>
      </c>
      <c r="AM231" s="797" t="str">
        <f>IFERROR(VLOOKUP(Table_NFI[[#This Row],[Camp Name]],CL,2,0),"")</f>
        <v>MMR001CMP015</v>
      </c>
      <c r="AN231" s="798">
        <f ca="1">IF(Table_NFI[[#This Row],[Pcode]]="","",IF(OFFSET(CampList[Opening Date],MATCH(Table_NFI[[#This Row],[Pcode]],CampList[CP_Pcode],0)-1,0,1,1)&gt;=NFI_Monitor_Date,1,0))</f>
        <v>0</v>
      </c>
      <c r="AO231" s="797" t="str">
        <f>IFERROR(VLOOKUP(Table_NFI[[#This Row],[Camp Name]],CL,3,0),"")</f>
        <v>Open</v>
      </c>
      <c r="AP231" s="448" t="str">
        <f ca="1">IF(Table_NFI[[#This Row],[Pcode]]="","",OFFSET(CampList[Priority],MATCH(Table_NFI[[#This Row],[Pcode]],CampList[CP_Pcode],0)-1,0,1,1))</f>
        <v>P4</v>
      </c>
      <c r="AQ231" s="449">
        <f>IFERROR(Table_NFI[[#This Row],[Kitchen Set]]/VLOOKUP(Table_NFI[[#This Row],[Camp Name]],CL,4,0),"")</f>
        <v>0</v>
      </c>
      <c r="AR231" s="799"/>
      <c r="AS231" s="783"/>
    </row>
    <row r="232" spans="1:45" s="784" customFormat="1" x14ac:dyDescent="0.25">
      <c r="A232" s="455">
        <f t="shared" si="3"/>
        <v>17.666666666666668</v>
      </c>
      <c r="B232" s="778">
        <v>41779</v>
      </c>
      <c r="C232" s="779" t="s">
        <v>1113</v>
      </c>
      <c r="D232" s="779" t="s">
        <v>907</v>
      </c>
      <c r="E232" s="779" t="s">
        <v>380</v>
      </c>
      <c r="F232" s="779" t="s">
        <v>237</v>
      </c>
      <c r="G232" s="779" t="s">
        <v>285</v>
      </c>
      <c r="H232" s="436"/>
      <c r="I232" s="436"/>
      <c r="J232" s="436"/>
      <c r="K232" s="436"/>
      <c r="L232" s="437"/>
      <c r="M232" s="437"/>
      <c r="N232" s="437"/>
      <c r="O232" s="437"/>
      <c r="P232" s="439"/>
      <c r="Q232" s="439"/>
      <c r="R232" s="436"/>
      <c r="S232" s="436"/>
      <c r="T232" s="436"/>
      <c r="U232" s="436">
        <v>278</v>
      </c>
      <c r="V232" s="436"/>
      <c r="W232" s="448">
        <f>IF(NFI_Expiration=1,IF($A232&lt;VLOOKUP(H$5,NFI,5,0),1,0)*Table_NFI[[#This Row],[Hygiene Kit]],Table_NFI[Hygiene Kit])</f>
        <v>0</v>
      </c>
      <c r="X232" s="448">
        <f>IF(NFI_Expiration=1,IF($A232&lt;VLOOKUP(I$5,NFI,5,0),1,0)*Table_NFI[[#This Row],[NFI Core Kit]],Table_NFI[NFI Core Kit])</f>
        <v>0</v>
      </c>
      <c r="Y232" s="448">
        <f>IF(NFI_Expiration=1,IF($A232&lt;VLOOKUP(J$5,NFI,5,0),1,0)*Table_NFI[[#This Row],[Sanitary Kit]],Table_NFI[Sanitary Kit])</f>
        <v>0</v>
      </c>
      <c r="Z232" s="448">
        <f>IF(NFI_Expiration=1,IF($A232&lt;VLOOKUP(K$5,NFI,5,0),1,0)*Table_NFI[[#This Row],[Mosquito net]],Table_NFI[Mosquito net])</f>
        <v>0</v>
      </c>
      <c r="AA232" s="448">
        <f>IF(NFI_Expiration=1,IF($A232&lt;VLOOKUP(L$5,NFI,5,0),1,0)*Table_NFI[[#This Row],[Tarpaulin]],Table_NFI[[#This Row],[Tarpaulin]])</f>
        <v>0</v>
      </c>
      <c r="AB232" s="448">
        <f>IF(NFI_Expiration=1,IF($A232&lt;VLOOKUP(M$5,NFI,5,0),1,0)*Table_NFI[[#This Row],[Blanket]],Table_NFI[[#This Row],[Blanket]])</f>
        <v>0</v>
      </c>
      <c r="AC232" s="448">
        <f>IF(NFI_Expiration=1,IF($A232&lt;VLOOKUP(N$5,NFI,5,0),1,0)*Table_NFI[[#This Row],[Kitchen Set]],Table_NFI[Kitchen Set])</f>
        <v>0</v>
      </c>
      <c r="AD232" s="448">
        <f>IF(NFI_Expiration=1,IF($A232&lt;VLOOKUP(O$5,NFI,5,0),1,0)*Table_NFI[[#This Row],[Clothes Kit]],Table_NFI[Clothes Kit])</f>
        <v>0</v>
      </c>
      <c r="AE232" s="448">
        <f>IF(NFI_Expiration=1,IF($A232&lt;VLOOKUP(P$5,NFI,5,0),1,0)*Table_NFI[[#This Row],[Plastic Bucket]],Table_NFI[Plastic Bucket])</f>
        <v>0</v>
      </c>
      <c r="AF232" s="448">
        <f>IF(NFI_Expiration=1,IF($A232&lt;VLOOKUP(Q$5,NFI,5,0),1,0)*Table_NFI[[#This Row],[Plastic Mat]],Table_NFI[Plastic Mat])*IF(Table_NFI[[#This Row],[Distribution Date]]&gt;"2014-04-01",1,2.5)</f>
        <v>0</v>
      </c>
      <c r="AG232" s="448">
        <f>IF(NFI_Expiration=1,IF($A232&lt;VLOOKUP(R$5,NFI,5,0),1,0)*Table_NFI[[#This Row],[Winter Clothes Adult]],Table_NFI[Winter Clothes Adult])</f>
        <v>0</v>
      </c>
      <c r="AH232" s="448">
        <f>IF(NFI_Expiration=1,IF($A232&lt;VLOOKUP(S$5,NFI,5,0),1,0)*Table_NFI[[#This Row],[Winter Clothes Children]],Table_NFI[Winter Clothes Children])</f>
        <v>0</v>
      </c>
      <c r="AI232" s="448">
        <f>IF(NFI_Expiration=1,IF($A232&lt;VLOOKUP(T$5,NFI,5,0),1,0)*Table_NFI[[#This Row],[Winter Items Other]],Table_NFI[Winter Items Other])</f>
        <v>0</v>
      </c>
      <c r="AJ232" s="448">
        <f>IF(NFI_Expiration=1,IF($A232&lt;VLOOKUP(M$5,NFI,5,0),1,0)*Table_NFI[[#This Row],[Winter Blanket]],Table_NFI[[#This Row],[Winter Blanket]])</f>
        <v>0</v>
      </c>
      <c r="AK232" s="448">
        <f>IF(Table_NFI[[#This Row],[Winter Clothes Adult]]+Table_NFI[[#This Row],[Winter Clothes Children]]+Table_NFI[[#This Row],[Winter Items Other]]+Table_NFI[[#This Row],[Winter Blanket]]&gt;0,1,0)</f>
        <v>1</v>
      </c>
      <c r="AL232" s="439">
        <f>IF(NFI_Expiration=1,IF($A232&lt;VLOOKUP(V$5,NFI,5,0),1,0)*Table_NFI[[#This Row],[Jerry Can]],Table_NFI[Jerry Can])</f>
        <v>0</v>
      </c>
      <c r="AM232" s="797" t="str">
        <f>IFERROR(VLOOKUP(Table_NFI[[#This Row],[Camp Name]],CL,2,0),"")</f>
        <v>MMR001CMP014</v>
      </c>
      <c r="AN232" s="798">
        <f ca="1">IF(Table_NFI[[#This Row],[Pcode]]="","",IF(OFFSET(CampList[Opening Date],MATCH(Table_NFI[[#This Row],[Pcode]],CampList[CP_Pcode],0)-1,0,1,1)&gt;=NFI_Monitor_Date,1,0))</f>
        <v>0</v>
      </c>
      <c r="AO232" s="797" t="str">
        <f>IFERROR(VLOOKUP(Table_NFI[[#This Row],[Camp Name]],CL,3,0),"")</f>
        <v>Open</v>
      </c>
      <c r="AP232" s="448" t="str">
        <f ca="1">IF(Table_NFI[[#This Row],[Pcode]]="","",OFFSET(CampList[Priority],MATCH(Table_NFI[[#This Row],[Pcode]],CampList[CP_Pcode],0)-1,0,1,1))</f>
        <v>P4</v>
      </c>
      <c r="AQ232" s="449">
        <f>IFERROR(Table_NFI[[#This Row],[Kitchen Set]]/VLOOKUP(Table_NFI[[#This Row],[Camp Name]],CL,4,0),"")</f>
        <v>0</v>
      </c>
      <c r="AR232" s="799"/>
      <c r="AS232" s="783"/>
    </row>
    <row r="233" spans="1:45" s="784" customFormat="1" x14ac:dyDescent="0.25">
      <c r="A233" s="455">
        <f t="shared" si="3"/>
        <v>17.666666666666668</v>
      </c>
      <c r="B233" s="778">
        <v>41779</v>
      </c>
      <c r="C233" s="779" t="s">
        <v>1113</v>
      </c>
      <c r="D233" s="779" t="s">
        <v>907</v>
      </c>
      <c r="E233" s="779" t="s">
        <v>380</v>
      </c>
      <c r="F233" s="779" t="s">
        <v>310</v>
      </c>
      <c r="G233" s="779" t="s">
        <v>324</v>
      </c>
      <c r="H233" s="436"/>
      <c r="I233" s="436"/>
      <c r="J233" s="436"/>
      <c r="K233" s="436"/>
      <c r="L233" s="437"/>
      <c r="M233" s="437"/>
      <c r="N233" s="437"/>
      <c r="O233" s="437"/>
      <c r="P233" s="439"/>
      <c r="Q233" s="439"/>
      <c r="R233" s="436"/>
      <c r="S233" s="436"/>
      <c r="T233" s="436"/>
      <c r="U233" s="436">
        <v>824</v>
      </c>
      <c r="V233" s="436"/>
      <c r="W233" s="448">
        <f>IF(NFI_Expiration=1,IF($A233&lt;VLOOKUP(H$5,NFI,5,0),1,0)*Table_NFI[[#This Row],[Hygiene Kit]],Table_NFI[Hygiene Kit])</f>
        <v>0</v>
      </c>
      <c r="X233" s="448">
        <f>IF(NFI_Expiration=1,IF($A233&lt;VLOOKUP(I$5,NFI,5,0),1,0)*Table_NFI[[#This Row],[NFI Core Kit]],Table_NFI[NFI Core Kit])</f>
        <v>0</v>
      </c>
      <c r="Y233" s="448">
        <f>IF(NFI_Expiration=1,IF($A233&lt;VLOOKUP(J$5,NFI,5,0),1,0)*Table_NFI[[#This Row],[Sanitary Kit]],Table_NFI[Sanitary Kit])</f>
        <v>0</v>
      </c>
      <c r="Z233" s="448">
        <f>IF(NFI_Expiration=1,IF($A233&lt;VLOOKUP(K$5,NFI,5,0),1,0)*Table_NFI[[#This Row],[Mosquito net]],Table_NFI[Mosquito net])</f>
        <v>0</v>
      </c>
      <c r="AA233" s="448">
        <f>IF(NFI_Expiration=1,IF($A233&lt;VLOOKUP(L$5,NFI,5,0),1,0)*Table_NFI[[#This Row],[Tarpaulin]],Table_NFI[[#This Row],[Tarpaulin]])</f>
        <v>0</v>
      </c>
      <c r="AB233" s="448">
        <f>IF(NFI_Expiration=1,IF($A233&lt;VLOOKUP(M$5,NFI,5,0),1,0)*Table_NFI[[#This Row],[Blanket]],Table_NFI[[#This Row],[Blanket]])</f>
        <v>0</v>
      </c>
      <c r="AC233" s="448">
        <f>IF(NFI_Expiration=1,IF($A233&lt;VLOOKUP(N$5,NFI,5,0),1,0)*Table_NFI[[#This Row],[Kitchen Set]],Table_NFI[Kitchen Set])</f>
        <v>0</v>
      </c>
      <c r="AD233" s="448">
        <f>IF(NFI_Expiration=1,IF($A233&lt;VLOOKUP(O$5,NFI,5,0),1,0)*Table_NFI[[#This Row],[Clothes Kit]],Table_NFI[Clothes Kit])</f>
        <v>0</v>
      </c>
      <c r="AE233" s="448">
        <f>IF(NFI_Expiration=1,IF($A233&lt;VLOOKUP(P$5,NFI,5,0),1,0)*Table_NFI[[#This Row],[Plastic Bucket]],Table_NFI[Plastic Bucket])</f>
        <v>0</v>
      </c>
      <c r="AF233" s="448">
        <f>IF(NFI_Expiration=1,IF($A233&lt;VLOOKUP(Q$5,NFI,5,0),1,0)*Table_NFI[[#This Row],[Plastic Mat]],Table_NFI[Plastic Mat])*IF(Table_NFI[[#This Row],[Distribution Date]]&gt;"2014-04-01",1,2.5)</f>
        <v>0</v>
      </c>
      <c r="AG233" s="448">
        <f>IF(NFI_Expiration=1,IF($A233&lt;VLOOKUP(R$5,NFI,5,0),1,0)*Table_NFI[[#This Row],[Winter Clothes Adult]],Table_NFI[Winter Clothes Adult])</f>
        <v>0</v>
      </c>
      <c r="AH233" s="448">
        <f>IF(NFI_Expiration=1,IF($A233&lt;VLOOKUP(S$5,NFI,5,0),1,0)*Table_NFI[[#This Row],[Winter Clothes Children]],Table_NFI[Winter Clothes Children])</f>
        <v>0</v>
      </c>
      <c r="AI233" s="448">
        <f>IF(NFI_Expiration=1,IF($A233&lt;VLOOKUP(T$5,NFI,5,0),1,0)*Table_NFI[[#This Row],[Winter Items Other]],Table_NFI[Winter Items Other])</f>
        <v>0</v>
      </c>
      <c r="AJ233" s="448">
        <f>IF(NFI_Expiration=1,IF($A233&lt;VLOOKUP(M$5,NFI,5,0),1,0)*Table_NFI[[#This Row],[Winter Blanket]],Table_NFI[[#This Row],[Winter Blanket]])</f>
        <v>0</v>
      </c>
      <c r="AK233" s="448">
        <f>IF(Table_NFI[[#This Row],[Winter Clothes Adult]]+Table_NFI[[#This Row],[Winter Clothes Children]]+Table_NFI[[#This Row],[Winter Items Other]]+Table_NFI[[#This Row],[Winter Blanket]]&gt;0,1,0)</f>
        <v>1</v>
      </c>
      <c r="AL233" s="439">
        <f>IF(NFI_Expiration=1,IF($A233&lt;VLOOKUP(V$5,NFI,5,0),1,0)*Table_NFI[[#This Row],[Jerry Can]],Table_NFI[Jerry Can])</f>
        <v>0</v>
      </c>
      <c r="AM233" s="797" t="str">
        <f>IFERROR(VLOOKUP(Table_NFI[[#This Row],[Camp Name]],CL,2,0),"")</f>
        <v>MMR001CMP040</v>
      </c>
      <c r="AN233" s="798">
        <f ca="1">IF(Table_NFI[[#This Row],[Pcode]]="","",IF(OFFSET(CampList[Opening Date],MATCH(Table_NFI[[#This Row],[Pcode]],CampList[CP_Pcode],0)-1,0,1,1)&gt;=NFI_Monitor_Date,1,0))</f>
        <v>0</v>
      </c>
      <c r="AO233" s="797" t="str">
        <f>IFERROR(VLOOKUP(Table_NFI[[#This Row],[Camp Name]],CL,3,0),"")</f>
        <v>Open</v>
      </c>
      <c r="AP233" s="448" t="str">
        <f ca="1">IF(Table_NFI[[#This Row],[Pcode]]="","",OFFSET(CampList[Priority],MATCH(Table_NFI[[#This Row],[Pcode]],CampList[CP_Pcode],0)-1,0,1,1))</f>
        <v>P4</v>
      </c>
      <c r="AQ233" s="449">
        <f>IFERROR(Table_NFI[[#This Row],[Kitchen Set]]/VLOOKUP(Table_NFI[[#This Row],[Camp Name]],CL,4,0),"")</f>
        <v>0</v>
      </c>
      <c r="AR233" s="799"/>
      <c r="AS233" s="783"/>
    </row>
    <row r="234" spans="1:45" s="784" customFormat="1" x14ac:dyDescent="0.25">
      <c r="A234" s="455">
        <f t="shared" si="3"/>
        <v>17.666666666666668</v>
      </c>
      <c r="B234" s="778">
        <v>41779</v>
      </c>
      <c r="C234" s="779" t="s">
        <v>1113</v>
      </c>
      <c r="D234" s="779" t="s">
        <v>907</v>
      </c>
      <c r="E234" s="779" t="s">
        <v>380</v>
      </c>
      <c r="F234" s="779" t="s">
        <v>237</v>
      </c>
      <c r="G234" s="779" t="s">
        <v>259</v>
      </c>
      <c r="H234" s="436"/>
      <c r="I234" s="436"/>
      <c r="J234" s="436"/>
      <c r="K234" s="436"/>
      <c r="L234" s="437"/>
      <c r="M234" s="437"/>
      <c r="N234" s="437"/>
      <c r="O234" s="437"/>
      <c r="P234" s="439"/>
      <c r="Q234" s="439"/>
      <c r="R234" s="436"/>
      <c r="S234" s="436"/>
      <c r="T234" s="436"/>
      <c r="U234" s="436">
        <v>142</v>
      </c>
      <c r="V234" s="436"/>
      <c r="W234" s="448">
        <f>IF(NFI_Expiration=1,IF($A234&lt;VLOOKUP(H$5,NFI,5,0),1,0)*Table_NFI[[#This Row],[Hygiene Kit]],Table_NFI[Hygiene Kit])</f>
        <v>0</v>
      </c>
      <c r="X234" s="448">
        <f>IF(NFI_Expiration=1,IF($A234&lt;VLOOKUP(I$5,NFI,5,0),1,0)*Table_NFI[[#This Row],[NFI Core Kit]],Table_NFI[NFI Core Kit])</f>
        <v>0</v>
      </c>
      <c r="Y234" s="448">
        <f>IF(NFI_Expiration=1,IF($A234&lt;VLOOKUP(J$5,NFI,5,0),1,0)*Table_NFI[[#This Row],[Sanitary Kit]],Table_NFI[Sanitary Kit])</f>
        <v>0</v>
      </c>
      <c r="Z234" s="448">
        <f>IF(NFI_Expiration=1,IF($A234&lt;VLOOKUP(K$5,NFI,5,0),1,0)*Table_NFI[[#This Row],[Mosquito net]],Table_NFI[Mosquito net])</f>
        <v>0</v>
      </c>
      <c r="AA234" s="448">
        <f>IF(NFI_Expiration=1,IF($A234&lt;VLOOKUP(L$5,NFI,5,0),1,0)*Table_NFI[[#This Row],[Tarpaulin]],Table_NFI[[#This Row],[Tarpaulin]])</f>
        <v>0</v>
      </c>
      <c r="AB234" s="448">
        <f>IF(NFI_Expiration=1,IF($A234&lt;VLOOKUP(M$5,NFI,5,0),1,0)*Table_NFI[[#This Row],[Blanket]],Table_NFI[[#This Row],[Blanket]])</f>
        <v>0</v>
      </c>
      <c r="AC234" s="448">
        <f>IF(NFI_Expiration=1,IF($A234&lt;VLOOKUP(N$5,NFI,5,0),1,0)*Table_NFI[[#This Row],[Kitchen Set]],Table_NFI[Kitchen Set])</f>
        <v>0</v>
      </c>
      <c r="AD234" s="448">
        <f>IF(NFI_Expiration=1,IF($A234&lt;VLOOKUP(O$5,NFI,5,0),1,0)*Table_NFI[[#This Row],[Clothes Kit]],Table_NFI[Clothes Kit])</f>
        <v>0</v>
      </c>
      <c r="AE234" s="448">
        <f>IF(NFI_Expiration=1,IF($A234&lt;VLOOKUP(P$5,NFI,5,0),1,0)*Table_NFI[[#This Row],[Plastic Bucket]],Table_NFI[Plastic Bucket])</f>
        <v>0</v>
      </c>
      <c r="AF234" s="448">
        <f>IF(NFI_Expiration=1,IF($A234&lt;VLOOKUP(Q$5,NFI,5,0),1,0)*Table_NFI[[#This Row],[Plastic Mat]],Table_NFI[Plastic Mat])*IF(Table_NFI[[#This Row],[Distribution Date]]&gt;"2014-04-01",1,2.5)</f>
        <v>0</v>
      </c>
      <c r="AG234" s="448">
        <f>IF(NFI_Expiration=1,IF($A234&lt;VLOOKUP(R$5,NFI,5,0),1,0)*Table_NFI[[#This Row],[Winter Clothes Adult]],Table_NFI[Winter Clothes Adult])</f>
        <v>0</v>
      </c>
      <c r="AH234" s="448">
        <f>IF(NFI_Expiration=1,IF($A234&lt;VLOOKUP(S$5,NFI,5,0),1,0)*Table_NFI[[#This Row],[Winter Clothes Children]],Table_NFI[Winter Clothes Children])</f>
        <v>0</v>
      </c>
      <c r="AI234" s="448">
        <f>IF(NFI_Expiration=1,IF($A234&lt;VLOOKUP(T$5,NFI,5,0),1,0)*Table_NFI[[#This Row],[Winter Items Other]],Table_NFI[Winter Items Other])</f>
        <v>0</v>
      </c>
      <c r="AJ234" s="448">
        <f>IF(NFI_Expiration=1,IF($A234&lt;VLOOKUP(M$5,NFI,5,0),1,0)*Table_NFI[[#This Row],[Winter Blanket]],Table_NFI[[#This Row],[Winter Blanket]])</f>
        <v>0</v>
      </c>
      <c r="AK234" s="448">
        <f>IF(Table_NFI[[#This Row],[Winter Clothes Adult]]+Table_NFI[[#This Row],[Winter Clothes Children]]+Table_NFI[[#This Row],[Winter Items Other]]+Table_NFI[[#This Row],[Winter Blanket]]&gt;0,1,0)</f>
        <v>1</v>
      </c>
      <c r="AL234" s="439">
        <f>IF(NFI_Expiration=1,IF($A234&lt;VLOOKUP(V$5,NFI,5,0),1,0)*Table_NFI[[#This Row],[Jerry Can]],Table_NFI[Jerry Can])</f>
        <v>0</v>
      </c>
      <c r="AM234" s="797" t="str">
        <f>IFERROR(VLOOKUP(Table_NFI[[#This Row],[Camp Name]],CL,2,0),"")</f>
        <v>MMR001CMP016</v>
      </c>
      <c r="AN234" s="798">
        <f ca="1">IF(Table_NFI[[#This Row],[Pcode]]="","",IF(OFFSET(CampList[Opening Date],MATCH(Table_NFI[[#This Row],[Pcode]],CampList[CP_Pcode],0)-1,0,1,1)&gt;=NFI_Monitor_Date,1,0))</f>
        <v>0</v>
      </c>
      <c r="AO234" s="797" t="str">
        <f>IFERROR(VLOOKUP(Table_NFI[[#This Row],[Camp Name]],CL,3,0),"")</f>
        <v>Open</v>
      </c>
      <c r="AP234" s="448" t="str">
        <f ca="1">IF(Table_NFI[[#This Row],[Pcode]]="","",OFFSET(CampList[Priority],MATCH(Table_NFI[[#This Row],[Pcode]],CampList[CP_Pcode],0)-1,0,1,1))</f>
        <v>P4</v>
      </c>
      <c r="AQ234" s="449">
        <f>IFERROR(Table_NFI[[#This Row],[Kitchen Set]]/VLOOKUP(Table_NFI[[#This Row],[Camp Name]],CL,4,0),"")</f>
        <v>0</v>
      </c>
      <c r="AR234" s="799"/>
      <c r="AS234" s="783"/>
    </row>
    <row r="235" spans="1:45" s="784" customFormat="1" x14ac:dyDescent="0.25">
      <c r="A235" s="455">
        <f t="shared" si="3"/>
        <v>17.7</v>
      </c>
      <c r="B235" s="778">
        <v>41778</v>
      </c>
      <c r="C235" s="779" t="s">
        <v>1113</v>
      </c>
      <c r="D235" s="779" t="s">
        <v>907</v>
      </c>
      <c r="E235" s="779" t="s">
        <v>380</v>
      </c>
      <c r="F235" s="779" t="s">
        <v>310</v>
      </c>
      <c r="G235" s="779" t="s">
        <v>328</v>
      </c>
      <c r="H235" s="436"/>
      <c r="I235" s="436"/>
      <c r="J235" s="436"/>
      <c r="K235" s="436"/>
      <c r="L235" s="437"/>
      <c r="M235" s="437"/>
      <c r="N235" s="437"/>
      <c r="O235" s="437"/>
      <c r="P235" s="439"/>
      <c r="Q235" s="439"/>
      <c r="R235" s="436"/>
      <c r="S235" s="436"/>
      <c r="T235" s="436"/>
      <c r="U235" s="436">
        <v>224</v>
      </c>
      <c r="V235" s="436"/>
      <c r="W235" s="448">
        <f>IF(NFI_Expiration=1,IF($A235&lt;VLOOKUP(H$5,NFI,5,0),1,0)*Table_NFI[[#This Row],[Hygiene Kit]],Table_NFI[Hygiene Kit])</f>
        <v>0</v>
      </c>
      <c r="X235" s="448">
        <f>IF(NFI_Expiration=1,IF($A235&lt;VLOOKUP(I$5,NFI,5,0),1,0)*Table_NFI[[#This Row],[NFI Core Kit]],Table_NFI[NFI Core Kit])</f>
        <v>0</v>
      </c>
      <c r="Y235" s="448">
        <f>IF(NFI_Expiration=1,IF($A235&lt;VLOOKUP(J$5,NFI,5,0),1,0)*Table_NFI[[#This Row],[Sanitary Kit]],Table_NFI[Sanitary Kit])</f>
        <v>0</v>
      </c>
      <c r="Z235" s="448">
        <f>IF(NFI_Expiration=1,IF($A235&lt;VLOOKUP(K$5,NFI,5,0),1,0)*Table_NFI[[#This Row],[Mosquito net]],Table_NFI[Mosquito net])</f>
        <v>0</v>
      </c>
      <c r="AA235" s="448">
        <f>IF(NFI_Expiration=1,IF($A235&lt;VLOOKUP(L$5,NFI,5,0),1,0)*Table_NFI[[#This Row],[Tarpaulin]],Table_NFI[[#This Row],[Tarpaulin]])</f>
        <v>0</v>
      </c>
      <c r="AB235" s="448">
        <f>IF(NFI_Expiration=1,IF($A235&lt;VLOOKUP(M$5,NFI,5,0),1,0)*Table_NFI[[#This Row],[Blanket]],Table_NFI[[#This Row],[Blanket]])</f>
        <v>0</v>
      </c>
      <c r="AC235" s="448">
        <f>IF(NFI_Expiration=1,IF($A235&lt;VLOOKUP(N$5,NFI,5,0),1,0)*Table_NFI[[#This Row],[Kitchen Set]],Table_NFI[Kitchen Set])</f>
        <v>0</v>
      </c>
      <c r="AD235" s="448">
        <f>IF(NFI_Expiration=1,IF($A235&lt;VLOOKUP(O$5,NFI,5,0),1,0)*Table_NFI[[#This Row],[Clothes Kit]],Table_NFI[Clothes Kit])</f>
        <v>0</v>
      </c>
      <c r="AE235" s="448">
        <f>IF(NFI_Expiration=1,IF($A235&lt;VLOOKUP(P$5,NFI,5,0),1,0)*Table_NFI[[#This Row],[Plastic Bucket]],Table_NFI[Plastic Bucket])</f>
        <v>0</v>
      </c>
      <c r="AF235" s="448">
        <f>IF(NFI_Expiration=1,IF($A235&lt;VLOOKUP(Q$5,NFI,5,0),1,0)*Table_NFI[[#This Row],[Plastic Mat]],Table_NFI[Plastic Mat])*IF(Table_NFI[[#This Row],[Distribution Date]]&gt;"2014-04-01",1,2.5)</f>
        <v>0</v>
      </c>
      <c r="AG235" s="448">
        <f>IF(NFI_Expiration=1,IF($A235&lt;VLOOKUP(R$5,NFI,5,0),1,0)*Table_NFI[[#This Row],[Winter Clothes Adult]],Table_NFI[Winter Clothes Adult])</f>
        <v>0</v>
      </c>
      <c r="AH235" s="448">
        <f>IF(NFI_Expiration=1,IF($A235&lt;VLOOKUP(S$5,NFI,5,0),1,0)*Table_NFI[[#This Row],[Winter Clothes Children]],Table_NFI[Winter Clothes Children])</f>
        <v>0</v>
      </c>
      <c r="AI235" s="448">
        <f>IF(NFI_Expiration=1,IF($A235&lt;VLOOKUP(T$5,NFI,5,0),1,0)*Table_NFI[[#This Row],[Winter Items Other]],Table_NFI[Winter Items Other])</f>
        <v>0</v>
      </c>
      <c r="AJ235" s="448">
        <f>IF(NFI_Expiration=1,IF($A235&lt;VLOOKUP(M$5,NFI,5,0),1,0)*Table_NFI[[#This Row],[Winter Blanket]],Table_NFI[[#This Row],[Winter Blanket]])</f>
        <v>0</v>
      </c>
      <c r="AK235" s="448">
        <f>IF(Table_NFI[[#This Row],[Winter Clothes Adult]]+Table_NFI[[#This Row],[Winter Clothes Children]]+Table_NFI[[#This Row],[Winter Items Other]]+Table_NFI[[#This Row],[Winter Blanket]]&gt;0,1,0)</f>
        <v>1</v>
      </c>
      <c r="AL235" s="439">
        <f>IF(NFI_Expiration=1,IF($A235&lt;VLOOKUP(V$5,NFI,5,0),1,0)*Table_NFI[[#This Row],[Jerry Can]],Table_NFI[Jerry Can])</f>
        <v>0</v>
      </c>
      <c r="AM235" s="797" t="str">
        <f>IFERROR(VLOOKUP(Table_NFI[[#This Row],[Camp Name]],CL,2,0),"")</f>
        <v>MMR001CMP031</v>
      </c>
      <c r="AN235" s="798">
        <f ca="1">IF(Table_NFI[[#This Row],[Pcode]]="","",IF(OFFSET(CampList[Opening Date],MATCH(Table_NFI[[#This Row],[Pcode]],CampList[CP_Pcode],0)-1,0,1,1)&gt;=NFI_Monitor_Date,1,0))</f>
        <v>0</v>
      </c>
      <c r="AO235" s="797" t="str">
        <f>IFERROR(VLOOKUP(Table_NFI[[#This Row],[Camp Name]],CL,3,0),"")</f>
        <v>Open</v>
      </c>
      <c r="AP235" s="448" t="str">
        <f ca="1">IF(Table_NFI[[#This Row],[Pcode]]="","",OFFSET(CampList[Priority],MATCH(Table_NFI[[#This Row],[Pcode]],CampList[CP_Pcode],0)-1,0,1,1))</f>
        <v>P4</v>
      </c>
      <c r="AQ235" s="449">
        <f>IFERROR(Table_NFI[[#This Row],[Kitchen Set]]/VLOOKUP(Table_NFI[[#This Row],[Camp Name]],CL,4,0),"")</f>
        <v>0</v>
      </c>
      <c r="AR235" s="799"/>
      <c r="AS235" s="783"/>
    </row>
    <row r="236" spans="1:45" s="784" customFormat="1" x14ac:dyDescent="0.25">
      <c r="A236" s="455">
        <f t="shared" si="3"/>
        <v>17.7</v>
      </c>
      <c r="B236" s="778">
        <v>41778</v>
      </c>
      <c r="C236" s="779" t="s">
        <v>1113</v>
      </c>
      <c r="D236" s="779" t="s">
        <v>907</v>
      </c>
      <c r="E236" s="779" t="s">
        <v>380</v>
      </c>
      <c r="F236" s="779" t="s">
        <v>310</v>
      </c>
      <c r="G236" s="779" t="s">
        <v>326</v>
      </c>
      <c r="H236" s="436"/>
      <c r="I236" s="436"/>
      <c r="J236" s="436"/>
      <c r="K236" s="436"/>
      <c r="L236" s="437"/>
      <c r="M236" s="437"/>
      <c r="N236" s="437"/>
      <c r="O236" s="437"/>
      <c r="P236" s="439"/>
      <c r="Q236" s="439"/>
      <c r="R236" s="436"/>
      <c r="S236" s="436"/>
      <c r="T236" s="436"/>
      <c r="U236" s="436">
        <v>230</v>
      </c>
      <c r="V236" s="436"/>
      <c r="W236" s="448">
        <f>IF(NFI_Expiration=1,IF($A236&lt;VLOOKUP(H$5,NFI,5,0),1,0)*Table_NFI[[#This Row],[Hygiene Kit]],Table_NFI[Hygiene Kit])</f>
        <v>0</v>
      </c>
      <c r="X236" s="448">
        <f>IF(NFI_Expiration=1,IF($A236&lt;VLOOKUP(I$5,NFI,5,0),1,0)*Table_NFI[[#This Row],[NFI Core Kit]],Table_NFI[NFI Core Kit])</f>
        <v>0</v>
      </c>
      <c r="Y236" s="448">
        <f>IF(NFI_Expiration=1,IF($A236&lt;VLOOKUP(J$5,NFI,5,0),1,0)*Table_NFI[[#This Row],[Sanitary Kit]],Table_NFI[Sanitary Kit])</f>
        <v>0</v>
      </c>
      <c r="Z236" s="448">
        <f>IF(NFI_Expiration=1,IF($A236&lt;VLOOKUP(K$5,NFI,5,0),1,0)*Table_NFI[[#This Row],[Mosquito net]],Table_NFI[Mosquito net])</f>
        <v>0</v>
      </c>
      <c r="AA236" s="448">
        <f>IF(NFI_Expiration=1,IF($A236&lt;VLOOKUP(L$5,NFI,5,0),1,0)*Table_NFI[[#This Row],[Tarpaulin]],Table_NFI[[#This Row],[Tarpaulin]])</f>
        <v>0</v>
      </c>
      <c r="AB236" s="448">
        <f>IF(NFI_Expiration=1,IF($A236&lt;VLOOKUP(M$5,NFI,5,0),1,0)*Table_NFI[[#This Row],[Blanket]],Table_NFI[[#This Row],[Blanket]])</f>
        <v>0</v>
      </c>
      <c r="AC236" s="448">
        <f>IF(NFI_Expiration=1,IF($A236&lt;VLOOKUP(N$5,NFI,5,0),1,0)*Table_NFI[[#This Row],[Kitchen Set]],Table_NFI[Kitchen Set])</f>
        <v>0</v>
      </c>
      <c r="AD236" s="448">
        <f>IF(NFI_Expiration=1,IF($A236&lt;VLOOKUP(O$5,NFI,5,0),1,0)*Table_NFI[[#This Row],[Clothes Kit]],Table_NFI[Clothes Kit])</f>
        <v>0</v>
      </c>
      <c r="AE236" s="448">
        <f>IF(NFI_Expiration=1,IF($A236&lt;VLOOKUP(P$5,NFI,5,0),1,0)*Table_NFI[[#This Row],[Plastic Bucket]],Table_NFI[Plastic Bucket])</f>
        <v>0</v>
      </c>
      <c r="AF236" s="448">
        <f>IF(NFI_Expiration=1,IF($A236&lt;VLOOKUP(Q$5,NFI,5,0),1,0)*Table_NFI[[#This Row],[Plastic Mat]],Table_NFI[Plastic Mat])*IF(Table_NFI[[#This Row],[Distribution Date]]&gt;"2014-04-01",1,2.5)</f>
        <v>0</v>
      </c>
      <c r="AG236" s="448">
        <f>IF(NFI_Expiration=1,IF($A236&lt;VLOOKUP(R$5,NFI,5,0),1,0)*Table_NFI[[#This Row],[Winter Clothes Adult]],Table_NFI[Winter Clothes Adult])</f>
        <v>0</v>
      </c>
      <c r="AH236" s="448">
        <f>IF(NFI_Expiration=1,IF($A236&lt;VLOOKUP(S$5,NFI,5,0),1,0)*Table_NFI[[#This Row],[Winter Clothes Children]],Table_NFI[Winter Clothes Children])</f>
        <v>0</v>
      </c>
      <c r="AI236" s="448">
        <f>IF(NFI_Expiration=1,IF($A236&lt;VLOOKUP(T$5,NFI,5,0),1,0)*Table_NFI[[#This Row],[Winter Items Other]],Table_NFI[Winter Items Other])</f>
        <v>0</v>
      </c>
      <c r="AJ236" s="448">
        <f>IF(NFI_Expiration=1,IF($A236&lt;VLOOKUP(M$5,NFI,5,0),1,0)*Table_NFI[[#This Row],[Winter Blanket]],Table_NFI[[#This Row],[Winter Blanket]])</f>
        <v>0</v>
      </c>
      <c r="AK236" s="448">
        <f>IF(Table_NFI[[#This Row],[Winter Clothes Adult]]+Table_NFI[[#This Row],[Winter Clothes Children]]+Table_NFI[[#This Row],[Winter Items Other]]+Table_NFI[[#This Row],[Winter Blanket]]&gt;0,1,0)</f>
        <v>1</v>
      </c>
      <c r="AL236" s="439">
        <f>IF(NFI_Expiration=1,IF($A236&lt;VLOOKUP(V$5,NFI,5,0),1,0)*Table_NFI[[#This Row],[Jerry Can]],Table_NFI[Jerry Can])</f>
        <v>0</v>
      </c>
      <c r="AM236" s="797" t="str">
        <f>IFERROR(VLOOKUP(Table_NFI[[#This Row],[Camp Name]],CL,2,0),"")</f>
        <v>MMR001CMP039</v>
      </c>
      <c r="AN236" s="798">
        <f ca="1">IF(Table_NFI[[#This Row],[Pcode]]="","",IF(OFFSET(CampList[Opening Date],MATCH(Table_NFI[[#This Row],[Pcode]],CampList[CP_Pcode],0)-1,0,1,1)&gt;=NFI_Monitor_Date,1,0))</f>
        <v>0</v>
      </c>
      <c r="AO236" s="797" t="str">
        <f>IFERROR(VLOOKUP(Table_NFI[[#This Row],[Camp Name]],CL,3,0),"")</f>
        <v>Open</v>
      </c>
      <c r="AP236" s="448" t="str">
        <f ca="1">IF(Table_NFI[[#This Row],[Pcode]]="","",OFFSET(CampList[Priority],MATCH(Table_NFI[[#This Row],[Pcode]],CampList[CP_Pcode],0)-1,0,1,1))</f>
        <v>P4</v>
      </c>
      <c r="AQ236" s="449">
        <f>IFERROR(Table_NFI[[#This Row],[Kitchen Set]]/VLOOKUP(Table_NFI[[#This Row],[Camp Name]],CL,4,0),"")</f>
        <v>0</v>
      </c>
      <c r="AR236" s="799"/>
      <c r="AS236" s="783"/>
    </row>
    <row r="237" spans="1:45" s="784" customFormat="1" x14ac:dyDescent="0.25">
      <c r="A237" s="455">
        <f t="shared" si="3"/>
        <v>17.7</v>
      </c>
      <c r="B237" s="778">
        <v>41778</v>
      </c>
      <c r="C237" s="779" t="s">
        <v>1113</v>
      </c>
      <c r="D237" s="779" t="s">
        <v>907</v>
      </c>
      <c r="E237" s="779" t="s">
        <v>380</v>
      </c>
      <c r="F237" s="779" t="s">
        <v>310</v>
      </c>
      <c r="G237" s="779" t="s">
        <v>338</v>
      </c>
      <c r="H237" s="436"/>
      <c r="I237" s="436"/>
      <c r="J237" s="436"/>
      <c r="K237" s="436"/>
      <c r="L237" s="437"/>
      <c r="M237" s="437"/>
      <c r="N237" s="437"/>
      <c r="O237" s="437"/>
      <c r="P237" s="439"/>
      <c r="Q237" s="439"/>
      <c r="R237" s="436"/>
      <c r="S237" s="436"/>
      <c r="T237" s="436"/>
      <c r="U237" s="436">
        <v>60</v>
      </c>
      <c r="V237" s="436"/>
      <c r="W237" s="448">
        <f>IF(NFI_Expiration=1,IF($A237&lt;VLOOKUP(H$5,NFI,5,0),1,0)*Table_NFI[[#This Row],[Hygiene Kit]],Table_NFI[Hygiene Kit])</f>
        <v>0</v>
      </c>
      <c r="X237" s="448">
        <f>IF(NFI_Expiration=1,IF($A237&lt;VLOOKUP(I$5,NFI,5,0),1,0)*Table_NFI[[#This Row],[NFI Core Kit]],Table_NFI[NFI Core Kit])</f>
        <v>0</v>
      </c>
      <c r="Y237" s="448">
        <f>IF(NFI_Expiration=1,IF($A237&lt;VLOOKUP(J$5,NFI,5,0),1,0)*Table_NFI[[#This Row],[Sanitary Kit]],Table_NFI[Sanitary Kit])</f>
        <v>0</v>
      </c>
      <c r="Z237" s="448">
        <f>IF(NFI_Expiration=1,IF($A237&lt;VLOOKUP(K$5,NFI,5,0),1,0)*Table_NFI[[#This Row],[Mosquito net]],Table_NFI[Mosquito net])</f>
        <v>0</v>
      </c>
      <c r="AA237" s="448">
        <f>IF(NFI_Expiration=1,IF($A237&lt;VLOOKUP(L$5,NFI,5,0),1,0)*Table_NFI[[#This Row],[Tarpaulin]],Table_NFI[[#This Row],[Tarpaulin]])</f>
        <v>0</v>
      </c>
      <c r="AB237" s="448">
        <f>IF(NFI_Expiration=1,IF($A237&lt;VLOOKUP(M$5,NFI,5,0),1,0)*Table_NFI[[#This Row],[Blanket]],Table_NFI[[#This Row],[Blanket]])</f>
        <v>0</v>
      </c>
      <c r="AC237" s="448">
        <f>IF(NFI_Expiration=1,IF($A237&lt;VLOOKUP(N$5,NFI,5,0),1,0)*Table_NFI[[#This Row],[Kitchen Set]],Table_NFI[Kitchen Set])</f>
        <v>0</v>
      </c>
      <c r="AD237" s="448">
        <f>IF(NFI_Expiration=1,IF($A237&lt;VLOOKUP(O$5,NFI,5,0),1,0)*Table_NFI[[#This Row],[Clothes Kit]],Table_NFI[Clothes Kit])</f>
        <v>0</v>
      </c>
      <c r="AE237" s="448">
        <f>IF(NFI_Expiration=1,IF($A237&lt;VLOOKUP(P$5,NFI,5,0),1,0)*Table_NFI[[#This Row],[Plastic Bucket]],Table_NFI[Plastic Bucket])</f>
        <v>0</v>
      </c>
      <c r="AF237" s="448">
        <f>IF(NFI_Expiration=1,IF($A237&lt;VLOOKUP(Q$5,NFI,5,0),1,0)*Table_NFI[[#This Row],[Plastic Mat]],Table_NFI[Plastic Mat])*IF(Table_NFI[[#This Row],[Distribution Date]]&gt;"2014-04-01",1,2.5)</f>
        <v>0</v>
      </c>
      <c r="AG237" s="448">
        <f>IF(NFI_Expiration=1,IF($A237&lt;VLOOKUP(R$5,NFI,5,0),1,0)*Table_NFI[[#This Row],[Winter Clothes Adult]],Table_NFI[Winter Clothes Adult])</f>
        <v>0</v>
      </c>
      <c r="AH237" s="448">
        <f>IF(NFI_Expiration=1,IF($A237&lt;VLOOKUP(S$5,NFI,5,0),1,0)*Table_NFI[[#This Row],[Winter Clothes Children]],Table_NFI[Winter Clothes Children])</f>
        <v>0</v>
      </c>
      <c r="AI237" s="448">
        <f>IF(NFI_Expiration=1,IF($A237&lt;VLOOKUP(T$5,NFI,5,0),1,0)*Table_NFI[[#This Row],[Winter Items Other]],Table_NFI[Winter Items Other])</f>
        <v>0</v>
      </c>
      <c r="AJ237" s="448">
        <f>IF(NFI_Expiration=1,IF($A237&lt;VLOOKUP(M$5,NFI,5,0),1,0)*Table_NFI[[#This Row],[Winter Blanket]],Table_NFI[[#This Row],[Winter Blanket]])</f>
        <v>0</v>
      </c>
      <c r="AK237" s="448">
        <f>IF(Table_NFI[[#This Row],[Winter Clothes Adult]]+Table_NFI[[#This Row],[Winter Clothes Children]]+Table_NFI[[#This Row],[Winter Items Other]]+Table_NFI[[#This Row],[Winter Blanket]]&gt;0,1,0)</f>
        <v>1</v>
      </c>
      <c r="AL237" s="439">
        <f>IF(NFI_Expiration=1,IF($A237&lt;VLOOKUP(V$5,NFI,5,0),1,0)*Table_NFI[[#This Row],[Jerry Can]],Table_NFI[Jerry Can])</f>
        <v>0</v>
      </c>
      <c r="AM237" s="797" t="str">
        <f>IFERROR(VLOOKUP(Table_NFI[[#This Row],[Camp Name]],CL,2,0),"")</f>
        <v>MMR001CMP030</v>
      </c>
      <c r="AN237" s="798">
        <f ca="1">IF(Table_NFI[[#This Row],[Pcode]]="","",IF(OFFSET(CampList[Opening Date],MATCH(Table_NFI[[#This Row],[Pcode]],CampList[CP_Pcode],0)-1,0,1,1)&gt;=NFI_Monitor_Date,1,0))</f>
        <v>0</v>
      </c>
      <c r="AO237" s="797" t="str">
        <f>IFERROR(VLOOKUP(Table_NFI[[#This Row],[Camp Name]],CL,3,0),"")</f>
        <v>Open</v>
      </c>
      <c r="AP237" s="448" t="str">
        <f ca="1">IF(Table_NFI[[#This Row],[Pcode]]="","",OFFSET(CampList[Priority],MATCH(Table_NFI[[#This Row],[Pcode]],CampList[CP_Pcode],0)-1,0,1,1))</f>
        <v>P4</v>
      </c>
      <c r="AQ237" s="449">
        <f>IFERROR(Table_NFI[[#This Row],[Kitchen Set]]/VLOOKUP(Table_NFI[[#This Row],[Camp Name]],CL,4,0),"")</f>
        <v>0</v>
      </c>
      <c r="AR237" s="799"/>
      <c r="AS237" s="783"/>
    </row>
    <row r="238" spans="1:45" s="784" customFormat="1" x14ac:dyDescent="0.25">
      <c r="A238" s="455">
        <f t="shared" si="3"/>
        <v>17.8</v>
      </c>
      <c r="B238" s="778">
        <v>41775</v>
      </c>
      <c r="C238" s="779" t="s">
        <v>1113</v>
      </c>
      <c r="D238" s="779" t="s">
        <v>907</v>
      </c>
      <c r="E238" s="779" t="s">
        <v>380</v>
      </c>
      <c r="F238" s="779" t="s">
        <v>310</v>
      </c>
      <c r="G238" s="779" t="s">
        <v>330</v>
      </c>
      <c r="H238" s="436"/>
      <c r="I238" s="436"/>
      <c r="J238" s="436"/>
      <c r="K238" s="436"/>
      <c r="L238" s="437"/>
      <c r="M238" s="437"/>
      <c r="N238" s="437"/>
      <c r="O238" s="437"/>
      <c r="P238" s="439"/>
      <c r="Q238" s="439"/>
      <c r="R238" s="436"/>
      <c r="S238" s="436"/>
      <c r="T238" s="436"/>
      <c r="U238" s="436">
        <v>470</v>
      </c>
      <c r="V238" s="436"/>
      <c r="W238" s="448">
        <f>IF(NFI_Expiration=1,IF($A238&lt;VLOOKUP(H$5,NFI,5,0),1,0)*Table_NFI[[#This Row],[Hygiene Kit]],Table_NFI[Hygiene Kit])</f>
        <v>0</v>
      </c>
      <c r="X238" s="448">
        <f>IF(NFI_Expiration=1,IF($A238&lt;VLOOKUP(I$5,NFI,5,0),1,0)*Table_NFI[[#This Row],[NFI Core Kit]],Table_NFI[NFI Core Kit])</f>
        <v>0</v>
      </c>
      <c r="Y238" s="448">
        <f>IF(NFI_Expiration=1,IF($A238&lt;VLOOKUP(J$5,NFI,5,0),1,0)*Table_NFI[[#This Row],[Sanitary Kit]],Table_NFI[Sanitary Kit])</f>
        <v>0</v>
      </c>
      <c r="Z238" s="448">
        <f>IF(NFI_Expiration=1,IF($A238&lt;VLOOKUP(K$5,NFI,5,0),1,0)*Table_NFI[[#This Row],[Mosquito net]],Table_NFI[Mosquito net])</f>
        <v>0</v>
      </c>
      <c r="AA238" s="448">
        <f>IF(NFI_Expiration=1,IF($A238&lt;VLOOKUP(L$5,NFI,5,0),1,0)*Table_NFI[[#This Row],[Tarpaulin]],Table_NFI[[#This Row],[Tarpaulin]])</f>
        <v>0</v>
      </c>
      <c r="AB238" s="448">
        <f>IF(NFI_Expiration=1,IF($A238&lt;VLOOKUP(M$5,NFI,5,0),1,0)*Table_NFI[[#This Row],[Blanket]],Table_NFI[[#This Row],[Blanket]])</f>
        <v>0</v>
      </c>
      <c r="AC238" s="448">
        <f>IF(NFI_Expiration=1,IF($A238&lt;VLOOKUP(N$5,NFI,5,0),1,0)*Table_NFI[[#This Row],[Kitchen Set]],Table_NFI[Kitchen Set])</f>
        <v>0</v>
      </c>
      <c r="AD238" s="448">
        <f>IF(NFI_Expiration=1,IF($A238&lt;VLOOKUP(O$5,NFI,5,0),1,0)*Table_NFI[[#This Row],[Clothes Kit]],Table_NFI[Clothes Kit])</f>
        <v>0</v>
      </c>
      <c r="AE238" s="448">
        <f>IF(NFI_Expiration=1,IF($A238&lt;VLOOKUP(P$5,NFI,5,0),1,0)*Table_NFI[[#This Row],[Plastic Bucket]],Table_NFI[Plastic Bucket])</f>
        <v>0</v>
      </c>
      <c r="AF238" s="448">
        <f>IF(NFI_Expiration=1,IF($A238&lt;VLOOKUP(Q$5,NFI,5,0),1,0)*Table_NFI[[#This Row],[Plastic Mat]],Table_NFI[Plastic Mat])*IF(Table_NFI[[#This Row],[Distribution Date]]&gt;"2014-04-01",1,2.5)</f>
        <v>0</v>
      </c>
      <c r="AG238" s="448">
        <f>IF(NFI_Expiration=1,IF($A238&lt;VLOOKUP(R$5,NFI,5,0),1,0)*Table_NFI[[#This Row],[Winter Clothes Adult]],Table_NFI[Winter Clothes Adult])</f>
        <v>0</v>
      </c>
      <c r="AH238" s="448">
        <f>IF(NFI_Expiration=1,IF($A238&lt;VLOOKUP(S$5,NFI,5,0),1,0)*Table_NFI[[#This Row],[Winter Clothes Children]],Table_NFI[Winter Clothes Children])</f>
        <v>0</v>
      </c>
      <c r="AI238" s="448">
        <f>IF(NFI_Expiration=1,IF($A238&lt;VLOOKUP(T$5,NFI,5,0),1,0)*Table_NFI[[#This Row],[Winter Items Other]],Table_NFI[Winter Items Other])</f>
        <v>0</v>
      </c>
      <c r="AJ238" s="448">
        <f>IF(NFI_Expiration=1,IF($A238&lt;VLOOKUP(M$5,NFI,5,0),1,0)*Table_NFI[[#This Row],[Winter Blanket]],Table_NFI[[#This Row],[Winter Blanket]])</f>
        <v>0</v>
      </c>
      <c r="AK238" s="448">
        <f>IF(Table_NFI[[#This Row],[Winter Clothes Adult]]+Table_NFI[[#This Row],[Winter Clothes Children]]+Table_NFI[[#This Row],[Winter Items Other]]+Table_NFI[[#This Row],[Winter Blanket]]&gt;0,1,0)</f>
        <v>1</v>
      </c>
      <c r="AL238" s="439">
        <f>IF(NFI_Expiration=1,IF($A238&lt;VLOOKUP(V$5,NFI,5,0),1,0)*Table_NFI[[#This Row],[Jerry Can]],Table_NFI[Jerry Can])</f>
        <v>0</v>
      </c>
      <c r="AM238" s="797" t="str">
        <f>IFERROR(VLOOKUP(Table_NFI[[#This Row],[Camp Name]],CL,2,0),"")</f>
        <v>MMR001CMP029</v>
      </c>
      <c r="AN238" s="798">
        <f ca="1">IF(Table_NFI[[#This Row],[Pcode]]="","",IF(OFFSET(CampList[Opening Date],MATCH(Table_NFI[[#This Row],[Pcode]],CampList[CP_Pcode],0)-1,0,1,1)&gt;=NFI_Monitor_Date,1,0))</f>
        <v>0</v>
      </c>
      <c r="AO238" s="797" t="str">
        <f>IFERROR(VLOOKUP(Table_NFI[[#This Row],[Camp Name]],CL,3,0),"")</f>
        <v>Open</v>
      </c>
      <c r="AP238" s="448" t="str">
        <f ca="1">IF(Table_NFI[[#This Row],[Pcode]]="","",OFFSET(CampList[Priority],MATCH(Table_NFI[[#This Row],[Pcode]],CampList[CP_Pcode],0)-1,0,1,1))</f>
        <v>P4</v>
      </c>
      <c r="AQ238" s="449">
        <f>IFERROR(Table_NFI[[#This Row],[Kitchen Set]]/VLOOKUP(Table_NFI[[#This Row],[Camp Name]],CL,4,0),"")</f>
        <v>0</v>
      </c>
      <c r="AR238" s="799"/>
      <c r="AS238" s="783"/>
    </row>
    <row r="239" spans="1:45" s="784" customFormat="1" x14ac:dyDescent="0.25">
      <c r="A239" s="455">
        <f t="shared" si="3"/>
        <v>17.8</v>
      </c>
      <c r="B239" s="778">
        <v>41775</v>
      </c>
      <c r="C239" s="779" t="s">
        <v>454</v>
      </c>
      <c r="D239" s="779" t="s">
        <v>454</v>
      </c>
      <c r="E239" s="779" t="s">
        <v>380</v>
      </c>
      <c r="F239" s="779" t="s">
        <v>5</v>
      </c>
      <c r="G239" s="779" t="s">
        <v>8</v>
      </c>
      <c r="H239" s="436"/>
      <c r="I239" s="436"/>
      <c r="J239" s="436"/>
      <c r="K239" s="436">
        <v>10</v>
      </c>
      <c r="L239" s="437">
        <v>4</v>
      </c>
      <c r="M239" s="437">
        <v>10</v>
      </c>
      <c r="N239" s="437">
        <v>4</v>
      </c>
      <c r="O239" s="437">
        <v>4</v>
      </c>
      <c r="P239" s="439">
        <v>4</v>
      </c>
      <c r="Q239" s="439">
        <v>18</v>
      </c>
      <c r="R239" s="436"/>
      <c r="S239" s="436"/>
      <c r="T239" s="436"/>
      <c r="U239" s="436"/>
      <c r="V239" s="436"/>
      <c r="W239" s="436">
        <f>IF(NFI_Expiration=1,IF($A239&lt;VLOOKUP(H$5,NFI,5,0),1,0)*Table_NFI[[#This Row],[Hygiene Kit]],Table_NFI[Hygiene Kit])</f>
        <v>0</v>
      </c>
      <c r="X239" s="436">
        <f>IF(NFI_Expiration=1,IF($A239&lt;VLOOKUP(I$5,NFI,5,0),1,0)*Table_NFI[[#This Row],[NFI Core Kit]],Table_NFI[NFI Core Kit])</f>
        <v>0</v>
      </c>
      <c r="Y239" s="436">
        <f>IF(NFI_Expiration=1,IF($A239&lt;VLOOKUP(J$5,NFI,5,0),1,0)*Table_NFI[[#This Row],[Sanitary Kit]],Table_NFI[Sanitary Kit])</f>
        <v>0</v>
      </c>
      <c r="Z239" s="436">
        <f>IF(NFI_Expiration=1,IF($A239&lt;VLOOKUP(K$5,NFI,5,0),1,0)*Table_NFI[[#This Row],[Mosquito net]],Table_NFI[Mosquito net])</f>
        <v>0</v>
      </c>
      <c r="AA239" s="436">
        <f>IF(NFI_Expiration=1,IF($A239&lt;VLOOKUP(L$5,NFI,5,0),1,0)*Table_NFI[[#This Row],[Tarpaulin]],Table_NFI[[#This Row],[Tarpaulin]])</f>
        <v>0</v>
      </c>
      <c r="AB239" s="436">
        <f>IF(NFI_Expiration=1,IF($A239&lt;VLOOKUP(M$5,NFI,5,0),1,0)*Table_NFI[[#This Row],[Blanket]],Table_NFI[[#This Row],[Blanket]])</f>
        <v>0</v>
      </c>
      <c r="AC239" s="436">
        <f>IF(NFI_Expiration=1,IF($A239&lt;VLOOKUP(N$5,NFI,5,0),1,0)*Table_NFI[[#This Row],[Kitchen Set]],Table_NFI[Kitchen Set])</f>
        <v>0</v>
      </c>
      <c r="AD239" s="436">
        <f>IF(NFI_Expiration=1,IF($A239&lt;VLOOKUP(O$5,NFI,5,0),1,0)*Table_NFI[[#This Row],[Clothes Kit]],Table_NFI[Clothes Kit])</f>
        <v>0</v>
      </c>
      <c r="AE239" s="436">
        <f>IF(NFI_Expiration=1,IF($A239&lt;VLOOKUP(P$5,NFI,5,0),1,0)*Table_NFI[[#This Row],[Plastic Bucket]],Table_NFI[Plastic Bucket])</f>
        <v>0</v>
      </c>
      <c r="AF239" s="436">
        <f>IF(NFI_Expiration=1,IF($A239&lt;VLOOKUP(Q$5,NFI,5,0),1,0)*Table_NFI[[#This Row],[Plastic Mat]],Table_NFI[Plastic Mat])*IF(Table_NFI[[#This Row],[Distribution Date]]&gt;"2014-04-01",1,2.5)</f>
        <v>0</v>
      </c>
      <c r="AG239" s="436">
        <f>IF(NFI_Expiration=1,IF($A239&lt;VLOOKUP(R$5,NFI,5,0),1,0)*Table_NFI[[#This Row],[Winter Clothes Adult]],Table_NFI[Winter Clothes Adult])</f>
        <v>0</v>
      </c>
      <c r="AH239" s="436">
        <f>IF(NFI_Expiration=1,IF($A239&lt;VLOOKUP(S$5,NFI,5,0),1,0)*Table_NFI[[#This Row],[Winter Clothes Children]],Table_NFI[Winter Clothes Children])</f>
        <v>0</v>
      </c>
      <c r="AI239" s="436">
        <f>IF(NFI_Expiration=1,IF($A239&lt;VLOOKUP(T$5,NFI,5,0),1,0)*Table_NFI[[#This Row],[Winter Items Other]],Table_NFI[Winter Items Other])</f>
        <v>0</v>
      </c>
      <c r="AJ239" s="436">
        <f>IF(NFI_Expiration=1,IF($A239&lt;VLOOKUP(M$5,NFI,5,0),1,0)*Table_NFI[[#This Row],[Winter Blanket]],Table_NFI[[#This Row],[Winter Blanket]])</f>
        <v>0</v>
      </c>
      <c r="AK239" s="436">
        <f>IF(Table_NFI[[#This Row],[Winter Clothes Adult]]+Table_NFI[[#This Row],[Winter Clothes Children]]+Table_NFI[[#This Row],[Winter Items Other]]+Table_NFI[[#This Row],[Winter Blanket]]&gt;0,1,0)</f>
        <v>0</v>
      </c>
      <c r="AL239" s="439">
        <f>IF(NFI_Expiration=1,IF($A239&lt;VLOOKUP(V$5,NFI,5,0),1,0)*Table_NFI[[#This Row],[Jerry Can]],Table_NFI[Jerry Can])</f>
        <v>0</v>
      </c>
      <c r="AM239" s="781" t="str">
        <f>IFERROR(VLOOKUP(Table_NFI[[#This Row],[Camp Name]],CL,2,0),"")</f>
        <v>MMR001CMP051</v>
      </c>
      <c r="AN239" s="782">
        <f ca="1">IF(Table_NFI[[#This Row],[Pcode]]="","",IF(OFFSET(CampList[Opening Date],MATCH(Table_NFI[[#This Row],[Pcode]],CampList[CP_Pcode],0)-1,0,1,1)&gt;=NFI_Monitor_Date,1,0))</f>
        <v>0</v>
      </c>
      <c r="AO239" s="781" t="str">
        <f>IFERROR(VLOOKUP(Table_NFI[[#This Row],[Camp Name]],CL,3,0),"")</f>
        <v>Open</v>
      </c>
      <c r="AP239" s="436" t="str">
        <f ca="1">IF(Table_NFI[[#This Row],[Pcode]]="","",OFFSET(CampList[Priority],MATCH(Table_NFI[[#This Row],[Pcode]],CampList[CP_Pcode],0)-1,0,1,1))</f>
        <v>P4</v>
      </c>
      <c r="AQ239" s="438">
        <f>IFERROR(Table_NFI[[#This Row],[Kitchen Set]]/VLOOKUP(Table_NFI[[#This Row],[Camp Name]],CL,4,0),"")</f>
        <v>0.17391304347826086</v>
      </c>
      <c r="AR239" s="779" t="s">
        <v>1099</v>
      </c>
      <c r="AS239" s="783"/>
    </row>
    <row r="240" spans="1:45" s="784" customFormat="1" x14ac:dyDescent="0.25">
      <c r="A240" s="455">
        <f t="shared" si="3"/>
        <v>17.8</v>
      </c>
      <c r="B240" s="778">
        <v>41775</v>
      </c>
      <c r="C240" s="779" t="s">
        <v>1113</v>
      </c>
      <c r="D240" s="779" t="s">
        <v>907</v>
      </c>
      <c r="E240" s="779" t="s">
        <v>380</v>
      </c>
      <c r="F240" s="779" t="s">
        <v>237</v>
      </c>
      <c r="G240" s="779" t="s">
        <v>271</v>
      </c>
      <c r="H240" s="436"/>
      <c r="I240" s="436"/>
      <c r="J240" s="436"/>
      <c r="K240" s="436"/>
      <c r="L240" s="437"/>
      <c r="M240" s="437"/>
      <c r="N240" s="437"/>
      <c r="O240" s="437"/>
      <c r="P240" s="439"/>
      <c r="Q240" s="439"/>
      <c r="R240" s="436"/>
      <c r="S240" s="436"/>
      <c r="T240" s="436"/>
      <c r="U240" s="436">
        <v>142</v>
      </c>
      <c r="V240" s="436"/>
      <c r="W240" s="448">
        <f>IF(NFI_Expiration=1,IF($A240&lt;VLOOKUP(H$5,NFI,5,0),1,0)*Table_NFI[[#This Row],[Hygiene Kit]],Table_NFI[Hygiene Kit])</f>
        <v>0</v>
      </c>
      <c r="X240" s="448">
        <f>IF(NFI_Expiration=1,IF($A240&lt;VLOOKUP(I$5,NFI,5,0),1,0)*Table_NFI[[#This Row],[NFI Core Kit]],Table_NFI[NFI Core Kit])</f>
        <v>0</v>
      </c>
      <c r="Y240" s="448">
        <f>IF(NFI_Expiration=1,IF($A240&lt;VLOOKUP(J$5,NFI,5,0),1,0)*Table_NFI[[#This Row],[Sanitary Kit]],Table_NFI[Sanitary Kit])</f>
        <v>0</v>
      </c>
      <c r="Z240" s="448">
        <f>IF(NFI_Expiration=1,IF($A240&lt;VLOOKUP(K$5,NFI,5,0),1,0)*Table_NFI[[#This Row],[Mosquito net]],Table_NFI[Mosquito net])</f>
        <v>0</v>
      </c>
      <c r="AA240" s="448">
        <f>IF(NFI_Expiration=1,IF($A240&lt;VLOOKUP(L$5,NFI,5,0),1,0)*Table_NFI[[#This Row],[Tarpaulin]],Table_NFI[[#This Row],[Tarpaulin]])</f>
        <v>0</v>
      </c>
      <c r="AB240" s="448">
        <f>IF(NFI_Expiration=1,IF($A240&lt;VLOOKUP(M$5,NFI,5,0),1,0)*Table_NFI[[#This Row],[Blanket]],Table_NFI[[#This Row],[Blanket]])</f>
        <v>0</v>
      </c>
      <c r="AC240" s="448">
        <f>IF(NFI_Expiration=1,IF($A240&lt;VLOOKUP(N$5,NFI,5,0),1,0)*Table_NFI[[#This Row],[Kitchen Set]],Table_NFI[Kitchen Set])</f>
        <v>0</v>
      </c>
      <c r="AD240" s="448">
        <f>IF(NFI_Expiration=1,IF($A240&lt;VLOOKUP(O$5,NFI,5,0),1,0)*Table_NFI[[#This Row],[Clothes Kit]],Table_NFI[Clothes Kit])</f>
        <v>0</v>
      </c>
      <c r="AE240" s="448">
        <f>IF(NFI_Expiration=1,IF($A240&lt;VLOOKUP(P$5,NFI,5,0),1,0)*Table_NFI[[#This Row],[Plastic Bucket]],Table_NFI[Plastic Bucket])</f>
        <v>0</v>
      </c>
      <c r="AF240" s="448">
        <f>IF(NFI_Expiration=1,IF($A240&lt;VLOOKUP(Q$5,NFI,5,0),1,0)*Table_NFI[[#This Row],[Plastic Mat]],Table_NFI[Plastic Mat])*IF(Table_NFI[[#This Row],[Distribution Date]]&gt;"2014-04-01",1,2.5)</f>
        <v>0</v>
      </c>
      <c r="AG240" s="448">
        <f>IF(NFI_Expiration=1,IF($A240&lt;VLOOKUP(R$5,NFI,5,0),1,0)*Table_NFI[[#This Row],[Winter Clothes Adult]],Table_NFI[Winter Clothes Adult])</f>
        <v>0</v>
      </c>
      <c r="AH240" s="448">
        <f>IF(NFI_Expiration=1,IF($A240&lt;VLOOKUP(S$5,NFI,5,0),1,0)*Table_NFI[[#This Row],[Winter Clothes Children]],Table_NFI[Winter Clothes Children])</f>
        <v>0</v>
      </c>
      <c r="AI240" s="448">
        <f>IF(NFI_Expiration=1,IF($A240&lt;VLOOKUP(T$5,NFI,5,0),1,0)*Table_NFI[[#This Row],[Winter Items Other]],Table_NFI[Winter Items Other])</f>
        <v>0</v>
      </c>
      <c r="AJ240" s="448">
        <f>IF(NFI_Expiration=1,IF($A240&lt;VLOOKUP(M$5,NFI,5,0),1,0)*Table_NFI[[#This Row],[Winter Blanket]],Table_NFI[[#This Row],[Winter Blanket]])</f>
        <v>0</v>
      </c>
      <c r="AK240" s="448">
        <f>IF(Table_NFI[[#This Row],[Winter Clothes Adult]]+Table_NFI[[#This Row],[Winter Clothes Children]]+Table_NFI[[#This Row],[Winter Items Other]]+Table_NFI[[#This Row],[Winter Blanket]]&gt;0,1,0)</f>
        <v>1</v>
      </c>
      <c r="AL240" s="439">
        <f>IF(NFI_Expiration=1,IF($A240&lt;VLOOKUP(V$5,NFI,5,0),1,0)*Table_NFI[[#This Row],[Jerry Can]],Table_NFI[Jerry Can])</f>
        <v>0</v>
      </c>
      <c r="AM240" s="797" t="str">
        <f>IFERROR(VLOOKUP(Table_NFI[[#This Row],[Camp Name]],CL,2,0),"")</f>
        <v>MMR001CMP024</v>
      </c>
      <c r="AN240" s="798">
        <f ca="1">IF(Table_NFI[[#This Row],[Pcode]]="","",IF(OFFSET(CampList[Opening Date],MATCH(Table_NFI[[#This Row],[Pcode]],CampList[CP_Pcode],0)-1,0,1,1)&gt;=NFI_Monitor_Date,1,0))</f>
        <v>0</v>
      </c>
      <c r="AO240" s="797" t="str">
        <f>IFERROR(VLOOKUP(Table_NFI[[#This Row],[Camp Name]],CL,3,0),"")</f>
        <v>Open</v>
      </c>
      <c r="AP240" s="448" t="str">
        <f ca="1">IF(Table_NFI[[#This Row],[Pcode]]="","",OFFSET(CampList[Priority],MATCH(Table_NFI[[#This Row],[Pcode]],CampList[CP_Pcode],0)-1,0,1,1))</f>
        <v>P4</v>
      </c>
      <c r="AQ240" s="449">
        <f>IFERROR(Table_NFI[[#This Row],[Kitchen Set]]/VLOOKUP(Table_NFI[[#This Row],[Camp Name]],CL,4,0),"")</f>
        <v>0</v>
      </c>
      <c r="AR240" s="799"/>
      <c r="AS240" s="783"/>
    </row>
    <row r="241" spans="1:45" s="784" customFormat="1" x14ac:dyDescent="0.25">
      <c r="A241" s="455">
        <f t="shared" si="3"/>
        <v>17.8</v>
      </c>
      <c r="B241" s="778">
        <v>41775</v>
      </c>
      <c r="C241" s="779" t="s">
        <v>454</v>
      </c>
      <c r="D241" s="779" t="s">
        <v>454</v>
      </c>
      <c r="E241" s="779" t="s">
        <v>380</v>
      </c>
      <c r="F241" s="779" t="s">
        <v>5</v>
      </c>
      <c r="G241" s="779" t="s">
        <v>24</v>
      </c>
      <c r="H241" s="436"/>
      <c r="I241" s="436"/>
      <c r="J241" s="436"/>
      <c r="K241" s="436">
        <v>24</v>
      </c>
      <c r="L241" s="437">
        <v>13</v>
      </c>
      <c r="M241" s="437">
        <v>24</v>
      </c>
      <c r="N241" s="437">
        <v>13</v>
      </c>
      <c r="O241" s="437">
        <v>13</v>
      </c>
      <c r="P241" s="439">
        <v>13</v>
      </c>
      <c r="Q241" s="439">
        <v>33</v>
      </c>
      <c r="R241" s="436"/>
      <c r="S241" s="436"/>
      <c r="T241" s="436"/>
      <c r="U241" s="436"/>
      <c r="V241" s="436"/>
      <c r="W241" s="436">
        <f>IF(NFI_Expiration=1,IF($A241&lt;VLOOKUP(H$5,NFI,5,0),1,0)*Table_NFI[[#This Row],[Hygiene Kit]],Table_NFI[Hygiene Kit])</f>
        <v>0</v>
      </c>
      <c r="X241" s="436">
        <f>IF(NFI_Expiration=1,IF($A241&lt;VLOOKUP(I$5,NFI,5,0),1,0)*Table_NFI[[#This Row],[NFI Core Kit]],Table_NFI[NFI Core Kit])</f>
        <v>0</v>
      </c>
      <c r="Y241" s="436">
        <f>IF(NFI_Expiration=1,IF($A241&lt;VLOOKUP(J$5,NFI,5,0),1,0)*Table_NFI[[#This Row],[Sanitary Kit]],Table_NFI[Sanitary Kit])</f>
        <v>0</v>
      </c>
      <c r="Z241" s="436">
        <f>IF(NFI_Expiration=1,IF($A241&lt;VLOOKUP(K$5,NFI,5,0),1,0)*Table_NFI[[#This Row],[Mosquito net]],Table_NFI[Mosquito net])</f>
        <v>0</v>
      </c>
      <c r="AA241" s="436">
        <f>IF(NFI_Expiration=1,IF($A241&lt;VLOOKUP(L$5,NFI,5,0),1,0)*Table_NFI[[#This Row],[Tarpaulin]],Table_NFI[[#This Row],[Tarpaulin]])</f>
        <v>0</v>
      </c>
      <c r="AB241" s="436">
        <f>IF(NFI_Expiration=1,IF($A241&lt;VLOOKUP(M$5,NFI,5,0),1,0)*Table_NFI[[#This Row],[Blanket]],Table_NFI[[#This Row],[Blanket]])</f>
        <v>0</v>
      </c>
      <c r="AC241" s="436">
        <f>IF(NFI_Expiration=1,IF($A241&lt;VLOOKUP(N$5,NFI,5,0),1,0)*Table_NFI[[#This Row],[Kitchen Set]],Table_NFI[Kitchen Set])</f>
        <v>0</v>
      </c>
      <c r="AD241" s="436">
        <f>IF(NFI_Expiration=1,IF($A241&lt;VLOOKUP(O$5,NFI,5,0),1,0)*Table_NFI[[#This Row],[Clothes Kit]],Table_NFI[Clothes Kit])</f>
        <v>0</v>
      </c>
      <c r="AE241" s="436">
        <f>IF(NFI_Expiration=1,IF($A241&lt;VLOOKUP(P$5,NFI,5,0),1,0)*Table_NFI[[#This Row],[Plastic Bucket]],Table_NFI[Plastic Bucket])</f>
        <v>0</v>
      </c>
      <c r="AF241" s="436">
        <f>IF(NFI_Expiration=1,IF($A241&lt;VLOOKUP(Q$5,NFI,5,0),1,0)*Table_NFI[[#This Row],[Plastic Mat]],Table_NFI[Plastic Mat])*IF(Table_NFI[[#This Row],[Distribution Date]]&gt;"2014-04-01",1,2.5)</f>
        <v>0</v>
      </c>
      <c r="AG241" s="436">
        <f>IF(NFI_Expiration=1,IF($A241&lt;VLOOKUP(R$5,NFI,5,0),1,0)*Table_NFI[[#This Row],[Winter Clothes Adult]],Table_NFI[Winter Clothes Adult])</f>
        <v>0</v>
      </c>
      <c r="AH241" s="436">
        <f>IF(NFI_Expiration=1,IF($A241&lt;VLOOKUP(S$5,NFI,5,0),1,0)*Table_NFI[[#This Row],[Winter Clothes Children]],Table_NFI[Winter Clothes Children])</f>
        <v>0</v>
      </c>
      <c r="AI241" s="436">
        <f>IF(NFI_Expiration=1,IF($A241&lt;VLOOKUP(T$5,NFI,5,0),1,0)*Table_NFI[[#This Row],[Winter Items Other]],Table_NFI[Winter Items Other])</f>
        <v>0</v>
      </c>
      <c r="AJ241" s="436">
        <f>IF(NFI_Expiration=1,IF($A241&lt;VLOOKUP(M$5,NFI,5,0),1,0)*Table_NFI[[#This Row],[Winter Blanket]],Table_NFI[[#This Row],[Winter Blanket]])</f>
        <v>0</v>
      </c>
      <c r="AK241" s="436">
        <f>IF(Table_NFI[[#This Row],[Winter Clothes Adult]]+Table_NFI[[#This Row],[Winter Clothes Children]]+Table_NFI[[#This Row],[Winter Items Other]]+Table_NFI[[#This Row],[Winter Blanket]]&gt;0,1,0)</f>
        <v>0</v>
      </c>
      <c r="AL241" s="439">
        <f>IF(NFI_Expiration=1,IF($A241&lt;VLOOKUP(V$5,NFI,5,0),1,0)*Table_NFI[[#This Row],[Jerry Can]],Table_NFI[Jerry Can])</f>
        <v>0</v>
      </c>
      <c r="AM241" s="781" t="str">
        <f>IFERROR(VLOOKUP(Table_NFI[[#This Row],[Camp Name]],CL,2,0),"")</f>
        <v>MMR001CMP055</v>
      </c>
      <c r="AN241" s="782">
        <f ca="1">IF(Table_NFI[[#This Row],[Pcode]]="","",IF(OFFSET(CampList[Opening Date],MATCH(Table_NFI[[#This Row],[Pcode]],CampList[CP_Pcode],0)-1,0,1,1)&gt;=NFI_Monitor_Date,1,0))</f>
        <v>0</v>
      </c>
      <c r="AO241" s="781" t="str">
        <f>IFERROR(VLOOKUP(Table_NFI[[#This Row],[Camp Name]],CL,3,0),"")</f>
        <v>Open</v>
      </c>
      <c r="AP241" s="436" t="str">
        <f ca="1">IF(Table_NFI[[#This Row],[Pcode]]="","",OFFSET(CampList[Priority],MATCH(Table_NFI[[#This Row],[Pcode]],CampList[CP_Pcode],0)-1,0,1,1))</f>
        <v>P4</v>
      </c>
      <c r="AQ241" s="438">
        <f>IFERROR(Table_NFI[[#This Row],[Kitchen Set]]/VLOOKUP(Table_NFI[[#This Row],[Camp Name]],CL,4,0),"")</f>
        <v>0.52</v>
      </c>
      <c r="AR241" s="779" t="s">
        <v>1099</v>
      </c>
      <c r="AS241" s="783"/>
    </row>
    <row r="242" spans="1:45" s="784" customFormat="1" x14ac:dyDescent="0.25">
      <c r="A242" s="455">
        <f t="shared" si="3"/>
        <v>17.833333333333332</v>
      </c>
      <c r="B242" s="778">
        <v>41774</v>
      </c>
      <c r="C242" s="779" t="s">
        <v>454</v>
      </c>
      <c r="D242" s="779" t="s">
        <v>454</v>
      </c>
      <c r="E242" s="779" t="s">
        <v>380</v>
      </c>
      <c r="F242" s="779" t="s">
        <v>151</v>
      </c>
      <c r="G242" s="779" t="s">
        <v>891</v>
      </c>
      <c r="H242" s="436"/>
      <c r="I242" s="436"/>
      <c r="J242" s="436">
        <v>10</v>
      </c>
      <c r="K242" s="436">
        <v>10</v>
      </c>
      <c r="L242" s="437">
        <v>5</v>
      </c>
      <c r="M242" s="437">
        <v>15</v>
      </c>
      <c r="N242" s="437">
        <v>5</v>
      </c>
      <c r="O242" s="437">
        <v>5</v>
      </c>
      <c r="P242" s="439">
        <v>5</v>
      </c>
      <c r="Q242" s="439">
        <v>20</v>
      </c>
      <c r="R242" s="436"/>
      <c r="S242" s="436"/>
      <c r="T242" s="436"/>
      <c r="U242" s="436"/>
      <c r="V242" s="436"/>
      <c r="W242" s="436">
        <f>IF(NFI_Expiration=1,IF($A242&lt;VLOOKUP(H$5,NFI,5,0),1,0)*Table_NFI[[#This Row],[Hygiene Kit]],Table_NFI[Hygiene Kit])</f>
        <v>0</v>
      </c>
      <c r="X242" s="436">
        <f>IF(NFI_Expiration=1,IF($A242&lt;VLOOKUP(I$5,NFI,5,0),1,0)*Table_NFI[[#This Row],[NFI Core Kit]],Table_NFI[NFI Core Kit])</f>
        <v>0</v>
      </c>
      <c r="Y242" s="436">
        <f>IF(NFI_Expiration=1,IF($A242&lt;VLOOKUP(J$5,NFI,5,0),1,0)*Table_NFI[[#This Row],[Sanitary Kit]],Table_NFI[Sanitary Kit])</f>
        <v>0</v>
      </c>
      <c r="Z242" s="436">
        <f>IF(NFI_Expiration=1,IF($A242&lt;VLOOKUP(K$5,NFI,5,0),1,0)*Table_NFI[[#This Row],[Mosquito net]],Table_NFI[Mosquito net])</f>
        <v>0</v>
      </c>
      <c r="AA242" s="436">
        <f>IF(NFI_Expiration=1,IF($A242&lt;VLOOKUP(L$5,NFI,5,0),1,0)*Table_NFI[[#This Row],[Tarpaulin]],Table_NFI[[#This Row],[Tarpaulin]])</f>
        <v>0</v>
      </c>
      <c r="AB242" s="436">
        <f>IF(NFI_Expiration=1,IF($A242&lt;VLOOKUP(M$5,NFI,5,0),1,0)*Table_NFI[[#This Row],[Blanket]],Table_NFI[[#This Row],[Blanket]])</f>
        <v>0</v>
      </c>
      <c r="AC242" s="436">
        <f>IF(NFI_Expiration=1,IF($A242&lt;VLOOKUP(N$5,NFI,5,0),1,0)*Table_NFI[[#This Row],[Kitchen Set]],Table_NFI[Kitchen Set])</f>
        <v>0</v>
      </c>
      <c r="AD242" s="436">
        <f>IF(NFI_Expiration=1,IF($A242&lt;VLOOKUP(O$5,NFI,5,0),1,0)*Table_NFI[[#This Row],[Clothes Kit]],Table_NFI[Clothes Kit])</f>
        <v>0</v>
      </c>
      <c r="AE242" s="436">
        <f>IF(NFI_Expiration=1,IF($A242&lt;VLOOKUP(P$5,NFI,5,0),1,0)*Table_NFI[[#This Row],[Plastic Bucket]],Table_NFI[Plastic Bucket])</f>
        <v>0</v>
      </c>
      <c r="AF242" s="436">
        <f>IF(NFI_Expiration=1,IF($A242&lt;VLOOKUP(Q$5,NFI,5,0),1,0)*Table_NFI[[#This Row],[Plastic Mat]],Table_NFI[Plastic Mat])*IF(Table_NFI[[#This Row],[Distribution Date]]&gt;"2014-04-01",1,2.5)</f>
        <v>0</v>
      </c>
      <c r="AG242" s="436">
        <f>IF(NFI_Expiration=1,IF($A242&lt;VLOOKUP(R$5,NFI,5,0),1,0)*Table_NFI[[#This Row],[Winter Clothes Adult]],Table_NFI[Winter Clothes Adult])</f>
        <v>0</v>
      </c>
      <c r="AH242" s="436">
        <f>IF(NFI_Expiration=1,IF($A242&lt;VLOOKUP(S$5,NFI,5,0),1,0)*Table_NFI[[#This Row],[Winter Clothes Children]],Table_NFI[Winter Clothes Children])</f>
        <v>0</v>
      </c>
      <c r="AI242" s="436">
        <f>IF(NFI_Expiration=1,IF($A242&lt;VLOOKUP(T$5,NFI,5,0),1,0)*Table_NFI[[#This Row],[Winter Items Other]],Table_NFI[Winter Items Other])</f>
        <v>0</v>
      </c>
      <c r="AJ242" s="436">
        <f>IF(NFI_Expiration=1,IF($A242&lt;VLOOKUP(M$5,NFI,5,0),1,0)*Table_NFI[[#This Row],[Winter Blanket]],Table_NFI[[#This Row],[Winter Blanket]])</f>
        <v>0</v>
      </c>
      <c r="AK242" s="436">
        <f>IF(Table_NFI[[#This Row],[Winter Clothes Adult]]+Table_NFI[[#This Row],[Winter Clothes Children]]+Table_NFI[[#This Row],[Winter Items Other]]+Table_NFI[[#This Row],[Winter Blanket]]&gt;0,1,0)</f>
        <v>0</v>
      </c>
      <c r="AL242" s="439">
        <f>IF(NFI_Expiration=1,IF($A242&lt;VLOOKUP(V$5,NFI,5,0),1,0)*Table_NFI[[#This Row],[Jerry Can]],Table_NFI[Jerry Can])</f>
        <v>0</v>
      </c>
      <c r="AM242" s="781" t="str">
        <f>IFERROR(VLOOKUP(Table_NFI[[#This Row],[Camp Name]],CL,2,0),"")</f>
        <v>MMR001CMP218</v>
      </c>
      <c r="AN242" s="782">
        <f ca="1">IF(Table_NFI[[#This Row],[Pcode]]="","",IF(OFFSET(CampList[Opening Date],MATCH(Table_NFI[[#This Row],[Pcode]],CampList[CP_Pcode],0)-1,0,1,1)&gt;=NFI_Monitor_Date,1,0))</f>
        <v>0</v>
      </c>
      <c r="AO242" s="781" t="str">
        <f>IFERROR(VLOOKUP(Table_NFI[[#This Row],[Camp Name]],CL,3,0),"")</f>
        <v>Open</v>
      </c>
      <c r="AP242" s="436" t="str">
        <f ca="1">IF(Table_NFI[[#This Row],[Pcode]]="","",OFFSET(CampList[Priority],MATCH(Table_NFI[[#This Row],[Pcode]],CampList[CP_Pcode],0)-1,0,1,1))</f>
        <v>P4</v>
      </c>
      <c r="AQ242" s="438">
        <f>IFERROR(Table_NFI[[#This Row],[Kitchen Set]]/VLOOKUP(Table_NFI[[#This Row],[Camp Name]],CL,4,0),"")</f>
        <v>1.3440860215053764E-2</v>
      </c>
      <c r="AR242" s="779" t="s">
        <v>1099</v>
      </c>
      <c r="AS242" s="783"/>
    </row>
    <row r="243" spans="1:45" s="784" customFormat="1" x14ac:dyDescent="0.25">
      <c r="A243" s="455">
        <f t="shared" si="3"/>
        <v>17.833333333333332</v>
      </c>
      <c r="B243" s="778">
        <v>41774</v>
      </c>
      <c r="C243" s="779" t="s">
        <v>454</v>
      </c>
      <c r="D243" s="779" t="s">
        <v>454</v>
      </c>
      <c r="E243" s="779" t="s">
        <v>380</v>
      </c>
      <c r="F243" s="779" t="s">
        <v>5</v>
      </c>
      <c r="G243" s="779" t="s">
        <v>6</v>
      </c>
      <c r="H243" s="436"/>
      <c r="I243" s="436"/>
      <c r="J243" s="436"/>
      <c r="K243" s="436">
        <v>10</v>
      </c>
      <c r="L243" s="437">
        <v>4</v>
      </c>
      <c r="M243" s="437">
        <v>12</v>
      </c>
      <c r="N243" s="437">
        <v>4</v>
      </c>
      <c r="O243" s="437">
        <v>4</v>
      </c>
      <c r="P243" s="439">
        <v>4</v>
      </c>
      <c r="Q243" s="439">
        <v>12</v>
      </c>
      <c r="R243" s="436"/>
      <c r="S243" s="436"/>
      <c r="T243" s="436"/>
      <c r="U243" s="436"/>
      <c r="V243" s="436"/>
      <c r="W243" s="436">
        <f>IF(NFI_Expiration=1,IF($A243&lt;VLOOKUP(H$5,NFI,5,0),1,0)*Table_NFI[[#This Row],[Hygiene Kit]],Table_NFI[Hygiene Kit])</f>
        <v>0</v>
      </c>
      <c r="X243" s="436">
        <f>IF(NFI_Expiration=1,IF($A243&lt;VLOOKUP(I$5,NFI,5,0),1,0)*Table_NFI[[#This Row],[NFI Core Kit]],Table_NFI[NFI Core Kit])</f>
        <v>0</v>
      </c>
      <c r="Y243" s="436">
        <f>IF(NFI_Expiration=1,IF($A243&lt;VLOOKUP(J$5,NFI,5,0),1,0)*Table_NFI[[#This Row],[Sanitary Kit]],Table_NFI[Sanitary Kit])</f>
        <v>0</v>
      </c>
      <c r="Z243" s="436">
        <f>IF(NFI_Expiration=1,IF($A243&lt;VLOOKUP(K$5,NFI,5,0),1,0)*Table_NFI[[#This Row],[Mosquito net]],Table_NFI[Mosquito net])</f>
        <v>0</v>
      </c>
      <c r="AA243" s="436">
        <f>IF(NFI_Expiration=1,IF($A243&lt;VLOOKUP(L$5,NFI,5,0),1,0)*Table_NFI[[#This Row],[Tarpaulin]],Table_NFI[[#This Row],[Tarpaulin]])</f>
        <v>0</v>
      </c>
      <c r="AB243" s="436">
        <f>IF(NFI_Expiration=1,IF($A243&lt;VLOOKUP(M$5,NFI,5,0),1,0)*Table_NFI[[#This Row],[Blanket]],Table_NFI[[#This Row],[Blanket]])</f>
        <v>0</v>
      </c>
      <c r="AC243" s="436">
        <f>IF(NFI_Expiration=1,IF($A243&lt;VLOOKUP(N$5,NFI,5,0),1,0)*Table_NFI[[#This Row],[Kitchen Set]],Table_NFI[Kitchen Set])</f>
        <v>0</v>
      </c>
      <c r="AD243" s="436">
        <f>IF(NFI_Expiration=1,IF($A243&lt;VLOOKUP(O$5,NFI,5,0),1,0)*Table_NFI[[#This Row],[Clothes Kit]],Table_NFI[Clothes Kit])</f>
        <v>0</v>
      </c>
      <c r="AE243" s="436">
        <f>IF(NFI_Expiration=1,IF($A243&lt;VLOOKUP(P$5,NFI,5,0),1,0)*Table_NFI[[#This Row],[Plastic Bucket]],Table_NFI[Plastic Bucket])</f>
        <v>0</v>
      </c>
      <c r="AF243" s="436">
        <f>IF(NFI_Expiration=1,IF($A243&lt;VLOOKUP(Q$5,NFI,5,0),1,0)*Table_NFI[[#This Row],[Plastic Mat]],Table_NFI[Plastic Mat])*IF(Table_NFI[[#This Row],[Distribution Date]]&gt;"2014-04-01",1,2.5)</f>
        <v>0</v>
      </c>
      <c r="AG243" s="436">
        <f>IF(NFI_Expiration=1,IF($A243&lt;VLOOKUP(R$5,NFI,5,0),1,0)*Table_NFI[[#This Row],[Winter Clothes Adult]],Table_NFI[Winter Clothes Adult])</f>
        <v>0</v>
      </c>
      <c r="AH243" s="436">
        <f>IF(NFI_Expiration=1,IF($A243&lt;VLOOKUP(S$5,NFI,5,0),1,0)*Table_NFI[[#This Row],[Winter Clothes Children]],Table_NFI[Winter Clothes Children])</f>
        <v>0</v>
      </c>
      <c r="AI243" s="436">
        <f>IF(NFI_Expiration=1,IF($A243&lt;VLOOKUP(T$5,NFI,5,0),1,0)*Table_NFI[[#This Row],[Winter Items Other]],Table_NFI[Winter Items Other])</f>
        <v>0</v>
      </c>
      <c r="AJ243" s="436">
        <f>IF(NFI_Expiration=1,IF($A243&lt;VLOOKUP(M$5,NFI,5,0),1,0)*Table_NFI[[#This Row],[Winter Blanket]],Table_NFI[[#This Row],[Winter Blanket]])</f>
        <v>0</v>
      </c>
      <c r="AK243" s="436">
        <f>IF(Table_NFI[[#This Row],[Winter Clothes Adult]]+Table_NFI[[#This Row],[Winter Clothes Children]]+Table_NFI[[#This Row],[Winter Items Other]]+Table_NFI[[#This Row],[Winter Blanket]]&gt;0,1,0)</f>
        <v>0</v>
      </c>
      <c r="AL243" s="439">
        <f>IF(NFI_Expiration=1,IF($A243&lt;VLOOKUP(V$5,NFI,5,0),1,0)*Table_NFI[[#This Row],[Jerry Can]],Table_NFI[Jerry Can])</f>
        <v>0</v>
      </c>
      <c r="AM243" s="781" t="str">
        <f>IFERROR(VLOOKUP(Table_NFI[[#This Row],[Camp Name]],CL,2,0),"")</f>
        <v>MMR001CMP050</v>
      </c>
      <c r="AN243" s="782">
        <f ca="1">IF(Table_NFI[[#This Row],[Pcode]]="","",IF(OFFSET(CampList[Opening Date],MATCH(Table_NFI[[#This Row],[Pcode]],CampList[CP_Pcode],0)-1,0,1,1)&gt;=NFI_Monitor_Date,1,0))</f>
        <v>0</v>
      </c>
      <c r="AO243" s="781" t="str">
        <f>IFERROR(VLOOKUP(Table_NFI[[#This Row],[Camp Name]],CL,3,0),"")</f>
        <v>Open</v>
      </c>
      <c r="AP243" s="436" t="str">
        <f ca="1">IF(Table_NFI[[#This Row],[Pcode]]="","",OFFSET(CampList[Priority],MATCH(Table_NFI[[#This Row],[Pcode]],CampList[CP_Pcode],0)-1,0,1,1))</f>
        <v>P4</v>
      </c>
      <c r="AQ243" s="438">
        <f>IFERROR(Table_NFI[[#This Row],[Kitchen Set]]/VLOOKUP(Table_NFI[[#This Row],[Camp Name]],CL,4,0),"")</f>
        <v>1.3289036544850499E-2</v>
      </c>
      <c r="AR243" s="779" t="s">
        <v>1099</v>
      </c>
      <c r="AS243" s="783"/>
    </row>
    <row r="244" spans="1:45" s="784" customFormat="1" x14ac:dyDescent="0.25">
      <c r="A244" s="455">
        <f t="shared" si="3"/>
        <v>17.866666666666667</v>
      </c>
      <c r="B244" s="778">
        <v>41773</v>
      </c>
      <c r="C244" s="779" t="s">
        <v>454</v>
      </c>
      <c r="D244" s="779" t="s">
        <v>454</v>
      </c>
      <c r="E244" s="779" t="s">
        <v>380</v>
      </c>
      <c r="F244" s="779" t="s">
        <v>5</v>
      </c>
      <c r="G244" s="779" t="s">
        <v>6</v>
      </c>
      <c r="H244" s="436"/>
      <c r="I244" s="436"/>
      <c r="J244" s="436">
        <v>11</v>
      </c>
      <c r="K244" s="436">
        <v>12</v>
      </c>
      <c r="L244" s="437">
        <v>4</v>
      </c>
      <c r="M244" s="437">
        <v>12</v>
      </c>
      <c r="N244" s="437">
        <v>4</v>
      </c>
      <c r="O244" s="437">
        <v>4</v>
      </c>
      <c r="P244" s="439">
        <v>4</v>
      </c>
      <c r="Q244" s="439">
        <v>15</v>
      </c>
      <c r="R244" s="436"/>
      <c r="S244" s="436"/>
      <c r="T244" s="436"/>
      <c r="U244" s="436"/>
      <c r="V244" s="436"/>
      <c r="W244" s="436">
        <f>IF(NFI_Expiration=1,IF($A244&lt;VLOOKUP(H$5,NFI,5,0),1,0)*Table_NFI[[#This Row],[Hygiene Kit]],Table_NFI[Hygiene Kit])</f>
        <v>0</v>
      </c>
      <c r="X244" s="436">
        <f>IF(NFI_Expiration=1,IF($A244&lt;VLOOKUP(I$5,NFI,5,0),1,0)*Table_NFI[[#This Row],[NFI Core Kit]],Table_NFI[NFI Core Kit])</f>
        <v>0</v>
      </c>
      <c r="Y244" s="436">
        <f>IF(NFI_Expiration=1,IF($A244&lt;VLOOKUP(J$5,NFI,5,0),1,0)*Table_NFI[[#This Row],[Sanitary Kit]],Table_NFI[Sanitary Kit])</f>
        <v>0</v>
      </c>
      <c r="Z244" s="436">
        <f>IF(NFI_Expiration=1,IF($A244&lt;VLOOKUP(K$5,NFI,5,0),1,0)*Table_NFI[[#This Row],[Mosquito net]],Table_NFI[Mosquito net])</f>
        <v>0</v>
      </c>
      <c r="AA244" s="436">
        <f>IF(NFI_Expiration=1,IF($A244&lt;VLOOKUP(L$5,NFI,5,0),1,0)*Table_NFI[[#This Row],[Tarpaulin]],Table_NFI[[#This Row],[Tarpaulin]])</f>
        <v>0</v>
      </c>
      <c r="AB244" s="436">
        <f>IF(NFI_Expiration=1,IF($A244&lt;VLOOKUP(M$5,NFI,5,0),1,0)*Table_NFI[[#This Row],[Blanket]],Table_NFI[[#This Row],[Blanket]])</f>
        <v>0</v>
      </c>
      <c r="AC244" s="436">
        <f>IF(NFI_Expiration=1,IF($A244&lt;VLOOKUP(N$5,NFI,5,0),1,0)*Table_NFI[[#This Row],[Kitchen Set]],Table_NFI[Kitchen Set])</f>
        <v>0</v>
      </c>
      <c r="AD244" s="436">
        <f>IF(NFI_Expiration=1,IF($A244&lt;VLOOKUP(O$5,NFI,5,0),1,0)*Table_NFI[[#This Row],[Clothes Kit]],Table_NFI[Clothes Kit])</f>
        <v>0</v>
      </c>
      <c r="AE244" s="436">
        <f>IF(NFI_Expiration=1,IF($A244&lt;VLOOKUP(P$5,NFI,5,0),1,0)*Table_NFI[[#This Row],[Plastic Bucket]],Table_NFI[Plastic Bucket])</f>
        <v>0</v>
      </c>
      <c r="AF244" s="436">
        <f>IF(NFI_Expiration=1,IF($A244&lt;VLOOKUP(Q$5,NFI,5,0),1,0)*Table_NFI[[#This Row],[Plastic Mat]],Table_NFI[Plastic Mat])*IF(Table_NFI[[#This Row],[Distribution Date]]&gt;"2014-04-01",1,2.5)</f>
        <v>0</v>
      </c>
      <c r="AG244" s="436">
        <f>IF(NFI_Expiration=1,IF($A244&lt;VLOOKUP(R$5,NFI,5,0),1,0)*Table_NFI[[#This Row],[Winter Clothes Adult]],Table_NFI[Winter Clothes Adult])</f>
        <v>0</v>
      </c>
      <c r="AH244" s="436">
        <f>IF(NFI_Expiration=1,IF($A244&lt;VLOOKUP(S$5,NFI,5,0),1,0)*Table_NFI[[#This Row],[Winter Clothes Children]],Table_NFI[Winter Clothes Children])</f>
        <v>0</v>
      </c>
      <c r="AI244" s="436">
        <f>IF(NFI_Expiration=1,IF($A244&lt;VLOOKUP(T$5,NFI,5,0),1,0)*Table_NFI[[#This Row],[Winter Items Other]],Table_NFI[Winter Items Other])</f>
        <v>0</v>
      </c>
      <c r="AJ244" s="436">
        <f>IF(NFI_Expiration=1,IF($A244&lt;VLOOKUP(M$5,NFI,5,0),1,0)*Table_NFI[[#This Row],[Winter Blanket]],Table_NFI[[#This Row],[Winter Blanket]])</f>
        <v>0</v>
      </c>
      <c r="AK244" s="436">
        <f>IF(Table_NFI[[#This Row],[Winter Clothes Adult]]+Table_NFI[[#This Row],[Winter Clothes Children]]+Table_NFI[[#This Row],[Winter Items Other]]+Table_NFI[[#This Row],[Winter Blanket]]&gt;0,1,0)</f>
        <v>0</v>
      </c>
      <c r="AL244" s="439">
        <f>IF(NFI_Expiration=1,IF($A244&lt;VLOOKUP(V$5,NFI,5,0),1,0)*Table_NFI[[#This Row],[Jerry Can]],Table_NFI[Jerry Can])</f>
        <v>0</v>
      </c>
      <c r="AM244" s="781" t="str">
        <f>IFERROR(VLOOKUP(Table_NFI[[#This Row],[Camp Name]],CL,2,0),"")</f>
        <v>MMR001CMP050</v>
      </c>
      <c r="AN244" s="782">
        <f ca="1">IF(Table_NFI[[#This Row],[Pcode]]="","",IF(OFFSET(CampList[Opening Date],MATCH(Table_NFI[[#This Row],[Pcode]],CampList[CP_Pcode],0)-1,0,1,1)&gt;=NFI_Monitor_Date,1,0))</f>
        <v>0</v>
      </c>
      <c r="AO244" s="781" t="str">
        <f>IFERROR(VLOOKUP(Table_NFI[[#This Row],[Camp Name]],CL,3,0),"")</f>
        <v>Open</v>
      </c>
      <c r="AP244" s="436" t="str">
        <f ca="1">IF(Table_NFI[[#This Row],[Pcode]]="","",OFFSET(CampList[Priority],MATCH(Table_NFI[[#This Row],[Pcode]],CampList[CP_Pcode],0)-1,0,1,1))</f>
        <v>P4</v>
      </c>
      <c r="AQ244" s="438">
        <f>IFERROR(Table_NFI[[#This Row],[Kitchen Set]]/VLOOKUP(Table_NFI[[#This Row],[Camp Name]],CL,4,0),"")</f>
        <v>1.3289036544850499E-2</v>
      </c>
      <c r="AR244" s="779" t="s">
        <v>1099</v>
      </c>
      <c r="AS244" s="783"/>
    </row>
    <row r="245" spans="1:45" s="784" customFormat="1" x14ac:dyDescent="0.25">
      <c r="A245" s="455">
        <f t="shared" si="3"/>
        <v>17.866666666666667</v>
      </c>
      <c r="B245" s="778">
        <v>41773</v>
      </c>
      <c r="C245" s="779" t="s">
        <v>454</v>
      </c>
      <c r="D245" s="779" t="s">
        <v>454</v>
      </c>
      <c r="E245" s="779" t="s">
        <v>380</v>
      </c>
      <c r="F245" s="779" t="s">
        <v>185</v>
      </c>
      <c r="G245" s="779" t="s">
        <v>209</v>
      </c>
      <c r="H245" s="436"/>
      <c r="I245" s="436"/>
      <c r="J245" s="436">
        <v>5</v>
      </c>
      <c r="K245" s="436">
        <v>6</v>
      </c>
      <c r="L245" s="437">
        <v>32</v>
      </c>
      <c r="M245" s="437">
        <v>6</v>
      </c>
      <c r="N245" s="437">
        <v>2</v>
      </c>
      <c r="O245" s="437">
        <v>2</v>
      </c>
      <c r="P245" s="439">
        <v>2</v>
      </c>
      <c r="Q245" s="439">
        <v>10</v>
      </c>
      <c r="R245" s="436"/>
      <c r="S245" s="436"/>
      <c r="T245" s="436"/>
      <c r="U245" s="436"/>
      <c r="V245" s="436"/>
      <c r="W245" s="436">
        <f>IF(NFI_Expiration=1,IF($A245&lt;VLOOKUP(H$5,NFI,5,0),1,0)*Table_NFI[[#This Row],[Hygiene Kit]],Table_NFI[Hygiene Kit])</f>
        <v>0</v>
      </c>
      <c r="X245" s="436">
        <f>IF(NFI_Expiration=1,IF($A245&lt;VLOOKUP(I$5,NFI,5,0),1,0)*Table_NFI[[#This Row],[NFI Core Kit]],Table_NFI[NFI Core Kit])</f>
        <v>0</v>
      </c>
      <c r="Y245" s="436">
        <f>IF(NFI_Expiration=1,IF($A245&lt;VLOOKUP(J$5,NFI,5,0),1,0)*Table_NFI[[#This Row],[Sanitary Kit]],Table_NFI[Sanitary Kit])</f>
        <v>0</v>
      </c>
      <c r="Z245" s="436">
        <f>IF(NFI_Expiration=1,IF($A245&lt;VLOOKUP(K$5,NFI,5,0),1,0)*Table_NFI[[#This Row],[Mosquito net]],Table_NFI[Mosquito net])</f>
        <v>0</v>
      </c>
      <c r="AA245" s="436">
        <f>IF(NFI_Expiration=1,IF($A245&lt;VLOOKUP(L$5,NFI,5,0),1,0)*Table_NFI[[#This Row],[Tarpaulin]],Table_NFI[[#This Row],[Tarpaulin]])</f>
        <v>0</v>
      </c>
      <c r="AB245" s="436">
        <f>IF(NFI_Expiration=1,IF($A245&lt;VLOOKUP(M$5,NFI,5,0),1,0)*Table_NFI[[#This Row],[Blanket]],Table_NFI[[#This Row],[Blanket]])</f>
        <v>0</v>
      </c>
      <c r="AC245" s="436">
        <f>IF(NFI_Expiration=1,IF($A245&lt;VLOOKUP(N$5,NFI,5,0),1,0)*Table_NFI[[#This Row],[Kitchen Set]],Table_NFI[Kitchen Set])</f>
        <v>0</v>
      </c>
      <c r="AD245" s="436">
        <f>IF(NFI_Expiration=1,IF($A245&lt;VLOOKUP(O$5,NFI,5,0),1,0)*Table_NFI[[#This Row],[Clothes Kit]],Table_NFI[Clothes Kit])</f>
        <v>0</v>
      </c>
      <c r="AE245" s="436">
        <f>IF(NFI_Expiration=1,IF($A245&lt;VLOOKUP(P$5,NFI,5,0),1,0)*Table_NFI[[#This Row],[Plastic Bucket]],Table_NFI[Plastic Bucket])</f>
        <v>0</v>
      </c>
      <c r="AF245" s="436">
        <f>IF(NFI_Expiration=1,IF($A245&lt;VLOOKUP(Q$5,NFI,5,0),1,0)*Table_NFI[[#This Row],[Plastic Mat]],Table_NFI[Plastic Mat])*IF(Table_NFI[[#This Row],[Distribution Date]]&gt;"2014-04-01",1,2.5)</f>
        <v>0</v>
      </c>
      <c r="AG245" s="436">
        <f>IF(NFI_Expiration=1,IF($A245&lt;VLOOKUP(R$5,NFI,5,0),1,0)*Table_NFI[[#This Row],[Winter Clothes Adult]],Table_NFI[Winter Clothes Adult])</f>
        <v>0</v>
      </c>
      <c r="AH245" s="436">
        <f>IF(NFI_Expiration=1,IF($A245&lt;VLOOKUP(S$5,NFI,5,0),1,0)*Table_NFI[[#This Row],[Winter Clothes Children]],Table_NFI[Winter Clothes Children])</f>
        <v>0</v>
      </c>
      <c r="AI245" s="436">
        <f>IF(NFI_Expiration=1,IF($A245&lt;VLOOKUP(T$5,NFI,5,0),1,0)*Table_NFI[[#This Row],[Winter Items Other]],Table_NFI[Winter Items Other])</f>
        <v>0</v>
      </c>
      <c r="AJ245" s="436">
        <f>IF(NFI_Expiration=1,IF($A245&lt;VLOOKUP(M$5,NFI,5,0),1,0)*Table_NFI[[#This Row],[Winter Blanket]],Table_NFI[[#This Row],[Winter Blanket]])</f>
        <v>0</v>
      </c>
      <c r="AK245" s="436">
        <f>IF(Table_NFI[[#This Row],[Winter Clothes Adult]]+Table_NFI[[#This Row],[Winter Clothes Children]]+Table_NFI[[#This Row],[Winter Items Other]]+Table_NFI[[#This Row],[Winter Blanket]]&gt;0,1,0)</f>
        <v>0</v>
      </c>
      <c r="AL245" s="439">
        <f>IF(NFI_Expiration=1,IF($A245&lt;VLOOKUP(V$5,NFI,5,0),1,0)*Table_NFI[[#This Row],[Jerry Can]],Table_NFI[Jerry Can])</f>
        <v>0</v>
      </c>
      <c r="AM245" s="781" t="str">
        <f>IFERROR(VLOOKUP(Table_NFI[[#This Row],[Camp Name]],CL,2,0),"")</f>
        <v>MMR001CMP056</v>
      </c>
      <c r="AN245" s="782">
        <f ca="1">IF(Table_NFI[[#This Row],[Pcode]]="","",IF(OFFSET(CampList[Opening Date],MATCH(Table_NFI[[#This Row],[Pcode]],CampList[CP_Pcode],0)-1,0,1,1)&gt;=NFI_Monitor_Date,1,0))</f>
        <v>0</v>
      </c>
      <c r="AO245" s="781" t="str">
        <f>IFERROR(VLOOKUP(Table_NFI[[#This Row],[Camp Name]],CL,3,0),"")</f>
        <v>Open</v>
      </c>
      <c r="AP245" s="436" t="str">
        <f ca="1">IF(Table_NFI[[#This Row],[Pcode]]="","",OFFSET(CampList[Priority],MATCH(Table_NFI[[#This Row],[Pcode]],CampList[CP_Pcode],0)-1,0,1,1))</f>
        <v>P4</v>
      </c>
      <c r="AQ245" s="438">
        <f>IFERROR(Table_NFI[[#This Row],[Kitchen Set]]/VLOOKUP(Table_NFI[[#This Row],[Camp Name]],CL,4,0),"")</f>
        <v>9.6618357487922701E-3</v>
      </c>
      <c r="AR245" s="779" t="s">
        <v>1099</v>
      </c>
      <c r="AS245" s="783"/>
    </row>
    <row r="246" spans="1:45" s="784" customFormat="1" x14ac:dyDescent="0.25">
      <c r="A246" s="455">
        <f t="shared" si="3"/>
        <v>17.866666666666667</v>
      </c>
      <c r="B246" s="778">
        <v>41773</v>
      </c>
      <c r="C246" s="779" t="s">
        <v>454</v>
      </c>
      <c r="D246" s="779" t="s">
        <v>454</v>
      </c>
      <c r="E246" s="779" t="s">
        <v>380</v>
      </c>
      <c r="F246" s="779" t="s">
        <v>5</v>
      </c>
      <c r="G246" s="779" t="s">
        <v>24</v>
      </c>
      <c r="H246" s="436"/>
      <c r="I246" s="436"/>
      <c r="J246" s="436">
        <v>17</v>
      </c>
      <c r="K246" s="436">
        <v>108</v>
      </c>
      <c r="L246" s="437">
        <v>36</v>
      </c>
      <c r="M246" s="437">
        <v>108</v>
      </c>
      <c r="N246" s="437">
        <v>36</v>
      </c>
      <c r="O246" s="437">
        <v>36</v>
      </c>
      <c r="P246" s="439">
        <v>36</v>
      </c>
      <c r="Q246" s="439">
        <v>142</v>
      </c>
      <c r="R246" s="436"/>
      <c r="S246" s="436"/>
      <c r="T246" s="436"/>
      <c r="U246" s="436"/>
      <c r="V246" s="436"/>
      <c r="W246" s="436">
        <f>IF(NFI_Expiration=1,IF($A246&lt;VLOOKUP(H$5,NFI,5,0),1,0)*Table_NFI[[#This Row],[Hygiene Kit]],Table_NFI[Hygiene Kit])</f>
        <v>0</v>
      </c>
      <c r="X246" s="436">
        <f>IF(NFI_Expiration=1,IF($A246&lt;VLOOKUP(I$5,NFI,5,0),1,0)*Table_NFI[[#This Row],[NFI Core Kit]],Table_NFI[NFI Core Kit])</f>
        <v>0</v>
      </c>
      <c r="Y246" s="436">
        <f>IF(NFI_Expiration=1,IF($A246&lt;VLOOKUP(J$5,NFI,5,0),1,0)*Table_NFI[[#This Row],[Sanitary Kit]],Table_NFI[Sanitary Kit])</f>
        <v>0</v>
      </c>
      <c r="Z246" s="436">
        <f>IF(NFI_Expiration=1,IF($A246&lt;VLOOKUP(K$5,NFI,5,0),1,0)*Table_NFI[[#This Row],[Mosquito net]],Table_NFI[Mosquito net])</f>
        <v>0</v>
      </c>
      <c r="AA246" s="436">
        <f>IF(NFI_Expiration=1,IF($A246&lt;VLOOKUP(L$5,NFI,5,0),1,0)*Table_NFI[[#This Row],[Tarpaulin]],Table_NFI[[#This Row],[Tarpaulin]])</f>
        <v>0</v>
      </c>
      <c r="AB246" s="436">
        <f>IF(NFI_Expiration=1,IF($A246&lt;VLOOKUP(M$5,NFI,5,0),1,0)*Table_NFI[[#This Row],[Blanket]],Table_NFI[[#This Row],[Blanket]])</f>
        <v>0</v>
      </c>
      <c r="AC246" s="436">
        <f>IF(NFI_Expiration=1,IF($A246&lt;VLOOKUP(N$5,NFI,5,0),1,0)*Table_NFI[[#This Row],[Kitchen Set]],Table_NFI[Kitchen Set])</f>
        <v>0</v>
      </c>
      <c r="AD246" s="436">
        <f>IF(NFI_Expiration=1,IF($A246&lt;VLOOKUP(O$5,NFI,5,0),1,0)*Table_NFI[[#This Row],[Clothes Kit]],Table_NFI[Clothes Kit])</f>
        <v>0</v>
      </c>
      <c r="AE246" s="436">
        <f>IF(NFI_Expiration=1,IF($A246&lt;VLOOKUP(P$5,NFI,5,0),1,0)*Table_NFI[[#This Row],[Plastic Bucket]],Table_NFI[Plastic Bucket])</f>
        <v>0</v>
      </c>
      <c r="AF246" s="436">
        <f>IF(NFI_Expiration=1,IF($A246&lt;VLOOKUP(Q$5,NFI,5,0),1,0)*Table_NFI[[#This Row],[Plastic Mat]],Table_NFI[Plastic Mat])*IF(Table_NFI[[#This Row],[Distribution Date]]&gt;"2014-04-01",1,2.5)</f>
        <v>0</v>
      </c>
      <c r="AG246" s="436">
        <f>IF(NFI_Expiration=1,IF($A246&lt;VLOOKUP(R$5,NFI,5,0),1,0)*Table_NFI[[#This Row],[Winter Clothes Adult]],Table_NFI[Winter Clothes Adult])</f>
        <v>0</v>
      </c>
      <c r="AH246" s="436">
        <f>IF(NFI_Expiration=1,IF($A246&lt;VLOOKUP(S$5,NFI,5,0),1,0)*Table_NFI[[#This Row],[Winter Clothes Children]],Table_NFI[Winter Clothes Children])</f>
        <v>0</v>
      </c>
      <c r="AI246" s="436">
        <f>IF(NFI_Expiration=1,IF($A246&lt;VLOOKUP(T$5,NFI,5,0),1,0)*Table_NFI[[#This Row],[Winter Items Other]],Table_NFI[Winter Items Other])</f>
        <v>0</v>
      </c>
      <c r="AJ246" s="436">
        <f>IF(NFI_Expiration=1,IF($A246&lt;VLOOKUP(M$5,NFI,5,0),1,0)*Table_NFI[[#This Row],[Winter Blanket]],Table_NFI[[#This Row],[Winter Blanket]])</f>
        <v>0</v>
      </c>
      <c r="AK246" s="436">
        <f>IF(Table_NFI[[#This Row],[Winter Clothes Adult]]+Table_NFI[[#This Row],[Winter Clothes Children]]+Table_NFI[[#This Row],[Winter Items Other]]+Table_NFI[[#This Row],[Winter Blanket]]&gt;0,1,0)</f>
        <v>0</v>
      </c>
      <c r="AL246" s="439">
        <f>IF(NFI_Expiration=1,IF($A246&lt;VLOOKUP(V$5,NFI,5,0),1,0)*Table_NFI[[#This Row],[Jerry Can]],Table_NFI[Jerry Can])</f>
        <v>0</v>
      </c>
      <c r="AM246" s="781" t="str">
        <f>IFERROR(VLOOKUP(Table_NFI[[#This Row],[Camp Name]],CL,2,0),"")</f>
        <v>MMR001CMP055</v>
      </c>
      <c r="AN246" s="782">
        <f ca="1">IF(Table_NFI[[#This Row],[Pcode]]="","",IF(OFFSET(CampList[Opening Date],MATCH(Table_NFI[[#This Row],[Pcode]],CampList[CP_Pcode],0)-1,0,1,1)&gt;=NFI_Monitor_Date,1,0))</f>
        <v>0</v>
      </c>
      <c r="AO246" s="781" t="str">
        <f>IFERROR(VLOOKUP(Table_NFI[[#This Row],[Camp Name]],CL,3,0),"")</f>
        <v>Open</v>
      </c>
      <c r="AP246" s="436" t="str">
        <f ca="1">IF(Table_NFI[[#This Row],[Pcode]]="","",OFFSET(CampList[Priority],MATCH(Table_NFI[[#This Row],[Pcode]],CampList[CP_Pcode],0)-1,0,1,1))</f>
        <v>P4</v>
      </c>
      <c r="AQ246" s="438">
        <f>IFERROR(Table_NFI[[#This Row],[Kitchen Set]]/VLOOKUP(Table_NFI[[#This Row],[Camp Name]],CL,4,0),"")</f>
        <v>1.44</v>
      </c>
      <c r="AR246" s="779" t="s">
        <v>1099</v>
      </c>
      <c r="AS246" s="783"/>
    </row>
    <row r="247" spans="1:45" s="784" customFormat="1" x14ac:dyDescent="0.25">
      <c r="A247" s="455">
        <f t="shared" si="3"/>
        <v>17.899999999999999</v>
      </c>
      <c r="B247" s="778">
        <v>41772</v>
      </c>
      <c r="C247" s="779" t="s">
        <v>1113</v>
      </c>
      <c r="D247" s="779" t="s">
        <v>907</v>
      </c>
      <c r="E247" s="779" t="s">
        <v>380</v>
      </c>
      <c r="F247" s="779" t="s">
        <v>237</v>
      </c>
      <c r="G247" s="779" t="s">
        <v>269</v>
      </c>
      <c r="H247" s="436"/>
      <c r="I247" s="436"/>
      <c r="J247" s="436"/>
      <c r="K247" s="436"/>
      <c r="L247" s="437"/>
      <c r="M247" s="437"/>
      <c r="N247" s="437"/>
      <c r="O247" s="437"/>
      <c r="P247" s="439"/>
      <c r="Q247" s="439"/>
      <c r="R247" s="436"/>
      <c r="S247" s="436"/>
      <c r="T247" s="436"/>
      <c r="U247" s="436">
        <v>112</v>
      </c>
      <c r="V247" s="436"/>
      <c r="W247" s="448">
        <f>IF(NFI_Expiration=1,IF($A247&lt;VLOOKUP(H$5,NFI,5,0),1,0)*Table_NFI[[#This Row],[Hygiene Kit]],Table_NFI[Hygiene Kit])</f>
        <v>0</v>
      </c>
      <c r="X247" s="448">
        <f>IF(NFI_Expiration=1,IF($A247&lt;VLOOKUP(I$5,NFI,5,0),1,0)*Table_NFI[[#This Row],[NFI Core Kit]],Table_NFI[NFI Core Kit])</f>
        <v>0</v>
      </c>
      <c r="Y247" s="448">
        <f>IF(NFI_Expiration=1,IF($A247&lt;VLOOKUP(J$5,NFI,5,0),1,0)*Table_NFI[[#This Row],[Sanitary Kit]],Table_NFI[Sanitary Kit])</f>
        <v>0</v>
      </c>
      <c r="Z247" s="448">
        <f>IF(NFI_Expiration=1,IF($A247&lt;VLOOKUP(K$5,NFI,5,0),1,0)*Table_NFI[[#This Row],[Mosquito net]],Table_NFI[Mosquito net])</f>
        <v>0</v>
      </c>
      <c r="AA247" s="448">
        <f>IF(NFI_Expiration=1,IF($A247&lt;VLOOKUP(L$5,NFI,5,0),1,0)*Table_NFI[[#This Row],[Tarpaulin]],Table_NFI[[#This Row],[Tarpaulin]])</f>
        <v>0</v>
      </c>
      <c r="AB247" s="448">
        <f>IF(NFI_Expiration=1,IF($A247&lt;VLOOKUP(M$5,NFI,5,0),1,0)*Table_NFI[[#This Row],[Blanket]],Table_NFI[[#This Row],[Blanket]])</f>
        <v>0</v>
      </c>
      <c r="AC247" s="448">
        <f>IF(NFI_Expiration=1,IF($A247&lt;VLOOKUP(N$5,NFI,5,0),1,0)*Table_NFI[[#This Row],[Kitchen Set]],Table_NFI[Kitchen Set])</f>
        <v>0</v>
      </c>
      <c r="AD247" s="448">
        <f>IF(NFI_Expiration=1,IF($A247&lt;VLOOKUP(O$5,NFI,5,0),1,0)*Table_NFI[[#This Row],[Clothes Kit]],Table_NFI[Clothes Kit])</f>
        <v>0</v>
      </c>
      <c r="AE247" s="448">
        <f>IF(NFI_Expiration=1,IF($A247&lt;VLOOKUP(P$5,NFI,5,0),1,0)*Table_NFI[[#This Row],[Plastic Bucket]],Table_NFI[Plastic Bucket])</f>
        <v>0</v>
      </c>
      <c r="AF247" s="448">
        <f>IF(NFI_Expiration=1,IF($A247&lt;VLOOKUP(Q$5,NFI,5,0),1,0)*Table_NFI[[#This Row],[Plastic Mat]],Table_NFI[Plastic Mat])*IF(Table_NFI[[#This Row],[Distribution Date]]&gt;"2014-04-01",1,2.5)</f>
        <v>0</v>
      </c>
      <c r="AG247" s="448">
        <f>IF(NFI_Expiration=1,IF($A247&lt;VLOOKUP(R$5,NFI,5,0),1,0)*Table_NFI[[#This Row],[Winter Clothes Adult]],Table_NFI[Winter Clothes Adult])</f>
        <v>0</v>
      </c>
      <c r="AH247" s="448">
        <f>IF(NFI_Expiration=1,IF($A247&lt;VLOOKUP(S$5,NFI,5,0),1,0)*Table_NFI[[#This Row],[Winter Clothes Children]],Table_NFI[Winter Clothes Children])</f>
        <v>0</v>
      </c>
      <c r="AI247" s="448">
        <f>IF(NFI_Expiration=1,IF($A247&lt;VLOOKUP(T$5,NFI,5,0),1,0)*Table_NFI[[#This Row],[Winter Items Other]],Table_NFI[Winter Items Other])</f>
        <v>0</v>
      </c>
      <c r="AJ247" s="448">
        <f>IF(NFI_Expiration=1,IF($A247&lt;VLOOKUP(M$5,NFI,5,0),1,0)*Table_NFI[[#This Row],[Winter Blanket]],Table_NFI[[#This Row],[Winter Blanket]])</f>
        <v>0</v>
      </c>
      <c r="AK247" s="448">
        <f>IF(Table_NFI[[#This Row],[Winter Clothes Adult]]+Table_NFI[[#This Row],[Winter Clothes Children]]+Table_NFI[[#This Row],[Winter Items Other]]+Table_NFI[[#This Row],[Winter Blanket]]&gt;0,1,0)</f>
        <v>1</v>
      </c>
      <c r="AL247" s="439">
        <f>IF(NFI_Expiration=1,IF($A247&lt;VLOOKUP(V$5,NFI,5,0),1,0)*Table_NFI[[#This Row],[Jerry Can]],Table_NFI[Jerry Can])</f>
        <v>0</v>
      </c>
      <c r="AM247" s="797" t="str">
        <f>IFERROR(VLOOKUP(Table_NFI[[#This Row],[Camp Name]],CL,2,0),"")</f>
        <v>MMR001CMP002</v>
      </c>
      <c r="AN247" s="798">
        <f ca="1">IF(Table_NFI[[#This Row],[Pcode]]="","",IF(OFFSET(CampList[Opening Date],MATCH(Table_NFI[[#This Row],[Pcode]],CampList[CP_Pcode],0)-1,0,1,1)&gt;=NFI_Monitor_Date,1,0))</f>
        <v>0</v>
      </c>
      <c r="AO247" s="797" t="str">
        <f>IFERROR(VLOOKUP(Table_NFI[[#This Row],[Camp Name]],CL,3,0),"")</f>
        <v>Open</v>
      </c>
      <c r="AP247" s="448" t="str">
        <f ca="1">IF(Table_NFI[[#This Row],[Pcode]]="","",OFFSET(CampList[Priority],MATCH(Table_NFI[[#This Row],[Pcode]],CampList[CP_Pcode],0)-1,0,1,1))</f>
        <v>P4</v>
      </c>
      <c r="AQ247" s="449">
        <f>IFERROR(Table_NFI[[#This Row],[Kitchen Set]]/VLOOKUP(Table_NFI[[#This Row],[Camp Name]],CL,4,0),"")</f>
        <v>0</v>
      </c>
      <c r="AR247" s="799"/>
      <c r="AS247" s="783"/>
    </row>
    <row r="248" spans="1:45" s="784" customFormat="1" x14ac:dyDescent="0.25">
      <c r="A248" s="455">
        <f t="shared" si="3"/>
        <v>17.933333333333334</v>
      </c>
      <c r="B248" s="778">
        <v>41771</v>
      </c>
      <c r="C248" s="779" t="s">
        <v>1113</v>
      </c>
      <c r="D248" s="779" t="s">
        <v>907</v>
      </c>
      <c r="E248" s="779" t="s">
        <v>380</v>
      </c>
      <c r="F248" s="779" t="s">
        <v>237</v>
      </c>
      <c r="G248" s="779" t="s">
        <v>281</v>
      </c>
      <c r="H248" s="436"/>
      <c r="I248" s="436"/>
      <c r="J248" s="436"/>
      <c r="K248" s="436"/>
      <c r="L248" s="437"/>
      <c r="M248" s="437"/>
      <c r="N248" s="437"/>
      <c r="O248" s="437"/>
      <c r="P248" s="439"/>
      <c r="Q248" s="439"/>
      <c r="R248" s="436"/>
      <c r="S248" s="436"/>
      <c r="T248" s="436"/>
      <c r="U248" s="436">
        <v>168</v>
      </c>
      <c r="V248" s="436"/>
      <c r="W248" s="448">
        <f>IF(NFI_Expiration=1,IF($A248&lt;VLOOKUP(H$5,NFI,5,0),1,0)*Table_NFI[[#This Row],[Hygiene Kit]],Table_NFI[Hygiene Kit])</f>
        <v>0</v>
      </c>
      <c r="X248" s="448">
        <f>IF(NFI_Expiration=1,IF($A248&lt;VLOOKUP(I$5,NFI,5,0),1,0)*Table_NFI[[#This Row],[NFI Core Kit]],Table_NFI[NFI Core Kit])</f>
        <v>0</v>
      </c>
      <c r="Y248" s="448">
        <f>IF(NFI_Expiration=1,IF($A248&lt;VLOOKUP(J$5,NFI,5,0),1,0)*Table_NFI[[#This Row],[Sanitary Kit]],Table_NFI[Sanitary Kit])</f>
        <v>0</v>
      </c>
      <c r="Z248" s="448">
        <f>IF(NFI_Expiration=1,IF($A248&lt;VLOOKUP(K$5,NFI,5,0),1,0)*Table_NFI[[#This Row],[Mosquito net]],Table_NFI[Mosquito net])</f>
        <v>0</v>
      </c>
      <c r="AA248" s="448">
        <f>IF(NFI_Expiration=1,IF($A248&lt;VLOOKUP(L$5,NFI,5,0),1,0)*Table_NFI[[#This Row],[Tarpaulin]],Table_NFI[[#This Row],[Tarpaulin]])</f>
        <v>0</v>
      </c>
      <c r="AB248" s="448">
        <f>IF(NFI_Expiration=1,IF($A248&lt;VLOOKUP(M$5,NFI,5,0),1,0)*Table_NFI[[#This Row],[Blanket]],Table_NFI[[#This Row],[Blanket]])</f>
        <v>0</v>
      </c>
      <c r="AC248" s="448">
        <f>IF(NFI_Expiration=1,IF($A248&lt;VLOOKUP(N$5,NFI,5,0),1,0)*Table_NFI[[#This Row],[Kitchen Set]],Table_NFI[Kitchen Set])</f>
        <v>0</v>
      </c>
      <c r="AD248" s="448">
        <f>IF(NFI_Expiration=1,IF($A248&lt;VLOOKUP(O$5,NFI,5,0),1,0)*Table_NFI[[#This Row],[Clothes Kit]],Table_NFI[Clothes Kit])</f>
        <v>0</v>
      </c>
      <c r="AE248" s="448">
        <f>IF(NFI_Expiration=1,IF($A248&lt;VLOOKUP(P$5,NFI,5,0),1,0)*Table_NFI[[#This Row],[Plastic Bucket]],Table_NFI[Plastic Bucket])</f>
        <v>0</v>
      </c>
      <c r="AF248" s="448">
        <f>IF(NFI_Expiration=1,IF($A248&lt;VLOOKUP(Q$5,NFI,5,0),1,0)*Table_NFI[[#This Row],[Plastic Mat]],Table_NFI[Plastic Mat])*IF(Table_NFI[[#This Row],[Distribution Date]]&gt;"2014-04-01",1,2.5)</f>
        <v>0</v>
      </c>
      <c r="AG248" s="448">
        <f>IF(NFI_Expiration=1,IF($A248&lt;VLOOKUP(R$5,NFI,5,0),1,0)*Table_NFI[[#This Row],[Winter Clothes Adult]],Table_NFI[Winter Clothes Adult])</f>
        <v>0</v>
      </c>
      <c r="AH248" s="448">
        <f>IF(NFI_Expiration=1,IF($A248&lt;VLOOKUP(S$5,NFI,5,0),1,0)*Table_NFI[[#This Row],[Winter Clothes Children]],Table_NFI[Winter Clothes Children])</f>
        <v>0</v>
      </c>
      <c r="AI248" s="448">
        <f>IF(NFI_Expiration=1,IF($A248&lt;VLOOKUP(T$5,NFI,5,0),1,0)*Table_NFI[[#This Row],[Winter Items Other]],Table_NFI[Winter Items Other])</f>
        <v>0</v>
      </c>
      <c r="AJ248" s="448">
        <f>IF(NFI_Expiration=1,IF($A248&lt;VLOOKUP(M$5,NFI,5,0),1,0)*Table_NFI[[#This Row],[Winter Blanket]],Table_NFI[[#This Row],[Winter Blanket]])</f>
        <v>0</v>
      </c>
      <c r="AK248" s="448">
        <f>IF(Table_NFI[[#This Row],[Winter Clothes Adult]]+Table_NFI[[#This Row],[Winter Clothes Children]]+Table_NFI[[#This Row],[Winter Items Other]]+Table_NFI[[#This Row],[Winter Blanket]]&gt;0,1,0)</f>
        <v>1</v>
      </c>
      <c r="AL248" s="439">
        <f>IF(NFI_Expiration=1,IF($A248&lt;VLOOKUP(V$5,NFI,5,0),1,0)*Table_NFI[[#This Row],[Jerry Can]],Table_NFI[Jerry Can])</f>
        <v>0</v>
      </c>
      <c r="AM248" s="797" t="str">
        <f>IFERROR(VLOOKUP(Table_NFI[[#This Row],[Camp Name]],CL,2,0),"")</f>
        <v>MMR001CMP009</v>
      </c>
      <c r="AN248" s="798">
        <f ca="1">IF(Table_NFI[[#This Row],[Pcode]]="","",IF(OFFSET(CampList[Opening Date],MATCH(Table_NFI[[#This Row],[Pcode]],CampList[CP_Pcode],0)-1,0,1,1)&gt;=NFI_Monitor_Date,1,0))</f>
        <v>0</v>
      </c>
      <c r="AO248" s="797" t="str">
        <f>IFERROR(VLOOKUP(Table_NFI[[#This Row],[Camp Name]],CL,3,0),"")</f>
        <v>Open</v>
      </c>
      <c r="AP248" s="448" t="str">
        <f ca="1">IF(Table_NFI[[#This Row],[Pcode]]="","",OFFSET(CampList[Priority],MATCH(Table_NFI[[#This Row],[Pcode]],CampList[CP_Pcode],0)-1,0,1,1))</f>
        <v>P4</v>
      </c>
      <c r="AQ248" s="449">
        <f>IFERROR(Table_NFI[[#This Row],[Kitchen Set]]/VLOOKUP(Table_NFI[[#This Row],[Camp Name]],CL,4,0),"")</f>
        <v>0</v>
      </c>
      <c r="AR248" s="799"/>
      <c r="AS248" s="783"/>
    </row>
    <row r="249" spans="1:45" s="784" customFormat="1" x14ac:dyDescent="0.25">
      <c r="A249" s="455">
        <f t="shared" si="3"/>
        <v>17.933333333333334</v>
      </c>
      <c r="B249" s="778">
        <v>41771</v>
      </c>
      <c r="C249" s="779" t="s">
        <v>454</v>
      </c>
      <c r="D249" s="779"/>
      <c r="E249" s="779" t="s">
        <v>555</v>
      </c>
      <c r="F249" s="779" t="s">
        <v>230</v>
      </c>
      <c r="G249" s="779" t="s">
        <v>1070</v>
      </c>
      <c r="H249" s="436"/>
      <c r="I249" s="436"/>
      <c r="J249" s="436"/>
      <c r="K249" s="436">
        <v>68</v>
      </c>
      <c r="L249" s="437">
        <v>9</v>
      </c>
      <c r="M249" s="437">
        <v>118</v>
      </c>
      <c r="N249" s="437">
        <v>9</v>
      </c>
      <c r="O249" s="437">
        <v>0</v>
      </c>
      <c r="P249" s="437">
        <v>9</v>
      </c>
      <c r="Q249" s="437">
        <v>45</v>
      </c>
      <c r="R249" s="436"/>
      <c r="S249" s="436"/>
      <c r="T249" s="436"/>
      <c r="U249" s="436"/>
      <c r="V249" s="436"/>
      <c r="W249" s="450">
        <f>IF(NFI_Expiration=1,IF($A249&lt;VLOOKUP(H$5,NFI,5,0),1,0)*Table_NFI[[#This Row],[Hygiene Kit]],Table_NFI[Hygiene Kit])</f>
        <v>0</v>
      </c>
      <c r="X249" s="450">
        <f>IF(NFI_Expiration=1,IF($A249&lt;VLOOKUP(I$5,NFI,5,0),1,0)*Table_NFI[[#This Row],[NFI Core Kit]],Table_NFI[NFI Core Kit])</f>
        <v>0</v>
      </c>
      <c r="Y249" s="450">
        <f>IF(NFI_Expiration=1,IF($A249&lt;VLOOKUP(J$5,NFI,5,0),1,0)*Table_NFI[[#This Row],[Sanitary Kit]],Table_NFI[Sanitary Kit])</f>
        <v>0</v>
      </c>
      <c r="Z249" s="450">
        <f>IF(NFI_Expiration=1,IF($A249&lt;VLOOKUP(K$5,NFI,5,0),1,0)*Table_NFI[[#This Row],[Mosquito net]],Table_NFI[Mosquito net])</f>
        <v>0</v>
      </c>
      <c r="AA249" s="450">
        <f>IF(NFI_Expiration=1,IF($A249&lt;VLOOKUP(L$5,NFI,5,0),1,0)*Table_NFI[[#This Row],[Tarpaulin]],Table_NFI[[#This Row],[Tarpaulin]])</f>
        <v>0</v>
      </c>
      <c r="AB249" s="450">
        <f>IF(NFI_Expiration=1,IF($A249&lt;VLOOKUP(M$5,NFI,5,0),1,0)*Table_NFI[[#This Row],[Blanket]],Table_NFI[[#This Row],[Blanket]])</f>
        <v>0</v>
      </c>
      <c r="AC249" s="450">
        <f>IF(NFI_Expiration=1,IF($A249&lt;VLOOKUP(N$5,NFI,5,0),1,0)*Table_NFI[[#This Row],[Kitchen Set]],Table_NFI[Kitchen Set])</f>
        <v>0</v>
      </c>
      <c r="AD249" s="450">
        <f>IF(NFI_Expiration=1,IF($A249&lt;VLOOKUP(O$5,NFI,5,0),1,0)*Table_NFI[[#This Row],[Clothes Kit]],Table_NFI[Clothes Kit])</f>
        <v>0</v>
      </c>
      <c r="AE249" s="450">
        <f>IF(NFI_Expiration=1,IF($A249&lt;VLOOKUP(P$5,NFI,5,0),1,0)*Table_NFI[[#This Row],[Plastic Bucket]],Table_NFI[Plastic Bucket])</f>
        <v>0</v>
      </c>
      <c r="AF249" s="450">
        <f>IF(NFI_Expiration=1,IF($A249&lt;VLOOKUP(Q$5,NFI,5,0),1,0)*Table_NFI[[#This Row],[Plastic Mat]],Table_NFI[Plastic Mat])*IF(Table_NFI[[#This Row],[Distribution Date]]&gt;"2014-04-01",1,2.5)</f>
        <v>0</v>
      </c>
      <c r="AG249" s="450">
        <f>IF(NFI_Expiration=1,IF($A249&lt;VLOOKUP(R$5,NFI,5,0),1,0)*Table_NFI[[#This Row],[Winter Clothes Adult]],Table_NFI[Winter Clothes Adult])</f>
        <v>0</v>
      </c>
      <c r="AH249" s="450">
        <f>IF(NFI_Expiration=1,IF($A249&lt;VLOOKUP(S$5,NFI,5,0),1,0)*Table_NFI[[#This Row],[Winter Clothes Children]],Table_NFI[Winter Clothes Children])</f>
        <v>0</v>
      </c>
      <c r="AI249" s="450">
        <f>IF(NFI_Expiration=1,IF($A249&lt;VLOOKUP(T$5,NFI,5,0),1,0)*Table_NFI[[#This Row],[Winter Items Other]],Table_NFI[Winter Items Other])</f>
        <v>0</v>
      </c>
      <c r="AJ249" s="450">
        <f>IF(NFI_Expiration=1,IF($A249&lt;VLOOKUP(M$5,NFI,5,0),1,0)*Table_NFI[[#This Row],[Winter Blanket]],Table_NFI[[#This Row],[Winter Blanket]])</f>
        <v>0</v>
      </c>
      <c r="AK249" s="450">
        <f>IF(Table_NFI[[#This Row],[Winter Clothes Adult]]+Table_NFI[[#This Row],[Winter Clothes Children]]+Table_NFI[[#This Row],[Winter Items Other]]+Table_NFI[[#This Row],[Winter Blanket]]&gt;0,1,0)</f>
        <v>0</v>
      </c>
      <c r="AL249" s="439">
        <f>IF(NFI_Expiration=1,IF($A249&lt;VLOOKUP(V$5,NFI,5,0),1,0)*Table_NFI[[#This Row],[Jerry Can]],Table_NFI[Jerry Can])</f>
        <v>0</v>
      </c>
      <c r="AM249" s="800" t="str">
        <f>IFERROR(VLOOKUP(Table_NFI[[#This Row],[Camp Name]],CL,2,0),"")</f>
        <v>MMR015CMP216</v>
      </c>
      <c r="AN249" s="782">
        <f ca="1">IF(Table_NFI[[#This Row],[Pcode]]="","",IF(OFFSET(CampList[Opening Date],MATCH(Table_NFI[[#This Row],[Pcode]],CampList[CP_Pcode],0)-1,0,1,1)&gt;=NFI_Monitor_Date,1,0))</f>
        <v>1</v>
      </c>
      <c r="AO249" s="800" t="str">
        <f>IFERROR(VLOOKUP(Table_NFI[[#This Row],[Camp Name]],CL,3,0),"")</f>
        <v>Open</v>
      </c>
      <c r="AP249" s="450" t="str">
        <f ca="1">IF(Table_NFI[[#This Row],[Pcode]]="","",OFFSET(CampList[Priority],MATCH(Table_NFI[[#This Row],[Pcode]],CampList[CP_Pcode],0)-1,0,1,1))</f>
        <v>P4</v>
      </c>
      <c r="AQ249" s="451">
        <f>IFERROR(Table_NFI[[#This Row],[Kitchen Set]]/VLOOKUP(Table_NFI[[#This Row],[Camp Name]],CL,4,0),"")</f>
        <v>0.3</v>
      </c>
      <c r="AR249" s="802"/>
      <c r="AS249" s="783" t="s">
        <v>1255</v>
      </c>
    </row>
    <row r="250" spans="1:45" s="784" customFormat="1" x14ac:dyDescent="0.25">
      <c r="A250" s="455">
        <f t="shared" si="3"/>
        <v>17.933333333333334</v>
      </c>
      <c r="B250" s="778">
        <v>41771</v>
      </c>
      <c r="C250" s="779" t="s">
        <v>454</v>
      </c>
      <c r="D250" s="779"/>
      <c r="E250" s="779" t="s">
        <v>555</v>
      </c>
      <c r="F250" s="779" t="s">
        <v>230</v>
      </c>
      <c r="G250" s="779" t="s">
        <v>1070</v>
      </c>
      <c r="H250" s="436"/>
      <c r="I250" s="436"/>
      <c r="J250" s="436"/>
      <c r="K250" s="436">
        <v>82</v>
      </c>
      <c r="L250" s="437">
        <v>41</v>
      </c>
      <c r="M250" s="437">
        <v>82</v>
      </c>
      <c r="N250" s="437">
        <v>41</v>
      </c>
      <c r="O250" s="437"/>
      <c r="P250" s="439">
        <v>41</v>
      </c>
      <c r="Q250" s="439">
        <v>205</v>
      </c>
      <c r="R250" s="436"/>
      <c r="S250" s="436"/>
      <c r="T250" s="436"/>
      <c r="U250" s="436"/>
      <c r="V250" s="436"/>
      <c r="W250" s="450">
        <f>IF(NFI_Expiration=1,IF($A250&lt;VLOOKUP(H$5,NFI,5,0),1,0)*Table_NFI[[#This Row],[Hygiene Kit]],Table_NFI[Hygiene Kit])</f>
        <v>0</v>
      </c>
      <c r="X250" s="450">
        <f>IF(NFI_Expiration=1,IF($A250&lt;VLOOKUP(I$5,NFI,5,0),1,0)*Table_NFI[[#This Row],[NFI Core Kit]],Table_NFI[NFI Core Kit])</f>
        <v>0</v>
      </c>
      <c r="Y250" s="450">
        <f>IF(NFI_Expiration=1,IF($A250&lt;VLOOKUP(J$5,NFI,5,0),1,0)*Table_NFI[[#This Row],[Sanitary Kit]],Table_NFI[Sanitary Kit])</f>
        <v>0</v>
      </c>
      <c r="Z250" s="450">
        <f>IF(NFI_Expiration=1,IF($A250&lt;VLOOKUP(K$5,NFI,5,0),1,0)*Table_NFI[[#This Row],[Mosquito net]],Table_NFI[Mosquito net])</f>
        <v>0</v>
      </c>
      <c r="AA250" s="450">
        <f>IF(NFI_Expiration=1,IF($A250&lt;VLOOKUP(L$5,NFI,5,0),1,0)*Table_NFI[[#This Row],[Tarpaulin]],Table_NFI[[#This Row],[Tarpaulin]])</f>
        <v>0</v>
      </c>
      <c r="AB250" s="450">
        <f>IF(NFI_Expiration=1,IF($A250&lt;VLOOKUP(M$5,NFI,5,0),1,0)*Table_NFI[[#This Row],[Blanket]],Table_NFI[[#This Row],[Blanket]])</f>
        <v>0</v>
      </c>
      <c r="AC250" s="450">
        <f>IF(NFI_Expiration=1,IF($A250&lt;VLOOKUP(N$5,NFI,5,0),1,0)*Table_NFI[[#This Row],[Kitchen Set]],Table_NFI[Kitchen Set])</f>
        <v>0</v>
      </c>
      <c r="AD250" s="450">
        <f>IF(NFI_Expiration=1,IF($A250&lt;VLOOKUP(O$5,NFI,5,0),1,0)*Table_NFI[[#This Row],[Clothes Kit]],Table_NFI[Clothes Kit])</f>
        <v>0</v>
      </c>
      <c r="AE250" s="450">
        <f>IF(NFI_Expiration=1,IF($A250&lt;VLOOKUP(P$5,NFI,5,0),1,0)*Table_NFI[[#This Row],[Plastic Bucket]],Table_NFI[Plastic Bucket])</f>
        <v>0</v>
      </c>
      <c r="AF250" s="450">
        <f>IF(NFI_Expiration=1,IF($A250&lt;VLOOKUP(Q$5,NFI,5,0),1,0)*Table_NFI[[#This Row],[Plastic Mat]],Table_NFI[Plastic Mat])*IF(Table_NFI[[#This Row],[Distribution Date]]&gt;"2014-04-01",1,2.5)</f>
        <v>0</v>
      </c>
      <c r="AG250" s="450">
        <f>IF(NFI_Expiration=1,IF($A250&lt;VLOOKUP(R$5,NFI,5,0),1,0)*Table_NFI[[#This Row],[Winter Clothes Adult]],Table_NFI[Winter Clothes Adult])</f>
        <v>0</v>
      </c>
      <c r="AH250" s="450">
        <f>IF(NFI_Expiration=1,IF($A250&lt;VLOOKUP(S$5,NFI,5,0),1,0)*Table_NFI[[#This Row],[Winter Clothes Children]],Table_NFI[Winter Clothes Children])</f>
        <v>0</v>
      </c>
      <c r="AI250" s="450">
        <f>IF(NFI_Expiration=1,IF($A250&lt;VLOOKUP(T$5,NFI,5,0),1,0)*Table_NFI[[#This Row],[Winter Items Other]],Table_NFI[Winter Items Other])</f>
        <v>0</v>
      </c>
      <c r="AJ250" s="450">
        <f>IF(NFI_Expiration=1,IF($A250&lt;VLOOKUP(M$5,NFI,5,0),1,0)*Table_NFI[[#This Row],[Winter Blanket]],Table_NFI[[#This Row],[Winter Blanket]])</f>
        <v>0</v>
      </c>
      <c r="AK250" s="450">
        <f>IF(Table_NFI[[#This Row],[Winter Clothes Adult]]+Table_NFI[[#This Row],[Winter Clothes Children]]+Table_NFI[[#This Row],[Winter Items Other]]+Table_NFI[[#This Row],[Winter Blanket]]&gt;0,1,0)</f>
        <v>0</v>
      </c>
      <c r="AL250" s="439">
        <f>IF(NFI_Expiration=1,IF($A250&lt;VLOOKUP(V$5,NFI,5,0),1,0)*Table_NFI[[#This Row],[Jerry Can]],Table_NFI[Jerry Can])</f>
        <v>0</v>
      </c>
      <c r="AM250" s="800" t="str">
        <f>IFERROR(VLOOKUP(Table_NFI[[#This Row],[Camp Name]],CL,2,0),"")</f>
        <v>MMR015CMP216</v>
      </c>
      <c r="AN250" s="782">
        <f ca="1">IF(Table_NFI[[#This Row],[Pcode]]="","",IF(OFFSET(CampList[Opening Date],MATCH(Table_NFI[[#This Row],[Pcode]],CampList[CP_Pcode],0)-1,0,1,1)&gt;=NFI_Monitor_Date,1,0))</f>
        <v>1</v>
      </c>
      <c r="AO250" s="800" t="str">
        <f>IFERROR(VLOOKUP(Table_NFI[[#This Row],[Camp Name]],CL,3,0),"")</f>
        <v>Open</v>
      </c>
      <c r="AP250" s="450" t="str">
        <f ca="1">IF(Table_NFI[[#This Row],[Pcode]]="","",OFFSET(CampList[Priority],MATCH(Table_NFI[[#This Row],[Pcode]],CampList[CP_Pcode],0)-1,0,1,1))</f>
        <v>P4</v>
      </c>
      <c r="AQ250" s="451">
        <f>IFERROR(Table_NFI[[#This Row],[Kitchen Set]]/VLOOKUP(Table_NFI[[#This Row],[Camp Name]],CL,4,0),"")</f>
        <v>1.3666666666666667</v>
      </c>
      <c r="AR250" s="802"/>
      <c r="AS250" s="783"/>
    </row>
    <row r="251" spans="1:45" s="784" customFormat="1" x14ac:dyDescent="0.25">
      <c r="A251" s="455">
        <f t="shared" si="3"/>
        <v>17.933333333333334</v>
      </c>
      <c r="B251" s="778">
        <v>41771</v>
      </c>
      <c r="C251" s="779" t="s">
        <v>1113</v>
      </c>
      <c r="D251" s="779" t="s">
        <v>907</v>
      </c>
      <c r="E251" s="779" t="s">
        <v>380</v>
      </c>
      <c r="F251" s="779" t="s">
        <v>237</v>
      </c>
      <c r="G251" s="779" t="s">
        <v>261</v>
      </c>
      <c r="H251" s="436"/>
      <c r="I251" s="436"/>
      <c r="J251" s="436"/>
      <c r="K251" s="436"/>
      <c r="L251" s="437"/>
      <c r="M251" s="437"/>
      <c r="N251" s="437"/>
      <c r="O251" s="437"/>
      <c r="P251" s="439"/>
      <c r="Q251" s="439"/>
      <c r="R251" s="436"/>
      <c r="S251" s="436"/>
      <c r="T251" s="436"/>
      <c r="U251" s="436">
        <v>184</v>
      </c>
      <c r="V251" s="436"/>
      <c r="W251" s="448">
        <f>IF(NFI_Expiration=1,IF($A251&lt;VLOOKUP(H$5,NFI,5,0),1,0)*Table_NFI[[#This Row],[Hygiene Kit]],Table_NFI[Hygiene Kit])</f>
        <v>0</v>
      </c>
      <c r="X251" s="448">
        <f>IF(NFI_Expiration=1,IF($A251&lt;VLOOKUP(I$5,NFI,5,0),1,0)*Table_NFI[[#This Row],[NFI Core Kit]],Table_NFI[NFI Core Kit])</f>
        <v>0</v>
      </c>
      <c r="Y251" s="448">
        <f>IF(NFI_Expiration=1,IF($A251&lt;VLOOKUP(J$5,NFI,5,0),1,0)*Table_NFI[[#This Row],[Sanitary Kit]],Table_NFI[Sanitary Kit])</f>
        <v>0</v>
      </c>
      <c r="Z251" s="448">
        <f>IF(NFI_Expiration=1,IF($A251&lt;VLOOKUP(K$5,NFI,5,0),1,0)*Table_NFI[[#This Row],[Mosquito net]],Table_NFI[Mosquito net])</f>
        <v>0</v>
      </c>
      <c r="AA251" s="448">
        <f>IF(NFI_Expiration=1,IF($A251&lt;VLOOKUP(L$5,NFI,5,0),1,0)*Table_NFI[[#This Row],[Tarpaulin]],Table_NFI[[#This Row],[Tarpaulin]])</f>
        <v>0</v>
      </c>
      <c r="AB251" s="448">
        <f>IF(NFI_Expiration=1,IF($A251&lt;VLOOKUP(M$5,NFI,5,0),1,0)*Table_NFI[[#This Row],[Blanket]],Table_NFI[[#This Row],[Blanket]])</f>
        <v>0</v>
      </c>
      <c r="AC251" s="448">
        <f>IF(NFI_Expiration=1,IF($A251&lt;VLOOKUP(N$5,NFI,5,0),1,0)*Table_NFI[[#This Row],[Kitchen Set]],Table_NFI[Kitchen Set])</f>
        <v>0</v>
      </c>
      <c r="AD251" s="448">
        <f>IF(NFI_Expiration=1,IF($A251&lt;VLOOKUP(O$5,NFI,5,0),1,0)*Table_NFI[[#This Row],[Clothes Kit]],Table_NFI[Clothes Kit])</f>
        <v>0</v>
      </c>
      <c r="AE251" s="448">
        <f>IF(NFI_Expiration=1,IF($A251&lt;VLOOKUP(P$5,NFI,5,0),1,0)*Table_NFI[[#This Row],[Plastic Bucket]],Table_NFI[Plastic Bucket])</f>
        <v>0</v>
      </c>
      <c r="AF251" s="448">
        <f>IF(NFI_Expiration=1,IF($A251&lt;VLOOKUP(Q$5,NFI,5,0),1,0)*Table_NFI[[#This Row],[Plastic Mat]],Table_NFI[Plastic Mat])*IF(Table_NFI[[#This Row],[Distribution Date]]&gt;"2014-04-01",1,2.5)</f>
        <v>0</v>
      </c>
      <c r="AG251" s="448">
        <f>IF(NFI_Expiration=1,IF($A251&lt;VLOOKUP(R$5,NFI,5,0),1,0)*Table_NFI[[#This Row],[Winter Clothes Adult]],Table_NFI[Winter Clothes Adult])</f>
        <v>0</v>
      </c>
      <c r="AH251" s="448">
        <f>IF(NFI_Expiration=1,IF($A251&lt;VLOOKUP(S$5,NFI,5,0),1,0)*Table_NFI[[#This Row],[Winter Clothes Children]],Table_NFI[Winter Clothes Children])</f>
        <v>0</v>
      </c>
      <c r="AI251" s="448">
        <f>IF(NFI_Expiration=1,IF($A251&lt;VLOOKUP(T$5,NFI,5,0),1,0)*Table_NFI[[#This Row],[Winter Items Other]],Table_NFI[Winter Items Other])</f>
        <v>0</v>
      </c>
      <c r="AJ251" s="448">
        <f>IF(NFI_Expiration=1,IF($A251&lt;VLOOKUP(M$5,NFI,5,0),1,0)*Table_NFI[[#This Row],[Winter Blanket]],Table_NFI[[#This Row],[Winter Blanket]])</f>
        <v>0</v>
      </c>
      <c r="AK251" s="448">
        <f>IF(Table_NFI[[#This Row],[Winter Clothes Adult]]+Table_NFI[[#This Row],[Winter Clothes Children]]+Table_NFI[[#This Row],[Winter Items Other]]+Table_NFI[[#This Row],[Winter Blanket]]&gt;0,1,0)</f>
        <v>1</v>
      </c>
      <c r="AL251" s="439">
        <f>IF(NFI_Expiration=1,IF($A251&lt;VLOOKUP(V$5,NFI,5,0),1,0)*Table_NFI[[#This Row],[Jerry Can]],Table_NFI[Jerry Can])</f>
        <v>0</v>
      </c>
      <c r="AM251" s="797" t="str">
        <f>IFERROR(VLOOKUP(Table_NFI[[#This Row],[Camp Name]],CL,2,0),"")</f>
        <v>MMR001CMP008</v>
      </c>
      <c r="AN251" s="798">
        <f ca="1">IF(Table_NFI[[#This Row],[Pcode]]="","",IF(OFFSET(CampList[Opening Date],MATCH(Table_NFI[[#This Row],[Pcode]],CampList[CP_Pcode],0)-1,0,1,1)&gt;=NFI_Monitor_Date,1,0))</f>
        <v>0</v>
      </c>
      <c r="AO251" s="797" t="str">
        <f>IFERROR(VLOOKUP(Table_NFI[[#This Row],[Camp Name]],CL,3,0),"")</f>
        <v>Open</v>
      </c>
      <c r="AP251" s="448" t="str">
        <f ca="1">IF(Table_NFI[[#This Row],[Pcode]]="","",OFFSET(CampList[Priority],MATCH(Table_NFI[[#This Row],[Pcode]],CampList[CP_Pcode],0)-1,0,1,1))</f>
        <v>P4</v>
      </c>
      <c r="AQ251" s="449">
        <f>IFERROR(Table_NFI[[#This Row],[Kitchen Set]]/VLOOKUP(Table_NFI[[#This Row],[Camp Name]],CL,4,0),"")</f>
        <v>0</v>
      </c>
      <c r="AR251" s="799"/>
      <c r="AS251" s="783"/>
    </row>
    <row r="252" spans="1:45" s="784" customFormat="1" x14ac:dyDescent="0.25">
      <c r="A252" s="455">
        <f t="shared" si="3"/>
        <v>17.966666666666665</v>
      </c>
      <c r="B252" s="778">
        <v>41770</v>
      </c>
      <c r="C252" s="779" t="s">
        <v>454</v>
      </c>
      <c r="D252" s="779"/>
      <c r="E252" s="779" t="s">
        <v>555</v>
      </c>
      <c r="F252" s="779" t="s">
        <v>230</v>
      </c>
      <c r="G252" s="779" t="s">
        <v>1060</v>
      </c>
      <c r="H252" s="436"/>
      <c r="I252" s="436"/>
      <c r="J252" s="436"/>
      <c r="K252" s="436">
        <v>138</v>
      </c>
      <c r="L252" s="437">
        <v>19</v>
      </c>
      <c r="M252" s="437">
        <v>238</v>
      </c>
      <c r="N252" s="437">
        <v>19</v>
      </c>
      <c r="O252" s="437">
        <v>0</v>
      </c>
      <c r="P252" s="437">
        <v>19</v>
      </c>
      <c r="Q252" s="437">
        <v>95</v>
      </c>
      <c r="R252" s="436"/>
      <c r="S252" s="436"/>
      <c r="T252" s="436"/>
      <c r="U252" s="436"/>
      <c r="V252" s="436"/>
      <c r="W252" s="450">
        <f>IF(NFI_Expiration=1,IF($A252&lt;VLOOKUP(H$5,NFI,5,0),1,0)*Table_NFI[[#This Row],[Hygiene Kit]],Table_NFI[Hygiene Kit])</f>
        <v>0</v>
      </c>
      <c r="X252" s="450">
        <f>IF(NFI_Expiration=1,IF($A252&lt;VLOOKUP(I$5,NFI,5,0),1,0)*Table_NFI[[#This Row],[NFI Core Kit]],Table_NFI[NFI Core Kit])</f>
        <v>0</v>
      </c>
      <c r="Y252" s="450">
        <f>IF(NFI_Expiration=1,IF($A252&lt;VLOOKUP(J$5,NFI,5,0),1,0)*Table_NFI[[#This Row],[Sanitary Kit]],Table_NFI[Sanitary Kit])</f>
        <v>0</v>
      </c>
      <c r="Z252" s="450">
        <f>IF(NFI_Expiration=1,IF($A252&lt;VLOOKUP(K$5,NFI,5,0),1,0)*Table_NFI[[#This Row],[Mosquito net]],Table_NFI[Mosquito net])</f>
        <v>0</v>
      </c>
      <c r="AA252" s="450">
        <f>IF(NFI_Expiration=1,IF($A252&lt;VLOOKUP(L$5,NFI,5,0),1,0)*Table_NFI[[#This Row],[Tarpaulin]],Table_NFI[[#This Row],[Tarpaulin]])</f>
        <v>0</v>
      </c>
      <c r="AB252" s="450">
        <f>IF(NFI_Expiration=1,IF($A252&lt;VLOOKUP(M$5,NFI,5,0),1,0)*Table_NFI[[#This Row],[Blanket]],Table_NFI[[#This Row],[Blanket]])</f>
        <v>0</v>
      </c>
      <c r="AC252" s="450">
        <f>IF(NFI_Expiration=1,IF($A252&lt;VLOOKUP(N$5,NFI,5,0),1,0)*Table_NFI[[#This Row],[Kitchen Set]],Table_NFI[Kitchen Set])</f>
        <v>0</v>
      </c>
      <c r="AD252" s="450">
        <f>IF(NFI_Expiration=1,IF($A252&lt;VLOOKUP(O$5,NFI,5,0),1,0)*Table_NFI[[#This Row],[Clothes Kit]],Table_NFI[Clothes Kit])</f>
        <v>0</v>
      </c>
      <c r="AE252" s="450">
        <f>IF(NFI_Expiration=1,IF($A252&lt;VLOOKUP(P$5,NFI,5,0),1,0)*Table_NFI[[#This Row],[Plastic Bucket]],Table_NFI[Plastic Bucket])</f>
        <v>0</v>
      </c>
      <c r="AF252" s="450">
        <f>IF(NFI_Expiration=1,IF($A252&lt;VLOOKUP(Q$5,NFI,5,0),1,0)*Table_NFI[[#This Row],[Plastic Mat]],Table_NFI[Plastic Mat])*IF(Table_NFI[[#This Row],[Distribution Date]]&gt;"2014-04-01",1,2.5)</f>
        <v>0</v>
      </c>
      <c r="AG252" s="450">
        <f>IF(NFI_Expiration=1,IF($A252&lt;VLOOKUP(R$5,NFI,5,0),1,0)*Table_NFI[[#This Row],[Winter Clothes Adult]],Table_NFI[Winter Clothes Adult])</f>
        <v>0</v>
      </c>
      <c r="AH252" s="450">
        <f>IF(NFI_Expiration=1,IF($A252&lt;VLOOKUP(S$5,NFI,5,0),1,0)*Table_NFI[[#This Row],[Winter Clothes Children]],Table_NFI[Winter Clothes Children])</f>
        <v>0</v>
      </c>
      <c r="AI252" s="450">
        <f>IF(NFI_Expiration=1,IF($A252&lt;VLOOKUP(T$5,NFI,5,0),1,0)*Table_NFI[[#This Row],[Winter Items Other]],Table_NFI[Winter Items Other])</f>
        <v>0</v>
      </c>
      <c r="AJ252" s="450">
        <f>IF(NFI_Expiration=1,IF($A252&lt;VLOOKUP(M$5,NFI,5,0),1,0)*Table_NFI[[#This Row],[Winter Blanket]],Table_NFI[[#This Row],[Winter Blanket]])</f>
        <v>0</v>
      </c>
      <c r="AK252" s="450">
        <f>IF(Table_NFI[[#This Row],[Winter Clothes Adult]]+Table_NFI[[#This Row],[Winter Clothes Children]]+Table_NFI[[#This Row],[Winter Items Other]]+Table_NFI[[#This Row],[Winter Blanket]]&gt;0,1,0)</f>
        <v>0</v>
      </c>
      <c r="AL252" s="439">
        <f>IF(NFI_Expiration=1,IF($A252&lt;VLOOKUP(V$5,NFI,5,0),1,0)*Table_NFI[[#This Row],[Jerry Can]],Table_NFI[Jerry Can])</f>
        <v>0</v>
      </c>
      <c r="AM252" s="800" t="str">
        <f>IFERROR(VLOOKUP(Table_NFI[[#This Row],[Camp Name]],CL,2,0),"")</f>
        <v>MMR015CMP213</v>
      </c>
      <c r="AN252" s="782">
        <f ca="1">IF(Table_NFI[[#This Row],[Pcode]]="","",IF(OFFSET(CampList[Opening Date],MATCH(Table_NFI[[#This Row],[Pcode]],CampList[CP_Pcode],0)-1,0,1,1)&gt;=NFI_Monitor_Date,1,0))</f>
        <v>1</v>
      </c>
      <c r="AO252" s="800" t="str">
        <f>IFERROR(VLOOKUP(Table_NFI[[#This Row],[Camp Name]],CL,3,0),"")</f>
        <v>Open</v>
      </c>
      <c r="AP252" s="450" t="str">
        <f ca="1">IF(Table_NFI[[#This Row],[Pcode]]="","",OFFSET(CampList[Priority],MATCH(Table_NFI[[#This Row],[Pcode]],CampList[CP_Pcode],0)-1,0,1,1))</f>
        <v>P4</v>
      </c>
      <c r="AQ252" s="451">
        <f>IFERROR(Table_NFI[[#This Row],[Kitchen Set]]/VLOOKUP(Table_NFI[[#This Row],[Camp Name]],CL,4,0),"")</f>
        <v>0.34545454545454546</v>
      </c>
      <c r="AR252" s="802"/>
      <c r="AS252" s="783" t="s">
        <v>1255</v>
      </c>
    </row>
    <row r="253" spans="1:45" s="784" customFormat="1" x14ac:dyDescent="0.25">
      <c r="A253" s="455">
        <f t="shared" si="3"/>
        <v>17.966666666666665</v>
      </c>
      <c r="B253" s="778">
        <v>41770</v>
      </c>
      <c r="C253" s="779" t="s">
        <v>454</v>
      </c>
      <c r="D253" s="779"/>
      <c r="E253" s="779" t="s">
        <v>555</v>
      </c>
      <c r="F253" s="779" t="s">
        <v>230</v>
      </c>
      <c r="G253" s="779" t="s">
        <v>1060</v>
      </c>
      <c r="H253" s="436"/>
      <c r="I253" s="436"/>
      <c r="J253" s="436"/>
      <c r="K253" s="436">
        <v>162</v>
      </c>
      <c r="L253" s="437">
        <v>81</v>
      </c>
      <c r="M253" s="437">
        <v>162</v>
      </c>
      <c r="N253" s="437">
        <v>81</v>
      </c>
      <c r="O253" s="437"/>
      <c r="P253" s="439">
        <v>81</v>
      </c>
      <c r="Q253" s="439">
        <v>405</v>
      </c>
      <c r="R253" s="436"/>
      <c r="S253" s="436"/>
      <c r="T253" s="436"/>
      <c r="U253" s="436"/>
      <c r="V253" s="436"/>
      <c r="W253" s="450">
        <f>IF(NFI_Expiration=1,IF($A253&lt;VLOOKUP(H$5,NFI,5,0),1,0)*Table_NFI[[#This Row],[Hygiene Kit]],Table_NFI[Hygiene Kit])</f>
        <v>0</v>
      </c>
      <c r="X253" s="450">
        <f>IF(NFI_Expiration=1,IF($A253&lt;VLOOKUP(I$5,NFI,5,0),1,0)*Table_NFI[[#This Row],[NFI Core Kit]],Table_NFI[NFI Core Kit])</f>
        <v>0</v>
      </c>
      <c r="Y253" s="450">
        <f>IF(NFI_Expiration=1,IF($A253&lt;VLOOKUP(J$5,NFI,5,0),1,0)*Table_NFI[[#This Row],[Sanitary Kit]],Table_NFI[Sanitary Kit])</f>
        <v>0</v>
      </c>
      <c r="Z253" s="450">
        <f>IF(NFI_Expiration=1,IF($A253&lt;VLOOKUP(K$5,NFI,5,0),1,0)*Table_NFI[[#This Row],[Mosquito net]],Table_NFI[Mosquito net])</f>
        <v>0</v>
      </c>
      <c r="AA253" s="450">
        <f>IF(NFI_Expiration=1,IF($A253&lt;VLOOKUP(L$5,NFI,5,0),1,0)*Table_NFI[[#This Row],[Tarpaulin]],Table_NFI[[#This Row],[Tarpaulin]])</f>
        <v>0</v>
      </c>
      <c r="AB253" s="450">
        <f>IF(NFI_Expiration=1,IF($A253&lt;VLOOKUP(M$5,NFI,5,0),1,0)*Table_NFI[[#This Row],[Blanket]],Table_NFI[[#This Row],[Blanket]])</f>
        <v>0</v>
      </c>
      <c r="AC253" s="450">
        <f>IF(NFI_Expiration=1,IF($A253&lt;VLOOKUP(N$5,NFI,5,0),1,0)*Table_NFI[[#This Row],[Kitchen Set]],Table_NFI[Kitchen Set])</f>
        <v>0</v>
      </c>
      <c r="AD253" s="450">
        <f>IF(NFI_Expiration=1,IF($A253&lt;VLOOKUP(O$5,NFI,5,0),1,0)*Table_NFI[[#This Row],[Clothes Kit]],Table_NFI[Clothes Kit])</f>
        <v>0</v>
      </c>
      <c r="AE253" s="450">
        <f>IF(NFI_Expiration=1,IF($A253&lt;VLOOKUP(P$5,NFI,5,0),1,0)*Table_NFI[[#This Row],[Plastic Bucket]],Table_NFI[Plastic Bucket])</f>
        <v>0</v>
      </c>
      <c r="AF253" s="450">
        <f>IF(NFI_Expiration=1,IF($A253&lt;VLOOKUP(Q$5,NFI,5,0),1,0)*Table_NFI[[#This Row],[Plastic Mat]],Table_NFI[Plastic Mat])*IF(Table_NFI[[#This Row],[Distribution Date]]&gt;"2014-04-01",1,2.5)</f>
        <v>0</v>
      </c>
      <c r="AG253" s="450">
        <f>IF(NFI_Expiration=1,IF($A253&lt;VLOOKUP(R$5,NFI,5,0),1,0)*Table_NFI[[#This Row],[Winter Clothes Adult]],Table_NFI[Winter Clothes Adult])</f>
        <v>0</v>
      </c>
      <c r="AH253" s="450">
        <f>IF(NFI_Expiration=1,IF($A253&lt;VLOOKUP(S$5,NFI,5,0),1,0)*Table_NFI[[#This Row],[Winter Clothes Children]],Table_NFI[Winter Clothes Children])</f>
        <v>0</v>
      </c>
      <c r="AI253" s="450">
        <f>IF(NFI_Expiration=1,IF($A253&lt;VLOOKUP(T$5,NFI,5,0),1,0)*Table_NFI[[#This Row],[Winter Items Other]],Table_NFI[Winter Items Other])</f>
        <v>0</v>
      </c>
      <c r="AJ253" s="450">
        <f>IF(NFI_Expiration=1,IF($A253&lt;VLOOKUP(M$5,NFI,5,0),1,0)*Table_NFI[[#This Row],[Winter Blanket]],Table_NFI[[#This Row],[Winter Blanket]])</f>
        <v>0</v>
      </c>
      <c r="AK253" s="450">
        <f>IF(Table_NFI[[#This Row],[Winter Clothes Adult]]+Table_NFI[[#This Row],[Winter Clothes Children]]+Table_NFI[[#This Row],[Winter Items Other]]+Table_NFI[[#This Row],[Winter Blanket]]&gt;0,1,0)</f>
        <v>0</v>
      </c>
      <c r="AL253" s="439">
        <f>IF(NFI_Expiration=1,IF($A253&lt;VLOOKUP(V$5,NFI,5,0),1,0)*Table_NFI[[#This Row],[Jerry Can]],Table_NFI[Jerry Can])</f>
        <v>0</v>
      </c>
      <c r="AM253" s="800" t="str">
        <f>IFERROR(VLOOKUP(Table_NFI[[#This Row],[Camp Name]],CL,2,0),"")</f>
        <v>MMR015CMP213</v>
      </c>
      <c r="AN253" s="782">
        <f ca="1">IF(Table_NFI[[#This Row],[Pcode]]="","",IF(OFFSET(CampList[Opening Date],MATCH(Table_NFI[[#This Row],[Pcode]],CampList[CP_Pcode],0)-1,0,1,1)&gt;=NFI_Monitor_Date,1,0))</f>
        <v>1</v>
      </c>
      <c r="AO253" s="800" t="str">
        <f>IFERROR(VLOOKUP(Table_NFI[[#This Row],[Camp Name]],CL,3,0),"")</f>
        <v>Open</v>
      </c>
      <c r="AP253" s="450" t="str">
        <f ca="1">IF(Table_NFI[[#This Row],[Pcode]]="","",OFFSET(CampList[Priority],MATCH(Table_NFI[[#This Row],[Pcode]],CampList[CP_Pcode],0)-1,0,1,1))</f>
        <v>P4</v>
      </c>
      <c r="AQ253" s="451">
        <f>IFERROR(Table_NFI[[#This Row],[Kitchen Set]]/VLOOKUP(Table_NFI[[#This Row],[Camp Name]],CL,4,0),"")</f>
        <v>1.4727272727272727</v>
      </c>
      <c r="AR253" s="802"/>
      <c r="AS253" s="783"/>
    </row>
    <row r="254" spans="1:45" s="784" customFormat="1" x14ac:dyDescent="0.25">
      <c r="A254" s="455">
        <f t="shared" si="3"/>
        <v>18.033333333333335</v>
      </c>
      <c r="B254" s="778">
        <v>41768</v>
      </c>
      <c r="C254" s="779" t="s">
        <v>1113</v>
      </c>
      <c r="D254" s="779" t="s">
        <v>907</v>
      </c>
      <c r="E254" s="779" t="s">
        <v>380</v>
      </c>
      <c r="F254" s="779" t="s">
        <v>237</v>
      </c>
      <c r="G254" s="779" t="s">
        <v>273</v>
      </c>
      <c r="H254" s="436"/>
      <c r="I254" s="436"/>
      <c r="J254" s="436"/>
      <c r="K254" s="436"/>
      <c r="L254" s="437"/>
      <c r="M254" s="437"/>
      <c r="N254" s="437"/>
      <c r="O254" s="437"/>
      <c r="P254" s="439"/>
      <c r="Q254" s="439"/>
      <c r="R254" s="436"/>
      <c r="S254" s="436"/>
      <c r="T254" s="436"/>
      <c r="U254" s="436">
        <v>58</v>
      </c>
      <c r="V254" s="436"/>
      <c r="W254" s="448">
        <f>IF(NFI_Expiration=1,IF($A254&lt;VLOOKUP(H$5,NFI,5,0),1,0)*Table_NFI[[#This Row],[Hygiene Kit]],Table_NFI[Hygiene Kit])</f>
        <v>0</v>
      </c>
      <c r="X254" s="448">
        <f>IF(NFI_Expiration=1,IF($A254&lt;VLOOKUP(I$5,NFI,5,0),1,0)*Table_NFI[[#This Row],[NFI Core Kit]],Table_NFI[NFI Core Kit])</f>
        <v>0</v>
      </c>
      <c r="Y254" s="448">
        <f>IF(NFI_Expiration=1,IF($A254&lt;VLOOKUP(J$5,NFI,5,0),1,0)*Table_NFI[[#This Row],[Sanitary Kit]],Table_NFI[Sanitary Kit])</f>
        <v>0</v>
      </c>
      <c r="Z254" s="448">
        <f>IF(NFI_Expiration=1,IF($A254&lt;VLOOKUP(K$5,NFI,5,0),1,0)*Table_NFI[[#This Row],[Mosquito net]],Table_NFI[Mosquito net])</f>
        <v>0</v>
      </c>
      <c r="AA254" s="448">
        <f>IF(NFI_Expiration=1,IF($A254&lt;VLOOKUP(L$5,NFI,5,0),1,0)*Table_NFI[[#This Row],[Tarpaulin]],Table_NFI[[#This Row],[Tarpaulin]])</f>
        <v>0</v>
      </c>
      <c r="AB254" s="448">
        <f>IF(NFI_Expiration=1,IF($A254&lt;VLOOKUP(M$5,NFI,5,0),1,0)*Table_NFI[[#This Row],[Blanket]],Table_NFI[[#This Row],[Blanket]])</f>
        <v>0</v>
      </c>
      <c r="AC254" s="448">
        <f>IF(NFI_Expiration=1,IF($A254&lt;VLOOKUP(N$5,NFI,5,0),1,0)*Table_NFI[[#This Row],[Kitchen Set]],Table_NFI[Kitchen Set])</f>
        <v>0</v>
      </c>
      <c r="AD254" s="448">
        <f>IF(NFI_Expiration=1,IF($A254&lt;VLOOKUP(O$5,NFI,5,0),1,0)*Table_NFI[[#This Row],[Clothes Kit]],Table_NFI[Clothes Kit])</f>
        <v>0</v>
      </c>
      <c r="AE254" s="448">
        <f>IF(NFI_Expiration=1,IF($A254&lt;VLOOKUP(P$5,NFI,5,0),1,0)*Table_NFI[[#This Row],[Plastic Bucket]],Table_NFI[Plastic Bucket])</f>
        <v>0</v>
      </c>
      <c r="AF254" s="448">
        <f>IF(NFI_Expiration=1,IF($A254&lt;VLOOKUP(Q$5,NFI,5,0),1,0)*Table_NFI[[#This Row],[Plastic Mat]],Table_NFI[Plastic Mat])*IF(Table_NFI[[#This Row],[Distribution Date]]&gt;"2014-04-01",1,2.5)</f>
        <v>0</v>
      </c>
      <c r="AG254" s="448">
        <f>IF(NFI_Expiration=1,IF($A254&lt;VLOOKUP(R$5,NFI,5,0),1,0)*Table_NFI[[#This Row],[Winter Clothes Adult]],Table_NFI[Winter Clothes Adult])</f>
        <v>0</v>
      </c>
      <c r="AH254" s="448">
        <f>IF(NFI_Expiration=1,IF($A254&lt;VLOOKUP(S$5,NFI,5,0),1,0)*Table_NFI[[#This Row],[Winter Clothes Children]],Table_NFI[Winter Clothes Children])</f>
        <v>0</v>
      </c>
      <c r="AI254" s="448">
        <f>IF(NFI_Expiration=1,IF($A254&lt;VLOOKUP(T$5,NFI,5,0),1,0)*Table_NFI[[#This Row],[Winter Items Other]],Table_NFI[Winter Items Other])</f>
        <v>0</v>
      </c>
      <c r="AJ254" s="448">
        <f>IF(NFI_Expiration=1,IF($A254&lt;VLOOKUP(M$5,NFI,5,0),1,0)*Table_NFI[[#This Row],[Winter Blanket]],Table_NFI[[#This Row],[Winter Blanket]])</f>
        <v>0</v>
      </c>
      <c r="AK254" s="448">
        <f>IF(Table_NFI[[#This Row],[Winter Clothes Adult]]+Table_NFI[[#This Row],[Winter Clothes Children]]+Table_NFI[[#This Row],[Winter Items Other]]+Table_NFI[[#This Row],[Winter Blanket]]&gt;0,1,0)</f>
        <v>1</v>
      </c>
      <c r="AL254" s="439">
        <f>IF(NFI_Expiration=1,IF($A254&lt;VLOOKUP(V$5,NFI,5,0),1,0)*Table_NFI[[#This Row],[Jerry Can]],Table_NFI[Jerry Can])</f>
        <v>0</v>
      </c>
      <c r="AM254" s="797" t="str">
        <f>IFERROR(VLOOKUP(Table_NFI[[#This Row],[Camp Name]],CL,2,0),"")</f>
        <v>MMR001CMP162</v>
      </c>
      <c r="AN254" s="798">
        <f ca="1">IF(Table_NFI[[#This Row],[Pcode]]="","",IF(OFFSET(CampList[Opening Date],MATCH(Table_NFI[[#This Row],[Pcode]],CampList[CP_Pcode],0)-1,0,1,1)&gt;=NFI_Monitor_Date,1,0))</f>
        <v>0</v>
      </c>
      <c r="AO254" s="797" t="str">
        <f>IFERROR(VLOOKUP(Table_NFI[[#This Row],[Camp Name]],CL,3,0),"")</f>
        <v>Open</v>
      </c>
      <c r="AP254" s="448" t="str">
        <f ca="1">IF(Table_NFI[[#This Row],[Pcode]]="","",OFFSET(CampList[Priority],MATCH(Table_NFI[[#This Row],[Pcode]],CampList[CP_Pcode],0)-1,0,1,1))</f>
        <v>P4</v>
      </c>
      <c r="AQ254" s="449">
        <f>IFERROR(Table_NFI[[#This Row],[Kitchen Set]]/VLOOKUP(Table_NFI[[#This Row],[Camp Name]],CL,4,0),"")</f>
        <v>0</v>
      </c>
      <c r="AR254" s="799"/>
      <c r="AS254" s="783"/>
    </row>
    <row r="255" spans="1:45" s="784" customFormat="1" x14ac:dyDescent="0.25">
      <c r="A255" s="455">
        <f t="shared" si="3"/>
        <v>18.033333333333335</v>
      </c>
      <c r="B255" s="778">
        <v>41768</v>
      </c>
      <c r="C255" s="779" t="s">
        <v>1113</v>
      </c>
      <c r="D255" s="779" t="s">
        <v>907</v>
      </c>
      <c r="E255" s="779" t="s">
        <v>380</v>
      </c>
      <c r="F255" s="779" t="s">
        <v>237</v>
      </c>
      <c r="G255" s="779" t="s">
        <v>277</v>
      </c>
      <c r="H255" s="436"/>
      <c r="I255" s="436"/>
      <c r="J255" s="436"/>
      <c r="K255" s="436"/>
      <c r="L255" s="437"/>
      <c r="M255" s="437"/>
      <c r="N255" s="437"/>
      <c r="O255" s="437"/>
      <c r="P255" s="439"/>
      <c r="Q255" s="439"/>
      <c r="R255" s="436"/>
      <c r="S255" s="436"/>
      <c r="T255" s="436"/>
      <c r="U255" s="436">
        <v>208</v>
      </c>
      <c r="V255" s="436"/>
      <c r="W255" s="448">
        <f>IF(NFI_Expiration=1,IF($A255&lt;VLOOKUP(H$5,NFI,5,0),1,0)*Table_NFI[[#This Row],[Hygiene Kit]],Table_NFI[Hygiene Kit])</f>
        <v>0</v>
      </c>
      <c r="X255" s="448">
        <f>IF(NFI_Expiration=1,IF($A255&lt;VLOOKUP(I$5,NFI,5,0),1,0)*Table_NFI[[#This Row],[NFI Core Kit]],Table_NFI[NFI Core Kit])</f>
        <v>0</v>
      </c>
      <c r="Y255" s="448">
        <f>IF(NFI_Expiration=1,IF($A255&lt;VLOOKUP(J$5,NFI,5,0),1,0)*Table_NFI[[#This Row],[Sanitary Kit]],Table_NFI[Sanitary Kit])</f>
        <v>0</v>
      </c>
      <c r="Z255" s="448">
        <f>IF(NFI_Expiration=1,IF($A255&lt;VLOOKUP(K$5,NFI,5,0),1,0)*Table_NFI[[#This Row],[Mosquito net]],Table_NFI[Mosquito net])</f>
        <v>0</v>
      </c>
      <c r="AA255" s="448">
        <f>IF(NFI_Expiration=1,IF($A255&lt;VLOOKUP(L$5,NFI,5,0),1,0)*Table_NFI[[#This Row],[Tarpaulin]],Table_NFI[[#This Row],[Tarpaulin]])</f>
        <v>0</v>
      </c>
      <c r="AB255" s="448">
        <f>IF(NFI_Expiration=1,IF($A255&lt;VLOOKUP(M$5,NFI,5,0),1,0)*Table_NFI[[#This Row],[Blanket]],Table_NFI[[#This Row],[Blanket]])</f>
        <v>0</v>
      </c>
      <c r="AC255" s="448">
        <f>IF(NFI_Expiration=1,IF($A255&lt;VLOOKUP(N$5,NFI,5,0),1,0)*Table_NFI[[#This Row],[Kitchen Set]],Table_NFI[Kitchen Set])</f>
        <v>0</v>
      </c>
      <c r="AD255" s="448">
        <f>IF(NFI_Expiration=1,IF($A255&lt;VLOOKUP(O$5,NFI,5,0),1,0)*Table_NFI[[#This Row],[Clothes Kit]],Table_NFI[Clothes Kit])</f>
        <v>0</v>
      </c>
      <c r="AE255" s="448">
        <f>IF(NFI_Expiration=1,IF($A255&lt;VLOOKUP(P$5,NFI,5,0),1,0)*Table_NFI[[#This Row],[Plastic Bucket]],Table_NFI[Plastic Bucket])</f>
        <v>0</v>
      </c>
      <c r="AF255" s="448">
        <f>IF(NFI_Expiration=1,IF($A255&lt;VLOOKUP(Q$5,NFI,5,0),1,0)*Table_NFI[[#This Row],[Plastic Mat]],Table_NFI[Plastic Mat])*IF(Table_NFI[[#This Row],[Distribution Date]]&gt;"2014-04-01",1,2.5)</f>
        <v>0</v>
      </c>
      <c r="AG255" s="448">
        <f>IF(NFI_Expiration=1,IF($A255&lt;VLOOKUP(R$5,NFI,5,0),1,0)*Table_NFI[[#This Row],[Winter Clothes Adult]],Table_NFI[Winter Clothes Adult])</f>
        <v>0</v>
      </c>
      <c r="AH255" s="448">
        <f>IF(NFI_Expiration=1,IF($A255&lt;VLOOKUP(S$5,NFI,5,0),1,0)*Table_NFI[[#This Row],[Winter Clothes Children]],Table_NFI[Winter Clothes Children])</f>
        <v>0</v>
      </c>
      <c r="AI255" s="448">
        <f>IF(NFI_Expiration=1,IF($A255&lt;VLOOKUP(T$5,NFI,5,0),1,0)*Table_NFI[[#This Row],[Winter Items Other]],Table_NFI[Winter Items Other])</f>
        <v>0</v>
      </c>
      <c r="AJ255" s="448">
        <f>IF(NFI_Expiration=1,IF($A255&lt;VLOOKUP(M$5,NFI,5,0),1,0)*Table_NFI[[#This Row],[Winter Blanket]],Table_NFI[[#This Row],[Winter Blanket]])</f>
        <v>0</v>
      </c>
      <c r="AK255" s="448">
        <f>IF(Table_NFI[[#This Row],[Winter Clothes Adult]]+Table_NFI[[#This Row],[Winter Clothes Children]]+Table_NFI[[#This Row],[Winter Items Other]]+Table_NFI[[#This Row],[Winter Blanket]]&gt;0,1,0)</f>
        <v>1</v>
      </c>
      <c r="AL255" s="439">
        <f>IF(NFI_Expiration=1,IF($A255&lt;VLOOKUP(V$5,NFI,5,0),1,0)*Table_NFI[[#This Row],[Jerry Can]],Table_NFI[Jerry Can])</f>
        <v>0</v>
      </c>
      <c r="AM255" s="797" t="str">
        <f>IFERROR(VLOOKUP(Table_NFI[[#This Row],[Camp Name]],CL,2,0),"")</f>
        <v>MMR001CMP006</v>
      </c>
      <c r="AN255" s="798">
        <f ca="1">IF(Table_NFI[[#This Row],[Pcode]]="","",IF(OFFSET(CampList[Opening Date],MATCH(Table_NFI[[#This Row],[Pcode]],CampList[CP_Pcode],0)-1,0,1,1)&gt;=NFI_Monitor_Date,1,0))</f>
        <v>0</v>
      </c>
      <c r="AO255" s="797" t="str">
        <f>IFERROR(VLOOKUP(Table_NFI[[#This Row],[Camp Name]],CL,3,0),"")</f>
        <v>Open</v>
      </c>
      <c r="AP255" s="448" t="str">
        <f ca="1">IF(Table_NFI[[#This Row],[Pcode]]="","",OFFSET(CampList[Priority],MATCH(Table_NFI[[#This Row],[Pcode]],CampList[CP_Pcode],0)-1,0,1,1))</f>
        <v>P4</v>
      </c>
      <c r="AQ255" s="449">
        <f>IFERROR(Table_NFI[[#This Row],[Kitchen Set]]/VLOOKUP(Table_NFI[[#This Row],[Camp Name]],CL,4,0),"")</f>
        <v>0</v>
      </c>
      <c r="AR255" s="799"/>
      <c r="AS255" s="783"/>
    </row>
    <row r="256" spans="1:45" s="784" customFormat="1" x14ac:dyDescent="0.25">
      <c r="A256" s="455">
        <f t="shared" si="3"/>
        <v>18.633333333333333</v>
      </c>
      <c r="B256" s="778">
        <v>41750</v>
      </c>
      <c r="C256" s="779" t="s">
        <v>454</v>
      </c>
      <c r="D256" s="779"/>
      <c r="E256" s="779" t="s">
        <v>555</v>
      </c>
      <c r="F256" s="779" t="s">
        <v>289</v>
      </c>
      <c r="G256" s="779" t="s">
        <v>1062</v>
      </c>
      <c r="H256" s="436"/>
      <c r="I256" s="436"/>
      <c r="J256" s="436"/>
      <c r="K256" s="436">
        <v>0</v>
      </c>
      <c r="L256" s="437">
        <v>1</v>
      </c>
      <c r="M256" s="437">
        <v>167</v>
      </c>
      <c r="N256" s="437">
        <v>1</v>
      </c>
      <c r="O256" s="437">
        <v>0</v>
      </c>
      <c r="P256" s="437">
        <v>1</v>
      </c>
      <c r="Q256" s="437">
        <v>0</v>
      </c>
      <c r="R256" s="436"/>
      <c r="S256" s="436"/>
      <c r="T256" s="436"/>
      <c r="U256" s="436"/>
      <c r="V256" s="436"/>
      <c r="W256" s="450">
        <f>IF(NFI_Expiration=1,IF($A256&lt;VLOOKUP(H$5,NFI,5,0),1,0)*Table_NFI[[#This Row],[Hygiene Kit]],Table_NFI[Hygiene Kit])</f>
        <v>0</v>
      </c>
      <c r="X256" s="450">
        <f>IF(NFI_Expiration=1,IF($A256&lt;VLOOKUP(I$5,NFI,5,0),1,0)*Table_NFI[[#This Row],[NFI Core Kit]],Table_NFI[NFI Core Kit])</f>
        <v>0</v>
      </c>
      <c r="Y256" s="450">
        <f>IF(NFI_Expiration=1,IF($A256&lt;VLOOKUP(J$5,NFI,5,0),1,0)*Table_NFI[[#This Row],[Sanitary Kit]],Table_NFI[Sanitary Kit])</f>
        <v>0</v>
      </c>
      <c r="Z256" s="450">
        <f>IF(NFI_Expiration=1,IF($A256&lt;VLOOKUP(K$5,NFI,5,0),1,0)*Table_NFI[[#This Row],[Mosquito net]],Table_NFI[Mosquito net])</f>
        <v>0</v>
      </c>
      <c r="AA256" s="450">
        <f>IF(NFI_Expiration=1,IF($A256&lt;VLOOKUP(L$5,NFI,5,0),1,0)*Table_NFI[[#This Row],[Tarpaulin]],Table_NFI[[#This Row],[Tarpaulin]])</f>
        <v>0</v>
      </c>
      <c r="AB256" s="450">
        <f>IF(NFI_Expiration=1,IF($A256&lt;VLOOKUP(M$5,NFI,5,0),1,0)*Table_NFI[[#This Row],[Blanket]],Table_NFI[[#This Row],[Blanket]])</f>
        <v>0</v>
      </c>
      <c r="AC256" s="450">
        <f>IF(NFI_Expiration=1,IF($A256&lt;VLOOKUP(N$5,NFI,5,0),1,0)*Table_NFI[[#This Row],[Kitchen Set]],Table_NFI[Kitchen Set])</f>
        <v>0</v>
      </c>
      <c r="AD256" s="450">
        <f>IF(NFI_Expiration=1,IF($A256&lt;VLOOKUP(O$5,NFI,5,0),1,0)*Table_NFI[[#This Row],[Clothes Kit]],Table_NFI[Clothes Kit])</f>
        <v>0</v>
      </c>
      <c r="AE256" s="450">
        <f>IF(NFI_Expiration=1,IF($A256&lt;VLOOKUP(P$5,NFI,5,0),1,0)*Table_NFI[[#This Row],[Plastic Bucket]],Table_NFI[Plastic Bucket])</f>
        <v>0</v>
      </c>
      <c r="AF256" s="450">
        <f>IF(NFI_Expiration=1,IF($A256&lt;VLOOKUP(Q$5,NFI,5,0),1,0)*Table_NFI[[#This Row],[Plastic Mat]],Table_NFI[Plastic Mat])*IF(Table_NFI[[#This Row],[Distribution Date]]&gt;"2014-04-01",1,2.5)</f>
        <v>0</v>
      </c>
      <c r="AG256" s="450">
        <f>IF(NFI_Expiration=1,IF($A256&lt;VLOOKUP(R$5,NFI,5,0),1,0)*Table_NFI[[#This Row],[Winter Clothes Adult]],Table_NFI[Winter Clothes Adult])</f>
        <v>0</v>
      </c>
      <c r="AH256" s="450">
        <f>IF(NFI_Expiration=1,IF($A256&lt;VLOOKUP(S$5,NFI,5,0),1,0)*Table_NFI[[#This Row],[Winter Clothes Children]],Table_NFI[Winter Clothes Children])</f>
        <v>0</v>
      </c>
      <c r="AI256" s="450">
        <f>IF(NFI_Expiration=1,IF($A256&lt;VLOOKUP(T$5,NFI,5,0),1,0)*Table_NFI[[#This Row],[Winter Items Other]],Table_NFI[Winter Items Other])</f>
        <v>0</v>
      </c>
      <c r="AJ256" s="450">
        <f>IF(NFI_Expiration=1,IF($A256&lt;VLOOKUP(M$5,NFI,5,0),1,0)*Table_NFI[[#This Row],[Winter Blanket]],Table_NFI[[#This Row],[Winter Blanket]])</f>
        <v>0</v>
      </c>
      <c r="AK256" s="450">
        <f>IF(Table_NFI[[#This Row],[Winter Clothes Adult]]+Table_NFI[[#This Row],[Winter Clothes Children]]+Table_NFI[[#This Row],[Winter Items Other]]+Table_NFI[[#This Row],[Winter Blanket]]&gt;0,1,0)</f>
        <v>0</v>
      </c>
      <c r="AL256" s="439">
        <f>IF(NFI_Expiration=1,IF($A256&lt;VLOOKUP(V$5,NFI,5,0),1,0)*Table_NFI[[#This Row],[Jerry Can]],Table_NFI[Jerry Can])</f>
        <v>0</v>
      </c>
      <c r="AM256" s="800" t="str">
        <f>IFERROR(VLOOKUP(Table_NFI[[#This Row],[Camp Name]],CL,2,0),"")</f>
        <v>MMR015CMP214</v>
      </c>
      <c r="AN256" s="782">
        <f ca="1">IF(Table_NFI[[#This Row],[Pcode]]="","",IF(OFFSET(CampList[Opening Date],MATCH(Table_NFI[[#This Row],[Pcode]],CampList[CP_Pcode],0)-1,0,1,1)&gt;=NFI_Monitor_Date,1,0))</f>
        <v>1</v>
      </c>
      <c r="AO256" s="800" t="str">
        <f>IFERROR(VLOOKUP(Table_NFI[[#This Row],[Camp Name]],CL,3,0),"")</f>
        <v>Open</v>
      </c>
      <c r="AP256" s="450" t="str">
        <f ca="1">IF(Table_NFI[[#This Row],[Pcode]]="","",OFFSET(CampList[Priority],MATCH(Table_NFI[[#This Row],[Pcode]],CampList[CP_Pcode],0)-1,0,1,1))</f>
        <v>P4</v>
      </c>
      <c r="AQ256" s="451">
        <f>IFERROR(Table_NFI[[#This Row],[Kitchen Set]]/VLOOKUP(Table_NFI[[#This Row],[Camp Name]],CL,4,0),"")</f>
        <v>2.4390243902439025E-2</v>
      </c>
      <c r="AR256" s="802"/>
      <c r="AS256" s="783" t="s">
        <v>1255</v>
      </c>
    </row>
    <row r="257" spans="1:45" s="784" customFormat="1" x14ac:dyDescent="0.25">
      <c r="A257" s="455">
        <f t="shared" si="3"/>
        <v>18.633333333333333</v>
      </c>
      <c r="B257" s="778">
        <v>41750</v>
      </c>
      <c r="C257" s="779" t="s">
        <v>454</v>
      </c>
      <c r="D257" s="779"/>
      <c r="E257" s="779" t="s">
        <v>555</v>
      </c>
      <c r="F257" s="779" t="s">
        <v>289</v>
      </c>
      <c r="G257" s="779" t="s">
        <v>1062</v>
      </c>
      <c r="H257" s="436"/>
      <c r="I257" s="436"/>
      <c r="J257" s="436"/>
      <c r="K257" s="436">
        <v>90</v>
      </c>
      <c r="L257" s="437">
        <v>49</v>
      </c>
      <c r="M257" s="437">
        <v>98</v>
      </c>
      <c r="N257" s="437">
        <v>49</v>
      </c>
      <c r="O257" s="437"/>
      <c r="P257" s="439">
        <v>49</v>
      </c>
      <c r="Q257" s="439">
        <v>225</v>
      </c>
      <c r="R257" s="436"/>
      <c r="S257" s="436"/>
      <c r="T257" s="436"/>
      <c r="U257" s="436"/>
      <c r="V257" s="436"/>
      <c r="W257" s="450">
        <f>IF(NFI_Expiration=1,IF($A257&lt;VLOOKUP(H$5,NFI,5,0),1,0)*Table_NFI[[#This Row],[Hygiene Kit]],Table_NFI[Hygiene Kit])</f>
        <v>0</v>
      </c>
      <c r="X257" s="450">
        <f>IF(NFI_Expiration=1,IF($A257&lt;VLOOKUP(I$5,NFI,5,0),1,0)*Table_NFI[[#This Row],[NFI Core Kit]],Table_NFI[NFI Core Kit])</f>
        <v>0</v>
      </c>
      <c r="Y257" s="450">
        <f>IF(NFI_Expiration=1,IF($A257&lt;VLOOKUP(J$5,NFI,5,0),1,0)*Table_NFI[[#This Row],[Sanitary Kit]],Table_NFI[Sanitary Kit])</f>
        <v>0</v>
      </c>
      <c r="Z257" s="450">
        <f>IF(NFI_Expiration=1,IF($A257&lt;VLOOKUP(K$5,NFI,5,0),1,0)*Table_NFI[[#This Row],[Mosquito net]],Table_NFI[Mosquito net])</f>
        <v>0</v>
      </c>
      <c r="AA257" s="450">
        <f>IF(NFI_Expiration=1,IF($A257&lt;VLOOKUP(L$5,NFI,5,0),1,0)*Table_NFI[[#This Row],[Tarpaulin]],Table_NFI[[#This Row],[Tarpaulin]])</f>
        <v>0</v>
      </c>
      <c r="AB257" s="450">
        <f>IF(NFI_Expiration=1,IF($A257&lt;VLOOKUP(M$5,NFI,5,0),1,0)*Table_NFI[[#This Row],[Blanket]],Table_NFI[[#This Row],[Blanket]])</f>
        <v>0</v>
      </c>
      <c r="AC257" s="450">
        <f>IF(NFI_Expiration=1,IF($A257&lt;VLOOKUP(N$5,NFI,5,0),1,0)*Table_NFI[[#This Row],[Kitchen Set]],Table_NFI[Kitchen Set])</f>
        <v>0</v>
      </c>
      <c r="AD257" s="450">
        <f>IF(NFI_Expiration=1,IF($A257&lt;VLOOKUP(O$5,NFI,5,0),1,0)*Table_NFI[[#This Row],[Clothes Kit]],Table_NFI[Clothes Kit])</f>
        <v>0</v>
      </c>
      <c r="AE257" s="450">
        <f>IF(NFI_Expiration=1,IF($A257&lt;VLOOKUP(P$5,NFI,5,0),1,0)*Table_NFI[[#This Row],[Plastic Bucket]],Table_NFI[Plastic Bucket])</f>
        <v>0</v>
      </c>
      <c r="AF257" s="450">
        <f>IF(NFI_Expiration=1,IF($A257&lt;VLOOKUP(Q$5,NFI,5,0),1,0)*Table_NFI[[#This Row],[Plastic Mat]],Table_NFI[Plastic Mat])*IF(Table_NFI[[#This Row],[Distribution Date]]&gt;"2014-04-01",1,2.5)</f>
        <v>0</v>
      </c>
      <c r="AG257" s="450">
        <f>IF(NFI_Expiration=1,IF($A257&lt;VLOOKUP(R$5,NFI,5,0),1,0)*Table_NFI[[#This Row],[Winter Clothes Adult]],Table_NFI[Winter Clothes Adult])</f>
        <v>0</v>
      </c>
      <c r="AH257" s="450">
        <f>IF(NFI_Expiration=1,IF($A257&lt;VLOOKUP(S$5,NFI,5,0),1,0)*Table_NFI[[#This Row],[Winter Clothes Children]],Table_NFI[Winter Clothes Children])</f>
        <v>0</v>
      </c>
      <c r="AI257" s="450">
        <f>IF(NFI_Expiration=1,IF($A257&lt;VLOOKUP(T$5,NFI,5,0),1,0)*Table_NFI[[#This Row],[Winter Items Other]],Table_NFI[Winter Items Other])</f>
        <v>0</v>
      </c>
      <c r="AJ257" s="450">
        <f>IF(NFI_Expiration=1,IF($A257&lt;VLOOKUP(M$5,NFI,5,0),1,0)*Table_NFI[[#This Row],[Winter Blanket]],Table_NFI[[#This Row],[Winter Blanket]])</f>
        <v>0</v>
      </c>
      <c r="AK257" s="450">
        <f>IF(Table_NFI[[#This Row],[Winter Clothes Adult]]+Table_NFI[[#This Row],[Winter Clothes Children]]+Table_NFI[[#This Row],[Winter Items Other]]+Table_NFI[[#This Row],[Winter Blanket]]&gt;0,1,0)</f>
        <v>0</v>
      </c>
      <c r="AL257" s="439">
        <f>IF(NFI_Expiration=1,IF($A257&lt;VLOOKUP(V$5,NFI,5,0),1,0)*Table_NFI[[#This Row],[Jerry Can]],Table_NFI[Jerry Can])</f>
        <v>0</v>
      </c>
      <c r="AM257" s="800" t="str">
        <f>IFERROR(VLOOKUP(Table_NFI[[#This Row],[Camp Name]],CL,2,0),"")</f>
        <v>MMR015CMP214</v>
      </c>
      <c r="AN257" s="782">
        <f ca="1">IF(Table_NFI[[#This Row],[Pcode]]="","",IF(OFFSET(CampList[Opening Date],MATCH(Table_NFI[[#This Row],[Pcode]],CampList[CP_Pcode],0)-1,0,1,1)&gt;=NFI_Monitor_Date,1,0))</f>
        <v>1</v>
      </c>
      <c r="AO257" s="800" t="str">
        <f>IFERROR(VLOOKUP(Table_NFI[[#This Row],[Camp Name]],CL,3,0),"")</f>
        <v>Open</v>
      </c>
      <c r="AP257" s="450" t="str">
        <f ca="1">IF(Table_NFI[[#This Row],[Pcode]]="","",OFFSET(CampList[Priority],MATCH(Table_NFI[[#This Row],[Pcode]],CampList[CP_Pcode],0)-1,0,1,1))</f>
        <v>P4</v>
      </c>
      <c r="AQ257" s="451">
        <f>IFERROR(Table_NFI[[#This Row],[Kitchen Set]]/VLOOKUP(Table_NFI[[#This Row],[Camp Name]],CL,4,0),"")</f>
        <v>1.1951219512195121</v>
      </c>
      <c r="AR257" s="802"/>
      <c r="AS257" s="783"/>
    </row>
    <row r="258" spans="1:45" s="784" customFormat="1" x14ac:dyDescent="0.25">
      <c r="A258" s="455">
        <f t="shared" si="3"/>
        <v>18.633333333333333</v>
      </c>
      <c r="B258" s="778">
        <v>41750</v>
      </c>
      <c r="C258" s="779" t="s">
        <v>454</v>
      </c>
      <c r="D258" s="779" t="s">
        <v>454</v>
      </c>
      <c r="E258" s="779" t="s">
        <v>380</v>
      </c>
      <c r="F258" s="779" t="s">
        <v>5</v>
      </c>
      <c r="G258" s="779" t="s">
        <v>6</v>
      </c>
      <c r="H258" s="436"/>
      <c r="I258" s="436"/>
      <c r="J258" s="436">
        <v>5</v>
      </c>
      <c r="K258" s="436">
        <v>6</v>
      </c>
      <c r="L258" s="437">
        <v>2</v>
      </c>
      <c r="M258" s="437">
        <v>6</v>
      </c>
      <c r="N258" s="437">
        <v>2</v>
      </c>
      <c r="O258" s="437">
        <v>2</v>
      </c>
      <c r="P258" s="439">
        <v>2</v>
      </c>
      <c r="Q258" s="439">
        <v>6</v>
      </c>
      <c r="R258" s="436"/>
      <c r="S258" s="436"/>
      <c r="T258" s="436"/>
      <c r="U258" s="436"/>
      <c r="V258" s="436"/>
      <c r="W258" s="436">
        <f>IF(NFI_Expiration=1,IF($A258&lt;VLOOKUP(H$5,NFI,5,0),1,0)*Table_NFI[[#This Row],[Hygiene Kit]],Table_NFI[Hygiene Kit])</f>
        <v>0</v>
      </c>
      <c r="X258" s="436">
        <f>IF(NFI_Expiration=1,IF($A258&lt;VLOOKUP(I$5,NFI,5,0),1,0)*Table_NFI[[#This Row],[NFI Core Kit]],Table_NFI[NFI Core Kit])</f>
        <v>0</v>
      </c>
      <c r="Y258" s="436">
        <f>IF(NFI_Expiration=1,IF($A258&lt;VLOOKUP(J$5,NFI,5,0),1,0)*Table_NFI[[#This Row],[Sanitary Kit]],Table_NFI[Sanitary Kit])</f>
        <v>0</v>
      </c>
      <c r="Z258" s="436">
        <f>IF(NFI_Expiration=1,IF($A258&lt;VLOOKUP(K$5,NFI,5,0),1,0)*Table_NFI[[#This Row],[Mosquito net]],Table_NFI[Mosquito net])</f>
        <v>0</v>
      </c>
      <c r="AA258" s="436">
        <f>IF(NFI_Expiration=1,IF($A258&lt;VLOOKUP(L$5,NFI,5,0),1,0)*Table_NFI[[#This Row],[Tarpaulin]],Table_NFI[[#This Row],[Tarpaulin]])</f>
        <v>0</v>
      </c>
      <c r="AB258" s="436">
        <f>IF(NFI_Expiration=1,IF($A258&lt;VLOOKUP(M$5,NFI,5,0),1,0)*Table_NFI[[#This Row],[Blanket]],Table_NFI[[#This Row],[Blanket]])</f>
        <v>0</v>
      </c>
      <c r="AC258" s="436">
        <f>IF(NFI_Expiration=1,IF($A258&lt;VLOOKUP(N$5,NFI,5,0),1,0)*Table_NFI[[#This Row],[Kitchen Set]],Table_NFI[Kitchen Set])</f>
        <v>0</v>
      </c>
      <c r="AD258" s="436">
        <f>IF(NFI_Expiration=1,IF($A258&lt;VLOOKUP(O$5,NFI,5,0),1,0)*Table_NFI[[#This Row],[Clothes Kit]],Table_NFI[Clothes Kit])</f>
        <v>0</v>
      </c>
      <c r="AE258" s="436">
        <f>IF(NFI_Expiration=1,IF($A258&lt;VLOOKUP(P$5,NFI,5,0),1,0)*Table_NFI[[#This Row],[Plastic Bucket]],Table_NFI[Plastic Bucket])</f>
        <v>0</v>
      </c>
      <c r="AF258" s="436">
        <f>IF(NFI_Expiration=1,IF($A258&lt;VLOOKUP(Q$5,NFI,5,0),1,0)*Table_NFI[[#This Row],[Plastic Mat]],Table_NFI[Plastic Mat])*IF(Table_NFI[[#This Row],[Distribution Date]]&gt;"2014-04-01",1,2.5)</f>
        <v>0</v>
      </c>
      <c r="AG258" s="436">
        <f>IF(NFI_Expiration=1,IF($A258&lt;VLOOKUP(R$5,NFI,5,0),1,0)*Table_NFI[[#This Row],[Winter Clothes Adult]],Table_NFI[Winter Clothes Adult])</f>
        <v>0</v>
      </c>
      <c r="AH258" s="436">
        <f>IF(NFI_Expiration=1,IF($A258&lt;VLOOKUP(S$5,NFI,5,0),1,0)*Table_NFI[[#This Row],[Winter Clothes Children]],Table_NFI[Winter Clothes Children])</f>
        <v>0</v>
      </c>
      <c r="AI258" s="436">
        <f>IF(NFI_Expiration=1,IF($A258&lt;VLOOKUP(T$5,NFI,5,0),1,0)*Table_NFI[[#This Row],[Winter Items Other]],Table_NFI[Winter Items Other])</f>
        <v>0</v>
      </c>
      <c r="AJ258" s="436">
        <f>IF(NFI_Expiration=1,IF($A258&lt;VLOOKUP(M$5,NFI,5,0),1,0)*Table_NFI[[#This Row],[Winter Blanket]],Table_NFI[[#This Row],[Winter Blanket]])</f>
        <v>0</v>
      </c>
      <c r="AK258" s="436">
        <f>IF(Table_NFI[[#This Row],[Winter Clothes Adult]]+Table_NFI[[#This Row],[Winter Clothes Children]]+Table_NFI[[#This Row],[Winter Items Other]]+Table_NFI[[#This Row],[Winter Blanket]]&gt;0,1,0)</f>
        <v>0</v>
      </c>
      <c r="AL258" s="439">
        <f>IF(NFI_Expiration=1,IF($A258&lt;VLOOKUP(V$5,NFI,5,0),1,0)*Table_NFI[[#This Row],[Jerry Can]],Table_NFI[Jerry Can])</f>
        <v>0</v>
      </c>
      <c r="AM258" s="781" t="str">
        <f>IFERROR(VLOOKUP(Table_NFI[[#This Row],[Camp Name]],CL,2,0),"")</f>
        <v>MMR001CMP050</v>
      </c>
      <c r="AN258" s="782">
        <f ca="1">IF(Table_NFI[[#This Row],[Pcode]]="","",IF(OFFSET(CampList[Opening Date],MATCH(Table_NFI[[#This Row],[Pcode]],CampList[CP_Pcode],0)-1,0,1,1)&gt;=NFI_Monitor_Date,1,0))</f>
        <v>0</v>
      </c>
      <c r="AO258" s="781" t="str">
        <f>IFERROR(VLOOKUP(Table_NFI[[#This Row],[Camp Name]],CL,3,0),"")</f>
        <v>Open</v>
      </c>
      <c r="AP258" s="436" t="str">
        <f ca="1">IF(Table_NFI[[#This Row],[Pcode]]="","",OFFSET(CampList[Priority],MATCH(Table_NFI[[#This Row],[Pcode]],CampList[CP_Pcode],0)-1,0,1,1))</f>
        <v>P4</v>
      </c>
      <c r="AQ258" s="438">
        <f>IFERROR(Table_NFI[[#This Row],[Kitchen Set]]/VLOOKUP(Table_NFI[[#This Row],[Camp Name]],CL,4,0),"")</f>
        <v>6.6445182724252493E-3</v>
      </c>
      <c r="AR258" s="779" t="s">
        <v>1099</v>
      </c>
      <c r="AS258" s="783"/>
    </row>
    <row r="259" spans="1:45" s="784" customFormat="1" x14ac:dyDescent="0.25">
      <c r="A259" s="455">
        <f t="shared" si="3"/>
        <v>18.633333333333333</v>
      </c>
      <c r="B259" s="778">
        <v>41750</v>
      </c>
      <c r="C259" s="779" t="s">
        <v>454</v>
      </c>
      <c r="D259" s="779"/>
      <c r="E259" s="779" t="s">
        <v>380</v>
      </c>
      <c r="F259" s="435" t="s">
        <v>151</v>
      </c>
      <c r="G259" s="779" t="s">
        <v>1041</v>
      </c>
      <c r="H259" s="436"/>
      <c r="I259" s="436"/>
      <c r="J259" s="436"/>
      <c r="K259" s="436">
        <v>800</v>
      </c>
      <c r="L259" s="437">
        <v>400</v>
      </c>
      <c r="M259" s="437"/>
      <c r="N259" s="437">
        <v>100</v>
      </c>
      <c r="O259" s="437"/>
      <c r="P259" s="439">
        <v>400</v>
      </c>
      <c r="Q259" s="439">
        <v>2000</v>
      </c>
      <c r="R259" s="436"/>
      <c r="S259" s="436"/>
      <c r="T259" s="436"/>
      <c r="U259" s="436"/>
      <c r="V259" s="436"/>
      <c r="W259" s="450">
        <f>IF(NFI_Expiration=1,IF($A259&lt;VLOOKUP(H$5,NFI,5,0),1,0)*Table_NFI[[#This Row],[Hygiene Kit]],Table_NFI[Hygiene Kit])</f>
        <v>0</v>
      </c>
      <c r="X259" s="450">
        <f>IF(NFI_Expiration=1,IF($A259&lt;VLOOKUP(I$5,NFI,5,0),1,0)*Table_NFI[[#This Row],[NFI Core Kit]],Table_NFI[NFI Core Kit])</f>
        <v>0</v>
      </c>
      <c r="Y259" s="450">
        <f>IF(NFI_Expiration=1,IF($A259&lt;VLOOKUP(J$5,NFI,5,0),1,0)*Table_NFI[[#This Row],[Sanitary Kit]],Table_NFI[Sanitary Kit])</f>
        <v>0</v>
      </c>
      <c r="Z259" s="450">
        <f>IF(NFI_Expiration=1,IF($A259&lt;VLOOKUP(K$5,NFI,5,0),1,0)*Table_NFI[[#This Row],[Mosquito net]],Table_NFI[Mosquito net])</f>
        <v>0</v>
      </c>
      <c r="AA259" s="450">
        <f>IF(NFI_Expiration=1,IF($A259&lt;VLOOKUP(L$5,NFI,5,0),1,0)*Table_NFI[[#This Row],[Tarpaulin]],Table_NFI[[#This Row],[Tarpaulin]])</f>
        <v>0</v>
      </c>
      <c r="AB259" s="450">
        <f>IF(NFI_Expiration=1,IF($A259&lt;VLOOKUP(M$5,NFI,5,0),1,0)*Table_NFI[[#This Row],[Blanket]],Table_NFI[[#This Row],[Blanket]])</f>
        <v>0</v>
      </c>
      <c r="AC259" s="450">
        <f>IF(NFI_Expiration=1,IF($A259&lt;VLOOKUP(N$5,NFI,5,0),1,0)*Table_NFI[[#This Row],[Kitchen Set]],Table_NFI[Kitchen Set])</f>
        <v>0</v>
      </c>
      <c r="AD259" s="450">
        <f>IF(NFI_Expiration=1,IF($A259&lt;VLOOKUP(O$5,NFI,5,0),1,0)*Table_NFI[[#This Row],[Clothes Kit]],Table_NFI[Clothes Kit])</f>
        <v>0</v>
      </c>
      <c r="AE259" s="450">
        <f>IF(NFI_Expiration=1,IF($A259&lt;VLOOKUP(P$5,NFI,5,0),1,0)*Table_NFI[[#This Row],[Plastic Bucket]],Table_NFI[Plastic Bucket])</f>
        <v>0</v>
      </c>
      <c r="AF259" s="450">
        <f>IF(NFI_Expiration=1,IF($A259&lt;VLOOKUP(Q$5,NFI,5,0),1,0)*Table_NFI[[#This Row],[Plastic Mat]],Table_NFI[Plastic Mat])*IF(Table_NFI[[#This Row],[Distribution Date]]&gt;"2014-04-01",1,2.5)</f>
        <v>0</v>
      </c>
      <c r="AG259" s="450">
        <f>IF(NFI_Expiration=1,IF($A259&lt;VLOOKUP(R$5,NFI,5,0),1,0)*Table_NFI[[#This Row],[Winter Clothes Adult]],Table_NFI[Winter Clothes Adult])</f>
        <v>0</v>
      </c>
      <c r="AH259" s="450">
        <f>IF(NFI_Expiration=1,IF($A259&lt;VLOOKUP(S$5,NFI,5,0),1,0)*Table_NFI[[#This Row],[Winter Clothes Children]],Table_NFI[Winter Clothes Children])</f>
        <v>0</v>
      </c>
      <c r="AI259" s="450">
        <f>IF(NFI_Expiration=1,IF($A259&lt;VLOOKUP(T$5,NFI,5,0),1,0)*Table_NFI[[#This Row],[Winter Items Other]],Table_NFI[Winter Items Other])</f>
        <v>0</v>
      </c>
      <c r="AJ259" s="450">
        <f>IF(NFI_Expiration=1,IF($A259&lt;VLOOKUP(M$5,NFI,5,0),1,0)*Table_NFI[[#This Row],[Winter Blanket]],Table_NFI[[#This Row],[Winter Blanket]])</f>
        <v>0</v>
      </c>
      <c r="AK259" s="450">
        <f>IF(Table_NFI[[#This Row],[Winter Clothes Adult]]+Table_NFI[[#This Row],[Winter Clothes Children]]+Table_NFI[[#This Row],[Winter Items Other]]+Table_NFI[[#This Row],[Winter Blanket]]&gt;0,1,0)</f>
        <v>0</v>
      </c>
      <c r="AL259" s="439">
        <f>IF(NFI_Expiration=1,IF($A259&lt;VLOOKUP(V$5,NFI,5,0),1,0)*Table_NFI[[#This Row],[Jerry Can]],Table_NFI[Jerry Can])</f>
        <v>0</v>
      </c>
      <c r="AM259" s="800" t="str">
        <f>IFERROR(VLOOKUP(Table_NFI[[#This Row],[Camp Name]],CL,2,0),"")</f>
        <v>MMR001CMP226</v>
      </c>
      <c r="AN259" s="801">
        <f ca="1">IF(Table_NFI[[#This Row],[Pcode]]="","",IF(OFFSET(CampList[Opening Date],MATCH(Table_NFI[[#This Row],[Pcode]],CampList[CP_Pcode],0)-1,0,1,1)&gt;=NFI_Monitor_Date,1,0))</f>
        <v>0</v>
      </c>
      <c r="AO259" s="800" t="str">
        <f>IFERROR(VLOOKUP(Table_NFI[[#This Row],[Camp Name]],CL,3,0),"")</f>
        <v>Open</v>
      </c>
      <c r="AP259" s="450" t="str">
        <f ca="1">IF(Table_NFI[[#This Row],[Pcode]]="","",OFFSET(CampList[Priority],MATCH(Table_NFI[[#This Row],[Pcode]],CampList[CP_Pcode],0)-1,0,1,1))</f>
        <v>P2</v>
      </c>
      <c r="AQ259" s="451">
        <f>IFERROR(Table_NFI[[#This Row],[Kitchen Set]]/VLOOKUP(Table_NFI[[#This Row],[Camp Name]],CL,4,0),"")</f>
        <v>0.45662100456621002</v>
      </c>
      <c r="AR259" s="802"/>
      <c r="AS259" s="783"/>
    </row>
    <row r="260" spans="1:45" s="784" customFormat="1" x14ac:dyDescent="0.25">
      <c r="A260" s="455">
        <f t="shared" si="3"/>
        <v>18.633333333333333</v>
      </c>
      <c r="B260" s="778">
        <v>41750</v>
      </c>
      <c r="C260" s="779" t="s">
        <v>454</v>
      </c>
      <c r="D260" s="779" t="s">
        <v>454</v>
      </c>
      <c r="E260" s="779" t="s">
        <v>380</v>
      </c>
      <c r="F260" s="779" t="s">
        <v>151</v>
      </c>
      <c r="G260" s="779" t="s">
        <v>152</v>
      </c>
      <c r="H260" s="436"/>
      <c r="I260" s="436"/>
      <c r="J260" s="436">
        <v>20</v>
      </c>
      <c r="K260" s="436">
        <v>30</v>
      </c>
      <c r="L260" s="437">
        <v>13</v>
      </c>
      <c r="M260" s="437">
        <v>40</v>
      </c>
      <c r="N260" s="437">
        <v>13</v>
      </c>
      <c r="O260" s="437">
        <v>13</v>
      </c>
      <c r="P260" s="439">
        <v>13</v>
      </c>
      <c r="Q260" s="439">
        <v>25</v>
      </c>
      <c r="R260" s="436"/>
      <c r="S260" s="436"/>
      <c r="T260" s="436"/>
      <c r="U260" s="436"/>
      <c r="V260" s="436"/>
      <c r="W260" s="436">
        <f>IF(NFI_Expiration=1,IF($A260&lt;VLOOKUP(H$5,NFI,5,0),1,0)*Table_NFI[[#This Row],[Hygiene Kit]],Table_NFI[Hygiene Kit])</f>
        <v>0</v>
      </c>
      <c r="X260" s="436">
        <f>IF(NFI_Expiration=1,IF($A260&lt;VLOOKUP(I$5,NFI,5,0),1,0)*Table_NFI[[#This Row],[NFI Core Kit]],Table_NFI[NFI Core Kit])</f>
        <v>0</v>
      </c>
      <c r="Y260" s="436">
        <f>IF(NFI_Expiration=1,IF($A260&lt;VLOOKUP(J$5,NFI,5,0),1,0)*Table_NFI[[#This Row],[Sanitary Kit]],Table_NFI[Sanitary Kit])</f>
        <v>0</v>
      </c>
      <c r="Z260" s="436">
        <f>IF(NFI_Expiration=1,IF($A260&lt;VLOOKUP(K$5,NFI,5,0),1,0)*Table_NFI[[#This Row],[Mosquito net]],Table_NFI[Mosquito net])</f>
        <v>0</v>
      </c>
      <c r="AA260" s="436">
        <f>IF(NFI_Expiration=1,IF($A260&lt;VLOOKUP(L$5,NFI,5,0),1,0)*Table_NFI[[#This Row],[Tarpaulin]],Table_NFI[[#This Row],[Tarpaulin]])</f>
        <v>0</v>
      </c>
      <c r="AB260" s="436">
        <f>IF(NFI_Expiration=1,IF($A260&lt;VLOOKUP(M$5,NFI,5,0),1,0)*Table_NFI[[#This Row],[Blanket]],Table_NFI[[#This Row],[Blanket]])</f>
        <v>0</v>
      </c>
      <c r="AC260" s="436">
        <f>IF(NFI_Expiration=1,IF($A260&lt;VLOOKUP(N$5,NFI,5,0),1,0)*Table_NFI[[#This Row],[Kitchen Set]],Table_NFI[Kitchen Set])</f>
        <v>0</v>
      </c>
      <c r="AD260" s="436">
        <f>IF(NFI_Expiration=1,IF($A260&lt;VLOOKUP(O$5,NFI,5,0),1,0)*Table_NFI[[#This Row],[Clothes Kit]],Table_NFI[Clothes Kit])</f>
        <v>0</v>
      </c>
      <c r="AE260" s="436">
        <f>IF(NFI_Expiration=1,IF($A260&lt;VLOOKUP(P$5,NFI,5,0),1,0)*Table_NFI[[#This Row],[Plastic Bucket]],Table_NFI[Plastic Bucket])</f>
        <v>0</v>
      </c>
      <c r="AF260" s="436">
        <f>IF(NFI_Expiration=1,IF($A260&lt;VLOOKUP(Q$5,NFI,5,0),1,0)*Table_NFI[[#This Row],[Plastic Mat]],Table_NFI[Plastic Mat])*IF(Table_NFI[[#This Row],[Distribution Date]]&gt;"2014-04-01",1,2.5)</f>
        <v>0</v>
      </c>
      <c r="AG260" s="436">
        <f>IF(NFI_Expiration=1,IF($A260&lt;VLOOKUP(R$5,NFI,5,0),1,0)*Table_NFI[[#This Row],[Winter Clothes Adult]],Table_NFI[Winter Clothes Adult])</f>
        <v>0</v>
      </c>
      <c r="AH260" s="436">
        <f>IF(NFI_Expiration=1,IF($A260&lt;VLOOKUP(S$5,NFI,5,0),1,0)*Table_NFI[[#This Row],[Winter Clothes Children]],Table_NFI[Winter Clothes Children])</f>
        <v>0</v>
      </c>
      <c r="AI260" s="436">
        <f>IF(NFI_Expiration=1,IF($A260&lt;VLOOKUP(T$5,NFI,5,0),1,0)*Table_NFI[[#This Row],[Winter Items Other]],Table_NFI[Winter Items Other])</f>
        <v>0</v>
      </c>
      <c r="AJ260" s="436">
        <f>IF(NFI_Expiration=1,IF($A260&lt;VLOOKUP(M$5,NFI,5,0),1,0)*Table_NFI[[#This Row],[Winter Blanket]],Table_NFI[[#This Row],[Winter Blanket]])</f>
        <v>0</v>
      </c>
      <c r="AK260" s="436">
        <f>IF(Table_NFI[[#This Row],[Winter Clothes Adult]]+Table_NFI[[#This Row],[Winter Clothes Children]]+Table_NFI[[#This Row],[Winter Items Other]]+Table_NFI[[#This Row],[Winter Blanket]]&gt;0,1,0)</f>
        <v>0</v>
      </c>
      <c r="AL260" s="439">
        <f>IF(NFI_Expiration=1,IF($A260&lt;VLOOKUP(V$5,NFI,5,0),1,0)*Table_NFI[[#This Row],[Jerry Can]],Table_NFI[Jerry Can])</f>
        <v>0</v>
      </c>
      <c r="AM260" s="781" t="str">
        <f>IFERROR(VLOOKUP(Table_NFI[[#This Row],[Camp Name]],CL,2,0),"")</f>
        <v>MMR001CMP066</v>
      </c>
      <c r="AN260" s="782">
        <f ca="1">IF(Table_NFI[[#This Row],[Pcode]]="","",IF(OFFSET(CampList[Opening Date],MATCH(Table_NFI[[#This Row],[Pcode]],CampList[CP_Pcode],0)-1,0,1,1)&gt;=NFI_Monitor_Date,1,0))</f>
        <v>0</v>
      </c>
      <c r="AO260" s="781" t="str">
        <f>IFERROR(VLOOKUP(Table_NFI[[#This Row],[Camp Name]],CL,3,0),"")</f>
        <v>Open</v>
      </c>
      <c r="AP260" s="436" t="str">
        <f ca="1">IF(Table_NFI[[#This Row],[Pcode]]="","",OFFSET(CampList[Priority],MATCH(Table_NFI[[#This Row],[Pcode]],CampList[CP_Pcode],0)-1,0,1,1))</f>
        <v>P4</v>
      </c>
      <c r="AQ260" s="438">
        <f>IFERROR(Table_NFI[[#This Row],[Kitchen Set]]/VLOOKUP(Table_NFI[[#This Row],[Camp Name]],CL,4,0),"")</f>
        <v>5.8823529411764705E-2</v>
      </c>
      <c r="AR260" s="779" t="s">
        <v>1099</v>
      </c>
      <c r="AS260" s="783"/>
    </row>
    <row r="261" spans="1:45" s="784" customFormat="1" x14ac:dyDescent="0.25">
      <c r="A261" s="455">
        <f t="shared" si="3"/>
        <v>18.633333333333333</v>
      </c>
      <c r="B261" s="778">
        <v>41750</v>
      </c>
      <c r="C261" s="779" t="s">
        <v>454</v>
      </c>
      <c r="D261" s="779" t="s">
        <v>454</v>
      </c>
      <c r="E261" s="779" t="s">
        <v>380</v>
      </c>
      <c r="F261" s="779" t="s">
        <v>185</v>
      </c>
      <c r="G261" s="779" t="s">
        <v>209</v>
      </c>
      <c r="H261" s="436"/>
      <c r="I261" s="436"/>
      <c r="J261" s="436">
        <v>15</v>
      </c>
      <c r="K261" s="436">
        <v>16</v>
      </c>
      <c r="L261" s="437">
        <v>50</v>
      </c>
      <c r="M261" s="437">
        <v>16</v>
      </c>
      <c r="N261" s="437">
        <v>7</v>
      </c>
      <c r="O261" s="437">
        <v>7</v>
      </c>
      <c r="P261" s="439">
        <v>7</v>
      </c>
      <c r="Q261" s="439">
        <v>13</v>
      </c>
      <c r="R261" s="436"/>
      <c r="S261" s="436"/>
      <c r="T261" s="436"/>
      <c r="U261" s="436"/>
      <c r="V261" s="436"/>
      <c r="W261" s="436">
        <f>IF(NFI_Expiration=1,IF($A261&lt;VLOOKUP(H$5,NFI,5,0),1,0)*Table_NFI[[#This Row],[Hygiene Kit]],Table_NFI[Hygiene Kit])</f>
        <v>0</v>
      </c>
      <c r="X261" s="436">
        <f>IF(NFI_Expiration=1,IF($A261&lt;VLOOKUP(I$5,NFI,5,0),1,0)*Table_NFI[[#This Row],[NFI Core Kit]],Table_NFI[NFI Core Kit])</f>
        <v>0</v>
      </c>
      <c r="Y261" s="436">
        <f>IF(NFI_Expiration=1,IF($A261&lt;VLOOKUP(J$5,NFI,5,0),1,0)*Table_NFI[[#This Row],[Sanitary Kit]],Table_NFI[Sanitary Kit])</f>
        <v>0</v>
      </c>
      <c r="Z261" s="436">
        <f>IF(NFI_Expiration=1,IF($A261&lt;VLOOKUP(K$5,NFI,5,0),1,0)*Table_NFI[[#This Row],[Mosquito net]],Table_NFI[Mosquito net])</f>
        <v>0</v>
      </c>
      <c r="AA261" s="436">
        <f>IF(NFI_Expiration=1,IF($A261&lt;VLOOKUP(L$5,NFI,5,0),1,0)*Table_NFI[[#This Row],[Tarpaulin]],Table_NFI[[#This Row],[Tarpaulin]])</f>
        <v>0</v>
      </c>
      <c r="AB261" s="436">
        <f>IF(NFI_Expiration=1,IF($A261&lt;VLOOKUP(M$5,NFI,5,0),1,0)*Table_NFI[[#This Row],[Blanket]],Table_NFI[[#This Row],[Blanket]])</f>
        <v>0</v>
      </c>
      <c r="AC261" s="436">
        <f>IF(NFI_Expiration=1,IF($A261&lt;VLOOKUP(N$5,NFI,5,0),1,0)*Table_NFI[[#This Row],[Kitchen Set]],Table_NFI[Kitchen Set])</f>
        <v>0</v>
      </c>
      <c r="AD261" s="436">
        <f>IF(NFI_Expiration=1,IF($A261&lt;VLOOKUP(O$5,NFI,5,0),1,0)*Table_NFI[[#This Row],[Clothes Kit]],Table_NFI[Clothes Kit])</f>
        <v>0</v>
      </c>
      <c r="AE261" s="436">
        <f>IF(NFI_Expiration=1,IF($A261&lt;VLOOKUP(P$5,NFI,5,0),1,0)*Table_NFI[[#This Row],[Plastic Bucket]],Table_NFI[Plastic Bucket])</f>
        <v>0</v>
      </c>
      <c r="AF261" s="436">
        <f>IF(NFI_Expiration=1,IF($A261&lt;VLOOKUP(Q$5,NFI,5,0),1,0)*Table_NFI[[#This Row],[Plastic Mat]],Table_NFI[Plastic Mat])*IF(Table_NFI[[#This Row],[Distribution Date]]&gt;"2014-04-01",1,2.5)</f>
        <v>0</v>
      </c>
      <c r="AG261" s="436">
        <f>IF(NFI_Expiration=1,IF($A261&lt;VLOOKUP(R$5,NFI,5,0),1,0)*Table_NFI[[#This Row],[Winter Clothes Adult]],Table_NFI[Winter Clothes Adult])</f>
        <v>0</v>
      </c>
      <c r="AH261" s="436">
        <f>IF(NFI_Expiration=1,IF($A261&lt;VLOOKUP(S$5,NFI,5,0),1,0)*Table_NFI[[#This Row],[Winter Clothes Children]],Table_NFI[Winter Clothes Children])</f>
        <v>0</v>
      </c>
      <c r="AI261" s="436">
        <f>IF(NFI_Expiration=1,IF($A261&lt;VLOOKUP(T$5,NFI,5,0),1,0)*Table_NFI[[#This Row],[Winter Items Other]],Table_NFI[Winter Items Other])</f>
        <v>0</v>
      </c>
      <c r="AJ261" s="436">
        <f>IF(NFI_Expiration=1,IF($A261&lt;VLOOKUP(M$5,NFI,5,0),1,0)*Table_NFI[[#This Row],[Winter Blanket]],Table_NFI[[#This Row],[Winter Blanket]])</f>
        <v>0</v>
      </c>
      <c r="AK261" s="436">
        <f>IF(Table_NFI[[#This Row],[Winter Clothes Adult]]+Table_NFI[[#This Row],[Winter Clothes Children]]+Table_NFI[[#This Row],[Winter Items Other]]+Table_NFI[[#This Row],[Winter Blanket]]&gt;0,1,0)</f>
        <v>0</v>
      </c>
      <c r="AL261" s="439">
        <f>IF(NFI_Expiration=1,IF($A261&lt;VLOOKUP(V$5,NFI,5,0),1,0)*Table_NFI[[#This Row],[Jerry Can]],Table_NFI[Jerry Can])</f>
        <v>0</v>
      </c>
      <c r="AM261" s="781" t="str">
        <f>IFERROR(VLOOKUP(Table_NFI[[#This Row],[Camp Name]],CL,2,0),"")</f>
        <v>MMR001CMP056</v>
      </c>
      <c r="AN261" s="782">
        <f ca="1">IF(Table_NFI[[#This Row],[Pcode]]="","",IF(OFFSET(CampList[Opening Date],MATCH(Table_NFI[[#This Row],[Pcode]],CampList[CP_Pcode],0)-1,0,1,1)&gt;=NFI_Monitor_Date,1,0))</f>
        <v>0</v>
      </c>
      <c r="AO261" s="781" t="str">
        <f>IFERROR(VLOOKUP(Table_NFI[[#This Row],[Camp Name]],CL,3,0),"")</f>
        <v>Open</v>
      </c>
      <c r="AP261" s="436" t="str">
        <f ca="1">IF(Table_NFI[[#This Row],[Pcode]]="","",OFFSET(CampList[Priority],MATCH(Table_NFI[[#This Row],[Pcode]],CampList[CP_Pcode],0)-1,0,1,1))</f>
        <v>P4</v>
      </c>
      <c r="AQ261" s="438">
        <f>IFERROR(Table_NFI[[#This Row],[Kitchen Set]]/VLOOKUP(Table_NFI[[#This Row],[Camp Name]],CL,4,0),"")</f>
        <v>3.3816425120772944E-2</v>
      </c>
      <c r="AR261" s="779" t="s">
        <v>1099</v>
      </c>
      <c r="AS261" s="783"/>
    </row>
    <row r="262" spans="1:45" s="784" customFormat="1" x14ac:dyDescent="0.25">
      <c r="A262" s="455">
        <f t="shared" ref="A262:A325" si="4">IF(ISBLANK(B262),"",(Report_Date-B262)/30)</f>
        <v>18.666666666666668</v>
      </c>
      <c r="B262" s="778">
        <v>41749</v>
      </c>
      <c r="C262" s="779" t="s">
        <v>454</v>
      </c>
      <c r="D262" s="779"/>
      <c r="E262" s="779" t="s">
        <v>380</v>
      </c>
      <c r="F262" s="779" t="s">
        <v>151</v>
      </c>
      <c r="G262" s="779" t="s">
        <v>160</v>
      </c>
      <c r="H262" s="436"/>
      <c r="I262" s="436"/>
      <c r="J262" s="436"/>
      <c r="K262" s="436">
        <v>220</v>
      </c>
      <c r="L262" s="437">
        <v>110</v>
      </c>
      <c r="M262" s="437">
        <v>1000</v>
      </c>
      <c r="N262" s="437">
        <v>110</v>
      </c>
      <c r="O262" s="437"/>
      <c r="P262" s="439">
        <v>110</v>
      </c>
      <c r="Q262" s="439">
        <v>550</v>
      </c>
      <c r="R262" s="436"/>
      <c r="S262" s="436"/>
      <c r="T262" s="436"/>
      <c r="U262" s="436"/>
      <c r="V262" s="436"/>
      <c r="W262" s="450">
        <f>IF(NFI_Expiration=1,IF($A262&lt;VLOOKUP(H$5,NFI,5,0),1,0)*Table_NFI[[#This Row],[Hygiene Kit]],Table_NFI[Hygiene Kit])</f>
        <v>0</v>
      </c>
      <c r="X262" s="450">
        <f>IF(NFI_Expiration=1,IF($A262&lt;VLOOKUP(I$5,NFI,5,0),1,0)*Table_NFI[[#This Row],[NFI Core Kit]],Table_NFI[NFI Core Kit])</f>
        <v>0</v>
      </c>
      <c r="Y262" s="450">
        <f>IF(NFI_Expiration=1,IF($A262&lt;VLOOKUP(J$5,NFI,5,0),1,0)*Table_NFI[[#This Row],[Sanitary Kit]],Table_NFI[Sanitary Kit])</f>
        <v>0</v>
      </c>
      <c r="Z262" s="450">
        <f>IF(NFI_Expiration=1,IF($A262&lt;VLOOKUP(K$5,NFI,5,0),1,0)*Table_NFI[[#This Row],[Mosquito net]],Table_NFI[Mosquito net])</f>
        <v>0</v>
      </c>
      <c r="AA262" s="450">
        <f>IF(NFI_Expiration=1,IF($A262&lt;VLOOKUP(L$5,NFI,5,0),1,0)*Table_NFI[[#This Row],[Tarpaulin]],Table_NFI[[#This Row],[Tarpaulin]])</f>
        <v>0</v>
      </c>
      <c r="AB262" s="450">
        <f>IF(NFI_Expiration=1,IF($A262&lt;VLOOKUP(M$5,NFI,5,0),1,0)*Table_NFI[[#This Row],[Blanket]],Table_NFI[[#This Row],[Blanket]])</f>
        <v>0</v>
      </c>
      <c r="AC262" s="450">
        <f>IF(NFI_Expiration=1,IF($A262&lt;VLOOKUP(N$5,NFI,5,0),1,0)*Table_NFI[[#This Row],[Kitchen Set]],Table_NFI[Kitchen Set])</f>
        <v>0</v>
      </c>
      <c r="AD262" s="450">
        <f>IF(NFI_Expiration=1,IF($A262&lt;VLOOKUP(O$5,NFI,5,0),1,0)*Table_NFI[[#This Row],[Clothes Kit]],Table_NFI[Clothes Kit])</f>
        <v>0</v>
      </c>
      <c r="AE262" s="450">
        <f>IF(NFI_Expiration=1,IF($A262&lt;VLOOKUP(P$5,NFI,5,0),1,0)*Table_NFI[[#This Row],[Plastic Bucket]],Table_NFI[Plastic Bucket])</f>
        <v>0</v>
      </c>
      <c r="AF262" s="450">
        <f>IF(NFI_Expiration=1,IF($A262&lt;VLOOKUP(Q$5,NFI,5,0),1,0)*Table_NFI[[#This Row],[Plastic Mat]],Table_NFI[Plastic Mat])*IF(Table_NFI[[#This Row],[Distribution Date]]&gt;"2014-04-01",1,2.5)</f>
        <v>0</v>
      </c>
      <c r="AG262" s="450">
        <f>IF(NFI_Expiration=1,IF($A262&lt;VLOOKUP(R$5,NFI,5,0),1,0)*Table_NFI[[#This Row],[Winter Clothes Adult]],Table_NFI[Winter Clothes Adult])</f>
        <v>0</v>
      </c>
      <c r="AH262" s="450">
        <f>IF(NFI_Expiration=1,IF($A262&lt;VLOOKUP(S$5,NFI,5,0),1,0)*Table_NFI[[#This Row],[Winter Clothes Children]],Table_NFI[Winter Clothes Children])</f>
        <v>0</v>
      </c>
      <c r="AI262" s="450">
        <f>IF(NFI_Expiration=1,IF($A262&lt;VLOOKUP(T$5,NFI,5,0),1,0)*Table_NFI[[#This Row],[Winter Items Other]],Table_NFI[Winter Items Other])</f>
        <v>0</v>
      </c>
      <c r="AJ262" s="450">
        <f>IF(NFI_Expiration=1,IF($A262&lt;VLOOKUP(M$5,NFI,5,0),1,0)*Table_NFI[[#This Row],[Winter Blanket]],Table_NFI[[#This Row],[Winter Blanket]])</f>
        <v>0</v>
      </c>
      <c r="AK262" s="450">
        <f>IF(Table_NFI[[#This Row],[Winter Clothes Adult]]+Table_NFI[[#This Row],[Winter Clothes Children]]+Table_NFI[[#This Row],[Winter Items Other]]+Table_NFI[[#This Row],[Winter Blanket]]&gt;0,1,0)</f>
        <v>0</v>
      </c>
      <c r="AL262" s="439">
        <f>IF(NFI_Expiration=1,IF($A262&lt;VLOOKUP(V$5,NFI,5,0),1,0)*Table_NFI[[#This Row],[Jerry Can]],Table_NFI[Jerry Can])</f>
        <v>0</v>
      </c>
      <c r="AM262" s="800" t="str">
        <f>IFERROR(VLOOKUP(Table_NFI[[#This Row],[Camp Name]],CL,2,0),"")</f>
        <v>MMR001CMP133</v>
      </c>
      <c r="AN262" s="801">
        <f ca="1">IF(Table_NFI[[#This Row],[Pcode]]="","",IF(OFFSET(CampList[Opening Date],MATCH(Table_NFI[[#This Row],[Pcode]],CampList[CP_Pcode],0)-1,0,1,1)&gt;=NFI_Monitor_Date,1,0))</f>
        <v>0</v>
      </c>
      <c r="AO262" s="800" t="str">
        <f>IFERROR(VLOOKUP(Table_NFI[[#This Row],[Camp Name]],CL,3,0),"")</f>
        <v>Open</v>
      </c>
      <c r="AP262" s="450" t="str">
        <f ca="1">IF(Table_NFI[[#This Row],[Pcode]]="","",OFFSET(CampList[Priority],MATCH(Table_NFI[[#This Row],[Pcode]],CampList[CP_Pcode],0)-1,0,1,1))</f>
        <v>P4</v>
      </c>
      <c r="AQ262" s="451">
        <f>IFERROR(Table_NFI[[#This Row],[Kitchen Set]]/VLOOKUP(Table_NFI[[#This Row],[Camp Name]],CL,4,0),"")</f>
        <v>0.96491228070175439</v>
      </c>
      <c r="AR262" s="802"/>
      <c r="AS262" s="783"/>
    </row>
    <row r="263" spans="1:45" s="784" customFormat="1" x14ac:dyDescent="0.25">
      <c r="A263" s="455">
        <f t="shared" si="4"/>
        <v>18.7</v>
      </c>
      <c r="B263" s="778">
        <v>41748</v>
      </c>
      <c r="C263" s="779" t="s">
        <v>454</v>
      </c>
      <c r="D263" s="779"/>
      <c r="E263" s="779" t="s">
        <v>380</v>
      </c>
      <c r="F263" s="779" t="s">
        <v>151</v>
      </c>
      <c r="G263" s="779" t="s">
        <v>154</v>
      </c>
      <c r="H263" s="436"/>
      <c r="I263" s="436"/>
      <c r="J263" s="436"/>
      <c r="K263" s="436">
        <v>400</v>
      </c>
      <c r="L263" s="437">
        <v>190</v>
      </c>
      <c r="M263" s="437">
        <v>870</v>
      </c>
      <c r="N263" s="437">
        <v>190</v>
      </c>
      <c r="O263" s="437"/>
      <c r="P263" s="439">
        <v>190</v>
      </c>
      <c r="Q263" s="439">
        <v>1000</v>
      </c>
      <c r="R263" s="436"/>
      <c r="S263" s="436"/>
      <c r="T263" s="436"/>
      <c r="U263" s="436"/>
      <c r="V263" s="436"/>
      <c r="W263" s="436">
        <f>IF(NFI_Expiration=1,IF($A263&lt;VLOOKUP(H$5,NFI,5,0),1,0)*Table_NFI[[#This Row],[Hygiene Kit]],Table_NFI[Hygiene Kit])</f>
        <v>0</v>
      </c>
      <c r="X263" s="436">
        <f>IF(NFI_Expiration=1,IF($A263&lt;VLOOKUP(I$5,NFI,5,0),1,0)*Table_NFI[[#This Row],[NFI Core Kit]],Table_NFI[NFI Core Kit])</f>
        <v>0</v>
      </c>
      <c r="Y263" s="436">
        <f>IF(NFI_Expiration=1,IF($A263&lt;VLOOKUP(J$5,NFI,5,0),1,0)*Table_NFI[[#This Row],[Sanitary Kit]],Table_NFI[Sanitary Kit])</f>
        <v>0</v>
      </c>
      <c r="Z263" s="436">
        <f>IF(NFI_Expiration=1,IF($A263&lt;VLOOKUP(K$5,NFI,5,0),1,0)*Table_NFI[[#This Row],[Mosquito net]],Table_NFI[Mosquito net])</f>
        <v>0</v>
      </c>
      <c r="AA263" s="436">
        <f>IF(NFI_Expiration=1,IF($A263&lt;VLOOKUP(L$5,NFI,5,0),1,0)*Table_NFI[[#This Row],[Tarpaulin]],Table_NFI[[#This Row],[Tarpaulin]])</f>
        <v>0</v>
      </c>
      <c r="AB263" s="436">
        <f>IF(NFI_Expiration=1,IF($A263&lt;VLOOKUP(M$5,NFI,5,0),1,0)*Table_NFI[[#This Row],[Blanket]],Table_NFI[[#This Row],[Blanket]])</f>
        <v>0</v>
      </c>
      <c r="AC263" s="436">
        <f>IF(NFI_Expiration=1,IF($A263&lt;VLOOKUP(N$5,NFI,5,0),1,0)*Table_NFI[[#This Row],[Kitchen Set]],Table_NFI[Kitchen Set])</f>
        <v>0</v>
      </c>
      <c r="AD263" s="436">
        <f>IF(NFI_Expiration=1,IF($A263&lt;VLOOKUP(O$5,NFI,5,0),1,0)*Table_NFI[[#This Row],[Clothes Kit]],Table_NFI[Clothes Kit])</f>
        <v>0</v>
      </c>
      <c r="AE263" s="436">
        <f>IF(NFI_Expiration=1,IF($A263&lt;VLOOKUP(P$5,NFI,5,0),1,0)*Table_NFI[[#This Row],[Plastic Bucket]],Table_NFI[Plastic Bucket])</f>
        <v>0</v>
      </c>
      <c r="AF263" s="436">
        <f>IF(NFI_Expiration=1,IF($A263&lt;VLOOKUP(Q$5,NFI,5,0),1,0)*Table_NFI[[#This Row],[Plastic Mat]],Table_NFI[Plastic Mat])*IF(Table_NFI[[#This Row],[Distribution Date]]&gt;"2014-04-01",1,2.5)</f>
        <v>0</v>
      </c>
      <c r="AG263" s="436">
        <f>IF(NFI_Expiration=1,IF($A263&lt;VLOOKUP(R$5,NFI,5,0),1,0)*Table_NFI[[#This Row],[Winter Clothes Adult]],Table_NFI[Winter Clothes Adult])</f>
        <v>0</v>
      </c>
      <c r="AH263" s="436">
        <f>IF(NFI_Expiration=1,IF($A263&lt;VLOOKUP(S$5,NFI,5,0),1,0)*Table_NFI[[#This Row],[Winter Clothes Children]],Table_NFI[Winter Clothes Children])</f>
        <v>0</v>
      </c>
      <c r="AI263" s="436">
        <f>IF(NFI_Expiration=1,IF($A263&lt;VLOOKUP(T$5,NFI,5,0),1,0)*Table_NFI[[#This Row],[Winter Items Other]],Table_NFI[Winter Items Other])</f>
        <v>0</v>
      </c>
      <c r="AJ263" s="436">
        <f>IF(NFI_Expiration=1,IF($A263&lt;VLOOKUP(M$5,NFI,5,0),1,0)*Table_NFI[[#This Row],[Winter Blanket]],Table_NFI[[#This Row],[Winter Blanket]])</f>
        <v>0</v>
      </c>
      <c r="AK263" s="436">
        <f>IF(Table_NFI[[#This Row],[Winter Clothes Adult]]+Table_NFI[[#This Row],[Winter Clothes Children]]+Table_NFI[[#This Row],[Winter Items Other]]+Table_NFI[[#This Row],[Winter Blanket]]&gt;0,1,0)</f>
        <v>0</v>
      </c>
      <c r="AL263" s="439">
        <f>IF(NFI_Expiration=1,IF($A263&lt;VLOOKUP(V$5,NFI,5,0),1,0)*Table_NFI[[#This Row],[Jerry Can]],Table_NFI[Jerry Can])</f>
        <v>0</v>
      </c>
      <c r="AM263" s="781" t="str">
        <f>IFERROR(VLOOKUP(Table_NFI[[#This Row],[Camp Name]],CL,2,0),"")</f>
        <v>MMR001CMP132</v>
      </c>
      <c r="AN263" s="782">
        <f ca="1">IF(Table_NFI[[#This Row],[Pcode]]="","",IF(OFFSET(CampList[Opening Date],MATCH(Table_NFI[[#This Row],[Pcode]],CampList[CP_Pcode],0)-1,0,1,1)&gt;=NFI_Monitor_Date,1,0))</f>
        <v>0</v>
      </c>
      <c r="AO263" s="781" t="str">
        <f>IFERROR(VLOOKUP(Table_NFI[[#This Row],[Camp Name]],CL,3,0),"")</f>
        <v>Open</v>
      </c>
      <c r="AP263" s="436" t="str">
        <f ca="1">IF(Table_NFI[[#This Row],[Pcode]]="","",OFFSET(CampList[Priority],MATCH(Table_NFI[[#This Row],[Pcode]],CampList[CP_Pcode],0)-1,0,1,1))</f>
        <v>P4</v>
      </c>
      <c r="AQ263" s="438">
        <f>IFERROR(Table_NFI[[#This Row],[Kitchen Set]]/VLOOKUP(Table_NFI[[#This Row],[Camp Name]],CL,4,0),"")</f>
        <v>0.39094650205761317</v>
      </c>
      <c r="AR263" s="779"/>
      <c r="AS263" s="783"/>
    </row>
    <row r="264" spans="1:45" s="784" customFormat="1" x14ac:dyDescent="0.25">
      <c r="A264" s="455">
        <f t="shared" si="4"/>
        <v>18.766666666666666</v>
      </c>
      <c r="B264" s="778">
        <v>41746</v>
      </c>
      <c r="C264" s="779" t="s">
        <v>454</v>
      </c>
      <c r="D264" s="779" t="s">
        <v>454</v>
      </c>
      <c r="E264" s="779" t="s">
        <v>380</v>
      </c>
      <c r="F264" s="779" t="s">
        <v>185</v>
      </c>
      <c r="G264" s="779" t="s">
        <v>209</v>
      </c>
      <c r="H264" s="436"/>
      <c r="I264" s="436"/>
      <c r="J264" s="436"/>
      <c r="K264" s="436">
        <v>8</v>
      </c>
      <c r="L264" s="437">
        <v>4</v>
      </c>
      <c r="M264" s="437">
        <v>12</v>
      </c>
      <c r="N264" s="437">
        <v>4</v>
      </c>
      <c r="O264" s="437">
        <v>4</v>
      </c>
      <c r="P264" s="439">
        <v>4</v>
      </c>
      <c r="Q264" s="439">
        <v>41</v>
      </c>
      <c r="R264" s="436"/>
      <c r="S264" s="436"/>
      <c r="T264" s="436"/>
      <c r="U264" s="436"/>
      <c r="V264" s="436"/>
      <c r="W264" s="436">
        <f>IF(NFI_Expiration=1,IF($A264&lt;VLOOKUP(H$5,NFI,5,0),1,0)*Table_NFI[[#This Row],[Hygiene Kit]],Table_NFI[Hygiene Kit])</f>
        <v>0</v>
      </c>
      <c r="X264" s="436">
        <f>IF(NFI_Expiration=1,IF($A264&lt;VLOOKUP(I$5,NFI,5,0),1,0)*Table_NFI[[#This Row],[NFI Core Kit]],Table_NFI[NFI Core Kit])</f>
        <v>0</v>
      </c>
      <c r="Y264" s="436">
        <f>IF(NFI_Expiration=1,IF($A264&lt;VLOOKUP(J$5,NFI,5,0),1,0)*Table_NFI[[#This Row],[Sanitary Kit]],Table_NFI[Sanitary Kit])</f>
        <v>0</v>
      </c>
      <c r="Z264" s="436">
        <f>IF(NFI_Expiration=1,IF($A264&lt;VLOOKUP(K$5,NFI,5,0),1,0)*Table_NFI[[#This Row],[Mosquito net]],Table_NFI[Mosquito net])</f>
        <v>0</v>
      </c>
      <c r="AA264" s="436">
        <f>IF(NFI_Expiration=1,IF($A264&lt;VLOOKUP(L$5,NFI,5,0),1,0)*Table_NFI[[#This Row],[Tarpaulin]],Table_NFI[[#This Row],[Tarpaulin]])</f>
        <v>0</v>
      </c>
      <c r="AB264" s="436">
        <f>IF(NFI_Expiration=1,IF($A264&lt;VLOOKUP(M$5,NFI,5,0),1,0)*Table_NFI[[#This Row],[Blanket]],Table_NFI[[#This Row],[Blanket]])</f>
        <v>0</v>
      </c>
      <c r="AC264" s="436">
        <f>IF(NFI_Expiration=1,IF($A264&lt;VLOOKUP(N$5,NFI,5,0),1,0)*Table_NFI[[#This Row],[Kitchen Set]],Table_NFI[Kitchen Set])</f>
        <v>0</v>
      </c>
      <c r="AD264" s="436">
        <f>IF(NFI_Expiration=1,IF($A264&lt;VLOOKUP(O$5,NFI,5,0),1,0)*Table_NFI[[#This Row],[Clothes Kit]],Table_NFI[Clothes Kit])</f>
        <v>0</v>
      </c>
      <c r="AE264" s="436">
        <f>IF(NFI_Expiration=1,IF($A264&lt;VLOOKUP(P$5,NFI,5,0),1,0)*Table_NFI[[#This Row],[Plastic Bucket]],Table_NFI[Plastic Bucket])</f>
        <v>0</v>
      </c>
      <c r="AF264" s="436">
        <f>IF(NFI_Expiration=1,IF($A264&lt;VLOOKUP(Q$5,NFI,5,0),1,0)*Table_NFI[[#This Row],[Plastic Mat]],Table_NFI[Plastic Mat])*IF(Table_NFI[[#This Row],[Distribution Date]]&gt;"2014-04-01",1,2.5)</f>
        <v>0</v>
      </c>
      <c r="AG264" s="436">
        <f>IF(NFI_Expiration=1,IF($A264&lt;VLOOKUP(R$5,NFI,5,0),1,0)*Table_NFI[[#This Row],[Winter Clothes Adult]],Table_NFI[Winter Clothes Adult])</f>
        <v>0</v>
      </c>
      <c r="AH264" s="436">
        <f>IF(NFI_Expiration=1,IF($A264&lt;VLOOKUP(S$5,NFI,5,0),1,0)*Table_NFI[[#This Row],[Winter Clothes Children]],Table_NFI[Winter Clothes Children])</f>
        <v>0</v>
      </c>
      <c r="AI264" s="436">
        <f>IF(NFI_Expiration=1,IF($A264&lt;VLOOKUP(T$5,NFI,5,0),1,0)*Table_NFI[[#This Row],[Winter Items Other]],Table_NFI[Winter Items Other])</f>
        <v>0</v>
      </c>
      <c r="AJ264" s="436">
        <f>IF(NFI_Expiration=1,IF($A264&lt;VLOOKUP(M$5,NFI,5,0),1,0)*Table_NFI[[#This Row],[Winter Blanket]],Table_NFI[[#This Row],[Winter Blanket]])</f>
        <v>0</v>
      </c>
      <c r="AK264" s="436">
        <f>IF(Table_NFI[[#This Row],[Winter Clothes Adult]]+Table_NFI[[#This Row],[Winter Clothes Children]]+Table_NFI[[#This Row],[Winter Items Other]]+Table_NFI[[#This Row],[Winter Blanket]]&gt;0,1,0)</f>
        <v>0</v>
      </c>
      <c r="AL264" s="439">
        <f>IF(NFI_Expiration=1,IF($A264&lt;VLOOKUP(V$5,NFI,5,0),1,0)*Table_NFI[[#This Row],[Jerry Can]],Table_NFI[Jerry Can])</f>
        <v>0</v>
      </c>
      <c r="AM264" s="781" t="str">
        <f>IFERROR(VLOOKUP(Table_NFI[[#This Row],[Camp Name]],CL,2,0),"")</f>
        <v>MMR001CMP056</v>
      </c>
      <c r="AN264" s="782">
        <f ca="1">IF(Table_NFI[[#This Row],[Pcode]]="","",IF(OFFSET(CampList[Opening Date],MATCH(Table_NFI[[#This Row],[Pcode]],CampList[CP_Pcode],0)-1,0,1,1)&gt;=NFI_Monitor_Date,1,0))</f>
        <v>0</v>
      </c>
      <c r="AO264" s="781" t="str">
        <f>IFERROR(VLOOKUP(Table_NFI[[#This Row],[Camp Name]],CL,3,0),"")</f>
        <v>Open</v>
      </c>
      <c r="AP264" s="436" t="str">
        <f ca="1">IF(Table_NFI[[#This Row],[Pcode]]="","",OFFSET(CampList[Priority],MATCH(Table_NFI[[#This Row],[Pcode]],CampList[CP_Pcode],0)-1,0,1,1))</f>
        <v>P4</v>
      </c>
      <c r="AQ264" s="438">
        <f>IFERROR(Table_NFI[[#This Row],[Kitchen Set]]/VLOOKUP(Table_NFI[[#This Row],[Camp Name]],CL,4,0),"")</f>
        <v>1.932367149758454E-2</v>
      </c>
      <c r="AR264" s="779" t="s">
        <v>1099</v>
      </c>
      <c r="AS264" s="783"/>
    </row>
    <row r="265" spans="1:45" s="784" customFormat="1" x14ac:dyDescent="0.25">
      <c r="A265" s="455">
        <f t="shared" si="4"/>
        <v>18.866666666666667</v>
      </c>
      <c r="B265" s="778">
        <v>41743</v>
      </c>
      <c r="C265" s="779" t="s">
        <v>454</v>
      </c>
      <c r="D265" s="779" t="s">
        <v>454</v>
      </c>
      <c r="E265" s="779" t="s">
        <v>380</v>
      </c>
      <c r="F265" s="779" t="s">
        <v>185</v>
      </c>
      <c r="G265" s="779" t="s">
        <v>209</v>
      </c>
      <c r="H265" s="436"/>
      <c r="I265" s="436"/>
      <c r="J265" s="436"/>
      <c r="K265" s="436">
        <v>10</v>
      </c>
      <c r="L265" s="437">
        <v>5</v>
      </c>
      <c r="M265" s="437">
        <v>15</v>
      </c>
      <c r="N265" s="437">
        <v>5</v>
      </c>
      <c r="O265" s="437">
        <v>5</v>
      </c>
      <c r="P265" s="439">
        <v>5</v>
      </c>
      <c r="Q265" s="439"/>
      <c r="R265" s="436"/>
      <c r="S265" s="436"/>
      <c r="T265" s="436"/>
      <c r="U265" s="436"/>
      <c r="V265" s="436"/>
      <c r="W265" s="436">
        <f>IF(NFI_Expiration=1,IF($A265&lt;VLOOKUP(H$5,NFI,5,0),1,0)*Table_NFI[[#This Row],[Hygiene Kit]],Table_NFI[Hygiene Kit])</f>
        <v>0</v>
      </c>
      <c r="X265" s="436">
        <f>IF(NFI_Expiration=1,IF($A265&lt;VLOOKUP(I$5,NFI,5,0),1,0)*Table_NFI[[#This Row],[NFI Core Kit]],Table_NFI[NFI Core Kit])</f>
        <v>0</v>
      </c>
      <c r="Y265" s="436">
        <f>IF(NFI_Expiration=1,IF($A265&lt;VLOOKUP(J$5,NFI,5,0),1,0)*Table_NFI[[#This Row],[Sanitary Kit]],Table_NFI[Sanitary Kit])</f>
        <v>0</v>
      </c>
      <c r="Z265" s="436">
        <f>IF(NFI_Expiration=1,IF($A265&lt;VLOOKUP(K$5,NFI,5,0),1,0)*Table_NFI[[#This Row],[Mosquito net]],Table_NFI[Mosquito net])</f>
        <v>0</v>
      </c>
      <c r="AA265" s="436">
        <f>IF(NFI_Expiration=1,IF($A265&lt;VLOOKUP(L$5,NFI,5,0),1,0)*Table_NFI[[#This Row],[Tarpaulin]],Table_NFI[[#This Row],[Tarpaulin]])</f>
        <v>0</v>
      </c>
      <c r="AB265" s="436">
        <f>IF(NFI_Expiration=1,IF($A265&lt;VLOOKUP(M$5,NFI,5,0),1,0)*Table_NFI[[#This Row],[Blanket]],Table_NFI[[#This Row],[Blanket]])</f>
        <v>0</v>
      </c>
      <c r="AC265" s="436">
        <f>IF(NFI_Expiration=1,IF($A265&lt;VLOOKUP(N$5,NFI,5,0),1,0)*Table_NFI[[#This Row],[Kitchen Set]],Table_NFI[Kitchen Set])</f>
        <v>0</v>
      </c>
      <c r="AD265" s="436">
        <f>IF(NFI_Expiration=1,IF($A265&lt;VLOOKUP(O$5,NFI,5,0),1,0)*Table_NFI[[#This Row],[Clothes Kit]],Table_NFI[Clothes Kit])</f>
        <v>0</v>
      </c>
      <c r="AE265" s="436">
        <f>IF(NFI_Expiration=1,IF($A265&lt;VLOOKUP(P$5,NFI,5,0),1,0)*Table_NFI[[#This Row],[Plastic Bucket]],Table_NFI[Plastic Bucket])</f>
        <v>0</v>
      </c>
      <c r="AF265" s="436">
        <f>IF(NFI_Expiration=1,IF($A265&lt;VLOOKUP(Q$5,NFI,5,0),1,0)*Table_NFI[[#This Row],[Plastic Mat]],Table_NFI[Plastic Mat])*IF(Table_NFI[[#This Row],[Distribution Date]]&gt;"2014-04-01",1,2.5)</f>
        <v>0</v>
      </c>
      <c r="AG265" s="436">
        <f>IF(NFI_Expiration=1,IF($A265&lt;VLOOKUP(R$5,NFI,5,0),1,0)*Table_NFI[[#This Row],[Winter Clothes Adult]],Table_NFI[Winter Clothes Adult])</f>
        <v>0</v>
      </c>
      <c r="AH265" s="436">
        <f>IF(NFI_Expiration=1,IF($A265&lt;VLOOKUP(S$5,NFI,5,0),1,0)*Table_NFI[[#This Row],[Winter Clothes Children]],Table_NFI[Winter Clothes Children])</f>
        <v>0</v>
      </c>
      <c r="AI265" s="436">
        <f>IF(NFI_Expiration=1,IF($A265&lt;VLOOKUP(T$5,NFI,5,0),1,0)*Table_NFI[[#This Row],[Winter Items Other]],Table_NFI[Winter Items Other])</f>
        <v>0</v>
      </c>
      <c r="AJ265" s="436">
        <f>IF(NFI_Expiration=1,IF($A265&lt;VLOOKUP(M$5,NFI,5,0),1,0)*Table_NFI[[#This Row],[Winter Blanket]],Table_NFI[[#This Row],[Winter Blanket]])</f>
        <v>0</v>
      </c>
      <c r="AK265" s="436">
        <f>IF(Table_NFI[[#This Row],[Winter Clothes Adult]]+Table_NFI[[#This Row],[Winter Clothes Children]]+Table_NFI[[#This Row],[Winter Items Other]]+Table_NFI[[#This Row],[Winter Blanket]]&gt;0,1,0)</f>
        <v>0</v>
      </c>
      <c r="AL265" s="439">
        <f>IF(NFI_Expiration=1,IF($A265&lt;VLOOKUP(V$5,NFI,5,0),1,0)*Table_NFI[[#This Row],[Jerry Can]],Table_NFI[Jerry Can])</f>
        <v>0</v>
      </c>
      <c r="AM265" s="781" t="str">
        <f>IFERROR(VLOOKUP(Table_NFI[[#This Row],[Camp Name]],CL,2,0),"")</f>
        <v>MMR001CMP056</v>
      </c>
      <c r="AN265" s="782">
        <f ca="1">IF(Table_NFI[[#This Row],[Pcode]]="","",IF(OFFSET(CampList[Opening Date],MATCH(Table_NFI[[#This Row],[Pcode]],CampList[CP_Pcode],0)-1,0,1,1)&gt;=NFI_Monitor_Date,1,0))</f>
        <v>0</v>
      </c>
      <c r="AO265" s="781" t="str">
        <f>IFERROR(VLOOKUP(Table_NFI[[#This Row],[Camp Name]],CL,3,0),"")</f>
        <v>Open</v>
      </c>
      <c r="AP265" s="436" t="str">
        <f ca="1">IF(Table_NFI[[#This Row],[Pcode]]="","",OFFSET(CampList[Priority],MATCH(Table_NFI[[#This Row],[Pcode]],CampList[CP_Pcode],0)-1,0,1,1))</f>
        <v>P4</v>
      </c>
      <c r="AQ265" s="438">
        <f>IFERROR(Table_NFI[[#This Row],[Kitchen Set]]/VLOOKUP(Table_NFI[[#This Row],[Camp Name]],CL,4,0),"")</f>
        <v>2.4154589371980676E-2</v>
      </c>
      <c r="AR265" s="779" t="s">
        <v>1099</v>
      </c>
      <c r="AS265" s="783"/>
    </row>
    <row r="266" spans="1:45" s="784" customFormat="1" x14ac:dyDescent="0.25">
      <c r="A266" s="455">
        <f t="shared" si="4"/>
        <v>19.033333333333335</v>
      </c>
      <c r="B266" s="778">
        <v>41738</v>
      </c>
      <c r="C266" s="779" t="s">
        <v>1113</v>
      </c>
      <c r="D266" s="779" t="s">
        <v>907</v>
      </c>
      <c r="E266" s="779" t="s">
        <v>380</v>
      </c>
      <c r="F266" s="779" t="s">
        <v>5</v>
      </c>
      <c r="G266" s="779" t="s">
        <v>26</v>
      </c>
      <c r="H266" s="436"/>
      <c r="I266" s="436"/>
      <c r="J266" s="436"/>
      <c r="K266" s="436"/>
      <c r="L266" s="437"/>
      <c r="M266" s="437"/>
      <c r="N266" s="437"/>
      <c r="O266" s="437"/>
      <c r="P266" s="439"/>
      <c r="Q266" s="439"/>
      <c r="R266" s="436"/>
      <c r="S266" s="436"/>
      <c r="T266" s="436"/>
      <c r="U266" s="436">
        <v>42</v>
      </c>
      <c r="V266" s="436"/>
      <c r="W266" s="448">
        <f>IF(NFI_Expiration=1,IF($A266&lt;VLOOKUP(H$5,NFI,5,0),1,0)*Table_NFI[[#This Row],[Hygiene Kit]],Table_NFI[Hygiene Kit])</f>
        <v>0</v>
      </c>
      <c r="X266" s="448">
        <f>IF(NFI_Expiration=1,IF($A266&lt;VLOOKUP(I$5,NFI,5,0),1,0)*Table_NFI[[#This Row],[NFI Core Kit]],Table_NFI[NFI Core Kit])</f>
        <v>0</v>
      </c>
      <c r="Y266" s="448">
        <f>IF(NFI_Expiration=1,IF($A266&lt;VLOOKUP(J$5,NFI,5,0),1,0)*Table_NFI[[#This Row],[Sanitary Kit]],Table_NFI[Sanitary Kit])</f>
        <v>0</v>
      </c>
      <c r="Z266" s="448">
        <f>IF(NFI_Expiration=1,IF($A266&lt;VLOOKUP(K$5,NFI,5,0),1,0)*Table_NFI[[#This Row],[Mosquito net]],Table_NFI[Mosquito net])</f>
        <v>0</v>
      </c>
      <c r="AA266" s="448">
        <f>IF(NFI_Expiration=1,IF($A266&lt;VLOOKUP(L$5,NFI,5,0),1,0)*Table_NFI[[#This Row],[Tarpaulin]],Table_NFI[[#This Row],[Tarpaulin]])</f>
        <v>0</v>
      </c>
      <c r="AB266" s="448">
        <f>IF(NFI_Expiration=1,IF($A266&lt;VLOOKUP(M$5,NFI,5,0),1,0)*Table_NFI[[#This Row],[Blanket]],Table_NFI[[#This Row],[Blanket]])</f>
        <v>0</v>
      </c>
      <c r="AC266" s="448">
        <f>IF(NFI_Expiration=1,IF($A266&lt;VLOOKUP(N$5,NFI,5,0),1,0)*Table_NFI[[#This Row],[Kitchen Set]],Table_NFI[Kitchen Set])</f>
        <v>0</v>
      </c>
      <c r="AD266" s="448">
        <f>IF(NFI_Expiration=1,IF($A266&lt;VLOOKUP(O$5,NFI,5,0),1,0)*Table_NFI[[#This Row],[Clothes Kit]],Table_NFI[Clothes Kit])</f>
        <v>0</v>
      </c>
      <c r="AE266" s="448">
        <f>IF(NFI_Expiration=1,IF($A266&lt;VLOOKUP(P$5,NFI,5,0),1,0)*Table_NFI[[#This Row],[Plastic Bucket]],Table_NFI[Plastic Bucket])</f>
        <v>0</v>
      </c>
      <c r="AF266" s="448">
        <f>IF(NFI_Expiration=1,IF($A266&lt;VLOOKUP(Q$5,NFI,5,0),1,0)*Table_NFI[[#This Row],[Plastic Mat]],Table_NFI[Plastic Mat])*IF(Table_NFI[[#This Row],[Distribution Date]]&gt;"2014-04-01",1,2.5)</f>
        <v>0</v>
      </c>
      <c r="AG266" s="448">
        <f>IF(NFI_Expiration=1,IF($A266&lt;VLOOKUP(R$5,NFI,5,0),1,0)*Table_NFI[[#This Row],[Winter Clothes Adult]],Table_NFI[Winter Clothes Adult])</f>
        <v>0</v>
      </c>
      <c r="AH266" s="448">
        <f>IF(NFI_Expiration=1,IF($A266&lt;VLOOKUP(S$5,NFI,5,0),1,0)*Table_NFI[[#This Row],[Winter Clothes Children]],Table_NFI[Winter Clothes Children])</f>
        <v>0</v>
      </c>
      <c r="AI266" s="448">
        <f>IF(NFI_Expiration=1,IF($A266&lt;VLOOKUP(T$5,NFI,5,0),1,0)*Table_NFI[[#This Row],[Winter Items Other]],Table_NFI[Winter Items Other])</f>
        <v>0</v>
      </c>
      <c r="AJ266" s="448">
        <f>IF(NFI_Expiration=1,IF($A266&lt;VLOOKUP(M$5,NFI,5,0),1,0)*Table_NFI[[#This Row],[Winter Blanket]],Table_NFI[[#This Row],[Winter Blanket]])</f>
        <v>0</v>
      </c>
      <c r="AK266" s="448">
        <f>IF(Table_NFI[[#This Row],[Winter Clothes Adult]]+Table_NFI[[#This Row],[Winter Clothes Children]]+Table_NFI[[#This Row],[Winter Items Other]]+Table_NFI[[#This Row],[Winter Blanket]]&gt;0,1,0)</f>
        <v>1</v>
      </c>
      <c r="AL266" s="439">
        <f>IF(NFI_Expiration=1,IF($A266&lt;VLOOKUP(V$5,NFI,5,0),1,0)*Table_NFI[[#This Row],[Jerry Can]],Table_NFI[Jerry Can])</f>
        <v>0</v>
      </c>
      <c r="AM266" s="797" t="str">
        <f>IFERROR(VLOOKUP(Table_NFI[[#This Row],[Camp Name]],CL,2,0),"")</f>
        <v>MMR001CMP053</v>
      </c>
      <c r="AN266" s="798">
        <f ca="1">IF(Table_NFI[[#This Row],[Pcode]]="","",IF(OFFSET(CampList[Opening Date],MATCH(Table_NFI[[#This Row],[Pcode]],CampList[CP_Pcode],0)-1,0,1,1)&gt;=NFI_Monitor_Date,1,0))</f>
        <v>0</v>
      </c>
      <c r="AO266" s="797" t="str">
        <f>IFERROR(VLOOKUP(Table_NFI[[#This Row],[Camp Name]],CL,3,0),"")</f>
        <v>Open</v>
      </c>
      <c r="AP266" s="448" t="str">
        <f ca="1">IF(Table_NFI[[#This Row],[Pcode]]="","",OFFSET(CampList[Priority],MATCH(Table_NFI[[#This Row],[Pcode]],CampList[CP_Pcode],0)-1,0,1,1))</f>
        <v>P4</v>
      </c>
      <c r="AQ266" s="449">
        <f>IFERROR(Table_NFI[[#This Row],[Kitchen Set]]/VLOOKUP(Table_NFI[[#This Row],[Camp Name]],CL,4,0),"")</f>
        <v>0</v>
      </c>
      <c r="AR266" s="799"/>
      <c r="AS266" s="783"/>
    </row>
    <row r="267" spans="1:45" s="784" customFormat="1" x14ac:dyDescent="0.25">
      <c r="A267" s="455">
        <f t="shared" si="4"/>
        <v>19.033333333333335</v>
      </c>
      <c r="B267" s="778">
        <v>41738</v>
      </c>
      <c r="C267" s="779" t="s">
        <v>1113</v>
      </c>
      <c r="D267" s="779" t="s">
        <v>907</v>
      </c>
      <c r="E267" s="779" t="s">
        <v>380</v>
      </c>
      <c r="F267" s="779" t="s">
        <v>5</v>
      </c>
      <c r="G267" s="779" t="s">
        <v>24</v>
      </c>
      <c r="H267" s="436"/>
      <c r="I267" s="436"/>
      <c r="J267" s="436"/>
      <c r="K267" s="436"/>
      <c r="L267" s="437"/>
      <c r="M267" s="437"/>
      <c r="N267" s="437"/>
      <c r="O267" s="437"/>
      <c r="P267" s="439"/>
      <c r="Q267" s="439"/>
      <c r="R267" s="436"/>
      <c r="S267" s="436"/>
      <c r="T267" s="436"/>
      <c r="U267" s="436">
        <v>122</v>
      </c>
      <c r="V267" s="436"/>
      <c r="W267" s="448">
        <f>IF(NFI_Expiration=1,IF($A267&lt;VLOOKUP(H$5,NFI,5,0),1,0)*Table_NFI[[#This Row],[Hygiene Kit]],Table_NFI[Hygiene Kit])</f>
        <v>0</v>
      </c>
      <c r="X267" s="448">
        <f>IF(NFI_Expiration=1,IF($A267&lt;VLOOKUP(I$5,NFI,5,0),1,0)*Table_NFI[[#This Row],[NFI Core Kit]],Table_NFI[NFI Core Kit])</f>
        <v>0</v>
      </c>
      <c r="Y267" s="448">
        <f>IF(NFI_Expiration=1,IF($A267&lt;VLOOKUP(J$5,NFI,5,0),1,0)*Table_NFI[[#This Row],[Sanitary Kit]],Table_NFI[Sanitary Kit])</f>
        <v>0</v>
      </c>
      <c r="Z267" s="448">
        <f>IF(NFI_Expiration=1,IF($A267&lt;VLOOKUP(K$5,NFI,5,0),1,0)*Table_NFI[[#This Row],[Mosquito net]],Table_NFI[Mosquito net])</f>
        <v>0</v>
      </c>
      <c r="AA267" s="448">
        <f>IF(NFI_Expiration=1,IF($A267&lt;VLOOKUP(L$5,NFI,5,0),1,0)*Table_NFI[[#This Row],[Tarpaulin]],Table_NFI[[#This Row],[Tarpaulin]])</f>
        <v>0</v>
      </c>
      <c r="AB267" s="448">
        <f>IF(NFI_Expiration=1,IF($A267&lt;VLOOKUP(M$5,NFI,5,0),1,0)*Table_NFI[[#This Row],[Blanket]],Table_NFI[[#This Row],[Blanket]])</f>
        <v>0</v>
      </c>
      <c r="AC267" s="448">
        <f>IF(NFI_Expiration=1,IF($A267&lt;VLOOKUP(N$5,NFI,5,0),1,0)*Table_NFI[[#This Row],[Kitchen Set]],Table_NFI[Kitchen Set])</f>
        <v>0</v>
      </c>
      <c r="AD267" s="448">
        <f>IF(NFI_Expiration=1,IF($A267&lt;VLOOKUP(O$5,NFI,5,0),1,0)*Table_NFI[[#This Row],[Clothes Kit]],Table_NFI[Clothes Kit])</f>
        <v>0</v>
      </c>
      <c r="AE267" s="448">
        <f>IF(NFI_Expiration=1,IF($A267&lt;VLOOKUP(P$5,NFI,5,0),1,0)*Table_NFI[[#This Row],[Plastic Bucket]],Table_NFI[Plastic Bucket])</f>
        <v>0</v>
      </c>
      <c r="AF267" s="448">
        <f>IF(NFI_Expiration=1,IF($A267&lt;VLOOKUP(Q$5,NFI,5,0),1,0)*Table_NFI[[#This Row],[Plastic Mat]],Table_NFI[Plastic Mat])*IF(Table_NFI[[#This Row],[Distribution Date]]&gt;"2014-04-01",1,2.5)</f>
        <v>0</v>
      </c>
      <c r="AG267" s="448">
        <f>IF(NFI_Expiration=1,IF($A267&lt;VLOOKUP(R$5,NFI,5,0),1,0)*Table_NFI[[#This Row],[Winter Clothes Adult]],Table_NFI[Winter Clothes Adult])</f>
        <v>0</v>
      </c>
      <c r="AH267" s="448">
        <f>IF(NFI_Expiration=1,IF($A267&lt;VLOOKUP(S$5,NFI,5,0),1,0)*Table_NFI[[#This Row],[Winter Clothes Children]],Table_NFI[Winter Clothes Children])</f>
        <v>0</v>
      </c>
      <c r="AI267" s="448">
        <f>IF(NFI_Expiration=1,IF($A267&lt;VLOOKUP(T$5,NFI,5,0),1,0)*Table_NFI[[#This Row],[Winter Items Other]],Table_NFI[Winter Items Other])</f>
        <v>0</v>
      </c>
      <c r="AJ267" s="448">
        <f>IF(NFI_Expiration=1,IF($A267&lt;VLOOKUP(M$5,NFI,5,0),1,0)*Table_NFI[[#This Row],[Winter Blanket]],Table_NFI[[#This Row],[Winter Blanket]])</f>
        <v>0</v>
      </c>
      <c r="AK267" s="448">
        <f>IF(Table_NFI[[#This Row],[Winter Clothes Adult]]+Table_NFI[[#This Row],[Winter Clothes Children]]+Table_NFI[[#This Row],[Winter Items Other]]+Table_NFI[[#This Row],[Winter Blanket]]&gt;0,1,0)</f>
        <v>1</v>
      </c>
      <c r="AL267" s="439">
        <f>IF(NFI_Expiration=1,IF($A267&lt;VLOOKUP(V$5,NFI,5,0),1,0)*Table_NFI[[#This Row],[Jerry Can]],Table_NFI[Jerry Can])</f>
        <v>0</v>
      </c>
      <c r="AM267" s="797" t="str">
        <f>IFERROR(VLOOKUP(Table_NFI[[#This Row],[Camp Name]],CL,2,0),"")</f>
        <v>MMR001CMP055</v>
      </c>
      <c r="AN267" s="798">
        <f ca="1">IF(Table_NFI[[#This Row],[Pcode]]="","",IF(OFFSET(CampList[Opening Date],MATCH(Table_NFI[[#This Row],[Pcode]],CampList[CP_Pcode],0)-1,0,1,1)&gt;=NFI_Monitor_Date,1,0))</f>
        <v>0</v>
      </c>
      <c r="AO267" s="797" t="str">
        <f>IFERROR(VLOOKUP(Table_NFI[[#This Row],[Camp Name]],CL,3,0),"")</f>
        <v>Open</v>
      </c>
      <c r="AP267" s="448" t="str">
        <f ca="1">IF(Table_NFI[[#This Row],[Pcode]]="","",OFFSET(CampList[Priority],MATCH(Table_NFI[[#This Row],[Pcode]],CampList[CP_Pcode],0)-1,0,1,1))</f>
        <v>P4</v>
      </c>
      <c r="AQ267" s="449">
        <f>IFERROR(Table_NFI[[#This Row],[Kitchen Set]]/VLOOKUP(Table_NFI[[#This Row],[Camp Name]],CL,4,0),"")</f>
        <v>0</v>
      </c>
      <c r="AR267" s="799"/>
      <c r="AS267" s="783"/>
    </row>
    <row r="268" spans="1:45" s="784" customFormat="1" x14ac:dyDescent="0.25">
      <c r="A268" s="455">
        <f t="shared" si="4"/>
        <v>19.066666666666666</v>
      </c>
      <c r="B268" s="778">
        <v>41737</v>
      </c>
      <c r="C268" s="779" t="s">
        <v>1113</v>
      </c>
      <c r="D268" s="779" t="s">
        <v>907</v>
      </c>
      <c r="E268" s="779" t="s">
        <v>380</v>
      </c>
      <c r="F268" s="779" t="s">
        <v>5</v>
      </c>
      <c r="G268" s="779" t="s">
        <v>14</v>
      </c>
      <c r="H268" s="436"/>
      <c r="I268" s="436"/>
      <c r="J268" s="436"/>
      <c r="K268" s="436"/>
      <c r="L268" s="437"/>
      <c r="M268" s="437"/>
      <c r="N268" s="437"/>
      <c r="O268" s="437"/>
      <c r="P268" s="439"/>
      <c r="Q268" s="439"/>
      <c r="R268" s="436"/>
      <c r="S268" s="436"/>
      <c r="T268" s="436"/>
      <c r="U268" s="436">
        <v>90</v>
      </c>
      <c r="V268" s="436"/>
      <c r="W268" s="448">
        <f>IF(NFI_Expiration=1,IF($A268&lt;VLOOKUP(H$5,NFI,5,0),1,0)*Table_NFI[[#This Row],[Hygiene Kit]],Table_NFI[Hygiene Kit])</f>
        <v>0</v>
      </c>
      <c r="X268" s="448">
        <f>IF(NFI_Expiration=1,IF($A268&lt;VLOOKUP(I$5,NFI,5,0),1,0)*Table_NFI[[#This Row],[NFI Core Kit]],Table_NFI[NFI Core Kit])</f>
        <v>0</v>
      </c>
      <c r="Y268" s="448">
        <f>IF(NFI_Expiration=1,IF($A268&lt;VLOOKUP(J$5,NFI,5,0),1,0)*Table_NFI[[#This Row],[Sanitary Kit]],Table_NFI[Sanitary Kit])</f>
        <v>0</v>
      </c>
      <c r="Z268" s="448">
        <f>IF(NFI_Expiration=1,IF($A268&lt;VLOOKUP(K$5,NFI,5,0),1,0)*Table_NFI[[#This Row],[Mosquito net]],Table_NFI[Mosquito net])</f>
        <v>0</v>
      </c>
      <c r="AA268" s="448">
        <f>IF(NFI_Expiration=1,IF($A268&lt;VLOOKUP(L$5,NFI,5,0),1,0)*Table_NFI[[#This Row],[Tarpaulin]],Table_NFI[[#This Row],[Tarpaulin]])</f>
        <v>0</v>
      </c>
      <c r="AB268" s="448">
        <f>IF(NFI_Expiration=1,IF($A268&lt;VLOOKUP(M$5,NFI,5,0),1,0)*Table_NFI[[#This Row],[Blanket]],Table_NFI[[#This Row],[Blanket]])</f>
        <v>0</v>
      </c>
      <c r="AC268" s="448">
        <f>IF(NFI_Expiration=1,IF($A268&lt;VLOOKUP(N$5,NFI,5,0),1,0)*Table_NFI[[#This Row],[Kitchen Set]],Table_NFI[Kitchen Set])</f>
        <v>0</v>
      </c>
      <c r="AD268" s="448">
        <f>IF(NFI_Expiration=1,IF($A268&lt;VLOOKUP(O$5,NFI,5,0),1,0)*Table_NFI[[#This Row],[Clothes Kit]],Table_NFI[Clothes Kit])</f>
        <v>0</v>
      </c>
      <c r="AE268" s="448">
        <f>IF(NFI_Expiration=1,IF($A268&lt;VLOOKUP(P$5,NFI,5,0),1,0)*Table_NFI[[#This Row],[Plastic Bucket]],Table_NFI[Plastic Bucket])</f>
        <v>0</v>
      </c>
      <c r="AF268" s="448">
        <f>IF(NFI_Expiration=1,IF($A268&lt;VLOOKUP(Q$5,NFI,5,0),1,0)*Table_NFI[[#This Row],[Plastic Mat]],Table_NFI[Plastic Mat])*IF(Table_NFI[[#This Row],[Distribution Date]]&gt;"2014-04-01",1,2.5)</f>
        <v>0</v>
      </c>
      <c r="AG268" s="448">
        <f>IF(NFI_Expiration=1,IF($A268&lt;VLOOKUP(R$5,NFI,5,0),1,0)*Table_NFI[[#This Row],[Winter Clothes Adult]],Table_NFI[Winter Clothes Adult])</f>
        <v>0</v>
      </c>
      <c r="AH268" s="448">
        <f>IF(NFI_Expiration=1,IF($A268&lt;VLOOKUP(S$5,NFI,5,0),1,0)*Table_NFI[[#This Row],[Winter Clothes Children]],Table_NFI[Winter Clothes Children])</f>
        <v>0</v>
      </c>
      <c r="AI268" s="448">
        <f>IF(NFI_Expiration=1,IF($A268&lt;VLOOKUP(T$5,NFI,5,0),1,0)*Table_NFI[[#This Row],[Winter Items Other]],Table_NFI[Winter Items Other])</f>
        <v>0</v>
      </c>
      <c r="AJ268" s="448">
        <f>IF(NFI_Expiration=1,IF($A268&lt;VLOOKUP(M$5,NFI,5,0),1,0)*Table_NFI[[#This Row],[Winter Blanket]],Table_NFI[[#This Row],[Winter Blanket]])</f>
        <v>0</v>
      </c>
      <c r="AK268" s="448">
        <f>IF(Table_NFI[[#This Row],[Winter Clothes Adult]]+Table_NFI[[#This Row],[Winter Clothes Children]]+Table_NFI[[#This Row],[Winter Items Other]]+Table_NFI[[#This Row],[Winter Blanket]]&gt;0,1,0)</f>
        <v>1</v>
      </c>
      <c r="AL268" s="439">
        <f>IF(NFI_Expiration=1,IF($A268&lt;VLOOKUP(V$5,NFI,5,0),1,0)*Table_NFI[[#This Row],[Jerry Can]],Table_NFI[Jerry Can])</f>
        <v>0</v>
      </c>
      <c r="AM268" s="797" t="str">
        <f>IFERROR(VLOOKUP(Table_NFI[[#This Row],[Camp Name]],CL,2,0),"")</f>
        <v>MMR001CMP052</v>
      </c>
      <c r="AN268" s="798">
        <f ca="1">IF(Table_NFI[[#This Row],[Pcode]]="","",IF(OFFSET(CampList[Opening Date],MATCH(Table_NFI[[#This Row],[Pcode]],CampList[CP_Pcode],0)-1,0,1,1)&gt;=NFI_Monitor_Date,1,0))</f>
        <v>0</v>
      </c>
      <c r="AO268" s="797" t="str">
        <f>IFERROR(VLOOKUP(Table_NFI[[#This Row],[Camp Name]],CL,3,0),"")</f>
        <v>Open</v>
      </c>
      <c r="AP268" s="448" t="str">
        <f ca="1">IF(Table_NFI[[#This Row],[Pcode]]="","",OFFSET(CampList[Priority],MATCH(Table_NFI[[#This Row],[Pcode]],CampList[CP_Pcode],0)-1,0,1,1))</f>
        <v>P4</v>
      </c>
      <c r="AQ268" s="449">
        <f>IFERROR(Table_NFI[[#This Row],[Kitchen Set]]/VLOOKUP(Table_NFI[[#This Row],[Camp Name]],CL,4,0),"")</f>
        <v>0</v>
      </c>
      <c r="AR268" s="799"/>
      <c r="AS268" s="783"/>
    </row>
    <row r="269" spans="1:45" s="784" customFormat="1" x14ac:dyDescent="0.25">
      <c r="A269" s="455">
        <f t="shared" si="4"/>
        <v>19.066666666666666</v>
      </c>
      <c r="B269" s="778">
        <v>41737</v>
      </c>
      <c r="C269" s="779" t="s">
        <v>1113</v>
      </c>
      <c r="D269" s="779" t="s">
        <v>907</v>
      </c>
      <c r="E269" s="779" t="s">
        <v>380</v>
      </c>
      <c r="F269" s="779" t="s">
        <v>185</v>
      </c>
      <c r="G269" s="779" t="s">
        <v>207</v>
      </c>
      <c r="H269" s="436"/>
      <c r="I269" s="436"/>
      <c r="J269" s="436"/>
      <c r="K269" s="436"/>
      <c r="L269" s="437"/>
      <c r="M269" s="437"/>
      <c r="N269" s="437"/>
      <c r="O269" s="437"/>
      <c r="P269" s="439"/>
      <c r="Q269" s="439"/>
      <c r="R269" s="436"/>
      <c r="S269" s="436"/>
      <c r="T269" s="436"/>
      <c r="U269" s="436">
        <v>10</v>
      </c>
      <c r="V269" s="436"/>
      <c r="W269" s="448">
        <f>IF(NFI_Expiration=1,IF($A269&lt;VLOOKUP(H$5,NFI,5,0),1,0)*Table_NFI[[#This Row],[Hygiene Kit]],Table_NFI[Hygiene Kit])</f>
        <v>0</v>
      </c>
      <c r="X269" s="448">
        <f>IF(NFI_Expiration=1,IF($A269&lt;VLOOKUP(I$5,NFI,5,0),1,0)*Table_NFI[[#This Row],[NFI Core Kit]],Table_NFI[NFI Core Kit])</f>
        <v>0</v>
      </c>
      <c r="Y269" s="448">
        <f>IF(NFI_Expiration=1,IF($A269&lt;VLOOKUP(J$5,NFI,5,0),1,0)*Table_NFI[[#This Row],[Sanitary Kit]],Table_NFI[Sanitary Kit])</f>
        <v>0</v>
      </c>
      <c r="Z269" s="448">
        <f>IF(NFI_Expiration=1,IF($A269&lt;VLOOKUP(K$5,NFI,5,0),1,0)*Table_NFI[[#This Row],[Mosquito net]],Table_NFI[Mosquito net])</f>
        <v>0</v>
      </c>
      <c r="AA269" s="448">
        <f>IF(NFI_Expiration=1,IF($A269&lt;VLOOKUP(L$5,NFI,5,0),1,0)*Table_NFI[[#This Row],[Tarpaulin]],Table_NFI[[#This Row],[Tarpaulin]])</f>
        <v>0</v>
      </c>
      <c r="AB269" s="448">
        <f>IF(NFI_Expiration=1,IF($A269&lt;VLOOKUP(M$5,NFI,5,0),1,0)*Table_NFI[[#This Row],[Blanket]],Table_NFI[[#This Row],[Blanket]])</f>
        <v>0</v>
      </c>
      <c r="AC269" s="448">
        <f>IF(NFI_Expiration=1,IF($A269&lt;VLOOKUP(N$5,NFI,5,0),1,0)*Table_NFI[[#This Row],[Kitchen Set]],Table_NFI[Kitchen Set])</f>
        <v>0</v>
      </c>
      <c r="AD269" s="448">
        <f>IF(NFI_Expiration=1,IF($A269&lt;VLOOKUP(O$5,NFI,5,0),1,0)*Table_NFI[[#This Row],[Clothes Kit]],Table_NFI[Clothes Kit])</f>
        <v>0</v>
      </c>
      <c r="AE269" s="448">
        <f>IF(NFI_Expiration=1,IF($A269&lt;VLOOKUP(P$5,NFI,5,0),1,0)*Table_NFI[[#This Row],[Plastic Bucket]],Table_NFI[Plastic Bucket])</f>
        <v>0</v>
      </c>
      <c r="AF269" s="448">
        <f>IF(NFI_Expiration=1,IF($A269&lt;VLOOKUP(Q$5,NFI,5,0),1,0)*Table_NFI[[#This Row],[Plastic Mat]],Table_NFI[Plastic Mat])*IF(Table_NFI[[#This Row],[Distribution Date]]&gt;"2014-04-01",1,2.5)</f>
        <v>0</v>
      </c>
      <c r="AG269" s="448">
        <f>IF(NFI_Expiration=1,IF($A269&lt;VLOOKUP(R$5,NFI,5,0),1,0)*Table_NFI[[#This Row],[Winter Clothes Adult]],Table_NFI[Winter Clothes Adult])</f>
        <v>0</v>
      </c>
      <c r="AH269" s="448">
        <f>IF(NFI_Expiration=1,IF($A269&lt;VLOOKUP(S$5,NFI,5,0),1,0)*Table_NFI[[#This Row],[Winter Clothes Children]],Table_NFI[Winter Clothes Children])</f>
        <v>0</v>
      </c>
      <c r="AI269" s="448">
        <f>IF(NFI_Expiration=1,IF($A269&lt;VLOOKUP(T$5,NFI,5,0),1,0)*Table_NFI[[#This Row],[Winter Items Other]],Table_NFI[Winter Items Other])</f>
        <v>0</v>
      </c>
      <c r="AJ269" s="448">
        <f>IF(NFI_Expiration=1,IF($A269&lt;VLOOKUP(M$5,NFI,5,0),1,0)*Table_NFI[[#This Row],[Winter Blanket]],Table_NFI[[#This Row],[Winter Blanket]])</f>
        <v>0</v>
      </c>
      <c r="AK269" s="448">
        <f>IF(Table_NFI[[#This Row],[Winter Clothes Adult]]+Table_NFI[[#This Row],[Winter Clothes Children]]+Table_NFI[[#This Row],[Winter Items Other]]+Table_NFI[[#This Row],[Winter Blanket]]&gt;0,1,0)</f>
        <v>1</v>
      </c>
      <c r="AL269" s="439">
        <f>IF(NFI_Expiration=1,IF($A269&lt;VLOOKUP(V$5,NFI,5,0),1,0)*Table_NFI[[#This Row],[Jerry Can]],Table_NFI[Jerry Can])</f>
        <v>0</v>
      </c>
      <c r="AM269" s="797" t="str">
        <f>IFERROR(VLOOKUP(Table_NFI[[#This Row],[Camp Name]],CL,2,0),"")</f>
        <v>MMR001CMP058</v>
      </c>
      <c r="AN269" s="798">
        <f ca="1">IF(Table_NFI[[#This Row],[Pcode]]="","",IF(OFFSET(CampList[Opening Date],MATCH(Table_NFI[[#This Row],[Pcode]],CampList[CP_Pcode],0)-1,0,1,1)&gt;=NFI_Monitor_Date,1,0))</f>
        <v>0</v>
      </c>
      <c r="AO269" s="781" t="s">
        <v>849</v>
      </c>
      <c r="AP269" s="448" t="str">
        <f ca="1">IF(Table_NFI[[#This Row],[Pcode]]="","",OFFSET(CampList[Priority],MATCH(Table_NFI[[#This Row],[Pcode]],CampList[CP_Pcode],0)-1,0,1,1))</f>
        <v>P4</v>
      </c>
      <c r="AQ269" s="449" t="str">
        <f>IFERROR(Table_NFI[[#This Row],[Kitchen Set]]/VLOOKUP(Table_NFI[[#This Row],[Camp Name]],CL,4,0),"")</f>
        <v/>
      </c>
      <c r="AR269" s="799"/>
      <c r="AS269" s="783"/>
    </row>
    <row r="270" spans="1:45" s="784" customFormat="1" x14ac:dyDescent="0.25">
      <c r="A270" s="455">
        <f t="shared" si="4"/>
        <v>19.066666666666666</v>
      </c>
      <c r="B270" s="778">
        <v>41737</v>
      </c>
      <c r="C270" s="779" t="s">
        <v>1113</v>
      </c>
      <c r="D270" s="779" t="s">
        <v>907</v>
      </c>
      <c r="E270" s="779" t="s">
        <v>380</v>
      </c>
      <c r="F270" s="779" t="s">
        <v>185</v>
      </c>
      <c r="G270" s="779" t="s">
        <v>217</v>
      </c>
      <c r="H270" s="436"/>
      <c r="I270" s="436"/>
      <c r="J270" s="436"/>
      <c r="K270" s="436"/>
      <c r="L270" s="437"/>
      <c r="M270" s="437"/>
      <c r="N270" s="437"/>
      <c r="O270" s="437"/>
      <c r="P270" s="439"/>
      <c r="Q270" s="439"/>
      <c r="R270" s="436"/>
      <c r="S270" s="436"/>
      <c r="T270" s="436"/>
      <c r="U270" s="436">
        <v>46</v>
      </c>
      <c r="V270" s="436"/>
      <c r="W270" s="448">
        <f>IF(NFI_Expiration=1,IF($A270&lt;VLOOKUP(H$5,NFI,5,0),1,0)*Table_NFI[[#This Row],[Hygiene Kit]],Table_NFI[Hygiene Kit])</f>
        <v>0</v>
      </c>
      <c r="X270" s="448">
        <f>IF(NFI_Expiration=1,IF($A270&lt;VLOOKUP(I$5,NFI,5,0),1,0)*Table_NFI[[#This Row],[NFI Core Kit]],Table_NFI[NFI Core Kit])</f>
        <v>0</v>
      </c>
      <c r="Y270" s="448">
        <f>IF(NFI_Expiration=1,IF($A270&lt;VLOOKUP(J$5,NFI,5,0),1,0)*Table_NFI[[#This Row],[Sanitary Kit]],Table_NFI[Sanitary Kit])</f>
        <v>0</v>
      </c>
      <c r="Z270" s="448">
        <f>IF(NFI_Expiration=1,IF($A270&lt;VLOOKUP(K$5,NFI,5,0),1,0)*Table_NFI[[#This Row],[Mosquito net]],Table_NFI[Mosquito net])</f>
        <v>0</v>
      </c>
      <c r="AA270" s="448">
        <f>IF(NFI_Expiration=1,IF($A270&lt;VLOOKUP(L$5,NFI,5,0),1,0)*Table_NFI[[#This Row],[Tarpaulin]],Table_NFI[[#This Row],[Tarpaulin]])</f>
        <v>0</v>
      </c>
      <c r="AB270" s="448">
        <f>IF(NFI_Expiration=1,IF($A270&lt;VLOOKUP(M$5,NFI,5,0),1,0)*Table_NFI[[#This Row],[Blanket]],Table_NFI[[#This Row],[Blanket]])</f>
        <v>0</v>
      </c>
      <c r="AC270" s="448">
        <f>IF(NFI_Expiration=1,IF($A270&lt;VLOOKUP(N$5,NFI,5,0),1,0)*Table_NFI[[#This Row],[Kitchen Set]],Table_NFI[Kitchen Set])</f>
        <v>0</v>
      </c>
      <c r="AD270" s="448">
        <f>IF(NFI_Expiration=1,IF($A270&lt;VLOOKUP(O$5,NFI,5,0),1,0)*Table_NFI[[#This Row],[Clothes Kit]],Table_NFI[Clothes Kit])</f>
        <v>0</v>
      </c>
      <c r="AE270" s="448">
        <f>IF(NFI_Expiration=1,IF($A270&lt;VLOOKUP(P$5,NFI,5,0),1,0)*Table_NFI[[#This Row],[Plastic Bucket]],Table_NFI[Plastic Bucket])</f>
        <v>0</v>
      </c>
      <c r="AF270" s="448">
        <f>IF(NFI_Expiration=1,IF($A270&lt;VLOOKUP(Q$5,NFI,5,0),1,0)*Table_NFI[[#This Row],[Plastic Mat]],Table_NFI[Plastic Mat])*IF(Table_NFI[[#This Row],[Distribution Date]]&gt;"2014-04-01",1,2.5)</f>
        <v>0</v>
      </c>
      <c r="AG270" s="448">
        <f>IF(NFI_Expiration=1,IF($A270&lt;VLOOKUP(R$5,NFI,5,0),1,0)*Table_NFI[[#This Row],[Winter Clothes Adult]],Table_NFI[Winter Clothes Adult])</f>
        <v>0</v>
      </c>
      <c r="AH270" s="448">
        <f>IF(NFI_Expiration=1,IF($A270&lt;VLOOKUP(S$5,NFI,5,0),1,0)*Table_NFI[[#This Row],[Winter Clothes Children]],Table_NFI[Winter Clothes Children])</f>
        <v>0</v>
      </c>
      <c r="AI270" s="448">
        <f>IF(NFI_Expiration=1,IF($A270&lt;VLOOKUP(T$5,NFI,5,0),1,0)*Table_NFI[[#This Row],[Winter Items Other]],Table_NFI[Winter Items Other])</f>
        <v>0</v>
      </c>
      <c r="AJ270" s="448">
        <f>IF(NFI_Expiration=1,IF($A270&lt;VLOOKUP(M$5,NFI,5,0),1,0)*Table_NFI[[#This Row],[Winter Blanket]],Table_NFI[[#This Row],[Winter Blanket]])</f>
        <v>0</v>
      </c>
      <c r="AK270" s="448">
        <f>IF(Table_NFI[[#This Row],[Winter Clothes Adult]]+Table_NFI[[#This Row],[Winter Clothes Children]]+Table_NFI[[#This Row],[Winter Items Other]]+Table_NFI[[#This Row],[Winter Blanket]]&gt;0,1,0)</f>
        <v>1</v>
      </c>
      <c r="AL270" s="439">
        <f>IF(NFI_Expiration=1,IF($A270&lt;VLOOKUP(V$5,NFI,5,0),1,0)*Table_NFI[[#This Row],[Jerry Can]],Table_NFI[Jerry Can])</f>
        <v>0</v>
      </c>
      <c r="AM270" s="797" t="str">
        <f>IFERROR(VLOOKUP(Table_NFI[[#This Row],[Camp Name]],CL,2,0),"")</f>
        <v>MMR001CMP059</v>
      </c>
      <c r="AN270" s="798">
        <f ca="1">IF(Table_NFI[[#This Row],[Pcode]]="","",IF(OFFSET(CampList[Opening Date],MATCH(Table_NFI[[#This Row],[Pcode]],CampList[CP_Pcode],0)-1,0,1,1)&gt;=NFI_Monitor_Date,1,0))</f>
        <v>0</v>
      </c>
      <c r="AO270" s="797" t="str">
        <f>IFERROR(VLOOKUP(Table_NFI[[#This Row],[Camp Name]],CL,3,0),"")</f>
        <v>Open</v>
      </c>
      <c r="AP270" s="448" t="str">
        <f ca="1">IF(Table_NFI[[#This Row],[Pcode]]="","",OFFSET(CampList[Priority],MATCH(Table_NFI[[#This Row],[Pcode]],CampList[CP_Pcode],0)-1,0,1,1))</f>
        <v>P4</v>
      </c>
      <c r="AQ270" s="449">
        <f>IFERROR(Table_NFI[[#This Row],[Kitchen Set]]/VLOOKUP(Table_NFI[[#This Row],[Camp Name]],CL,4,0),"")</f>
        <v>0</v>
      </c>
      <c r="AR270" s="799"/>
      <c r="AS270" s="783"/>
    </row>
    <row r="271" spans="1:45" s="784" customFormat="1" x14ac:dyDescent="0.25">
      <c r="A271" s="455">
        <f t="shared" si="4"/>
        <v>19.066666666666666</v>
      </c>
      <c r="B271" s="778">
        <v>41737</v>
      </c>
      <c r="C271" s="779" t="s">
        <v>1113</v>
      </c>
      <c r="D271" s="779" t="s">
        <v>907</v>
      </c>
      <c r="E271" s="779" t="s">
        <v>380</v>
      </c>
      <c r="F271" s="779" t="s">
        <v>5</v>
      </c>
      <c r="G271" s="779" t="s">
        <v>366</v>
      </c>
      <c r="H271" s="436"/>
      <c r="I271" s="436"/>
      <c r="J271" s="436"/>
      <c r="K271" s="436"/>
      <c r="L271" s="437"/>
      <c r="M271" s="437"/>
      <c r="N271" s="437"/>
      <c r="O271" s="437"/>
      <c r="P271" s="439"/>
      <c r="Q271" s="439"/>
      <c r="R271" s="436"/>
      <c r="S271" s="436"/>
      <c r="T271" s="436"/>
      <c r="U271" s="436">
        <v>372</v>
      </c>
      <c r="V271" s="436"/>
      <c r="W271" s="448">
        <f>IF(NFI_Expiration=1,IF($A271&lt;VLOOKUP(H$5,NFI,5,0),1,0)*Table_NFI[[#This Row],[Hygiene Kit]],Table_NFI[Hygiene Kit])</f>
        <v>0</v>
      </c>
      <c r="X271" s="448">
        <f>IF(NFI_Expiration=1,IF($A271&lt;VLOOKUP(I$5,NFI,5,0),1,0)*Table_NFI[[#This Row],[NFI Core Kit]],Table_NFI[NFI Core Kit])</f>
        <v>0</v>
      </c>
      <c r="Y271" s="448">
        <f>IF(NFI_Expiration=1,IF($A271&lt;VLOOKUP(J$5,NFI,5,0),1,0)*Table_NFI[[#This Row],[Sanitary Kit]],Table_NFI[Sanitary Kit])</f>
        <v>0</v>
      </c>
      <c r="Z271" s="448">
        <f>IF(NFI_Expiration=1,IF($A271&lt;VLOOKUP(K$5,NFI,5,0),1,0)*Table_NFI[[#This Row],[Mosquito net]],Table_NFI[Mosquito net])</f>
        <v>0</v>
      </c>
      <c r="AA271" s="448">
        <f>IF(NFI_Expiration=1,IF($A271&lt;VLOOKUP(L$5,NFI,5,0),1,0)*Table_NFI[[#This Row],[Tarpaulin]],Table_NFI[[#This Row],[Tarpaulin]])</f>
        <v>0</v>
      </c>
      <c r="AB271" s="448">
        <f>IF(NFI_Expiration=1,IF($A271&lt;VLOOKUP(M$5,NFI,5,0),1,0)*Table_NFI[[#This Row],[Blanket]],Table_NFI[[#This Row],[Blanket]])</f>
        <v>0</v>
      </c>
      <c r="AC271" s="448">
        <f>IF(NFI_Expiration=1,IF($A271&lt;VLOOKUP(N$5,NFI,5,0),1,0)*Table_NFI[[#This Row],[Kitchen Set]],Table_NFI[Kitchen Set])</f>
        <v>0</v>
      </c>
      <c r="AD271" s="448">
        <f>IF(NFI_Expiration=1,IF($A271&lt;VLOOKUP(O$5,NFI,5,0),1,0)*Table_NFI[[#This Row],[Clothes Kit]],Table_NFI[Clothes Kit])</f>
        <v>0</v>
      </c>
      <c r="AE271" s="448">
        <f>IF(NFI_Expiration=1,IF($A271&lt;VLOOKUP(P$5,NFI,5,0),1,0)*Table_NFI[[#This Row],[Plastic Bucket]],Table_NFI[Plastic Bucket])</f>
        <v>0</v>
      </c>
      <c r="AF271" s="448">
        <f>IF(NFI_Expiration=1,IF($A271&lt;VLOOKUP(Q$5,NFI,5,0),1,0)*Table_NFI[[#This Row],[Plastic Mat]],Table_NFI[Plastic Mat])*IF(Table_NFI[[#This Row],[Distribution Date]]&gt;"2014-04-01",1,2.5)</f>
        <v>0</v>
      </c>
      <c r="AG271" s="448">
        <f>IF(NFI_Expiration=1,IF($A271&lt;VLOOKUP(R$5,NFI,5,0),1,0)*Table_NFI[[#This Row],[Winter Clothes Adult]],Table_NFI[Winter Clothes Adult])</f>
        <v>0</v>
      </c>
      <c r="AH271" s="448">
        <f>IF(NFI_Expiration=1,IF($A271&lt;VLOOKUP(S$5,NFI,5,0),1,0)*Table_NFI[[#This Row],[Winter Clothes Children]],Table_NFI[Winter Clothes Children])</f>
        <v>0</v>
      </c>
      <c r="AI271" s="448">
        <f>IF(NFI_Expiration=1,IF($A271&lt;VLOOKUP(T$5,NFI,5,0),1,0)*Table_NFI[[#This Row],[Winter Items Other]],Table_NFI[Winter Items Other])</f>
        <v>0</v>
      </c>
      <c r="AJ271" s="448">
        <f>IF(NFI_Expiration=1,IF($A271&lt;VLOOKUP(M$5,NFI,5,0),1,0)*Table_NFI[[#This Row],[Winter Blanket]],Table_NFI[[#This Row],[Winter Blanket]])</f>
        <v>0</v>
      </c>
      <c r="AK271" s="448">
        <f>IF(Table_NFI[[#This Row],[Winter Clothes Adult]]+Table_NFI[[#This Row],[Winter Clothes Children]]+Table_NFI[[#This Row],[Winter Items Other]]+Table_NFI[[#This Row],[Winter Blanket]]&gt;0,1,0)</f>
        <v>1</v>
      </c>
      <c r="AL271" s="439">
        <f>IF(NFI_Expiration=1,IF($A271&lt;VLOOKUP(V$5,NFI,5,0),1,0)*Table_NFI[[#This Row],[Jerry Can]],Table_NFI[Jerry Can])</f>
        <v>0</v>
      </c>
      <c r="AM271" s="797" t="str">
        <f>IFERROR(VLOOKUP(Table_NFI[[#This Row],[Camp Name]],CL,2,0),"")</f>
        <v>MMR001CMP193</v>
      </c>
      <c r="AN271" s="798">
        <f ca="1">IF(Table_NFI[[#This Row],[Pcode]]="","",IF(OFFSET(CampList[Opening Date],MATCH(Table_NFI[[#This Row],[Pcode]],CampList[CP_Pcode],0)-1,0,1,1)&gt;=NFI_Monitor_Date,1,0))</f>
        <v>0</v>
      </c>
      <c r="AO271" s="797" t="str">
        <f>IFERROR(VLOOKUP(Table_NFI[[#This Row],[Camp Name]],CL,3,0),"")</f>
        <v>Open</v>
      </c>
      <c r="AP271" s="448" t="str">
        <f ca="1">IF(Table_NFI[[#This Row],[Pcode]]="","",OFFSET(CampList[Priority],MATCH(Table_NFI[[#This Row],[Pcode]],CampList[CP_Pcode],0)-1,0,1,1))</f>
        <v>P4</v>
      </c>
      <c r="AQ271" s="449">
        <f>IFERROR(Table_NFI[[#This Row],[Kitchen Set]]/VLOOKUP(Table_NFI[[#This Row],[Camp Name]],CL,4,0),"")</f>
        <v>0</v>
      </c>
      <c r="AR271" s="799"/>
      <c r="AS271" s="783"/>
    </row>
    <row r="272" spans="1:45" s="784" customFormat="1" x14ac:dyDescent="0.25">
      <c r="A272" s="455">
        <f t="shared" si="4"/>
        <v>19.100000000000001</v>
      </c>
      <c r="B272" s="778">
        <v>41736</v>
      </c>
      <c r="C272" s="779" t="s">
        <v>1113</v>
      </c>
      <c r="D272" s="779" t="s">
        <v>907</v>
      </c>
      <c r="E272" s="779" t="s">
        <v>380</v>
      </c>
      <c r="F272" s="779" t="s">
        <v>151</v>
      </c>
      <c r="G272" s="779" t="s">
        <v>891</v>
      </c>
      <c r="H272" s="436"/>
      <c r="I272" s="436"/>
      <c r="J272" s="436"/>
      <c r="K272" s="436"/>
      <c r="L272" s="437"/>
      <c r="M272" s="437"/>
      <c r="N272" s="437"/>
      <c r="O272" s="437"/>
      <c r="P272" s="439"/>
      <c r="Q272" s="439"/>
      <c r="R272" s="436"/>
      <c r="S272" s="436"/>
      <c r="T272" s="436"/>
      <c r="U272" s="436">
        <v>478</v>
      </c>
      <c r="V272" s="436"/>
      <c r="W272" s="448">
        <f>IF(NFI_Expiration=1,IF($A272&lt;VLOOKUP(H$5,NFI,5,0),1,0)*Table_NFI[[#This Row],[Hygiene Kit]],Table_NFI[Hygiene Kit])</f>
        <v>0</v>
      </c>
      <c r="X272" s="448">
        <f>IF(NFI_Expiration=1,IF($A272&lt;VLOOKUP(I$5,NFI,5,0),1,0)*Table_NFI[[#This Row],[NFI Core Kit]],Table_NFI[NFI Core Kit])</f>
        <v>0</v>
      </c>
      <c r="Y272" s="448">
        <f>IF(NFI_Expiration=1,IF($A272&lt;VLOOKUP(J$5,NFI,5,0),1,0)*Table_NFI[[#This Row],[Sanitary Kit]],Table_NFI[Sanitary Kit])</f>
        <v>0</v>
      </c>
      <c r="Z272" s="448">
        <f>IF(NFI_Expiration=1,IF($A272&lt;VLOOKUP(K$5,NFI,5,0),1,0)*Table_NFI[[#This Row],[Mosquito net]],Table_NFI[Mosquito net])</f>
        <v>0</v>
      </c>
      <c r="AA272" s="448">
        <f>IF(NFI_Expiration=1,IF($A272&lt;VLOOKUP(L$5,NFI,5,0),1,0)*Table_NFI[[#This Row],[Tarpaulin]],Table_NFI[[#This Row],[Tarpaulin]])</f>
        <v>0</v>
      </c>
      <c r="AB272" s="448">
        <f>IF(NFI_Expiration=1,IF($A272&lt;VLOOKUP(M$5,NFI,5,0),1,0)*Table_NFI[[#This Row],[Blanket]],Table_NFI[[#This Row],[Blanket]])</f>
        <v>0</v>
      </c>
      <c r="AC272" s="448">
        <f>IF(NFI_Expiration=1,IF($A272&lt;VLOOKUP(N$5,NFI,5,0),1,0)*Table_NFI[[#This Row],[Kitchen Set]],Table_NFI[Kitchen Set])</f>
        <v>0</v>
      </c>
      <c r="AD272" s="448">
        <f>IF(NFI_Expiration=1,IF($A272&lt;VLOOKUP(O$5,NFI,5,0),1,0)*Table_NFI[[#This Row],[Clothes Kit]],Table_NFI[Clothes Kit])</f>
        <v>0</v>
      </c>
      <c r="AE272" s="448">
        <f>IF(NFI_Expiration=1,IF($A272&lt;VLOOKUP(P$5,NFI,5,0),1,0)*Table_NFI[[#This Row],[Plastic Bucket]],Table_NFI[Plastic Bucket])</f>
        <v>0</v>
      </c>
      <c r="AF272" s="448">
        <f>IF(NFI_Expiration=1,IF($A272&lt;VLOOKUP(Q$5,NFI,5,0),1,0)*Table_NFI[[#This Row],[Plastic Mat]],Table_NFI[Plastic Mat])*IF(Table_NFI[[#This Row],[Distribution Date]]&gt;"2014-04-01",1,2.5)</f>
        <v>0</v>
      </c>
      <c r="AG272" s="448">
        <f>IF(NFI_Expiration=1,IF($A272&lt;VLOOKUP(R$5,NFI,5,0),1,0)*Table_NFI[[#This Row],[Winter Clothes Adult]],Table_NFI[Winter Clothes Adult])</f>
        <v>0</v>
      </c>
      <c r="AH272" s="448">
        <f>IF(NFI_Expiration=1,IF($A272&lt;VLOOKUP(S$5,NFI,5,0),1,0)*Table_NFI[[#This Row],[Winter Clothes Children]],Table_NFI[Winter Clothes Children])</f>
        <v>0</v>
      </c>
      <c r="AI272" s="448">
        <f>IF(NFI_Expiration=1,IF($A272&lt;VLOOKUP(T$5,NFI,5,0),1,0)*Table_NFI[[#This Row],[Winter Items Other]],Table_NFI[Winter Items Other])</f>
        <v>0</v>
      </c>
      <c r="AJ272" s="448">
        <f>IF(NFI_Expiration=1,IF($A272&lt;VLOOKUP(M$5,NFI,5,0),1,0)*Table_NFI[[#This Row],[Winter Blanket]],Table_NFI[[#This Row],[Winter Blanket]])</f>
        <v>0</v>
      </c>
      <c r="AK272" s="448">
        <f>IF(Table_NFI[[#This Row],[Winter Clothes Adult]]+Table_NFI[[#This Row],[Winter Clothes Children]]+Table_NFI[[#This Row],[Winter Items Other]]+Table_NFI[[#This Row],[Winter Blanket]]&gt;0,1,0)</f>
        <v>1</v>
      </c>
      <c r="AL272" s="439">
        <f>IF(NFI_Expiration=1,IF($A272&lt;VLOOKUP(V$5,NFI,5,0),1,0)*Table_NFI[[#This Row],[Jerry Can]],Table_NFI[Jerry Can])</f>
        <v>0</v>
      </c>
      <c r="AM272" s="797" t="str">
        <f>IFERROR(VLOOKUP(Table_NFI[[#This Row],[Camp Name]],CL,2,0),"")</f>
        <v>MMR001CMP218</v>
      </c>
      <c r="AN272" s="798">
        <f ca="1">IF(Table_NFI[[#This Row],[Pcode]]="","",IF(OFFSET(CampList[Opening Date],MATCH(Table_NFI[[#This Row],[Pcode]],CampList[CP_Pcode],0)-1,0,1,1)&gt;=NFI_Monitor_Date,1,0))</f>
        <v>0</v>
      </c>
      <c r="AO272" s="797" t="str">
        <f>IFERROR(VLOOKUP(Table_NFI[[#This Row],[Camp Name]],CL,3,0),"")</f>
        <v>Open</v>
      </c>
      <c r="AP272" s="448" t="str">
        <f ca="1">IF(Table_NFI[[#This Row],[Pcode]]="","",OFFSET(CampList[Priority],MATCH(Table_NFI[[#This Row],[Pcode]],CampList[CP_Pcode],0)-1,0,1,1))</f>
        <v>P4</v>
      </c>
      <c r="AQ272" s="449">
        <f>IFERROR(Table_NFI[[#This Row],[Kitchen Set]]/VLOOKUP(Table_NFI[[#This Row],[Camp Name]],CL,4,0),"")</f>
        <v>0</v>
      </c>
      <c r="AR272" s="799"/>
      <c r="AS272" s="783"/>
    </row>
    <row r="273" spans="1:45" s="784" customFormat="1" x14ac:dyDescent="0.25">
      <c r="A273" s="455">
        <f t="shared" si="4"/>
        <v>19.100000000000001</v>
      </c>
      <c r="B273" s="778">
        <v>41736</v>
      </c>
      <c r="C273" s="779" t="s">
        <v>1113</v>
      </c>
      <c r="D273" s="779" t="s">
        <v>907</v>
      </c>
      <c r="E273" s="779" t="s">
        <v>380</v>
      </c>
      <c r="F273" s="779" t="s">
        <v>151</v>
      </c>
      <c r="G273" s="779" t="s">
        <v>949</v>
      </c>
      <c r="H273" s="436"/>
      <c r="I273" s="436"/>
      <c r="J273" s="436"/>
      <c r="K273" s="436"/>
      <c r="L273" s="437"/>
      <c r="M273" s="437"/>
      <c r="N273" s="437"/>
      <c r="O273" s="437"/>
      <c r="P273" s="439"/>
      <c r="Q273" s="439"/>
      <c r="R273" s="436"/>
      <c r="S273" s="436"/>
      <c r="T273" s="436"/>
      <c r="U273" s="436">
        <v>158</v>
      </c>
      <c r="V273" s="436"/>
      <c r="W273" s="448">
        <f>IF(NFI_Expiration=1,IF($A273&lt;VLOOKUP(H$5,NFI,5,0),1,0)*Table_NFI[[#This Row],[Hygiene Kit]],Table_NFI[Hygiene Kit])</f>
        <v>0</v>
      </c>
      <c r="X273" s="448">
        <f>IF(NFI_Expiration=1,IF($A273&lt;VLOOKUP(I$5,NFI,5,0),1,0)*Table_NFI[[#This Row],[NFI Core Kit]],Table_NFI[NFI Core Kit])</f>
        <v>0</v>
      </c>
      <c r="Y273" s="448">
        <f>IF(NFI_Expiration=1,IF($A273&lt;VLOOKUP(J$5,NFI,5,0),1,0)*Table_NFI[[#This Row],[Sanitary Kit]],Table_NFI[Sanitary Kit])</f>
        <v>0</v>
      </c>
      <c r="Z273" s="448">
        <f>IF(NFI_Expiration=1,IF($A273&lt;VLOOKUP(K$5,NFI,5,0),1,0)*Table_NFI[[#This Row],[Mosquito net]],Table_NFI[Mosquito net])</f>
        <v>0</v>
      </c>
      <c r="AA273" s="448">
        <f>IF(NFI_Expiration=1,IF($A273&lt;VLOOKUP(L$5,NFI,5,0),1,0)*Table_NFI[[#This Row],[Tarpaulin]],Table_NFI[[#This Row],[Tarpaulin]])</f>
        <v>0</v>
      </c>
      <c r="AB273" s="448">
        <f>IF(NFI_Expiration=1,IF($A273&lt;VLOOKUP(M$5,NFI,5,0),1,0)*Table_NFI[[#This Row],[Blanket]],Table_NFI[[#This Row],[Blanket]])</f>
        <v>0</v>
      </c>
      <c r="AC273" s="448">
        <f>IF(NFI_Expiration=1,IF($A273&lt;VLOOKUP(N$5,NFI,5,0),1,0)*Table_NFI[[#This Row],[Kitchen Set]],Table_NFI[Kitchen Set])</f>
        <v>0</v>
      </c>
      <c r="AD273" s="448">
        <f>IF(NFI_Expiration=1,IF($A273&lt;VLOOKUP(O$5,NFI,5,0),1,0)*Table_NFI[[#This Row],[Clothes Kit]],Table_NFI[Clothes Kit])</f>
        <v>0</v>
      </c>
      <c r="AE273" s="448">
        <f>IF(NFI_Expiration=1,IF($A273&lt;VLOOKUP(P$5,NFI,5,0),1,0)*Table_NFI[[#This Row],[Plastic Bucket]],Table_NFI[Plastic Bucket])</f>
        <v>0</v>
      </c>
      <c r="AF273" s="448">
        <f>IF(NFI_Expiration=1,IF($A273&lt;VLOOKUP(Q$5,NFI,5,0),1,0)*Table_NFI[[#This Row],[Plastic Mat]],Table_NFI[Plastic Mat])*IF(Table_NFI[[#This Row],[Distribution Date]]&gt;"2014-04-01",1,2.5)</f>
        <v>0</v>
      </c>
      <c r="AG273" s="448">
        <f>IF(NFI_Expiration=1,IF($A273&lt;VLOOKUP(R$5,NFI,5,0),1,0)*Table_NFI[[#This Row],[Winter Clothes Adult]],Table_NFI[Winter Clothes Adult])</f>
        <v>0</v>
      </c>
      <c r="AH273" s="448">
        <f>IF(NFI_Expiration=1,IF($A273&lt;VLOOKUP(S$5,NFI,5,0),1,0)*Table_NFI[[#This Row],[Winter Clothes Children]],Table_NFI[Winter Clothes Children])</f>
        <v>0</v>
      </c>
      <c r="AI273" s="448">
        <f>IF(NFI_Expiration=1,IF($A273&lt;VLOOKUP(T$5,NFI,5,0),1,0)*Table_NFI[[#This Row],[Winter Items Other]],Table_NFI[Winter Items Other])</f>
        <v>0</v>
      </c>
      <c r="AJ273" s="448">
        <f>IF(NFI_Expiration=1,IF($A273&lt;VLOOKUP(M$5,NFI,5,0),1,0)*Table_NFI[[#This Row],[Winter Blanket]],Table_NFI[[#This Row],[Winter Blanket]])</f>
        <v>0</v>
      </c>
      <c r="AK273" s="448">
        <f>IF(Table_NFI[[#This Row],[Winter Clothes Adult]]+Table_NFI[[#This Row],[Winter Clothes Children]]+Table_NFI[[#This Row],[Winter Items Other]]+Table_NFI[[#This Row],[Winter Blanket]]&gt;0,1,0)</f>
        <v>1</v>
      </c>
      <c r="AL273" s="439">
        <f>IF(NFI_Expiration=1,IF($A273&lt;VLOOKUP(V$5,NFI,5,0),1,0)*Table_NFI[[#This Row],[Jerry Can]],Table_NFI[Jerry Can])</f>
        <v>0</v>
      </c>
      <c r="AM273" s="797" t="str">
        <f>IFERROR(VLOOKUP(Table_NFI[[#This Row],[Camp Name]],CL,2,0),"")</f>
        <v>MMR001CMP223</v>
      </c>
      <c r="AN273" s="798">
        <f ca="1">IF(Table_NFI[[#This Row],[Pcode]]="","",IF(OFFSET(CampList[Opening Date],MATCH(Table_NFI[[#This Row],[Pcode]],CampList[CP_Pcode],0)-1,0,1,1)&gt;=NFI_Monitor_Date,1,0))</f>
        <v>0</v>
      </c>
      <c r="AO273" s="797" t="str">
        <f>IFERROR(VLOOKUP(Table_NFI[[#This Row],[Camp Name]],CL,3,0),"")</f>
        <v>Open</v>
      </c>
      <c r="AP273" s="448" t="str">
        <f ca="1">IF(Table_NFI[[#This Row],[Pcode]]="","",OFFSET(CampList[Priority],MATCH(Table_NFI[[#This Row],[Pcode]],CampList[CP_Pcode],0)-1,0,1,1))</f>
        <v>P4</v>
      </c>
      <c r="AQ273" s="449">
        <f>IFERROR(Table_NFI[[#This Row],[Kitchen Set]]/VLOOKUP(Table_NFI[[#This Row],[Camp Name]],CL,4,0),"")</f>
        <v>0</v>
      </c>
      <c r="AR273" s="799"/>
      <c r="AS273" s="783"/>
    </row>
    <row r="274" spans="1:45" s="784" customFormat="1" x14ac:dyDescent="0.25">
      <c r="A274" s="455">
        <f t="shared" si="4"/>
        <v>19.100000000000001</v>
      </c>
      <c r="B274" s="778">
        <v>41736</v>
      </c>
      <c r="C274" s="779" t="s">
        <v>1113</v>
      </c>
      <c r="D274" s="779" t="s">
        <v>907</v>
      </c>
      <c r="E274" s="779" t="s">
        <v>380</v>
      </c>
      <c r="F274" s="779" t="s">
        <v>151</v>
      </c>
      <c r="G274" s="779" t="s">
        <v>12</v>
      </c>
      <c r="H274" s="436"/>
      <c r="I274" s="436"/>
      <c r="J274" s="436"/>
      <c r="K274" s="436"/>
      <c r="L274" s="437"/>
      <c r="M274" s="437"/>
      <c r="N274" s="437"/>
      <c r="O274" s="437"/>
      <c r="P274" s="439"/>
      <c r="Q274" s="439"/>
      <c r="R274" s="436"/>
      <c r="S274" s="436"/>
      <c r="T274" s="436"/>
      <c r="U274" s="436">
        <v>558</v>
      </c>
      <c r="V274" s="436"/>
      <c r="W274" s="448">
        <f>IF(NFI_Expiration=1,IF($A274&lt;VLOOKUP(H$5,NFI,5,0),1,0)*Table_NFI[[#This Row],[Hygiene Kit]],Table_NFI[Hygiene Kit])</f>
        <v>0</v>
      </c>
      <c r="X274" s="448">
        <f>IF(NFI_Expiration=1,IF($A274&lt;VLOOKUP(I$5,NFI,5,0),1,0)*Table_NFI[[#This Row],[NFI Core Kit]],Table_NFI[NFI Core Kit])</f>
        <v>0</v>
      </c>
      <c r="Y274" s="448">
        <f>IF(NFI_Expiration=1,IF($A274&lt;VLOOKUP(J$5,NFI,5,0),1,0)*Table_NFI[[#This Row],[Sanitary Kit]],Table_NFI[Sanitary Kit])</f>
        <v>0</v>
      </c>
      <c r="Z274" s="448">
        <f>IF(NFI_Expiration=1,IF($A274&lt;VLOOKUP(K$5,NFI,5,0),1,0)*Table_NFI[[#This Row],[Mosquito net]],Table_NFI[Mosquito net])</f>
        <v>0</v>
      </c>
      <c r="AA274" s="448">
        <f>IF(NFI_Expiration=1,IF($A274&lt;VLOOKUP(L$5,NFI,5,0),1,0)*Table_NFI[[#This Row],[Tarpaulin]],Table_NFI[[#This Row],[Tarpaulin]])</f>
        <v>0</v>
      </c>
      <c r="AB274" s="448">
        <f>IF(NFI_Expiration=1,IF($A274&lt;VLOOKUP(M$5,NFI,5,0),1,0)*Table_NFI[[#This Row],[Blanket]],Table_NFI[[#This Row],[Blanket]])</f>
        <v>0</v>
      </c>
      <c r="AC274" s="448">
        <f>IF(NFI_Expiration=1,IF($A274&lt;VLOOKUP(N$5,NFI,5,0),1,0)*Table_NFI[[#This Row],[Kitchen Set]],Table_NFI[Kitchen Set])</f>
        <v>0</v>
      </c>
      <c r="AD274" s="448">
        <f>IF(NFI_Expiration=1,IF($A274&lt;VLOOKUP(O$5,NFI,5,0),1,0)*Table_NFI[[#This Row],[Clothes Kit]],Table_NFI[Clothes Kit])</f>
        <v>0</v>
      </c>
      <c r="AE274" s="448">
        <f>IF(NFI_Expiration=1,IF($A274&lt;VLOOKUP(P$5,NFI,5,0),1,0)*Table_NFI[[#This Row],[Plastic Bucket]],Table_NFI[Plastic Bucket])</f>
        <v>0</v>
      </c>
      <c r="AF274" s="448">
        <f>IF(NFI_Expiration=1,IF($A274&lt;VLOOKUP(Q$5,NFI,5,0),1,0)*Table_NFI[[#This Row],[Plastic Mat]],Table_NFI[Plastic Mat])*IF(Table_NFI[[#This Row],[Distribution Date]]&gt;"2014-04-01",1,2.5)</f>
        <v>0</v>
      </c>
      <c r="AG274" s="448">
        <f>IF(NFI_Expiration=1,IF($A274&lt;VLOOKUP(R$5,NFI,5,0),1,0)*Table_NFI[[#This Row],[Winter Clothes Adult]],Table_NFI[Winter Clothes Adult])</f>
        <v>0</v>
      </c>
      <c r="AH274" s="448">
        <f>IF(NFI_Expiration=1,IF($A274&lt;VLOOKUP(S$5,NFI,5,0),1,0)*Table_NFI[[#This Row],[Winter Clothes Children]],Table_NFI[Winter Clothes Children])</f>
        <v>0</v>
      </c>
      <c r="AI274" s="448">
        <f>IF(NFI_Expiration=1,IF($A274&lt;VLOOKUP(T$5,NFI,5,0),1,0)*Table_NFI[[#This Row],[Winter Items Other]],Table_NFI[Winter Items Other])</f>
        <v>0</v>
      </c>
      <c r="AJ274" s="448">
        <f>IF(NFI_Expiration=1,IF($A274&lt;VLOOKUP(M$5,NFI,5,0),1,0)*Table_NFI[[#This Row],[Winter Blanket]],Table_NFI[[#This Row],[Winter Blanket]])</f>
        <v>0</v>
      </c>
      <c r="AK274" s="448">
        <f>IF(Table_NFI[[#This Row],[Winter Clothes Adult]]+Table_NFI[[#This Row],[Winter Clothes Children]]+Table_NFI[[#This Row],[Winter Items Other]]+Table_NFI[[#This Row],[Winter Blanket]]&gt;0,1,0)</f>
        <v>1</v>
      </c>
      <c r="AL274" s="439">
        <f>IF(NFI_Expiration=1,IF($A274&lt;VLOOKUP(V$5,NFI,5,0),1,0)*Table_NFI[[#This Row],[Jerry Can]],Table_NFI[Jerry Can])</f>
        <v>0</v>
      </c>
      <c r="AM274" s="797" t="str">
        <f>IFERROR(VLOOKUP(Table_NFI[[#This Row],[Camp Name]],CL,2,0),"")</f>
        <v>MMR001CMP163</v>
      </c>
      <c r="AN274" s="798">
        <f ca="1">IF(Table_NFI[[#This Row],[Pcode]]="","",IF(OFFSET(CampList[Opening Date],MATCH(Table_NFI[[#This Row],[Pcode]],CampList[CP_Pcode],0)-1,0,1,1)&gt;=NFI_Monitor_Date,1,0))</f>
        <v>0</v>
      </c>
      <c r="AO274" s="797" t="str">
        <f>IFERROR(VLOOKUP(Table_NFI[[#This Row],[Camp Name]],CL,3,0),"")</f>
        <v>Open</v>
      </c>
      <c r="AP274" s="448" t="str">
        <f ca="1">IF(Table_NFI[[#This Row],[Pcode]]="","",OFFSET(CampList[Priority],MATCH(Table_NFI[[#This Row],[Pcode]],CampList[CP_Pcode],0)-1,0,1,1))</f>
        <v>P4</v>
      </c>
      <c r="AQ274" s="449">
        <f>IFERROR(Table_NFI[[#This Row],[Kitchen Set]]/VLOOKUP(Table_NFI[[#This Row],[Camp Name]],CL,4,0),"")</f>
        <v>0</v>
      </c>
      <c r="AR274" s="799"/>
      <c r="AS274" s="783"/>
    </row>
    <row r="275" spans="1:45" s="784" customFormat="1" x14ac:dyDescent="0.25">
      <c r="A275" s="455">
        <f t="shared" si="4"/>
        <v>19.100000000000001</v>
      </c>
      <c r="B275" s="778">
        <v>41736</v>
      </c>
      <c r="C275" s="779" t="s">
        <v>1113</v>
      </c>
      <c r="D275" s="779" t="s">
        <v>907</v>
      </c>
      <c r="E275" s="779" t="s">
        <v>380</v>
      </c>
      <c r="F275" s="779" t="s">
        <v>151</v>
      </c>
      <c r="G275" s="779" t="s">
        <v>152</v>
      </c>
      <c r="H275" s="436"/>
      <c r="I275" s="436"/>
      <c r="J275" s="436"/>
      <c r="K275" s="436"/>
      <c r="L275" s="437"/>
      <c r="M275" s="437"/>
      <c r="N275" s="437"/>
      <c r="O275" s="437"/>
      <c r="P275" s="439"/>
      <c r="Q275" s="439"/>
      <c r="R275" s="436"/>
      <c r="S275" s="436"/>
      <c r="T275" s="436"/>
      <c r="U275" s="436">
        <v>262</v>
      </c>
      <c r="V275" s="436"/>
      <c r="W275" s="448">
        <f>IF(NFI_Expiration=1,IF($A275&lt;VLOOKUP(H$5,NFI,5,0),1,0)*Table_NFI[[#This Row],[Hygiene Kit]],Table_NFI[Hygiene Kit])</f>
        <v>0</v>
      </c>
      <c r="X275" s="448">
        <f>IF(NFI_Expiration=1,IF($A275&lt;VLOOKUP(I$5,NFI,5,0),1,0)*Table_NFI[[#This Row],[NFI Core Kit]],Table_NFI[NFI Core Kit])</f>
        <v>0</v>
      </c>
      <c r="Y275" s="448">
        <f>IF(NFI_Expiration=1,IF($A275&lt;VLOOKUP(J$5,NFI,5,0),1,0)*Table_NFI[[#This Row],[Sanitary Kit]],Table_NFI[Sanitary Kit])</f>
        <v>0</v>
      </c>
      <c r="Z275" s="448">
        <f>IF(NFI_Expiration=1,IF($A275&lt;VLOOKUP(K$5,NFI,5,0),1,0)*Table_NFI[[#This Row],[Mosquito net]],Table_NFI[Mosquito net])</f>
        <v>0</v>
      </c>
      <c r="AA275" s="448">
        <f>IF(NFI_Expiration=1,IF($A275&lt;VLOOKUP(L$5,NFI,5,0),1,0)*Table_NFI[[#This Row],[Tarpaulin]],Table_NFI[[#This Row],[Tarpaulin]])</f>
        <v>0</v>
      </c>
      <c r="AB275" s="448">
        <f>IF(NFI_Expiration=1,IF($A275&lt;VLOOKUP(M$5,NFI,5,0),1,0)*Table_NFI[[#This Row],[Blanket]],Table_NFI[[#This Row],[Blanket]])</f>
        <v>0</v>
      </c>
      <c r="AC275" s="448">
        <f>IF(NFI_Expiration=1,IF($A275&lt;VLOOKUP(N$5,NFI,5,0),1,0)*Table_NFI[[#This Row],[Kitchen Set]],Table_NFI[Kitchen Set])</f>
        <v>0</v>
      </c>
      <c r="AD275" s="448">
        <f>IF(NFI_Expiration=1,IF($A275&lt;VLOOKUP(O$5,NFI,5,0),1,0)*Table_NFI[[#This Row],[Clothes Kit]],Table_NFI[Clothes Kit])</f>
        <v>0</v>
      </c>
      <c r="AE275" s="448">
        <f>IF(NFI_Expiration=1,IF($A275&lt;VLOOKUP(P$5,NFI,5,0),1,0)*Table_NFI[[#This Row],[Plastic Bucket]],Table_NFI[Plastic Bucket])</f>
        <v>0</v>
      </c>
      <c r="AF275" s="448">
        <f>IF(NFI_Expiration=1,IF($A275&lt;VLOOKUP(Q$5,NFI,5,0),1,0)*Table_NFI[[#This Row],[Plastic Mat]],Table_NFI[Plastic Mat])*IF(Table_NFI[[#This Row],[Distribution Date]]&gt;"2014-04-01",1,2.5)</f>
        <v>0</v>
      </c>
      <c r="AG275" s="448">
        <f>IF(NFI_Expiration=1,IF($A275&lt;VLOOKUP(R$5,NFI,5,0),1,0)*Table_NFI[[#This Row],[Winter Clothes Adult]],Table_NFI[Winter Clothes Adult])</f>
        <v>0</v>
      </c>
      <c r="AH275" s="448">
        <f>IF(NFI_Expiration=1,IF($A275&lt;VLOOKUP(S$5,NFI,5,0),1,0)*Table_NFI[[#This Row],[Winter Clothes Children]],Table_NFI[Winter Clothes Children])</f>
        <v>0</v>
      </c>
      <c r="AI275" s="448">
        <f>IF(NFI_Expiration=1,IF($A275&lt;VLOOKUP(T$5,NFI,5,0),1,0)*Table_NFI[[#This Row],[Winter Items Other]],Table_NFI[Winter Items Other])</f>
        <v>0</v>
      </c>
      <c r="AJ275" s="448">
        <f>IF(NFI_Expiration=1,IF($A275&lt;VLOOKUP(M$5,NFI,5,0),1,0)*Table_NFI[[#This Row],[Winter Blanket]],Table_NFI[[#This Row],[Winter Blanket]])</f>
        <v>0</v>
      </c>
      <c r="AK275" s="448">
        <f>IF(Table_NFI[[#This Row],[Winter Clothes Adult]]+Table_NFI[[#This Row],[Winter Clothes Children]]+Table_NFI[[#This Row],[Winter Items Other]]+Table_NFI[[#This Row],[Winter Blanket]]&gt;0,1,0)</f>
        <v>1</v>
      </c>
      <c r="AL275" s="439">
        <f>IF(NFI_Expiration=1,IF($A275&lt;VLOOKUP(V$5,NFI,5,0),1,0)*Table_NFI[[#This Row],[Jerry Can]],Table_NFI[Jerry Can])</f>
        <v>0</v>
      </c>
      <c r="AM275" s="797" t="str">
        <f>IFERROR(VLOOKUP(Table_NFI[[#This Row],[Camp Name]],CL,2,0),"")</f>
        <v>MMR001CMP066</v>
      </c>
      <c r="AN275" s="798">
        <f ca="1">IF(Table_NFI[[#This Row],[Pcode]]="","",IF(OFFSET(CampList[Opening Date],MATCH(Table_NFI[[#This Row],[Pcode]],CampList[CP_Pcode],0)-1,0,1,1)&gt;=NFI_Monitor_Date,1,0))</f>
        <v>0</v>
      </c>
      <c r="AO275" s="797" t="str">
        <f>IFERROR(VLOOKUP(Table_NFI[[#This Row],[Camp Name]],CL,3,0),"")</f>
        <v>Open</v>
      </c>
      <c r="AP275" s="448" t="str">
        <f ca="1">IF(Table_NFI[[#This Row],[Pcode]]="","",OFFSET(CampList[Priority],MATCH(Table_NFI[[#This Row],[Pcode]],CampList[CP_Pcode],0)-1,0,1,1))</f>
        <v>P4</v>
      </c>
      <c r="AQ275" s="449">
        <f>IFERROR(Table_NFI[[#This Row],[Kitchen Set]]/VLOOKUP(Table_NFI[[#This Row],[Camp Name]],CL,4,0),"")</f>
        <v>0</v>
      </c>
      <c r="AR275" s="799"/>
      <c r="AS275" s="783"/>
    </row>
    <row r="276" spans="1:45" s="784" customFormat="1" x14ac:dyDescent="0.25">
      <c r="A276" s="455">
        <f t="shared" si="4"/>
        <v>19.133333333333333</v>
      </c>
      <c r="B276" s="778">
        <v>41735</v>
      </c>
      <c r="C276" s="779" t="s">
        <v>1113</v>
      </c>
      <c r="D276" s="779" t="s">
        <v>907</v>
      </c>
      <c r="E276" s="779" t="s">
        <v>380</v>
      </c>
      <c r="F276" s="779" t="s">
        <v>529</v>
      </c>
      <c r="G276" s="779" t="s">
        <v>58</v>
      </c>
      <c r="H276" s="436"/>
      <c r="I276" s="436"/>
      <c r="J276" s="436"/>
      <c r="K276" s="436"/>
      <c r="L276" s="437"/>
      <c r="M276" s="437"/>
      <c r="N276" s="437"/>
      <c r="O276" s="437"/>
      <c r="P276" s="439"/>
      <c r="Q276" s="439"/>
      <c r="R276" s="436"/>
      <c r="S276" s="436"/>
      <c r="T276" s="436"/>
      <c r="U276" s="436">
        <v>30</v>
      </c>
      <c r="V276" s="436"/>
      <c r="W276" s="448">
        <f>IF(NFI_Expiration=1,IF($A276&lt;VLOOKUP(H$5,NFI,5,0),1,0)*Table_NFI[[#This Row],[Hygiene Kit]],Table_NFI[Hygiene Kit])</f>
        <v>0</v>
      </c>
      <c r="X276" s="448">
        <f>IF(NFI_Expiration=1,IF($A276&lt;VLOOKUP(I$5,NFI,5,0),1,0)*Table_NFI[[#This Row],[NFI Core Kit]],Table_NFI[NFI Core Kit])</f>
        <v>0</v>
      </c>
      <c r="Y276" s="448">
        <f>IF(NFI_Expiration=1,IF($A276&lt;VLOOKUP(J$5,NFI,5,0),1,0)*Table_NFI[[#This Row],[Sanitary Kit]],Table_NFI[Sanitary Kit])</f>
        <v>0</v>
      </c>
      <c r="Z276" s="448">
        <f>IF(NFI_Expiration=1,IF($A276&lt;VLOOKUP(K$5,NFI,5,0),1,0)*Table_NFI[[#This Row],[Mosquito net]],Table_NFI[Mosquito net])</f>
        <v>0</v>
      </c>
      <c r="AA276" s="448">
        <f>IF(NFI_Expiration=1,IF($A276&lt;VLOOKUP(L$5,NFI,5,0),1,0)*Table_NFI[[#This Row],[Tarpaulin]],Table_NFI[[#This Row],[Tarpaulin]])</f>
        <v>0</v>
      </c>
      <c r="AB276" s="448">
        <f>IF(NFI_Expiration=1,IF($A276&lt;VLOOKUP(M$5,NFI,5,0),1,0)*Table_NFI[[#This Row],[Blanket]],Table_NFI[[#This Row],[Blanket]])</f>
        <v>0</v>
      </c>
      <c r="AC276" s="448">
        <f>IF(NFI_Expiration=1,IF($A276&lt;VLOOKUP(N$5,NFI,5,0),1,0)*Table_NFI[[#This Row],[Kitchen Set]],Table_NFI[Kitchen Set])</f>
        <v>0</v>
      </c>
      <c r="AD276" s="448">
        <f>IF(NFI_Expiration=1,IF($A276&lt;VLOOKUP(O$5,NFI,5,0),1,0)*Table_NFI[[#This Row],[Clothes Kit]],Table_NFI[Clothes Kit])</f>
        <v>0</v>
      </c>
      <c r="AE276" s="448">
        <f>IF(NFI_Expiration=1,IF($A276&lt;VLOOKUP(P$5,NFI,5,0),1,0)*Table_NFI[[#This Row],[Plastic Bucket]],Table_NFI[Plastic Bucket])</f>
        <v>0</v>
      </c>
      <c r="AF276" s="448">
        <f>IF(NFI_Expiration=1,IF($A276&lt;VLOOKUP(Q$5,NFI,5,0),1,0)*Table_NFI[[#This Row],[Plastic Mat]],Table_NFI[Plastic Mat])*IF(Table_NFI[[#This Row],[Distribution Date]]&gt;"2014-04-01",1,2.5)</f>
        <v>0</v>
      </c>
      <c r="AG276" s="448">
        <f>IF(NFI_Expiration=1,IF($A276&lt;VLOOKUP(R$5,NFI,5,0),1,0)*Table_NFI[[#This Row],[Winter Clothes Adult]],Table_NFI[Winter Clothes Adult])</f>
        <v>0</v>
      </c>
      <c r="AH276" s="448">
        <f>IF(NFI_Expiration=1,IF($A276&lt;VLOOKUP(S$5,NFI,5,0),1,0)*Table_NFI[[#This Row],[Winter Clothes Children]],Table_NFI[Winter Clothes Children])</f>
        <v>0</v>
      </c>
      <c r="AI276" s="448">
        <f>IF(NFI_Expiration=1,IF($A276&lt;VLOOKUP(T$5,NFI,5,0),1,0)*Table_NFI[[#This Row],[Winter Items Other]],Table_NFI[Winter Items Other])</f>
        <v>0</v>
      </c>
      <c r="AJ276" s="448">
        <f>IF(NFI_Expiration=1,IF($A276&lt;VLOOKUP(M$5,NFI,5,0),1,0)*Table_NFI[[#This Row],[Winter Blanket]],Table_NFI[[#This Row],[Winter Blanket]])</f>
        <v>0</v>
      </c>
      <c r="AK276" s="448">
        <f>IF(Table_NFI[[#This Row],[Winter Clothes Adult]]+Table_NFI[[#This Row],[Winter Clothes Children]]+Table_NFI[[#This Row],[Winter Items Other]]+Table_NFI[[#This Row],[Winter Blanket]]&gt;0,1,0)</f>
        <v>1</v>
      </c>
      <c r="AL276" s="439">
        <f>IF(NFI_Expiration=1,IF($A276&lt;VLOOKUP(V$5,NFI,5,0),1,0)*Table_NFI[[#This Row],[Jerry Can]],Table_NFI[Jerry Can])</f>
        <v>0</v>
      </c>
      <c r="AM276" s="797" t="str">
        <f>IFERROR(VLOOKUP(Table_NFI[[#This Row],[Camp Name]],CL,2,0),"")</f>
        <v>MMR001CMP188</v>
      </c>
      <c r="AN276" s="798">
        <f ca="1">IF(Table_NFI[[#This Row],[Pcode]]="","",IF(OFFSET(CampList[Opening Date],MATCH(Table_NFI[[#This Row],[Pcode]],CampList[CP_Pcode],0)-1,0,1,1)&gt;=NFI_Monitor_Date,1,0))</f>
        <v>0</v>
      </c>
      <c r="AO276" s="797" t="str">
        <f>IFERROR(VLOOKUP(Table_NFI[[#This Row],[Camp Name]],CL,3,0),"")</f>
        <v>Closed</v>
      </c>
      <c r="AP276" s="448" t="str">
        <f ca="1">IF(Table_NFI[[#This Row],[Pcode]]="","",OFFSET(CampList[Priority],MATCH(Table_NFI[[#This Row],[Pcode]],CampList[CP_Pcode],0)-1,0,1,1))</f>
        <v>P4</v>
      </c>
      <c r="AQ276" s="449" t="str">
        <f>IFERROR(Table_NFI[[#This Row],[Kitchen Set]]/VLOOKUP(Table_NFI[[#This Row],[Camp Name]],CL,4,0),"")</f>
        <v/>
      </c>
      <c r="AR276" s="799"/>
      <c r="AS276" s="783"/>
    </row>
    <row r="277" spans="1:45" s="784" customFormat="1" x14ac:dyDescent="0.25">
      <c r="A277" s="455">
        <f t="shared" si="4"/>
        <v>19.166666666666668</v>
      </c>
      <c r="B277" s="778">
        <v>41734</v>
      </c>
      <c r="C277" s="779" t="s">
        <v>1113</v>
      </c>
      <c r="D277" s="779" t="s">
        <v>907</v>
      </c>
      <c r="E277" s="779" t="s">
        <v>380</v>
      </c>
      <c r="F277" s="779" t="s">
        <v>529</v>
      </c>
      <c r="G277" s="779" t="s">
        <v>88</v>
      </c>
      <c r="H277" s="436"/>
      <c r="I277" s="436"/>
      <c r="J277" s="436"/>
      <c r="K277" s="436"/>
      <c r="L277" s="437"/>
      <c r="M277" s="437"/>
      <c r="N277" s="437"/>
      <c r="O277" s="437"/>
      <c r="P277" s="439"/>
      <c r="Q277" s="439"/>
      <c r="R277" s="436"/>
      <c r="S277" s="436"/>
      <c r="T277" s="436"/>
      <c r="U277" s="436">
        <v>44</v>
      </c>
      <c r="V277" s="436"/>
      <c r="W277" s="448">
        <f>IF(NFI_Expiration=1,IF($A277&lt;VLOOKUP(H$5,NFI,5,0),1,0)*Table_NFI[[#This Row],[Hygiene Kit]],Table_NFI[Hygiene Kit])</f>
        <v>0</v>
      </c>
      <c r="X277" s="448">
        <f>IF(NFI_Expiration=1,IF($A277&lt;VLOOKUP(I$5,NFI,5,0),1,0)*Table_NFI[[#This Row],[NFI Core Kit]],Table_NFI[NFI Core Kit])</f>
        <v>0</v>
      </c>
      <c r="Y277" s="448">
        <f>IF(NFI_Expiration=1,IF($A277&lt;VLOOKUP(J$5,NFI,5,0),1,0)*Table_NFI[[#This Row],[Sanitary Kit]],Table_NFI[Sanitary Kit])</f>
        <v>0</v>
      </c>
      <c r="Z277" s="448">
        <f>IF(NFI_Expiration=1,IF($A277&lt;VLOOKUP(K$5,NFI,5,0),1,0)*Table_NFI[[#This Row],[Mosquito net]],Table_NFI[Mosquito net])</f>
        <v>0</v>
      </c>
      <c r="AA277" s="448">
        <f>IF(NFI_Expiration=1,IF($A277&lt;VLOOKUP(L$5,NFI,5,0),1,0)*Table_NFI[[#This Row],[Tarpaulin]],Table_NFI[[#This Row],[Tarpaulin]])</f>
        <v>0</v>
      </c>
      <c r="AB277" s="448">
        <f>IF(NFI_Expiration=1,IF($A277&lt;VLOOKUP(M$5,NFI,5,0),1,0)*Table_NFI[[#This Row],[Blanket]],Table_NFI[[#This Row],[Blanket]])</f>
        <v>0</v>
      </c>
      <c r="AC277" s="448">
        <f>IF(NFI_Expiration=1,IF($A277&lt;VLOOKUP(N$5,NFI,5,0),1,0)*Table_NFI[[#This Row],[Kitchen Set]],Table_NFI[Kitchen Set])</f>
        <v>0</v>
      </c>
      <c r="AD277" s="448">
        <f>IF(NFI_Expiration=1,IF($A277&lt;VLOOKUP(O$5,NFI,5,0),1,0)*Table_NFI[[#This Row],[Clothes Kit]],Table_NFI[Clothes Kit])</f>
        <v>0</v>
      </c>
      <c r="AE277" s="448">
        <f>IF(NFI_Expiration=1,IF($A277&lt;VLOOKUP(P$5,NFI,5,0),1,0)*Table_NFI[[#This Row],[Plastic Bucket]],Table_NFI[Plastic Bucket])</f>
        <v>0</v>
      </c>
      <c r="AF277" s="448">
        <f>IF(NFI_Expiration=1,IF($A277&lt;VLOOKUP(Q$5,NFI,5,0),1,0)*Table_NFI[[#This Row],[Plastic Mat]],Table_NFI[Plastic Mat])*IF(Table_NFI[[#This Row],[Distribution Date]]&gt;"2014-04-01",1,2.5)</f>
        <v>0</v>
      </c>
      <c r="AG277" s="448">
        <f>IF(NFI_Expiration=1,IF($A277&lt;VLOOKUP(R$5,NFI,5,0),1,0)*Table_NFI[[#This Row],[Winter Clothes Adult]],Table_NFI[Winter Clothes Adult])</f>
        <v>0</v>
      </c>
      <c r="AH277" s="448">
        <f>IF(NFI_Expiration=1,IF($A277&lt;VLOOKUP(S$5,NFI,5,0),1,0)*Table_NFI[[#This Row],[Winter Clothes Children]],Table_NFI[Winter Clothes Children])</f>
        <v>0</v>
      </c>
      <c r="AI277" s="448">
        <f>IF(NFI_Expiration=1,IF($A277&lt;VLOOKUP(T$5,NFI,5,0),1,0)*Table_NFI[[#This Row],[Winter Items Other]],Table_NFI[Winter Items Other])</f>
        <v>0</v>
      </c>
      <c r="AJ277" s="448">
        <f>IF(NFI_Expiration=1,IF($A277&lt;VLOOKUP(M$5,NFI,5,0),1,0)*Table_NFI[[#This Row],[Winter Blanket]],Table_NFI[[#This Row],[Winter Blanket]])</f>
        <v>0</v>
      </c>
      <c r="AK277" s="448">
        <f>IF(Table_NFI[[#This Row],[Winter Clothes Adult]]+Table_NFI[[#This Row],[Winter Clothes Children]]+Table_NFI[[#This Row],[Winter Items Other]]+Table_NFI[[#This Row],[Winter Blanket]]&gt;0,1,0)</f>
        <v>1</v>
      </c>
      <c r="AL277" s="439">
        <f>IF(NFI_Expiration=1,IF($A277&lt;VLOOKUP(V$5,NFI,5,0),1,0)*Table_NFI[[#This Row],[Jerry Can]],Table_NFI[Jerry Can])</f>
        <v>0</v>
      </c>
      <c r="AM277" s="797" t="str">
        <f>IFERROR(VLOOKUP(Table_NFI[[#This Row],[Camp Name]],CL,2,0),"")</f>
        <v>MMR001CMP148</v>
      </c>
      <c r="AN277" s="798">
        <f ca="1">IF(Table_NFI[[#This Row],[Pcode]]="","",IF(OFFSET(CampList[Opening Date],MATCH(Table_NFI[[#This Row],[Pcode]],CampList[CP_Pcode],0)-1,0,1,1)&gt;=NFI_Monitor_Date,1,0))</f>
        <v>0</v>
      </c>
      <c r="AO277" s="797" t="str">
        <f>IFERROR(VLOOKUP(Table_NFI[[#This Row],[Camp Name]],CL,3,0),"")</f>
        <v>Open</v>
      </c>
      <c r="AP277" s="448" t="str">
        <f ca="1">IF(Table_NFI[[#This Row],[Pcode]]="","",OFFSET(CampList[Priority],MATCH(Table_NFI[[#This Row],[Pcode]],CampList[CP_Pcode],0)-1,0,1,1))</f>
        <v>P4</v>
      </c>
      <c r="AQ277" s="449">
        <f>IFERROR(Table_NFI[[#This Row],[Kitchen Set]]/VLOOKUP(Table_NFI[[#This Row],[Camp Name]],CL,4,0),"")</f>
        <v>0</v>
      </c>
      <c r="AR277" s="799"/>
      <c r="AS277" s="783"/>
    </row>
    <row r="278" spans="1:45" s="822" customFormat="1" x14ac:dyDescent="0.25">
      <c r="A278" s="455">
        <f t="shared" si="4"/>
        <v>19.266666666666666</v>
      </c>
      <c r="B278" s="778">
        <v>41731</v>
      </c>
      <c r="C278" s="779" t="s">
        <v>454</v>
      </c>
      <c r="D278" s="779" t="s">
        <v>454</v>
      </c>
      <c r="E278" s="779" t="s">
        <v>380</v>
      </c>
      <c r="F278" s="779" t="s">
        <v>5</v>
      </c>
      <c r="G278" s="779" t="s">
        <v>8</v>
      </c>
      <c r="H278" s="436"/>
      <c r="I278" s="436"/>
      <c r="J278" s="436"/>
      <c r="K278" s="436"/>
      <c r="L278" s="437">
        <v>1</v>
      </c>
      <c r="M278" s="437">
        <v>3</v>
      </c>
      <c r="N278" s="437">
        <v>2</v>
      </c>
      <c r="O278" s="437"/>
      <c r="P278" s="439">
        <v>3</v>
      </c>
      <c r="Q278" s="439"/>
      <c r="R278" s="436"/>
      <c r="S278" s="436"/>
      <c r="T278" s="436"/>
      <c r="U278" s="436"/>
      <c r="V278" s="701"/>
      <c r="W278" s="436">
        <f>IF(NFI_Expiration=1,IF($A278&lt;VLOOKUP(H$5,NFI,5,0),1,0)*Table_NFI[[#This Row],[Hygiene Kit]],Table_NFI[Hygiene Kit])</f>
        <v>0</v>
      </c>
      <c r="X278" s="436">
        <f>IF(NFI_Expiration=1,IF($A278&lt;VLOOKUP(I$5,NFI,5,0),1,0)*Table_NFI[[#This Row],[NFI Core Kit]],Table_NFI[NFI Core Kit])</f>
        <v>0</v>
      </c>
      <c r="Y278" s="436">
        <f>IF(NFI_Expiration=1,IF($A278&lt;VLOOKUP(J$5,NFI,5,0),1,0)*Table_NFI[[#This Row],[Sanitary Kit]],Table_NFI[Sanitary Kit])</f>
        <v>0</v>
      </c>
      <c r="Z278" s="436">
        <f>IF(NFI_Expiration=1,IF($A278&lt;VLOOKUP(K$5,NFI,5,0),1,0)*Table_NFI[[#This Row],[Mosquito net]],Table_NFI[Mosquito net])</f>
        <v>0</v>
      </c>
      <c r="AA278" s="436">
        <f>IF(NFI_Expiration=1,IF($A278&lt;VLOOKUP(L$5,NFI,5,0),1,0)*Table_NFI[[#This Row],[Tarpaulin]],Table_NFI[[#This Row],[Tarpaulin]])</f>
        <v>0</v>
      </c>
      <c r="AB278" s="436">
        <f>IF(NFI_Expiration=1,IF($A278&lt;VLOOKUP(M$5,NFI,5,0),1,0)*Table_NFI[[#This Row],[Blanket]],Table_NFI[[#This Row],[Blanket]])</f>
        <v>0</v>
      </c>
      <c r="AC278" s="436">
        <f>IF(NFI_Expiration=1,IF($A278&lt;VLOOKUP(N$5,NFI,5,0),1,0)*Table_NFI[[#This Row],[Kitchen Set]],Table_NFI[Kitchen Set])</f>
        <v>0</v>
      </c>
      <c r="AD278" s="436">
        <f>IF(NFI_Expiration=1,IF($A278&lt;VLOOKUP(O$5,NFI,5,0),1,0)*Table_NFI[[#This Row],[Clothes Kit]],Table_NFI[Clothes Kit])</f>
        <v>0</v>
      </c>
      <c r="AE278" s="436">
        <f>IF(NFI_Expiration=1,IF($A278&lt;VLOOKUP(P$5,NFI,5,0),1,0)*Table_NFI[[#This Row],[Plastic Bucket]],Table_NFI[Plastic Bucket])</f>
        <v>0</v>
      </c>
      <c r="AF278" s="436">
        <f>IF(NFI_Expiration=1,IF($A278&lt;VLOOKUP(Q$5,NFI,5,0),1,0)*Table_NFI[[#This Row],[Plastic Mat]],Table_NFI[Plastic Mat])*IF(Table_NFI[[#This Row],[Distribution Date]]&gt;"2014-04-01",1,2.5)</f>
        <v>0</v>
      </c>
      <c r="AG278" s="436">
        <f>IF(NFI_Expiration=1,IF($A278&lt;VLOOKUP(R$5,NFI,5,0),1,0)*Table_NFI[[#This Row],[Winter Clothes Adult]],Table_NFI[Winter Clothes Adult])</f>
        <v>0</v>
      </c>
      <c r="AH278" s="436">
        <f>IF(NFI_Expiration=1,IF($A278&lt;VLOOKUP(S$5,NFI,5,0),1,0)*Table_NFI[[#This Row],[Winter Clothes Children]],Table_NFI[Winter Clothes Children])</f>
        <v>0</v>
      </c>
      <c r="AI278" s="436">
        <f>IF(NFI_Expiration=1,IF($A278&lt;VLOOKUP(T$5,NFI,5,0),1,0)*Table_NFI[[#This Row],[Winter Items Other]],Table_NFI[Winter Items Other])</f>
        <v>0</v>
      </c>
      <c r="AJ278" s="436">
        <f>IF(NFI_Expiration=1,IF($A278&lt;VLOOKUP(M$5,NFI,5,0),1,0)*Table_NFI[[#This Row],[Winter Blanket]],Table_NFI[[#This Row],[Winter Blanket]])</f>
        <v>0</v>
      </c>
      <c r="AK278" s="436">
        <f>IF(Table_NFI[[#This Row],[Winter Clothes Adult]]+Table_NFI[[#This Row],[Winter Clothes Children]]+Table_NFI[[#This Row],[Winter Items Other]]+Table_NFI[[#This Row],[Winter Blanket]]&gt;0,1,0)</f>
        <v>0</v>
      </c>
      <c r="AL278" s="493">
        <f>IF(NFI_Expiration=1,IF($A278&lt;VLOOKUP(V$5,NFI,5,0),1,0)*Table_NFI[[#This Row],[Jerry Can]],Table_NFI[Jerry Can])</f>
        <v>0</v>
      </c>
      <c r="AM278" s="781" t="str">
        <f>IFERROR(VLOOKUP(Table_NFI[[#This Row],[Camp Name]],CL,2,0),"")</f>
        <v>MMR001CMP051</v>
      </c>
      <c r="AN278" s="782">
        <f ca="1">IF(Table_NFI[[#This Row],[Pcode]]="","",IF(OFFSET(CampList[Opening Date],MATCH(Table_NFI[[#This Row],[Pcode]],CampList[CP_Pcode],0)-1,0,1,1)&gt;=NFI_Monitor_Date,1,0))</f>
        <v>0</v>
      </c>
      <c r="AO278" s="781" t="str">
        <f>IFERROR(VLOOKUP(Table_NFI[[#This Row],[Camp Name]],CL,3,0),"")</f>
        <v>Open</v>
      </c>
      <c r="AP278" s="436" t="str">
        <f ca="1">IF(Table_NFI[[#This Row],[Pcode]]="","",OFFSET(CampList[Priority],MATCH(Table_NFI[[#This Row],[Pcode]],CampList[CP_Pcode],0)-1,0,1,1))</f>
        <v>P4</v>
      </c>
      <c r="AQ278" s="438">
        <f>IFERROR(Table_NFI[[#This Row],[Kitchen Set]]/VLOOKUP(Table_NFI[[#This Row],[Camp Name]],CL,4,0),"")</f>
        <v>8.6956521739130432E-2</v>
      </c>
      <c r="AR278" s="779" t="s">
        <v>1099</v>
      </c>
      <c r="AS278" s="783"/>
    </row>
    <row r="279" spans="1:45" s="784" customFormat="1" x14ac:dyDescent="0.25">
      <c r="A279" s="455">
        <f t="shared" si="4"/>
        <v>20.466666666666665</v>
      </c>
      <c r="B279" s="778">
        <v>41695</v>
      </c>
      <c r="C279" s="779" t="s">
        <v>1113</v>
      </c>
      <c r="D279" s="779" t="s">
        <v>907</v>
      </c>
      <c r="E279" s="779" t="s">
        <v>380</v>
      </c>
      <c r="F279" s="779" t="s">
        <v>173</v>
      </c>
      <c r="G279" s="779" t="s">
        <v>174</v>
      </c>
      <c r="H279" s="436"/>
      <c r="I279" s="436"/>
      <c r="J279" s="436"/>
      <c r="K279" s="436"/>
      <c r="L279" s="437"/>
      <c r="M279" s="437"/>
      <c r="N279" s="437"/>
      <c r="O279" s="437"/>
      <c r="P279" s="439"/>
      <c r="Q279" s="439"/>
      <c r="R279" s="436"/>
      <c r="S279" s="436"/>
      <c r="T279" s="436"/>
      <c r="U279" s="436">
        <v>26</v>
      </c>
      <c r="V279" s="436"/>
      <c r="W279" s="448">
        <f>IF(NFI_Expiration=1,IF($A279&lt;VLOOKUP(H$5,NFI,5,0),1,0)*Table_NFI[[#This Row],[Hygiene Kit]],Table_NFI[Hygiene Kit])</f>
        <v>0</v>
      </c>
      <c r="X279" s="448">
        <f>IF(NFI_Expiration=1,IF($A279&lt;VLOOKUP(I$5,NFI,5,0),1,0)*Table_NFI[[#This Row],[NFI Core Kit]],Table_NFI[NFI Core Kit])</f>
        <v>0</v>
      </c>
      <c r="Y279" s="448">
        <f>IF(NFI_Expiration=1,IF($A279&lt;VLOOKUP(J$5,NFI,5,0),1,0)*Table_NFI[[#This Row],[Sanitary Kit]],Table_NFI[Sanitary Kit])</f>
        <v>0</v>
      </c>
      <c r="Z279" s="448">
        <f>IF(NFI_Expiration=1,IF($A279&lt;VLOOKUP(K$5,NFI,5,0),1,0)*Table_NFI[[#This Row],[Mosquito net]],Table_NFI[Mosquito net])</f>
        <v>0</v>
      </c>
      <c r="AA279" s="448">
        <f>IF(NFI_Expiration=1,IF($A279&lt;VLOOKUP(L$5,NFI,5,0),1,0)*Table_NFI[[#This Row],[Tarpaulin]],Table_NFI[[#This Row],[Tarpaulin]])</f>
        <v>0</v>
      </c>
      <c r="AB279" s="448">
        <f>IF(NFI_Expiration=1,IF($A279&lt;VLOOKUP(M$5,NFI,5,0),1,0)*Table_NFI[[#This Row],[Blanket]],Table_NFI[[#This Row],[Blanket]])</f>
        <v>0</v>
      </c>
      <c r="AC279" s="448">
        <f>IF(NFI_Expiration=1,IF($A279&lt;VLOOKUP(N$5,NFI,5,0),1,0)*Table_NFI[[#This Row],[Kitchen Set]],Table_NFI[Kitchen Set])</f>
        <v>0</v>
      </c>
      <c r="AD279" s="448">
        <f>IF(NFI_Expiration=1,IF($A279&lt;VLOOKUP(O$5,NFI,5,0),1,0)*Table_NFI[[#This Row],[Clothes Kit]],Table_NFI[Clothes Kit])</f>
        <v>0</v>
      </c>
      <c r="AE279" s="448">
        <f>IF(NFI_Expiration=1,IF($A279&lt;VLOOKUP(P$5,NFI,5,0),1,0)*Table_NFI[[#This Row],[Plastic Bucket]],Table_NFI[Plastic Bucket])</f>
        <v>0</v>
      </c>
      <c r="AF279" s="448">
        <f>IF(NFI_Expiration=1,IF($A279&lt;VLOOKUP(Q$5,NFI,5,0),1,0)*Table_NFI[[#This Row],[Plastic Mat]],Table_NFI[Plastic Mat])*IF(Table_NFI[[#This Row],[Distribution Date]]&gt;"2014-04-01",1,2.5)</f>
        <v>0</v>
      </c>
      <c r="AG279" s="448">
        <f>IF(NFI_Expiration=1,IF($A279&lt;VLOOKUP(R$5,NFI,5,0),1,0)*Table_NFI[[#This Row],[Winter Clothes Adult]],Table_NFI[Winter Clothes Adult])</f>
        <v>0</v>
      </c>
      <c r="AH279" s="448">
        <f>IF(NFI_Expiration=1,IF($A279&lt;VLOOKUP(S$5,NFI,5,0),1,0)*Table_NFI[[#This Row],[Winter Clothes Children]],Table_NFI[Winter Clothes Children])</f>
        <v>0</v>
      </c>
      <c r="AI279" s="448">
        <f>IF(NFI_Expiration=1,IF($A279&lt;VLOOKUP(T$5,NFI,5,0),1,0)*Table_NFI[[#This Row],[Winter Items Other]],Table_NFI[Winter Items Other])</f>
        <v>0</v>
      </c>
      <c r="AJ279" s="448">
        <f>IF(NFI_Expiration=1,IF($A279&lt;VLOOKUP(M$5,NFI,5,0),1,0)*Table_NFI[[#This Row],[Winter Blanket]],Table_NFI[[#This Row],[Winter Blanket]])</f>
        <v>0</v>
      </c>
      <c r="AK279" s="448">
        <f>IF(Table_NFI[[#This Row],[Winter Clothes Adult]]+Table_NFI[[#This Row],[Winter Clothes Children]]+Table_NFI[[#This Row],[Winter Items Other]]+Table_NFI[[#This Row],[Winter Blanket]]&gt;0,1,0)</f>
        <v>1</v>
      </c>
      <c r="AL279" s="439">
        <f>IF(NFI_Expiration=1,IF($A279&lt;VLOOKUP(V$5,NFI,5,0),1,0)*Table_NFI[[#This Row],[Jerry Can]],Table_NFI[Jerry Can])</f>
        <v>0</v>
      </c>
      <c r="AM279" s="797" t="str">
        <f>IFERROR(VLOOKUP(Table_NFI[[#This Row],[Camp Name]],CL,2,0),"")</f>
        <v>MMR001CMP078</v>
      </c>
      <c r="AN279" s="798">
        <f ca="1">IF(Table_NFI[[#This Row],[Pcode]]="","",IF(OFFSET(CampList[Opening Date],MATCH(Table_NFI[[#This Row],[Pcode]],CampList[CP_Pcode],0)-1,0,1,1)&gt;=NFI_Monitor_Date,1,0))</f>
        <v>0</v>
      </c>
      <c r="AO279" s="797" t="str">
        <f>IFERROR(VLOOKUP(Table_NFI[[#This Row],[Camp Name]],CL,3,0),"")</f>
        <v>Open</v>
      </c>
      <c r="AP279" s="448" t="str">
        <f ca="1">IF(Table_NFI[[#This Row],[Pcode]]="","",OFFSET(CampList[Priority],MATCH(Table_NFI[[#This Row],[Pcode]],CampList[CP_Pcode],0)-1,0,1,1))</f>
        <v>P4</v>
      </c>
      <c r="AQ279" s="449">
        <f>IFERROR(Table_NFI[[#This Row],[Kitchen Set]]/VLOOKUP(Table_NFI[[#This Row],[Camp Name]],CL,4,0),"")</f>
        <v>0</v>
      </c>
      <c r="AR279" s="799"/>
      <c r="AS279" s="783"/>
    </row>
    <row r="280" spans="1:45" s="784" customFormat="1" x14ac:dyDescent="0.25">
      <c r="A280" s="455">
        <f t="shared" si="4"/>
        <v>20.466666666666665</v>
      </c>
      <c r="B280" s="778">
        <v>41695</v>
      </c>
      <c r="C280" s="779" t="s">
        <v>1113</v>
      </c>
      <c r="D280" s="779" t="s">
        <v>907</v>
      </c>
      <c r="E280" s="779" t="s">
        <v>380</v>
      </c>
      <c r="F280" s="779" t="s">
        <v>173</v>
      </c>
      <c r="G280" s="779" t="s">
        <v>176</v>
      </c>
      <c r="H280" s="436"/>
      <c r="I280" s="436"/>
      <c r="J280" s="436"/>
      <c r="K280" s="436"/>
      <c r="L280" s="437"/>
      <c r="M280" s="437"/>
      <c r="N280" s="437"/>
      <c r="O280" s="437"/>
      <c r="P280" s="439"/>
      <c r="Q280" s="439"/>
      <c r="R280" s="436"/>
      <c r="S280" s="436"/>
      <c r="T280" s="436"/>
      <c r="U280" s="436">
        <v>26</v>
      </c>
      <c r="V280" s="436"/>
      <c r="W280" s="448">
        <f>IF(NFI_Expiration=1,IF($A280&lt;VLOOKUP(H$5,NFI,5,0),1,0)*Table_NFI[[#This Row],[Hygiene Kit]],Table_NFI[Hygiene Kit])</f>
        <v>0</v>
      </c>
      <c r="X280" s="448">
        <f>IF(NFI_Expiration=1,IF($A280&lt;VLOOKUP(I$5,NFI,5,0),1,0)*Table_NFI[[#This Row],[NFI Core Kit]],Table_NFI[NFI Core Kit])</f>
        <v>0</v>
      </c>
      <c r="Y280" s="448">
        <f>IF(NFI_Expiration=1,IF($A280&lt;VLOOKUP(J$5,NFI,5,0),1,0)*Table_NFI[[#This Row],[Sanitary Kit]],Table_NFI[Sanitary Kit])</f>
        <v>0</v>
      </c>
      <c r="Z280" s="448">
        <f>IF(NFI_Expiration=1,IF($A280&lt;VLOOKUP(K$5,NFI,5,0),1,0)*Table_NFI[[#This Row],[Mosquito net]],Table_NFI[Mosquito net])</f>
        <v>0</v>
      </c>
      <c r="AA280" s="448">
        <f>IF(NFI_Expiration=1,IF($A280&lt;VLOOKUP(L$5,NFI,5,0),1,0)*Table_NFI[[#This Row],[Tarpaulin]],Table_NFI[[#This Row],[Tarpaulin]])</f>
        <v>0</v>
      </c>
      <c r="AB280" s="448">
        <f>IF(NFI_Expiration=1,IF($A280&lt;VLOOKUP(M$5,NFI,5,0),1,0)*Table_NFI[[#This Row],[Blanket]],Table_NFI[[#This Row],[Blanket]])</f>
        <v>0</v>
      </c>
      <c r="AC280" s="448">
        <f>IF(NFI_Expiration=1,IF($A280&lt;VLOOKUP(N$5,NFI,5,0),1,0)*Table_NFI[[#This Row],[Kitchen Set]],Table_NFI[Kitchen Set])</f>
        <v>0</v>
      </c>
      <c r="AD280" s="448">
        <f>IF(NFI_Expiration=1,IF($A280&lt;VLOOKUP(O$5,NFI,5,0),1,0)*Table_NFI[[#This Row],[Clothes Kit]],Table_NFI[Clothes Kit])</f>
        <v>0</v>
      </c>
      <c r="AE280" s="448">
        <f>IF(NFI_Expiration=1,IF($A280&lt;VLOOKUP(P$5,NFI,5,0),1,0)*Table_NFI[[#This Row],[Plastic Bucket]],Table_NFI[Plastic Bucket])</f>
        <v>0</v>
      </c>
      <c r="AF280" s="448">
        <f>IF(NFI_Expiration=1,IF($A280&lt;VLOOKUP(Q$5,NFI,5,0),1,0)*Table_NFI[[#This Row],[Plastic Mat]],Table_NFI[Plastic Mat])*IF(Table_NFI[[#This Row],[Distribution Date]]&gt;"2014-04-01",1,2.5)</f>
        <v>0</v>
      </c>
      <c r="AG280" s="448">
        <f>IF(NFI_Expiration=1,IF($A280&lt;VLOOKUP(R$5,NFI,5,0),1,0)*Table_NFI[[#This Row],[Winter Clothes Adult]],Table_NFI[Winter Clothes Adult])</f>
        <v>0</v>
      </c>
      <c r="AH280" s="448">
        <f>IF(NFI_Expiration=1,IF($A280&lt;VLOOKUP(S$5,NFI,5,0),1,0)*Table_NFI[[#This Row],[Winter Clothes Children]],Table_NFI[Winter Clothes Children])</f>
        <v>0</v>
      </c>
      <c r="AI280" s="448">
        <f>IF(NFI_Expiration=1,IF($A280&lt;VLOOKUP(T$5,NFI,5,0),1,0)*Table_NFI[[#This Row],[Winter Items Other]],Table_NFI[Winter Items Other])</f>
        <v>0</v>
      </c>
      <c r="AJ280" s="448">
        <f>IF(NFI_Expiration=1,IF($A280&lt;VLOOKUP(M$5,NFI,5,0),1,0)*Table_NFI[[#This Row],[Winter Blanket]],Table_NFI[[#This Row],[Winter Blanket]])</f>
        <v>0</v>
      </c>
      <c r="AK280" s="448">
        <f>IF(Table_NFI[[#This Row],[Winter Clothes Adult]]+Table_NFI[[#This Row],[Winter Clothes Children]]+Table_NFI[[#This Row],[Winter Items Other]]+Table_NFI[[#This Row],[Winter Blanket]]&gt;0,1,0)</f>
        <v>1</v>
      </c>
      <c r="AL280" s="439">
        <f>IF(NFI_Expiration=1,IF($A280&lt;VLOOKUP(V$5,NFI,5,0),1,0)*Table_NFI[[#This Row],[Jerry Can]],Table_NFI[Jerry Can])</f>
        <v>0</v>
      </c>
      <c r="AM280" s="797" t="str">
        <f>IFERROR(VLOOKUP(Table_NFI[[#This Row],[Camp Name]],CL,2,0),"")</f>
        <v>MMR001CMP077</v>
      </c>
      <c r="AN280" s="798">
        <f ca="1">IF(Table_NFI[[#This Row],[Pcode]]="","",IF(OFFSET(CampList[Opening Date],MATCH(Table_NFI[[#This Row],[Pcode]],CampList[CP_Pcode],0)-1,0,1,1)&gt;=NFI_Monitor_Date,1,0))</f>
        <v>0</v>
      </c>
      <c r="AO280" s="797" t="str">
        <f>IFERROR(VLOOKUP(Table_NFI[[#This Row],[Camp Name]],CL,3,0),"")</f>
        <v>Open</v>
      </c>
      <c r="AP280" s="448" t="str">
        <f ca="1">IF(Table_NFI[[#This Row],[Pcode]]="","",OFFSET(CampList[Priority],MATCH(Table_NFI[[#This Row],[Pcode]],CampList[CP_Pcode],0)-1,0,1,1))</f>
        <v>P4</v>
      </c>
      <c r="AQ280" s="449">
        <f>IFERROR(Table_NFI[[#This Row],[Kitchen Set]]/VLOOKUP(Table_NFI[[#This Row],[Camp Name]],CL,4,0),"")</f>
        <v>0</v>
      </c>
      <c r="AR280" s="799"/>
      <c r="AS280" s="783"/>
    </row>
    <row r="281" spans="1:45" s="784" customFormat="1" x14ac:dyDescent="0.25">
      <c r="A281" s="455">
        <f t="shared" si="4"/>
        <v>20.466666666666665</v>
      </c>
      <c r="B281" s="778">
        <v>41695</v>
      </c>
      <c r="C281" s="779" t="s">
        <v>1113</v>
      </c>
      <c r="D281" s="779" t="s">
        <v>907</v>
      </c>
      <c r="E281" s="779" t="s">
        <v>380</v>
      </c>
      <c r="F281" s="779" t="s">
        <v>173</v>
      </c>
      <c r="G281" s="779" t="s">
        <v>178</v>
      </c>
      <c r="H281" s="436"/>
      <c r="I281" s="436"/>
      <c r="J281" s="436"/>
      <c r="K281" s="436"/>
      <c r="L281" s="437"/>
      <c r="M281" s="437"/>
      <c r="N281" s="437"/>
      <c r="O281" s="437"/>
      <c r="P281" s="439"/>
      <c r="Q281" s="439"/>
      <c r="R281" s="436"/>
      <c r="S281" s="436"/>
      <c r="T281" s="436"/>
      <c r="U281" s="436">
        <v>28</v>
      </c>
      <c r="V281" s="436"/>
      <c r="W281" s="448">
        <f>IF(NFI_Expiration=1,IF($A281&lt;VLOOKUP(H$5,NFI,5,0),1,0)*Table_NFI[[#This Row],[Hygiene Kit]],Table_NFI[Hygiene Kit])</f>
        <v>0</v>
      </c>
      <c r="X281" s="448">
        <f>IF(NFI_Expiration=1,IF($A281&lt;VLOOKUP(I$5,NFI,5,0),1,0)*Table_NFI[[#This Row],[NFI Core Kit]],Table_NFI[NFI Core Kit])</f>
        <v>0</v>
      </c>
      <c r="Y281" s="448">
        <f>IF(NFI_Expiration=1,IF($A281&lt;VLOOKUP(J$5,NFI,5,0),1,0)*Table_NFI[[#This Row],[Sanitary Kit]],Table_NFI[Sanitary Kit])</f>
        <v>0</v>
      </c>
      <c r="Z281" s="448">
        <f>IF(NFI_Expiration=1,IF($A281&lt;VLOOKUP(K$5,NFI,5,0),1,0)*Table_NFI[[#This Row],[Mosquito net]],Table_NFI[Mosquito net])</f>
        <v>0</v>
      </c>
      <c r="AA281" s="448">
        <f>IF(NFI_Expiration=1,IF($A281&lt;VLOOKUP(L$5,NFI,5,0),1,0)*Table_NFI[[#This Row],[Tarpaulin]],Table_NFI[[#This Row],[Tarpaulin]])</f>
        <v>0</v>
      </c>
      <c r="AB281" s="448">
        <f>IF(NFI_Expiration=1,IF($A281&lt;VLOOKUP(M$5,NFI,5,0),1,0)*Table_NFI[[#This Row],[Blanket]],Table_NFI[[#This Row],[Blanket]])</f>
        <v>0</v>
      </c>
      <c r="AC281" s="448">
        <f>IF(NFI_Expiration=1,IF($A281&lt;VLOOKUP(N$5,NFI,5,0),1,0)*Table_NFI[[#This Row],[Kitchen Set]],Table_NFI[Kitchen Set])</f>
        <v>0</v>
      </c>
      <c r="AD281" s="448">
        <f>IF(NFI_Expiration=1,IF($A281&lt;VLOOKUP(O$5,NFI,5,0),1,0)*Table_NFI[[#This Row],[Clothes Kit]],Table_NFI[Clothes Kit])</f>
        <v>0</v>
      </c>
      <c r="AE281" s="448">
        <f>IF(NFI_Expiration=1,IF($A281&lt;VLOOKUP(P$5,NFI,5,0),1,0)*Table_NFI[[#This Row],[Plastic Bucket]],Table_NFI[Plastic Bucket])</f>
        <v>0</v>
      </c>
      <c r="AF281" s="448">
        <f>IF(NFI_Expiration=1,IF($A281&lt;VLOOKUP(Q$5,NFI,5,0),1,0)*Table_NFI[[#This Row],[Plastic Mat]],Table_NFI[Plastic Mat])*IF(Table_NFI[[#This Row],[Distribution Date]]&gt;"2014-04-01",1,2.5)</f>
        <v>0</v>
      </c>
      <c r="AG281" s="448">
        <f>IF(NFI_Expiration=1,IF($A281&lt;VLOOKUP(R$5,NFI,5,0),1,0)*Table_NFI[[#This Row],[Winter Clothes Adult]],Table_NFI[Winter Clothes Adult])</f>
        <v>0</v>
      </c>
      <c r="AH281" s="448">
        <f>IF(NFI_Expiration=1,IF($A281&lt;VLOOKUP(S$5,NFI,5,0),1,0)*Table_NFI[[#This Row],[Winter Clothes Children]],Table_NFI[Winter Clothes Children])</f>
        <v>0</v>
      </c>
      <c r="AI281" s="448">
        <f>IF(NFI_Expiration=1,IF($A281&lt;VLOOKUP(T$5,NFI,5,0),1,0)*Table_NFI[[#This Row],[Winter Items Other]],Table_NFI[Winter Items Other])</f>
        <v>0</v>
      </c>
      <c r="AJ281" s="448">
        <f>IF(NFI_Expiration=1,IF($A281&lt;VLOOKUP(M$5,NFI,5,0),1,0)*Table_NFI[[#This Row],[Winter Blanket]],Table_NFI[[#This Row],[Winter Blanket]])</f>
        <v>0</v>
      </c>
      <c r="AK281" s="448">
        <f>IF(Table_NFI[[#This Row],[Winter Clothes Adult]]+Table_NFI[[#This Row],[Winter Clothes Children]]+Table_NFI[[#This Row],[Winter Items Other]]+Table_NFI[[#This Row],[Winter Blanket]]&gt;0,1,0)</f>
        <v>1</v>
      </c>
      <c r="AL281" s="439">
        <f>IF(NFI_Expiration=1,IF($A281&lt;VLOOKUP(V$5,NFI,5,0),1,0)*Table_NFI[[#This Row],[Jerry Can]],Table_NFI[Jerry Can])</f>
        <v>0</v>
      </c>
      <c r="AM281" s="797" t="str">
        <f>IFERROR(VLOOKUP(Table_NFI[[#This Row],[Camp Name]],CL,2,0),"")</f>
        <v>MMR001CMP079</v>
      </c>
      <c r="AN281" s="798">
        <f ca="1">IF(Table_NFI[[#This Row],[Pcode]]="","",IF(OFFSET(CampList[Opening Date],MATCH(Table_NFI[[#This Row],[Pcode]],CampList[CP_Pcode],0)-1,0,1,1)&gt;=NFI_Monitor_Date,1,0))</f>
        <v>0</v>
      </c>
      <c r="AO281" s="797" t="str">
        <f>IFERROR(VLOOKUP(Table_NFI[[#This Row],[Camp Name]],CL,3,0),"")</f>
        <v>Open</v>
      </c>
      <c r="AP281" s="448" t="str">
        <f ca="1">IF(Table_NFI[[#This Row],[Pcode]]="","",OFFSET(CampList[Priority],MATCH(Table_NFI[[#This Row],[Pcode]],CampList[CP_Pcode],0)-1,0,1,1))</f>
        <v>P4</v>
      </c>
      <c r="AQ281" s="449">
        <f>IFERROR(Table_NFI[[#This Row],[Kitchen Set]]/VLOOKUP(Table_NFI[[#This Row],[Camp Name]],CL,4,0),"")</f>
        <v>0</v>
      </c>
      <c r="AR281" s="799"/>
      <c r="AS281" s="783"/>
    </row>
    <row r="282" spans="1:45" s="784" customFormat="1" x14ac:dyDescent="0.25">
      <c r="A282" s="455">
        <f t="shared" si="4"/>
        <v>20.533333333333335</v>
      </c>
      <c r="B282" s="778">
        <v>41693</v>
      </c>
      <c r="C282" s="779" t="s">
        <v>1113</v>
      </c>
      <c r="D282" s="779" t="s">
        <v>907</v>
      </c>
      <c r="E282" s="779" t="s">
        <v>380</v>
      </c>
      <c r="F282" s="779" t="s">
        <v>27</v>
      </c>
      <c r="G282" s="779" t="s">
        <v>28</v>
      </c>
      <c r="H282" s="436"/>
      <c r="I282" s="436"/>
      <c r="J282" s="436"/>
      <c r="K282" s="436"/>
      <c r="L282" s="437"/>
      <c r="M282" s="437"/>
      <c r="N282" s="437"/>
      <c r="O282" s="437"/>
      <c r="P282" s="439"/>
      <c r="Q282" s="439"/>
      <c r="R282" s="436"/>
      <c r="S282" s="436"/>
      <c r="T282" s="436"/>
      <c r="U282" s="436">
        <v>222</v>
      </c>
      <c r="V282" s="436"/>
      <c r="W282" s="448">
        <f>IF(NFI_Expiration=1,IF($A282&lt;VLOOKUP(H$5,NFI,5,0),1,0)*Table_NFI[[#This Row],[Hygiene Kit]],Table_NFI[Hygiene Kit])</f>
        <v>0</v>
      </c>
      <c r="X282" s="448">
        <f>IF(NFI_Expiration=1,IF($A282&lt;VLOOKUP(I$5,NFI,5,0),1,0)*Table_NFI[[#This Row],[NFI Core Kit]],Table_NFI[NFI Core Kit])</f>
        <v>0</v>
      </c>
      <c r="Y282" s="448">
        <f>IF(NFI_Expiration=1,IF($A282&lt;VLOOKUP(J$5,NFI,5,0),1,0)*Table_NFI[[#This Row],[Sanitary Kit]],Table_NFI[Sanitary Kit])</f>
        <v>0</v>
      </c>
      <c r="Z282" s="448">
        <f>IF(NFI_Expiration=1,IF($A282&lt;VLOOKUP(K$5,NFI,5,0),1,0)*Table_NFI[[#This Row],[Mosquito net]],Table_NFI[Mosquito net])</f>
        <v>0</v>
      </c>
      <c r="AA282" s="448">
        <f>IF(NFI_Expiration=1,IF($A282&lt;VLOOKUP(L$5,NFI,5,0),1,0)*Table_NFI[[#This Row],[Tarpaulin]],Table_NFI[[#This Row],[Tarpaulin]])</f>
        <v>0</v>
      </c>
      <c r="AB282" s="448">
        <f>IF(NFI_Expiration=1,IF($A282&lt;VLOOKUP(M$5,NFI,5,0),1,0)*Table_NFI[[#This Row],[Blanket]],Table_NFI[[#This Row],[Blanket]])</f>
        <v>0</v>
      </c>
      <c r="AC282" s="448">
        <f>IF(NFI_Expiration=1,IF($A282&lt;VLOOKUP(N$5,NFI,5,0),1,0)*Table_NFI[[#This Row],[Kitchen Set]],Table_NFI[Kitchen Set])</f>
        <v>0</v>
      </c>
      <c r="AD282" s="448">
        <f>IF(NFI_Expiration=1,IF($A282&lt;VLOOKUP(O$5,NFI,5,0),1,0)*Table_NFI[[#This Row],[Clothes Kit]],Table_NFI[Clothes Kit])</f>
        <v>0</v>
      </c>
      <c r="AE282" s="448">
        <f>IF(NFI_Expiration=1,IF($A282&lt;VLOOKUP(P$5,NFI,5,0),1,0)*Table_NFI[[#This Row],[Plastic Bucket]],Table_NFI[Plastic Bucket])</f>
        <v>0</v>
      </c>
      <c r="AF282" s="448">
        <f>IF(NFI_Expiration=1,IF($A282&lt;VLOOKUP(Q$5,NFI,5,0),1,0)*Table_NFI[[#This Row],[Plastic Mat]],Table_NFI[Plastic Mat])*IF(Table_NFI[[#This Row],[Distribution Date]]&gt;"2014-04-01",1,2.5)</f>
        <v>0</v>
      </c>
      <c r="AG282" s="448">
        <f>IF(NFI_Expiration=1,IF($A282&lt;VLOOKUP(R$5,NFI,5,0),1,0)*Table_NFI[[#This Row],[Winter Clothes Adult]],Table_NFI[Winter Clothes Adult])</f>
        <v>0</v>
      </c>
      <c r="AH282" s="448">
        <f>IF(NFI_Expiration=1,IF($A282&lt;VLOOKUP(S$5,NFI,5,0),1,0)*Table_NFI[[#This Row],[Winter Clothes Children]],Table_NFI[Winter Clothes Children])</f>
        <v>0</v>
      </c>
      <c r="AI282" s="448">
        <f>IF(NFI_Expiration=1,IF($A282&lt;VLOOKUP(T$5,NFI,5,0),1,0)*Table_NFI[[#This Row],[Winter Items Other]],Table_NFI[Winter Items Other])</f>
        <v>0</v>
      </c>
      <c r="AJ282" s="448">
        <f>IF(NFI_Expiration=1,IF($A282&lt;VLOOKUP(M$5,NFI,5,0),1,0)*Table_NFI[[#This Row],[Winter Blanket]],Table_NFI[[#This Row],[Winter Blanket]])</f>
        <v>0</v>
      </c>
      <c r="AK282" s="448">
        <f>IF(Table_NFI[[#This Row],[Winter Clothes Adult]]+Table_NFI[[#This Row],[Winter Clothes Children]]+Table_NFI[[#This Row],[Winter Items Other]]+Table_NFI[[#This Row],[Winter Blanket]]&gt;0,1,0)</f>
        <v>1</v>
      </c>
      <c r="AL282" s="439">
        <f>IF(NFI_Expiration=1,IF($A282&lt;VLOOKUP(V$5,NFI,5,0),1,0)*Table_NFI[[#This Row],[Jerry Can]],Table_NFI[Jerry Can])</f>
        <v>0</v>
      </c>
      <c r="AM282" s="797" t="str">
        <f>IFERROR(VLOOKUP(Table_NFI[[#This Row],[Camp Name]],CL,2,0),"")</f>
        <v>MMR001CMP042</v>
      </c>
      <c r="AN282" s="798">
        <f ca="1">IF(Table_NFI[[#This Row],[Pcode]]="","",IF(OFFSET(CampList[Opening Date],MATCH(Table_NFI[[#This Row],[Pcode]],CampList[CP_Pcode],0)-1,0,1,1)&gt;=NFI_Monitor_Date,1,0))</f>
        <v>0</v>
      </c>
      <c r="AO282" s="797" t="str">
        <f>IFERROR(VLOOKUP(Table_NFI[[#This Row],[Camp Name]],CL,3,0),"")</f>
        <v>Open</v>
      </c>
      <c r="AP282" s="448" t="str">
        <f ca="1">IF(Table_NFI[[#This Row],[Pcode]]="","",OFFSET(CampList[Priority],MATCH(Table_NFI[[#This Row],[Pcode]],CampList[CP_Pcode],0)-1,0,1,1))</f>
        <v>P1</v>
      </c>
      <c r="AQ282" s="449">
        <f>IFERROR(Table_NFI[[#This Row],[Kitchen Set]]/VLOOKUP(Table_NFI[[#This Row],[Camp Name]],CL,4,0),"")</f>
        <v>0</v>
      </c>
      <c r="AR282" s="799"/>
      <c r="AS282" s="783"/>
    </row>
    <row r="283" spans="1:45" s="784" customFormat="1" x14ac:dyDescent="0.25">
      <c r="A283" s="455">
        <f t="shared" si="4"/>
        <v>20.533333333333335</v>
      </c>
      <c r="B283" s="778">
        <v>41693</v>
      </c>
      <c r="C283" s="779" t="s">
        <v>1113</v>
      </c>
      <c r="D283" s="779" t="s">
        <v>907</v>
      </c>
      <c r="E283" s="779" t="s">
        <v>380</v>
      </c>
      <c r="F283" s="779" t="s">
        <v>27</v>
      </c>
      <c r="G283" s="779" t="s">
        <v>365</v>
      </c>
      <c r="H283" s="436"/>
      <c r="I283" s="436"/>
      <c r="J283" s="436"/>
      <c r="K283" s="436"/>
      <c r="L283" s="437"/>
      <c r="M283" s="437"/>
      <c r="N283" s="437"/>
      <c r="O283" s="437"/>
      <c r="P283" s="439"/>
      <c r="Q283" s="439"/>
      <c r="R283" s="436"/>
      <c r="S283" s="436"/>
      <c r="T283" s="436"/>
      <c r="U283" s="436">
        <v>278</v>
      </c>
      <c r="V283" s="436"/>
      <c r="W283" s="448">
        <f>IF(NFI_Expiration=1,IF($A283&lt;VLOOKUP(H$5,NFI,5,0),1,0)*Table_NFI[[#This Row],[Hygiene Kit]],Table_NFI[Hygiene Kit])</f>
        <v>0</v>
      </c>
      <c r="X283" s="448">
        <f>IF(NFI_Expiration=1,IF($A283&lt;VLOOKUP(I$5,NFI,5,0),1,0)*Table_NFI[[#This Row],[NFI Core Kit]],Table_NFI[NFI Core Kit])</f>
        <v>0</v>
      </c>
      <c r="Y283" s="448">
        <f>IF(NFI_Expiration=1,IF($A283&lt;VLOOKUP(J$5,NFI,5,0),1,0)*Table_NFI[[#This Row],[Sanitary Kit]],Table_NFI[Sanitary Kit])</f>
        <v>0</v>
      </c>
      <c r="Z283" s="448">
        <f>IF(NFI_Expiration=1,IF($A283&lt;VLOOKUP(K$5,NFI,5,0),1,0)*Table_NFI[[#This Row],[Mosquito net]],Table_NFI[Mosquito net])</f>
        <v>0</v>
      </c>
      <c r="AA283" s="448">
        <f>IF(NFI_Expiration=1,IF($A283&lt;VLOOKUP(L$5,NFI,5,0),1,0)*Table_NFI[[#This Row],[Tarpaulin]],Table_NFI[[#This Row],[Tarpaulin]])</f>
        <v>0</v>
      </c>
      <c r="AB283" s="448">
        <f>IF(NFI_Expiration=1,IF($A283&lt;VLOOKUP(M$5,NFI,5,0),1,0)*Table_NFI[[#This Row],[Blanket]],Table_NFI[[#This Row],[Blanket]])</f>
        <v>0</v>
      </c>
      <c r="AC283" s="448">
        <f>IF(NFI_Expiration=1,IF($A283&lt;VLOOKUP(N$5,NFI,5,0),1,0)*Table_NFI[[#This Row],[Kitchen Set]],Table_NFI[Kitchen Set])</f>
        <v>0</v>
      </c>
      <c r="AD283" s="448">
        <f>IF(NFI_Expiration=1,IF($A283&lt;VLOOKUP(O$5,NFI,5,0),1,0)*Table_NFI[[#This Row],[Clothes Kit]],Table_NFI[Clothes Kit])</f>
        <v>0</v>
      </c>
      <c r="AE283" s="448">
        <f>IF(NFI_Expiration=1,IF($A283&lt;VLOOKUP(P$5,NFI,5,0),1,0)*Table_NFI[[#This Row],[Plastic Bucket]],Table_NFI[Plastic Bucket])</f>
        <v>0</v>
      </c>
      <c r="AF283" s="448">
        <f>IF(NFI_Expiration=1,IF($A283&lt;VLOOKUP(Q$5,NFI,5,0),1,0)*Table_NFI[[#This Row],[Plastic Mat]],Table_NFI[Plastic Mat])*IF(Table_NFI[[#This Row],[Distribution Date]]&gt;"2014-04-01",1,2.5)</f>
        <v>0</v>
      </c>
      <c r="AG283" s="448">
        <f>IF(NFI_Expiration=1,IF($A283&lt;VLOOKUP(R$5,NFI,5,0),1,0)*Table_NFI[[#This Row],[Winter Clothes Adult]],Table_NFI[Winter Clothes Adult])</f>
        <v>0</v>
      </c>
      <c r="AH283" s="448">
        <f>IF(NFI_Expiration=1,IF($A283&lt;VLOOKUP(S$5,NFI,5,0),1,0)*Table_NFI[[#This Row],[Winter Clothes Children]],Table_NFI[Winter Clothes Children])</f>
        <v>0</v>
      </c>
      <c r="AI283" s="448">
        <f>IF(NFI_Expiration=1,IF($A283&lt;VLOOKUP(T$5,NFI,5,0),1,0)*Table_NFI[[#This Row],[Winter Items Other]],Table_NFI[Winter Items Other])</f>
        <v>0</v>
      </c>
      <c r="AJ283" s="448">
        <f>IF(NFI_Expiration=1,IF($A283&lt;VLOOKUP(M$5,NFI,5,0),1,0)*Table_NFI[[#This Row],[Winter Blanket]],Table_NFI[[#This Row],[Winter Blanket]])</f>
        <v>0</v>
      </c>
      <c r="AK283" s="448">
        <f>IF(Table_NFI[[#This Row],[Winter Clothes Adult]]+Table_NFI[[#This Row],[Winter Clothes Children]]+Table_NFI[[#This Row],[Winter Items Other]]+Table_NFI[[#This Row],[Winter Blanket]]&gt;0,1,0)</f>
        <v>1</v>
      </c>
      <c r="AL283" s="439">
        <f>IF(NFI_Expiration=1,IF($A283&lt;VLOOKUP(V$5,NFI,5,0),1,0)*Table_NFI[[#This Row],[Jerry Can]],Table_NFI[Jerry Can])</f>
        <v>0</v>
      </c>
      <c r="AM283" s="797" t="str">
        <f>IFERROR(VLOOKUP(Table_NFI[[#This Row],[Camp Name]],CL,2,0),"")</f>
        <v>MMR001CMP195</v>
      </c>
      <c r="AN283" s="798">
        <f ca="1">IF(Table_NFI[[#This Row],[Pcode]]="","",IF(OFFSET(CampList[Opening Date],MATCH(Table_NFI[[#This Row],[Pcode]],CampList[CP_Pcode],0)-1,0,1,1)&gt;=NFI_Monitor_Date,1,0))</f>
        <v>0</v>
      </c>
      <c r="AO283" s="797" t="str">
        <f>IFERROR(VLOOKUP(Table_NFI[[#This Row],[Camp Name]],CL,3,0),"")</f>
        <v>Open</v>
      </c>
      <c r="AP283" s="448" t="str">
        <f ca="1">IF(Table_NFI[[#This Row],[Pcode]]="","",OFFSET(CampList[Priority],MATCH(Table_NFI[[#This Row],[Pcode]],CampList[CP_Pcode],0)-1,0,1,1))</f>
        <v>P1</v>
      </c>
      <c r="AQ283" s="449">
        <f>IFERROR(Table_NFI[[#This Row],[Kitchen Set]]/VLOOKUP(Table_NFI[[#This Row],[Camp Name]],CL,4,0),"")</f>
        <v>0</v>
      </c>
      <c r="AR283" s="799"/>
      <c r="AS283" s="783"/>
    </row>
    <row r="284" spans="1:45" s="784" customFormat="1" x14ac:dyDescent="0.25">
      <c r="A284" s="455">
        <f t="shared" si="4"/>
        <v>20.533333333333335</v>
      </c>
      <c r="B284" s="778">
        <v>41693</v>
      </c>
      <c r="C284" s="779" t="s">
        <v>1113</v>
      </c>
      <c r="D284" s="779" t="s">
        <v>907</v>
      </c>
      <c r="E284" s="779" t="s">
        <v>380</v>
      </c>
      <c r="F284" s="779" t="s">
        <v>185</v>
      </c>
      <c r="G284" s="779" t="s">
        <v>225</v>
      </c>
      <c r="H284" s="436"/>
      <c r="I284" s="436"/>
      <c r="J284" s="436"/>
      <c r="K284" s="436"/>
      <c r="L284" s="437"/>
      <c r="M284" s="437"/>
      <c r="N284" s="437"/>
      <c r="O284" s="437"/>
      <c r="P284" s="439"/>
      <c r="Q284" s="439"/>
      <c r="R284" s="436"/>
      <c r="S284" s="436"/>
      <c r="T284" s="436"/>
      <c r="U284" s="436">
        <v>376</v>
      </c>
      <c r="V284" s="436"/>
      <c r="W284" s="448">
        <f>IF(NFI_Expiration=1,IF($A284&lt;VLOOKUP(H$5,NFI,5,0),1,0)*Table_NFI[[#This Row],[Hygiene Kit]],Table_NFI[Hygiene Kit])</f>
        <v>0</v>
      </c>
      <c r="X284" s="448">
        <f>IF(NFI_Expiration=1,IF($A284&lt;VLOOKUP(I$5,NFI,5,0),1,0)*Table_NFI[[#This Row],[NFI Core Kit]],Table_NFI[NFI Core Kit])</f>
        <v>0</v>
      </c>
      <c r="Y284" s="448">
        <f>IF(NFI_Expiration=1,IF($A284&lt;VLOOKUP(J$5,NFI,5,0),1,0)*Table_NFI[[#This Row],[Sanitary Kit]],Table_NFI[Sanitary Kit])</f>
        <v>0</v>
      </c>
      <c r="Z284" s="448">
        <f>IF(NFI_Expiration=1,IF($A284&lt;VLOOKUP(K$5,NFI,5,0),1,0)*Table_NFI[[#This Row],[Mosquito net]],Table_NFI[Mosquito net])</f>
        <v>0</v>
      </c>
      <c r="AA284" s="448">
        <f>IF(NFI_Expiration=1,IF($A284&lt;VLOOKUP(L$5,NFI,5,0),1,0)*Table_NFI[[#This Row],[Tarpaulin]],Table_NFI[[#This Row],[Tarpaulin]])</f>
        <v>0</v>
      </c>
      <c r="AB284" s="448">
        <f>IF(NFI_Expiration=1,IF($A284&lt;VLOOKUP(M$5,NFI,5,0),1,0)*Table_NFI[[#This Row],[Blanket]],Table_NFI[[#This Row],[Blanket]])</f>
        <v>0</v>
      </c>
      <c r="AC284" s="448">
        <f>IF(NFI_Expiration=1,IF($A284&lt;VLOOKUP(N$5,NFI,5,0),1,0)*Table_NFI[[#This Row],[Kitchen Set]],Table_NFI[Kitchen Set])</f>
        <v>0</v>
      </c>
      <c r="AD284" s="448">
        <f>IF(NFI_Expiration=1,IF($A284&lt;VLOOKUP(O$5,NFI,5,0),1,0)*Table_NFI[[#This Row],[Clothes Kit]],Table_NFI[Clothes Kit])</f>
        <v>0</v>
      </c>
      <c r="AE284" s="448">
        <f>IF(NFI_Expiration=1,IF($A284&lt;VLOOKUP(P$5,NFI,5,0),1,0)*Table_NFI[[#This Row],[Plastic Bucket]],Table_NFI[Plastic Bucket])</f>
        <v>0</v>
      </c>
      <c r="AF284" s="448">
        <f>IF(NFI_Expiration=1,IF($A284&lt;VLOOKUP(Q$5,NFI,5,0),1,0)*Table_NFI[[#This Row],[Plastic Mat]],Table_NFI[Plastic Mat])*IF(Table_NFI[[#This Row],[Distribution Date]]&gt;"2014-04-01",1,2.5)</f>
        <v>0</v>
      </c>
      <c r="AG284" s="448">
        <f>IF(NFI_Expiration=1,IF($A284&lt;VLOOKUP(R$5,NFI,5,0),1,0)*Table_NFI[[#This Row],[Winter Clothes Adult]],Table_NFI[Winter Clothes Adult])</f>
        <v>0</v>
      </c>
      <c r="AH284" s="448">
        <f>IF(NFI_Expiration=1,IF($A284&lt;VLOOKUP(S$5,NFI,5,0),1,0)*Table_NFI[[#This Row],[Winter Clothes Children]],Table_NFI[Winter Clothes Children])</f>
        <v>0</v>
      </c>
      <c r="AI284" s="448">
        <f>IF(NFI_Expiration=1,IF($A284&lt;VLOOKUP(T$5,NFI,5,0),1,0)*Table_NFI[[#This Row],[Winter Items Other]],Table_NFI[Winter Items Other])</f>
        <v>0</v>
      </c>
      <c r="AJ284" s="448">
        <f>IF(NFI_Expiration=1,IF($A284&lt;VLOOKUP(M$5,NFI,5,0),1,0)*Table_NFI[[#This Row],[Winter Blanket]],Table_NFI[[#This Row],[Winter Blanket]])</f>
        <v>0</v>
      </c>
      <c r="AK284" s="448">
        <f>IF(Table_NFI[[#This Row],[Winter Clothes Adult]]+Table_NFI[[#This Row],[Winter Clothes Children]]+Table_NFI[[#This Row],[Winter Items Other]]+Table_NFI[[#This Row],[Winter Blanket]]&gt;0,1,0)</f>
        <v>1</v>
      </c>
      <c r="AL284" s="439">
        <f>IF(NFI_Expiration=1,IF($A284&lt;VLOOKUP(V$5,NFI,5,0),1,0)*Table_NFI[[#This Row],[Jerry Can]],Table_NFI[Jerry Can])</f>
        <v>0</v>
      </c>
      <c r="AM284" s="797" t="str">
        <f>IFERROR(VLOOKUP(Table_NFI[[#This Row],[Camp Name]],CL,2,0),"")</f>
        <v>MMR001CMP073</v>
      </c>
      <c r="AN284" s="798">
        <f ca="1">IF(Table_NFI[[#This Row],[Pcode]]="","",IF(OFFSET(CampList[Opening Date],MATCH(Table_NFI[[#This Row],[Pcode]],CampList[CP_Pcode],0)-1,0,1,1)&gt;=NFI_Monitor_Date,1,0))</f>
        <v>0</v>
      </c>
      <c r="AO284" s="797" t="str">
        <f>IFERROR(VLOOKUP(Table_NFI[[#This Row],[Camp Name]],CL,3,0),"")</f>
        <v>Open</v>
      </c>
      <c r="AP284" s="448" t="str">
        <f ca="1">IF(Table_NFI[[#This Row],[Pcode]]="","",OFFSET(CampList[Priority],MATCH(Table_NFI[[#This Row],[Pcode]],CampList[CP_Pcode],0)-1,0,1,1))</f>
        <v>P3</v>
      </c>
      <c r="AQ284" s="449">
        <f>IFERROR(Table_NFI[[#This Row],[Kitchen Set]]/VLOOKUP(Table_NFI[[#This Row],[Camp Name]],CL,4,0),"")</f>
        <v>0</v>
      </c>
      <c r="AR284" s="799"/>
      <c r="AS284" s="783"/>
    </row>
    <row r="285" spans="1:45" s="784" customFormat="1" x14ac:dyDescent="0.25">
      <c r="A285" s="455">
        <f t="shared" si="4"/>
        <v>20.566666666666666</v>
      </c>
      <c r="B285" s="778">
        <v>41692</v>
      </c>
      <c r="C285" s="779" t="s">
        <v>1113</v>
      </c>
      <c r="D285" s="779" t="s">
        <v>907</v>
      </c>
      <c r="E285" s="779" t="s">
        <v>380</v>
      </c>
      <c r="F285" s="779" t="s">
        <v>27</v>
      </c>
      <c r="G285" s="779" t="s">
        <v>870</v>
      </c>
      <c r="H285" s="436"/>
      <c r="I285" s="436"/>
      <c r="J285" s="436"/>
      <c r="K285" s="436"/>
      <c r="L285" s="437"/>
      <c r="M285" s="437"/>
      <c r="N285" s="437"/>
      <c r="O285" s="437"/>
      <c r="P285" s="439"/>
      <c r="Q285" s="439"/>
      <c r="R285" s="436"/>
      <c r="S285" s="436"/>
      <c r="T285" s="436"/>
      <c r="U285" s="436">
        <v>126</v>
      </c>
      <c r="V285" s="436"/>
      <c r="W285" s="448">
        <f>IF(NFI_Expiration=1,IF($A285&lt;VLOOKUP(H$5,NFI,5,0),1,0)*Table_NFI[[#This Row],[Hygiene Kit]],Table_NFI[Hygiene Kit])</f>
        <v>0</v>
      </c>
      <c r="X285" s="448">
        <f>IF(NFI_Expiration=1,IF($A285&lt;VLOOKUP(I$5,NFI,5,0),1,0)*Table_NFI[[#This Row],[NFI Core Kit]],Table_NFI[NFI Core Kit])</f>
        <v>0</v>
      </c>
      <c r="Y285" s="448">
        <f>IF(NFI_Expiration=1,IF($A285&lt;VLOOKUP(J$5,NFI,5,0),1,0)*Table_NFI[[#This Row],[Sanitary Kit]],Table_NFI[Sanitary Kit])</f>
        <v>0</v>
      </c>
      <c r="Z285" s="448">
        <f>IF(NFI_Expiration=1,IF($A285&lt;VLOOKUP(K$5,NFI,5,0),1,0)*Table_NFI[[#This Row],[Mosquito net]],Table_NFI[Mosquito net])</f>
        <v>0</v>
      </c>
      <c r="AA285" s="448">
        <f>IF(NFI_Expiration=1,IF($A285&lt;VLOOKUP(L$5,NFI,5,0),1,0)*Table_NFI[[#This Row],[Tarpaulin]],Table_NFI[[#This Row],[Tarpaulin]])</f>
        <v>0</v>
      </c>
      <c r="AB285" s="448">
        <f>IF(NFI_Expiration=1,IF($A285&lt;VLOOKUP(M$5,NFI,5,0),1,0)*Table_NFI[[#This Row],[Blanket]],Table_NFI[[#This Row],[Blanket]])</f>
        <v>0</v>
      </c>
      <c r="AC285" s="448">
        <f>IF(NFI_Expiration=1,IF($A285&lt;VLOOKUP(N$5,NFI,5,0),1,0)*Table_NFI[[#This Row],[Kitchen Set]],Table_NFI[Kitchen Set])</f>
        <v>0</v>
      </c>
      <c r="AD285" s="448">
        <f>IF(NFI_Expiration=1,IF($A285&lt;VLOOKUP(O$5,NFI,5,0),1,0)*Table_NFI[[#This Row],[Clothes Kit]],Table_NFI[Clothes Kit])</f>
        <v>0</v>
      </c>
      <c r="AE285" s="448">
        <f>IF(NFI_Expiration=1,IF($A285&lt;VLOOKUP(P$5,NFI,5,0),1,0)*Table_NFI[[#This Row],[Plastic Bucket]],Table_NFI[Plastic Bucket])</f>
        <v>0</v>
      </c>
      <c r="AF285" s="448">
        <f>IF(NFI_Expiration=1,IF($A285&lt;VLOOKUP(Q$5,NFI,5,0),1,0)*Table_NFI[[#This Row],[Plastic Mat]],Table_NFI[Plastic Mat])*IF(Table_NFI[[#This Row],[Distribution Date]]&gt;"2014-04-01",1,2.5)</f>
        <v>0</v>
      </c>
      <c r="AG285" s="448">
        <f>IF(NFI_Expiration=1,IF($A285&lt;VLOOKUP(R$5,NFI,5,0),1,0)*Table_NFI[[#This Row],[Winter Clothes Adult]],Table_NFI[Winter Clothes Adult])</f>
        <v>0</v>
      </c>
      <c r="AH285" s="448">
        <f>IF(NFI_Expiration=1,IF($A285&lt;VLOOKUP(S$5,NFI,5,0),1,0)*Table_NFI[[#This Row],[Winter Clothes Children]],Table_NFI[Winter Clothes Children])</f>
        <v>0</v>
      </c>
      <c r="AI285" s="448">
        <f>IF(NFI_Expiration=1,IF($A285&lt;VLOOKUP(T$5,NFI,5,0),1,0)*Table_NFI[[#This Row],[Winter Items Other]],Table_NFI[Winter Items Other])</f>
        <v>0</v>
      </c>
      <c r="AJ285" s="448">
        <f>IF(NFI_Expiration=1,IF($A285&lt;VLOOKUP(M$5,NFI,5,0),1,0)*Table_NFI[[#This Row],[Winter Blanket]],Table_NFI[[#This Row],[Winter Blanket]])</f>
        <v>0</v>
      </c>
      <c r="AK285" s="448">
        <f>IF(Table_NFI[[#This Row],[Winter Clothes Adult]]+Table_NFI[[#This Row],[Winter Clothes Children]]+Table_NFI[[#This Row],[Winter Items Other]]+Table_NFI[[#This Row],[Winter Blanket]]&gt;0,1,0)</f>
        <v>1</v>
      </c>
      <c r="AL285" s="439">
        <f>IF(NFI_Expiration=1,IF($A285&lt;VLOOKUP(V$5,NFI,5,0),1,0)*Table_NFI[[#This Row],[Jerry Can]],Table_NFI[Jerry Can])</f>
        <v>0</v>
      </c>
      <c r="AM285" s="797" t="str">
        <f>IFERROR(VLOOKUP(Table_NFI[[#This Row],[Camp Name]],CL,2,0),"")</f>
        <v>MMR001CMP210</v>
      </c>
      <c r="AN285" s="798">
        <f ca="1">IF(Table_NFI[[#This Row],[Pcode]]="","",IF(OFFSET(CampList[Opening Date],MATCH(Table_NFI[[#This Row],[Pcode]],CampList[CP_Pcode],0)-1,0,1,1)&gt;=NFI_Monitor_Date,1,0))</f>
        <v>0</v>
      </c>
      <c r="AO285" s="797" t="str">
        <f>IFERROR(VLOOKUP(Table_NFI[[#This Row],[Camp Name]],CL,3,0),"")</f>
        <v>Open</v>
      </c>
      <c r="AP285" s="448" t="str">
        <f ca="1">IF(Table_NFI[[#This Row],[Pcode]]="","",OFFSET(CampList[Priority],MATCH(Table_NFI[[#This Row],[Pcode]],CampList[CP_Pcode],0)-1,0,1,1))</f>
        <v>P1</v>
      </c>
      <c r="AQ285" s="449">
        <f>IFERROR(Table_NFI[[#This Row],[Kitchen Set]]/VLOOKUP(Table_NFI[[#This Row],[Camp Name]],CL,4,0),"")</f>
        <v>0</v>
      </c>
      <c r="AR285" s="799"/>
      <c r="AS285" s="783"/>
    </row>
    <row r="286" spans="1:45" s="784" customFormat="1" x14ac:dyDescent="0.25">
      <c r="A286" s="455">
        <f t="shared" si="4"/>
        <v>20.566666666666666</v>
      </c>
      <c r="B286" s="778">
        <v>41692</v>
      </c>
      <c r="C286" s="779" t="s">
        <v>1113</v>
      </c>
      <c r="D286" s="779" t="s">
        <v>907</v>
      </c>
      <c r="E286" s="779" t="s">
        <v>380</v>
      </c>
      <c r="F286" s="779" t="s">
        <v>27</v>
      </c>
      <c r="G286" s="779" t="s">
        <v>1026</v>
      </c>
      <c r="H286" s="436"/>
      <c r="I286" s="436"/>
      <c r="J286" s="436"/>
      <c r="K286" s="436"/>
      <c r="L286" s="437"/>
      <c r="M286" s="437"/>
      <c r="N286" s="437"/>
      <c r="O286" s="437"/>
      <c r="P286" s="439"/>
      <c r="Q286" s="439"/>
      <c r="R286" s="436"/>
      <c r="S286" s="436"/>
      <c r="T286" s="436"/>
      <c r="U286" s="436">
        <v>58</v>
      </c>
      <c r="V286" s="436"/>
      <c r="W286" s="448">
        <f>IF(NFI_Expiration=1,IF($A286&lt;VLOOKUP(H$5,NFI,5,0),1,0)*Table_NFI[[#This Row],[Hygiene Kit]],Table_NFI[Hygiene Kit])</f>
        <v>0</v>
      </c>
      <c r="X286" s="448">
        <f>IF(NFI_Expiration=1,IF($A286&lt;VLOOKUP(I$5,NFI,5,0),1,0)*Table_NFI[[#This Row],[NFI Core Kit]],Table_NFI[NFI Core Kit])</f>
        <v>0</v>
      </c>
      <c r="Y286" s="448">
        <f>IF(NFI_Expiration=1,IF($A286&lt;VLOOKUP(J$5,NFI,5,0),1,0)*Table_NFI[[#This Row],[Sanitary Kit]],Table_NFI[Sanitary Kit])</f>
        <v>0</v>
      </c>
      <c r="Z286" s="448">
        <f>IF(NFI_Expiration=1,IF($A286&lt;VLOOKUP(K$5,NFI,5,0),1,0)*Table_NFI[[#This Row],[Mosquito net]],Table_NFI[Mosquito net])</f>
        <v>0</v>
      </c>
      <c r="AA286" s="448">
        <f>IF(NFI_Expiration=1,IF($A286&lt;VLOOKUP(L$5,NFI,5,0),1,0)*Table_NFI[[#This Row],[Tarpaulin]],Table_NFI[[#This Row],[Tarpaulin]])</f>
        <v>0</v>
      </c>
      <c r="AB286" s="448">
        <f>IF(NFI_Expiration=1,IF($A286&lt;VLOOKUP(M$5,NFI,5,0),1,0)*Table_NFI[[#This Row],[Blanket]],Table_NFI[[#This Row],[Blanket]])</f>
        <v>0</v>
      </c>
      <c r="AC286" s="448">
        <f>IF(NFI_Expiration=1,IF($A286&lt;VLOOKUP(N$5,NFI,5,0),1,0)*Table_NFI[[#This Row],[Kitchen Set]],Table_NFI[Kitchen Set])</f>
        <v>0</v>
      </c>
      <c r="AD286" s="448">
        <f>IF(NFI_Expiration=1,IF($A286&lt;VLOOKUP(O$5,NFI,5,0),1,0)*Table_NFI[[#This Row],[Clothes Kit]],Table_NFI[Clothes Kit])</f>
        <v>0</v>
      </c>
      <c r="AE286" s="448">
        <f>IF(NFI_Expiration=1,IF($A286&lt;VLOOKUP(P$5,NFI,5,0),1,0)*Table_NFI[[#This Row],[Plastic Bucket]],Table_NFI[Plastic Bucket])</f>
        <v>0</v>
      </c>
      <c r="AF286" s="448">
        <f>IF(NFI_Expiration=1,IF($A286&lt;VLOOKUP(Q$5,NFI,5,0),1,0)*Table_NFI[[#This Row],[Plastic Mat]],Table_NFI[Plastic Mat])*IF(Table_NFI[[#This Row],[Distribution Date]]&gt;"2014-04-01",1,2.5)</f>
        <v>0</v>
      </c>
      <c r="AG286" s="448">
        <f>IF(NFI_Expiration=1,IF($A286&lt;VLOOKUP(R$5,NFI,5,0),1,0)*Table_NFI[[#This Row],[Winter Clothes Adult]],Table_NFI[Winter Clothes Adult])</f>
        <v>0</v>
      </c>
      <c r="AH286" s="448">
        <f>IF(NFI_Expiration=1,IF($A286&lt;VLOOKUP(S$5,NFI,5,0),1,0)*Table_NFI[[#This Row],[Winter Clothes Children]],Table_NFI[Winter Clothes Children])</f>
        <v>0</v>
      </c>
      <c r="AI286" s="448">
        <f>IF(NFI_Expiration=1,IF($A286&lt;VLOOKUP(T$5,NFI,5,0),1,0)*Table_NFI[[#This Row],[Winter Items Other]],Table_NFI[Winter Items Other])</f>
        <v>0</v>
      </c>
      <c r="AJ286" s="448">
        <f>IF(NFI_Expiration=1,IF($A286&lt;VLOOKUP(M$5,NFI,5,0),1,0)*Table_NFI[[#This Row],[Winter Blanket]],Table_NFI[[#This Row],[Winter Blanket]])</f>
        <v>0</v>
      </c>
      <c r="AK286" s="448">
        <f>IF(Table_NFI[[#This Row],[Winter Clothes Adult]]+Table_NFI[[#This Row],[Winter Clothes Children]]+Table_NFI[[#This Row],[Winter Items Other]]+Table_NFI[[#This Row],[Winter Blanket]]&gt;0,1,0)</f>
        <v>1</v>
      </c>
      <c r="AL286" s="439">
        <f>IF(NFI_Expiration=1,IF($A286&lt;VLOOKUP(V$5,NFI,5,0),1,0)*Table_NFI[[#This Row],[Jerry Can]],Table_NFI[Jerry Can])</f>
        <v>0</v>
      </c>
      <c r="AM286" s="797" t="str">
        <f>IFERROR(VLOOKUP(Table_NFI[[#This Row],[Camp Name]],CL,2,0),"")</f>
        <v>MMR001CMP225</v>
      </c>
      <c r="AN286" s="798">
        <f ca="1">IF(Table_NFI[[#This Row],[Pcode]]="","",IF(OFFSET(CampList[Opening Date],MATCH(Table_NFI[[#This Row],[Pcode]],CampList[CP_Pcode],0)-1,0,1,1)&gt;=NFI_Monitor_Date,1,0))</f>
        <v>0</v>
      </c>
      <c r="AO286" s="797" t="str">
        <f>IFERROR(VLOOKUP(Table_NFI[[#This Row],[Camp Name]],CL,3,0),"")</f>
        <v>Open</v>
      </c>
      <c r="AP286" s="448" t="str">
        <f ca="1">IF(Table_NFI[[#This Row],[Pcode]]="","",OFFSET(CampList[Priority],MATCH(Table_NFI[[#This Row],[Pcode]],CampList[CP_Pcode],0)-1,0,1,1))</f>
        <v>P1</v>
      </c>
      <c r="AQ286" s="449">
        <f>IFERROR(Table_NFI[[#This Row],[Kitchen Set]]/VLOOKUP(Table_NFI[[#This Row],[Camp Name]],CL,4,0),"")</f>
        <v>0</v>
      </c>
      <c r="AR286" s="799"/>
      <c r="AS286" s="783"/>
    </row>
    <row r="287" spans="1:45" s="784" customFormat="1" x14ac:dyDescent="0.25">
      <c r="A287" s="455">
        <f t="shared" si="4"/>
        <v>20.566666666666666</v>
      </c>
      <c r="B287" s="778">
        <v>41692</v>
      </c>
      <c r="C287" s="779" t="s">
        <v>1113</v>
      </c>
      <c r="D287" s="779" t="s">
        <v>907</v>
      </c>
      <c r="E287" s="779" t="s">
        <v>380</v>
      </c>
      <c r="F287" s="779" t="s">
        <v>813</v>
      </c>
      <c r="G287" s="779" t="s">
        <v>813</v>
      </c>
      <c r="H287" s="436"/>
      <c r="I287" s="436"/>
      <c r="J287" s="436"/>
      <c r="K287" s="436"/>
      <c r="L287" s="437"/>
      <c r="M287" s="437"/>
      <c r="N287" s="437"/>
      <c r="O287" s="437"/>
      <c r="P287" s="439"/>
      <c r="Q287" s="439"/>
      <c r="R287" s="436"/>
      <c r="S287" s="436"/>
      <c r="T287" s="436"/>
      <c r="U287" s="436">
        <v>16</v>
      </c>
      <c r="V287" s="436"/>
      <c r="W287" s="448">
        <f>IF(NFI_Expiration=1,IF($A287&lt;VLOOKUP(H$5,NFI,5,0),1,0)*Table_NFI[[#This Row],[Hygiene Kit]],Table_NFI[Hygiene Kit])</f>
        <v>0</v>
      </c>
      <c r="X287" s="448">
        <f>IF(NFI_Expiration=1,IF($A287&lt;VLOOKUP(I$5,NFI,5,0),1,0)*Table_NFI[[#This Row],[NFI Core Kit]],Table_NFI[NFI Core Kit])</f>
        <v>0</v>
      </c>
      <c r="Y287" s="448">
        <f>IF(NFI_Expiration=1,IF($A287&lt;VLOOKUP(J$5,NFI,5,0),1,0)*Table_NFI[[#This Row],[Sanitary Kit]],Table_NFI[Sanitary Kit])</f>
        <v>0</v>
      </c>
      <c r="Z287" s="448">
        <f>IF(NFI_Expiration=1,IF($A287&lt;VLOOKUP(K$5,NFI,5,0),1,0)*Table_NFI[[#This Row],[Mosquito net]],Table_NFI[Mosquito net])</f>
        <v>0</v>
      </c>
      <c r="AA287" s="448">
        <f>IF(NFI_Expiration=1,IF($A287&lt;VLOOKUP(L$5,NFI,5,0),1,0)*Table_NFI[[#This Row],[Tarpaulin]],Table_NFI[[#This Row],[Tarpaulin]])</f>
        <v>0</v>
      </c>
      <c r="AB287" s="448">
        <f>IF(NFI_Expiration=1,IF($A287&lt;VLOOKUP(M$5,NFI,5,0),1,0)*Table_NFI[[#This Row],[Blanket]],Table_NFI[[#This Row],[Blanket]])</f>
        <v>0</v>
      </c>
      <c r="AC287" s="448">
        <f>IF(NFI_Expiration=1,IF($A287&lt;VLOOKUP(N$5,NFI,5,0),1,0)*Table_NFI[[#This Row],[Kitchen Set]],Table_NFI[Kitchen Set])</f>
        <v>0</v>
      </c>
      <c r="AD287" s="448">
        <f>IF(NFI_Expiration=1,IF($A287&lt;VLOOKUP(O$5,NFI,5,0),1,0)*Table_NFI[[#This Row],[Clothes Kit]],Table_NFI[Clothes Kit])</f>
        <v>0</v>
      </c>
      <c r="AE287" s="448">
        <f>IF(NFI_Expiration=1,IF($A287&lt;VLOOKUP(P$5,NFI,5,0),1,0)*Table_NFI[[#This Row],[Plastic Bucket]],Table_NFI[Plastic Bucket])</f>
        <v>0</v>
      </c>
      <c r="AF287" s="448">
        <f>IF(NFI_Expiration=1,IF($A287&lt;VLOOKUP(Q$5,NFI,5,0),1,0)*Table_NFI[[#This Row],[Plastic Mat]],Table_NFI[Plastic Mat])*IF(Table_NFI[[#This Row],[Distribution Date]]&gt;"2014-04-01",1,2.5)</f>
        <v>0</v>
      </c>
      <c r="AG287" s="448">
        <f>IF(NFI_Expiration=1,IF($A287&lt;VLOOKUP(R$5,NFI,5,0),1,0)*Table_NFI[[#This Row],[Winter Clothes Adult]],Table_NFI[Winter Clothes Adult])</f>
        <v>0</v>
      </c>
      <c r="AH287" s="448">
        <f>IF(NFI_Expiration=1,IF($A287&lt;VLOOKUP(S$5,NFI,5,0),1,0)*Table_NFI[[#This Row],[Winter Clothes Children]],Table_NFI[Winter Clothes Children])</f>
        <v>0</v>
      </c>
      <c r="AI287" s="448">
        <f>IF(NFI_Expiration=1,IF($A287&lt;VLOOKUP(T$5,NFI,5,0),1,0)*Table_NFI[[#This Row],[Winter Items Other]],Table_NFI[Winter Items Other])</f>
        <v>0</v>
      </c>
      <c r="AJ287" s="448">
        <f>IF(NFI_Expiration=1,IF($A287&lt;VLOOKUP(M$5,NFI,5,0),1,0)*Table_NFI[[#This Row],[Winter Blanket]],Table_NFI[[#This Row],[Winter Blanket]])</f>
        <v>0</v>
      </c>
      <c r="AK287" s="448">
        <f>IF(Table_NFI[[#This Row],[Winter Clothes Adult]]+Table_NFI[[#This Row],[Winter Clothes Children]]+Table_NFI[[#This Row],[Winter Items Other]]+Table_NFI[[#This Row],[Winter Blanket]]&gt;0,1,0)</f>
        <v>1</v>
      </c>
      <c r="AL287" s="439">
        <f>IF(NFI_Expiration=1,IF($A287&lt;VLOOKUP(V$5,NFI,5,0),1,0)*Table_NFI[[#This Row],[Jerry Can]],Table_NFI[Jerry Can])</f>
        <v>0</v>
      </c>
      <c r="AM287" s="797" t="str">
        <f>IFERROR(VLOOKUP(Table_NFI[[#This Row],[Camp Name]],CL,2,0),"")</f>
        <v>MMR001CMP206</v>
      </c>
      <c r="AN287" s="798">
        <f ca="1">IF(Table_NFI[[#This Row],[Pcode]]="","",IF(OFFSET(CampList[Opening Date],MATCH(Table_NFI[[#This Row],[Pcode]],CampList[CP_Pcode],0)-1,0,1,1)&gt;=NFI_Monitor_Date,1,0))</f>
        <v>0</v>
      </c>
      <c r="AO287" s="797" t="str">
        <f>IFERROR(VLOOKUP(Table_NFI[[#This Row],[Camp Name]],CL,3,0),"")</f>
        <v>Open</v>
      </c>
      <c r="AP287" s="448" t="str">
        <f ca="1">IF(Table_NFI[[#This Row],[Pcode]]="","",OFFSET(CampList[Priority],MATCH(Table_NFI[[#This Row],[Pcode]],CampList[CP_Pcode],0)-1,0,1,1))</f>
        <v>P4</v>
      </c>
      <c r="AQ287" s="449">
        <f>IFERROR(Table_NFI[[#This Row],[Kitchen Set]]/VLOOKUP(Table_NFI[[#This Row],[Camp Name]],CL,4,0),"")</f>
        <v>0</v>
      </c>
      <c r="AR287" s="799"/>
      <c r="AS287" s="783"/>
    </row>
    <row r="288" spans="1:45" s="784" customFormat="1" x14ac:dyDescent="0.25">
      <c r="A288" s="455">
        <f t="shared" si="4"/>
        <v>21.366666666666667</v>
      </c>
      <c r="B288" s="778">
        <v>41668</v>
      </c>
      <c r="C288" s="779" t="s">
        <v>454</v>
      </c>
      <c r="D288" s="442" t="s">
        <v>454</v>
      </c>
      <c r="E288" s="785" t="s">
        <v>380</v>
      </c>
      <c r="F288" s="435" t="s">
        <v>151</v>
      </c>
      <c r="G288" s="435" t="s">
        <v>891</v>
      </c>
      <c r="H288" s="442"/>
      <c r="I288" s="442"/>
      <c r="J288" s="442"/>
      <c r="K288" s="785">
        <v>100</v>
      </c>
      <c r="L288" s="786">
        <v>58</v>
      </c>
      <c r="M288" s="443">
        <v>100</v>
      </c>
      <c r="N288" s="443">
        <v>58</v>
      </c>
      <c r="O288" s="443"/>
      <c r="P288" s="786">
        <v>58</v>
      </c>
      <c r="Q288" s="443">
        <v>290</v>
      </c>
      <c r="R288" s="442"/>
      <c r="S288" s="442"/>
      <c r="T288" s="442"/>
      <c r="U288" s="442"/>
      <c r="V288" s="442"/>
      <c r="W288" s="436">
        <f>IF(NFI_Expiration=1,IF($A288&lt;VLOOKUP(H$5,NFI,5,0),1,0)*Table_NFI[[#This Row],[Hygiene Kit]],Table_NFI[Hygiene Kit])</f>
        <v>0</v>
      </c>
      <c r="X288" s="436">
        <f>IF(NFI_Expiration=1,IF($A288&lt;VLOOKUP(I$5,NFI,5,0),1,0)*Table_NFI[[#This Row],[NFI Core Kit]],Table_NFI[NFI Core Kit])</f>
        <v>0</v>
      </c>
      <c r="Y288" s="436">
        <f>IF(NFI_Expiration=1,IF($A288&lt;VLOOKUP(J$5,NFI,5,0),1,0)*Table_NFI[[#This Row],[Sanitary Kit]],Table_NFI[Sanitary Kit])</f>
        <v>0</v>
      </c>
      <c r="Z288" s="436">
        <f>IF(NFI_Expiration=1,IF($A288&lt;VLOOKUP(K$5,NFI,5,0),1,0)*Table_NFI[[#This Row],[Mosquito net]],Table_NFI[Mosquito net])</f>
        <v>0</v>
      </c>
      <c r="AA288" s="436">
        <f>IF(NFI_Expiration=1,IF($A288&lt;VLOOKUP(L$5,NFI,5,0),1,0)*Table_NFI[[#This Row],[Tarpaulin]],Table_NFI[[#This Row],[Tarpaulin]])</f>
        <v>0</v>
      </c>
      <c r="AB288" s="436">
        <f>IF(NFI_Expiration=1,IF($A288&lt;VLOOKUP(M$5,NFI,5,0),1,0)*Table_NFI[[#This Row],[Blanket]],Table_NFI[[#This Row],[Blanket]])</f>
        <v>0</v>
      </c>
      <c r="AC288" s="436">
        <f>IF(NFI_Expiration=1,IF($A288&lt;VLOOKUP(N$5,NFI,5,0),1,0)*Table_NFI[[#This Row],[Kitchen Set]],Table_NFI[Kitchen Set])</f>
        <v>0</v>
      </c>
      <c r="AD288" s="436">
        <f>IF(NFI_Expiration=1,IF($A288&lt;VLOOKUP(O$5,NFI,5,0),1,0)*Table_NFI[[#This Row],[Clothes Kit]],Table_NFI[Clothes Kit])</f>
        <v>0</v>
      </c>
      <c r="AE288" s="436">
        <f>IF(NFI_Expiration=1,IF($A288&lt;VLOOKUP(P$5,NFI,5,0),1,0)*Table_NFI[[#This Row],[Plastic Bucket]],Table_NFI[Plastic Bucket])</f>
        <v>0</v>
      </c>
      <c r="AF288" s="436">
        <f>IF(NFI_Expiration=1,IF($A288&lt;VLOOKUP(Q$5,NFI,5,0),1,0)*Table_NFI[[#This Row],[Plastic Mat]],Table_NFI[Plastic Mat])*IF(Table_NFI[[#This Row],[Distribution Date]]&gt;"2014-04-01",1,2.5)</f>
        <v>0</v>
      </c>
      <c r="AG288" s="436">
        <f>IF(NFI_Expiration=1,IF($A288&lt;VLOOKUP(R$5,NFI,5,0),1,0)*Table_NFI[[#This Row],[Winter Clothes Adult]],Table_NFI[Winter Clothes Adult])</f>
        <v>0</v>
      </c>
      <c r="AH288" s="436">
        <f>IF(NFI_Expiration=1,IF($A288&lt;VLOOKUP(S$5,NFI,5,0),1,0)*Table_NFI[[#This Row],[Winter Clothes Children]],Table_NFI[Winter Clothes Children])</f>
        <v>0</v>
      </c>
      <c r="AI288" s="436">
        <f>IF(NFI_Expiration=1,IF($A288&lt;VLOOKUP(T$5,NFI,5,0),1,0)*Table_NFI[[#This Row],[Winter Items Other]],Table_NFI[Winter Items Other])</f>
        <v>0</v>
      </c>
      <c r="AJ288" s="436">
        <f>IF(NFI_Expiration=1,IF($A288&lt;VLOOKUP(M$5,NFI,5,0),1,0)*Table_NFI[[#This Row],[Winter Blanket]],Table_NFI[[#This Row],[Winter Blanket]])</f>
        <v>0</v>
      </c>
      <c r="AK288" s="436">
        <f>IF(Table_NFI[[#This Row],[Winter Clothes Adult]]+Table_NFI[[#This Row],[Winter Clothes Children]]+Table_NFI[[#This Row],[Winter Items Other]]+Table_NFI[[#This Row],[Winter Blanket]]&gt;0,1,0)</f>
        <v>0</v>
      </c>
      <c r="AL288" s="439">
        <f>IF(NFI_Expiration=1,IF($A288&lt;VLOOKUP(V$5,NFI,5,0),1,0)*Table_NFI[[#This Row],[Jerry Can]],Table_NFI[Jerry Can])</f>
        <v>0</v>
      </c>
      <c r="AM288" s="781" t="str">
        <f>IFERROR(VLOOKUP(Table_NFI[[#This Row],[Camp Name]],CL,2,0),"")</f>
        <v>MMR001CMP218</v>
      </c>
      <c r="AN288" s="782">
        <f ca="1">IF(Table_NFI[[#This Row],[Pcode]]="","",IF(OFFSET(CampList[Opening Date],MATCH(Table_NFI[[#This Row],[Pcode]],CampList[CP_Pcode],0)-1,0,1,1)&gt;=NFI_Monitor_Date,1,0))</f>
        <v>0</v>
      </c>
      <c r="AO288" s="781" t="str">
        <f>IFERROR(VLOOKUP(Table_NFI[[#This Row],[Camp Name]],CL,3,0),"")</f>
        <v>Open</v>
      </c>
      <c r="AP288" s="436" t="str">
        <f ca="1">IF(Table_NFI[[#This Row],[Pcode]]="","",OFFSET(CampList[Priority],MATCH(Table_NFI[[#This Row],[Pcode]],CampList[CP_Pcode],0)-1,0,1,1))</f>
        <v>P4</v>
      </c>
      <c r="AQ288" s="438">
        <f>IFERROR(Table_NFI[[#This Row],[Kitchen Set]]/VLOOKUP(Table_NFI[[#This Row],[Camp Name]],CL,4,0),"")</f>
        <v>0.15591397849462366</v>
      </c>
      <c r="AR288" s="779" t="s">
        <v>1099</v>
      </c>
      <c r="AS288" s="783"/>
    </row>
    <row r="289" spans="1:45" s="784" customFormat="1" x14ac:dyDescent="0.25">
      <c r="A289" s="455">
        <f t="shared" si="4"/>
        <v>21.4</v>
      </c>
      <c r="B289" s="778">
        <v>41667</v>
      </c>
      <c r="C289" s="779" t="s">
        <v>454</v>
      </c>
      <c r="D289" s="789"/>
      <c r="E289" s="779" t="s">
        <v>380</v>
      </c>
      <c r="F289" s="779" t="s">
        <v>151</v>
      </c>
      <c r="G289" s="779" t="s">
        <v>949</v>
      </c>
      <c r="H289" s="437"/>
      <c r="I289" s="437"/>
      <c r="J289" s="437"/>
      <c r="K289" s="437">
        <v>18</v>
      </c>
      <c r="L289" s="437">
        <v>10</v>
      </c>
      <c r="M289" s="437">
        <v>18</v>
      </c>
      <c r="N289" s="437">
        <v>40</v>
      </c>
      <c r="O289" s="437"/>
      <c r="P289" s="439">
        <v>10</v>
      </c>
      <c r="Q289" s="439">
        <v>50</v>
      </c>
      <c r="R289" s="439"/>
      <c r="S289" s="439"/>
      <c r="T289" s="439"/>
      <c r="U289" s="439"/>
      <c r="V289" s="439"/>
      <c r="W289" s="439">
        <f>IF(NFI_Expiration=1,IF($A289&lt;VLOOKUP(H$5,NFI,5,0),1,0)*Table_NFI[[#This Row],[Hygiene Kit]],Table_NFI[Hygiene Kit])</f>
        <v>0</v>
      </c>
      <c r="X289" s="439">
        <f>IF(NFI_Expiration=1,IF($A289&lt;VLOOKUP(I$5,NFI,5,0),1,0)*Table_NFI[[#This Row],[NFI Core Kit]],Table_NFI[NFI Core Kit])</f>
        <v>0</v>
      </c>
      <c r="Y289" s="439">
        <f>IF(NFI_Expiration=1,IF($A289&lt;VLOOKUP(J$5,NFI,5,0),1,0)*Table_NFI[[#This Row],[Sanitary Kit]],Table_NFI[Sanitary Kit])</f>
        <v>0</v>
      </c>
      <c r="Z289" s="439">
        <f>IF(NFI_Expiration=1,IF($A289&lt;VLOOKUP(K$5,NFI,5,0),1,0)*Table_NFI[[#This Row],[Mosquito net]],Table_NFI[Mosquito net])</f>
        <v>0</v>
      </c>
      <c r="AA289" s="439">
        <f>IF(NFI_Expiration=1,IF($A289&lt;VLOOKUP(L$5,NFI,5,0),1,0)*Table_NFI[[#This Row],[Tarpaulin]],Table_NFI[[#This Row],[Tarpaulin]])</f>
        <v>0</v>
      </c>
      <c r="AB289" s="439">
        <f>IF(NFI_Expiration=1,IF($A289&lt;VLOOKUP(M$5,NFI,5,0),1,0)*Table_NFI[[#This Row],[Blanket]],Table_NFI[[#This Row],[Blanket]])</f>
        <v>0</v>
      </c>
      <c r="AC289" s="439">
        <f>IF(NFI_Expiration=1,IF($A289&lt;VLOOKUP(N$5,NFI,5,0),1,0)*Table_NFI[[#This Row],[Kitchen Set]],Table_NFI[Kitchen Set])</f>
        <v>0</v>
      </c>
      <c r="AD289" s="439">
        <f>IF(NFI_Expiration=1,IF($A289&lt;VLOOKUP(O$5,NFI,5,0),1,0)*Table_NFI[[#This Row],[Clothes Kit]],Table_NFI[Clothes Kit])</f>
        <v>0</v>
      </c>
      <c r="AE289" s="439">
        <f>IF(NFI_Expiration=1,IF($A289&lt;VLOOKUP(P$5,NFI,5,0),1,0)*Table_NFI[[#This Row],[Plastic Bucket]],Table_NFI[Plastic Bucket])</f>
        <v>0</v>
      </c>
      <c r="AF289" s="439">
        <f>IF(NFI_Expiration=1,IF($A289&lt;VLOOKUP(Q$5,NFI,5,0),1,0)*Table_NFI[[#This Row],[Plastic Mat]],Table_NFI[Plastic Mat])*IF(Table_NFI[[#This Row],[Distribution Date]]&gt;"2014-04-01",1,2.5)</f>
        <v>0</v>
      </c>
      <c r="AG289" s="439">
        <f>IF(NFI_Expiration=1,IF($A289&lt;VLOOKUP(R$5,NFI,5,0),1,0)*Table_NFI[[#This Row],[Winter Clothes Adult]],Table_NFI[Winter Clothes Adult])</f>
        <v>0</v>
      </c>
      <c r="AH289" s="439">
        <f>IF(NFI_Expiration=1,IF($A289&lt;VLOOKUP(S$5,NFI,5,0),1,0)*Table_NFI[[#This Row],[Winter Clothes Children]],Table_NFI[Winter Clothes Children])</f>
        <v>0</v>
      </c>
      <c r="AI289" s="439">
        <f>IF(NFI_Expiration=1,IF($A289&lt;VLOOKUP(T$5,NFI,5,0),1,0)*Table_NFI[[#This Row],[Winter Items Other]],Table_NFI[Winter Items Other])</f>
        <v>0</v>
      </c>
      <c r="AJ289" s="439">
        <f>IF(NFI_Expiration=1,IF($A289&lt;VLOOKUP(M$5,NFI,5,0),1,0)*Table_NFI[[#This Row],[Winter Blanket]],Table_NFI[[#This Row],[Winter Blanket]])</f>
        <v>0</v>
      </c>
      <c r="AK289" s="439">
        <f>IF(Table_NFI[[#This Row],[Winter Clothes Adult]]+Table_NFI[[#This Row],[Winter Clothes Children]]+Table_NFI[[#This Row],[Winter Items Other]]+Table_NFI[[#This Row],[Winter Blanket]]&gt;0,1,0)</f>
        <v>0</v>
      </c>
      <c r="AL289" s="439">
        <f>IF(NFI_Expiration=1,IF($A289&lt;VLOOKUP(V$5,NFI,5,0),1,0)*Table_NFI[[#This Row],[Jerry Can]],Table_NFI[Jerry Can])</f>
        <v>0</v>
      </c>
      <c r="AM289" s="791" t="str">
        <f>IFERROR(VLOOKUP(Table_NFI[[#This Row],[Camp Name]],CL,2,0),"")</f>
        <v>MMR001CMP223</v>
      </c>
      <c r="AN289" s="782">
        <f ca="1">IF(Table_NFI[[#This Row],[Pcode]]="","",IF(OFFSET(CampList[Opening Date],MATCH(Table_NFI[[#This Row],[Pcode]],CampList[CP_Pcode],0)-1,0,1,1)&gt;=NFI_Monitor_Date,1,0))</f>
        <v>0</v>
      </c>
      <c r="AO289" s="791" t="str">
        <f>IFERROR(VLOOKUP(Table_NFI[[#This Row],[Camp Name]],CL,3,0),"")</f>
        <v>Open</v>
      </c>
      <c r="AP289" s="439" t="str">
        <f ca="1">IF(Table_NFI[[#This Row],[Pcode]]="","",OFFSET(CampList[Priority],MATCH(Table_NFI[[#This Row],[Pcode]],CampList[CP_Pcode],0)-1,0,1,1))</f>
        <v>P4</v>
      </c>
      <c r="AQ289" s="438">
        <f>IFERROR(Table_NFI[[#This Row],[Kitchen Set]]/VLOOKUP(Table_NFI[[#This Row],[Camp Name]],CL,4,0),"")</f>
        <v>0.33057851239669422</v>
      </c>
      <c r="AR289" s="789"/>
      <c r="AS289" s="792"/>
    </row>
    <row r="290" spans="1:45" s="784" customFormat="1" x14ac:dyDescent="0.25">
      <c r="A290" s="455">
        <f t="shared" si="4"/>
        <v>21.433333333333334</v>
      </c>
      <c r="B290" s="778">
        <v>41666</v>
      </c>
      <c r="C290" s="779" t="s">
        <v>1043</v>
      </c>
      <c r="D290" s="779" t="s">
        <v>462</v>
      </c>
      <c r="E290" s="779" t="s">
        <v>380</v>
      </c>
      <c r="F290" s="779" t="s">
        <v>310</v>
      </c>
      <c r="G290" s="779" t="s">
        <v>336</v>
      </c>
      <c r="H290" s="436"/>
      <c r="I290" s="436"/>
      <c r="J290" s="436"/>
      <c r="K290" s="436"/>
      <c r="L290" s="437"/>
      <c r="M290" s="437">
        <v>181</v>
      </c>
      <c r="N290" s="437">
        <v>181</v>
      </c>
      <c r="O290" s="437">
        <v>181</v>
      </c>
      <c r="P290" s="439"/>
      <c r="Q290" s="439">
        <v>181</v>
      </c>
      <c r="R290" s="436"/>
      <c r="S290" s="436"/>
      <c r="T290" s="436"/>
      <c r="U290" s="436"/>
      <c r="V290" s="436"/>
      <c r="W290" s="436">
        <f>IF(NFI_Expiration=1,IF($A290&lt;VLOOKUP(H$5,NFI,5,0),1,0)*Table_NFI[[#This Row],[Hygiene Kit]],Table_NFI[Hygiene Kit])</f>
        <v>0</v>
      </c>
      <c r="X290" s="436">
        <f>IF(NFI_Expiration=1,IF($A290&lt;VLOOKUP(I$5,NFI,5,0),1,0)*Table_NFI[[#This Row],[NFI Core Kit]],Table_NFI[NFI Core Kit])</f>
        <v>0</v>
      </c>
      <c r="Y290" s="436">
        <f>IF(NFI_Expiration=1,IF($A290&lt;VLOOKUP(J$5,NFI,5,0),1,0)*Table_NFI[[#This Row],[Sanitary Kit]],Table_NFI[Sanitary Kit])</f>
        <v>0</v>
      </c>
      <c r="Z290" s="436">
        <f>IF(NFI_Expiration=1,IF($A290&lt;VLOOKUP(K$5,NFI,5,0),1,0)*Table_NFI[[#This Row],[Mosquito net]],Table_NFI[Mosquito net])</f>
        <v>0</v>
      </c>
      <c r="AA290" s="436">
        <f>IF(NFI_Expiration=1,IF($A290&lt;VLOOKUP(L$5,NFI,5,0),1,0)*Table_NFI[[#This Row],[Tarpaulin]],Table_NFI[[#This Row],[Tarpaulin]])</f>
        <v>0</v>
      </c>
      <c r="AB290" s="436">
        <f>IF(NFI_Expiration=1,IF($A290&lt;VLOOKUP(M$5,NFI,5,0),1,0)*Table_NFI[[#This Row],[Blanket]],Table_NFI[[#This Row],[Blanket]])</f>
        <v>0</v>
      </c>
      <c r="AC290" s="436">
        <f>IF(NFI_Expiration=1,IF($A290&lt;VLOOKUP(N$5,NFI,5,0),1,0)*Table_NFI[[#This Row],[Kitchen Set]],Table_NFI[Kitchen Set])</f>
        <v>0</v>
      </c>
      <c r="AD290" s="436">
        <f>IF(NFI_Expiration=1,IF($A290&lt;VLOOKUP(O$5,NFI,5,0),1,0)*Table_NFI[[#This Row],[Clothes Kit]],Table_NFI[Clothes Kit])</f>
        <v>0</v>
      </c>
      <c r="AE290" s="436">
        <f>IF(NFI_Expiration=1,IF($A290&lt;VLOOKUP(P$5,NFI,5,0),1,0)*Table_NFI[[#This Row],[Plastic Bucket]],Table_NFI[Plastic Bucket])</f>
        <v>0</v>
      </c>
      <c r="AF290" s="436">
        <f>IF(NFI_Expiration=1,IF($A290&lt;VLOOKUP(Q$5,NFI,5,0),1,0)*Table_NFI[[#This Row],[Plastic Mat]],Table_NFI[Plastic Mat])*IF(Table_NFI[[#This Row],[Distribution Date]]&gt;"2014-04-01",1,2.5)</f>
        <v>0</v>
      </c>
      <c r="AG290" s="436">
        <f>IF(NFI_Expiration=1,IF($A290&lt;VLOOKUP(R$5,NFI,5,0),1,0)*Table_NFI[[#This Row],[Winter Clothes Adult]],Table_NFI[Winter Clothes Adult])</f>
        <v>0</v>
      </c>
      <c r="AH290" s="436">
        <f>IF(NFI_Expiration=1,IF($A290&lt;VLOOKUP(S$5,NFI,5,0),1,0)*Table_NFI[[#This Row],[Winter Clothes Children]],Table_NFI[Winter Clothes Children])</f>
        <v>0</v>
      </c>
      <c r="AI290" s="436">
        <f>IF(NFI_Expiration=1,IF($A290&lt;VLOOKUP(T$5,NFI,5,0),1,0)*Table_NFI[[#This Row],[Winter Items Other]],Table_NFI[Winter Items Other])</f>
        <v>0</v>
      </c>
      <c r="AJ290" s="436">
        <f>IF(NFI_Expiration=1,IF($A290&lt;VLOOKUP(M$5,NFI,5,0),1,0)*Table_NFI[[#This Row],[Winter Blanket]],Table_NFI[[#This Row],[Winter Blanket]])</f>
        <v>0</v>
      </c>
      <c r="AK290" s="436">
        <f>IF(Table_NFI[[#This Row],[Winter Clothes Adult]]+Table_NFI[[#This Row],[Winter Clothes Children]]+Table_NFI[[#This Row],[Winter Items Other]]+Table_NFI[[#This Row],[Winter Blanket]]&gt;0,1,0)</f>
        <v>0</v>
      </c>
      <c r="AL290" s="439">
        <f>IF(NFI_Expiration=1,IF($A290&lt;VLOOKUP(V$5,NFI,5,0),1,0)*Table_NFI[[#This Row],[Jerry Can]],Table_NFI[Jerry Can])</f>
        <v>0</v>
      </c>
      <c r="AM290" s="781" t="str">
        <f>IFERROR(VLOOKUP(Table_NFI[[#This Row],[Camp Name]],CL,2,0),"")</f>
        <v>MMR001CMP115</v>
      </c>
      <c r="AN290" s="782">
        <f ca="1">IF(Table_NFI[[#This Row],[Pcode]]="","",IF(OFFSET(CampList[Opening Date],MATCH(Table_NFI[[#This Row],[Pcode]],CampList[CP_Pcode],0)-1,0,1,1)&gt;=NFI_Monitor_Date,1,0))</f>
        <v>0</v>
      </c>
      <c r="AO290" s="781" t="str">
        <f>IFERROR(VLOOKUP(Table_NFI[[#This Row],[Camp Name]],CL,3,0),"")</f>
        <v>Open</v>
      </c>
      <c r="AP290" s="436" t="str">
        <f ca="1">IF(Table_NFI[[#This Row],[Pcode]]="","",OFFSET(CampList[Priority],MATCH(Table_NFI[[#This Row],[Pcode]],CampList[CP_Pcode],0)-1,0,1,1))</f>
        <v>P1</v>
      </c>
      <c r="AQ290" s="438">
        <f>IFERROR(Table_NFI[[#This Row],[Kitchen Set]]/VLOOKUP(Table_NFI[[#This Row],[Camp Name]],CL,4,0),"")</f>
        <v>1.3308823529411764</v>
      </c>
      <c r="AR290" s="779" t="s">
        <v>1099</v>
      </c>
      <c r="AS290" s="783"/>
    </row>
    <row r="291" spans="1:45" s="784" customFormat="1" x14ac:dyDescent="0.25">
      <c r="A291" s="455">
        <f t="shared" si="4"/>
        <v>21.433333333333334</v>
      </c>
      <c r="B291" s="778">
        <v>41666</v>
      </c>
      <c r="C291" s="779" t="s">
        <v>1043</v>
      </c>
      <c r="D291" s="779" t="s">
        <v>462</v>
      </c>
      <c r="E291" s="779" t="s">
        <v>380</v>
      </c>
      <c r="F291" s="779" t="s">
        <v>27</v>
      </c>
      <c r="G291" s="779" t="s">
        <v>364</v>
      </c>
      <c r="H291" s="436"/>
      <c r="I291" s="436"/>
      <c r="J291" s="436"/>
      <c r="K291" s="436"/>
      <c r="L291" s="437"/>
      <c r="M291" s="437">
        <v>155</v>
      </c>
      <c r="N291" s="437">
        <v>155</v>
      </c>
      <c r="O291" s="437">
        <v>155</v>
      </c>
      <c r="P291" s="439"/>
      <c r="Q291" s="439">
        <v>155</v>
      </c>
      <c r="R291" s="436"/>
      <c r="S291" s="436"/>
      <c r="T291" s="436"/>
      <c r="U291" s="436"/>
      <c r="V291" s="436"/>
      <c r="W291" s="436">
        <f>IF(NFI_Expiration=1,IF($A291&lt;VLOOKUP(H$5,NFI,5,0),1,0)*Table_NFI[[#This Row],[Hygiene Kit]],Table_NFI[Hygiene Kit])</f>
        <v>0</v>
      </c>
      <c r="X291" s="436">
        <f>IF(NFI_Expiration=1,IF($A291&lt;VLOOKUP(I$5,NFI,5,0),1,0)*Table_NFI[[#This Row],[NFI Core Kit]],Table_NFI[NFI Core Kit])</f>
        <v>0</v>
      </c>
      <c r="Y291" s="436">
        <f>IF(NFI_Expiration=1,IF($A291&lt;VLOOKUP(J$5,NFI,5,0),1,0)*Table_NFI[[#This Row],[Sanitary Kit]],Table_NFI[Sanitary Kit])</f>
        <v>0</v>
      </c>
      <c r="Z291" s="436">
        <f>IF(NFI_Expiration=1,IF($A291&lt;VLOOKUP(K$5,NFI,5,0),1,0)*Table_NFI[[#This Row],[Mosquito net]],Table_NFI[Mosquito net])</f>
        <v>0</v>
      </c>
      <c r="AA291" s="436">
        <f>IF(NFI_Expiration=1,IF($A291&lt;VLOOKUP(L$5,NFI,5,0),1,0)*Table_NFI[[#This Row],[Tarpaulin]],Table_NFI[[#This Row],[Tarpaulin]])</f>
        <v>0</v>
      </c>
      <c r="AB291" s="436">
        <f>IF(NFI_Expiration=1,IF($A291&lt;VLOOKUP(M$5,NFI,5,0),1,0)*Table_NFI[[#This Row],[Blanket]],Table_NFI[[#This Row],[Blanket]])</f>
        <v>0</v>
      </c>
      <c r="AC291" s="436">
        <f>IF(NFI_Expiration=1,IF($A291&lt;VLOOKUP(N$5,NFI,5,0),1,0)*Table_NFI[[#This Row],[Kitchen Set]],Table_NFI[Kitchen Set])</f>
        <v>0</v>
      </c>
      <c r="AD291" s="436">
        <f>IF(NFI_Expiration=1,IF($A291&lt;VLOOKUP(O$5,NFI,5,0),1,0)*Table_NFI[[#This Row],[Clothes Kit]],Table_NFI[Clothes Kit])</f>
        <v>0</v>
      </c>
      <c r="AE291" s="436">
        <f>IF(NFI_Expiration=1,IF($A291&lt;VLOOKUP(P$5,NFI,5,0),1,0)*Table_NFI[[#This Row],[Plastic Bucket]],Table_NFI[Plastic Bucket])</f>
        <v>0</v>
      </c>
      <c r="AF291" s="436">
        <f>IF(NFI_Expiration=1,IF($A291&lt;VLOOKUP(Q$5,NFI,5,0),1,0)*Table_NFI[[#This Row],[Plastic Mat]],Table_NFI[Plastic Mat])*IF(Table_NFI[[#This Row],[Distribution Date]]&gt;"2014-04-01",1,2.5)</f>
        <v>0</v>
      </c>
      <c r="AG291" s="436">
        <f>IF(NFI_Expiration=1,IF($A291&lt;VLOOKUP(R$5,NFI,5,0),1,0)*Table_NFI[[#This Row],[Winter Clothes Adult]],Table_NFI[Winter Clothes Adult])</f>
        <v>0</v>
      </c>
      <c r="AH291" s="436">
        <f>IF(NFI_Expiration=1,IF($A291&lt;VLOOKUP(S$5,NFI,5,0),1,0)*Table_NFI[[#This Row],[Winter Clothes Children]],Table_NFI[Winter Clothes Children])</f>
        <v>0</v>
      </c>
      <c r="AI291" s="436">
        <f>IF(NFI_Expiration=1,IF($A291&lt;VLOOKUP(T$5,NFI,5,0),1,0)*Table_NFI[[#This Row],[Winter Items Other]],Table_NFI[Winter Items Other])</f>
        <v>0</v>
      </c>
      <c r="AJ291" s="436">
        <f>IF(NFI_Expiration=1,IF($A291&lt;VLOOKUP(M$5,NFI,5,0),1,0)*Table_NFI[[#This Row],[Winter Blanket]],Table_NFI[[#This Row],[Winter Blanket]])</f>
        <v>0</v>
      </c>
      <c r="AK291" s="436">
        <f>IF(Table_NFI[[#This Row],[Winter Clothes Adult]]+Table_NFI[[#This Row],[Winter Clothes Children]]+Table_NFI[[#This Row],[Winter Items Other]]+Table_NFI[[#This Row],[Winter Blanket]]&gt;0,1,0)</f>
        <v>0</v>
      </c>
      <c r="AL291" s="439">
        <f>IF(NFI_Expiration=1,IF($A291&lt;VLOOKUP(V$5,NFI,5,0),1,0)*Table_NFI[[#This Row],[Jerry Can]],Table_NFI[Jerry Can])</f>
        <v>0</v>
      </c>
      <c r="AM291" s="781" t="str">
        <f>IFERROR(VLOOKUP(Table_NFI[[#This Row],[Camp Name]],CL,2,0),"")</f>
        <v>MMR001CMP043</v>
      </c>
      <c r="AN291" s="782">
        <f ca="1">IF(Table_NFI[[#This Row],[Pcode]]="","",IF(OFFSET(CampList[Opening Date],MATCH(Table_NFI[[#This Row],[Pcode]],CampList[CP_Pcode],0)-1,0,1,1)&gt;=NFI_Monitor_Date,1,0))</f>
        <v>0</v>
      </c>
      <c r="AO291" s="781" t="str">
        <f>IFERROR(VLOOKUP(Table_NFI[[#This Row],[Camp Name]],CL,3,0),"")</f>
        <v>Open</v>
      </c>
      <c r="AP291" s="436" t="str">
        <f ca="1">IF(Table_NFI[[#This Row],[Pcode]]="","",OFFSET(CampList[Priority],MATCH(Table_NFI[[#This Row],[Pcode]],CampList[CP_Pcode],0)-1,0,1,1))</f>
        <v>P1</v>
      </c>
      <c r="AQ291" s="438">
        <f>IFERROR(Table_NFI[[#This Row],[Kitchen Set]]/VLOOKUP(Table_NFI[[#This Row],[Camp Name]],CL,4,0),"")</f>
        <v>1.0064935064935066</v>
      </c>
      <c r="AR291" s="779" t="s">
        <v>1099</v>
      </c>
      <c r="AS291" s="783"/>
    </row>
    <row r="292" spans="1:45" s="784" customFormat="1" x14ac:dyDescent="0.25">
      <c r="A292" s="455">
        <f t="shared" si="4"/>
        <v>21.5</v>
      </c>
      <c r="B292" s="778">
        <v>41664</v>
      </c>
      <c r="C292" s="779" t="s">
        <v>454</v>
      </c>
      <c r="D292" s="442" t="s">
        <v>454</v>
      </c>
      <c r="E292" s="785" t="s">
        <v>380</v>
      </c>
      <c r="F292" s="435" t="s">
        <v>185</v>
      </c>
      <c r="G292" s="435" t="s">
        <v>192</v>
      </c>
      <c r="H292" s="442"/>
      <c r="I292" s="442"/>
      <c r="J292" s="442"/>
      <c r="K292" s="796">
        <v>62</v>
      </c>
      <c r="L292" s="786">
        <v>31</v>
      </c>
      <c r="M292" s="443">
        <v>62</v>
      </c>
      <c r="N292" s="443">
        <v>31</v>
      </c>
      <c r="O292" s="443"/>
      <c r="P292" s="786">
        <v>31</v>
      </c>
      <c r="Q292" s="443">
        <v>155</v>
      </c>
      <c r="R292" s="442"/>
      <c r="S292" s="442"/>
      <c r="T292" s="442"/>
      <c r="U292" s="442"/>
      <c r="V292" s="442"/>
      <c r="W292" s="436">
        <f>IF(NFI_Expiration=1,IF($A292&lt;VLOOKUP(H$5,NFI,5,0),1,0)*Table_NFI[[#This Row],[Hygiene Kit]],Table_NFI[Hygiene Kit])</f>
        <v>0</v>
      </c>
      <c r="X292" s="436">
        <f>IF(NFI_Expiration=1,IF($A292&lt;VLOOKUP(I$5,NFI,5,0),1,0)*Table_NFI[[#This Row],[NFI Core Kit]],Table_NFI[NFI Core Kit])</f>
        <v>0</v>
      </c>
      <c r="Y292" s="436">
        <f>IF(NFI_Expiration=1,IF($A292&lt;VLOOKUP(J$5,NFI,5,0),1,0)*Table_NFI[[#This Row],[Sanitary Kit]],Table_NFI[Sanitary Kit])</f>
        <v>0</v>
      </c>
      <c r="Z292" s="436">
        <f>IF(NFI_Expiration=1,IF($A292&lt;VLOOKUP(K$5,NFI,5,0),1,0)*Table_NFI[[#This Row],[Mosquito net]],Table_NFI[Mosquito net])</f>
        <v>0</v>
      </c>
      <c r="AA292" s="436">
        <f>IF(NFI_Expiration=1,IF($A292&lt;VLOOKUP(L$5,NFI,5,0),1,0)*Table_NFI[[#This Row],[Tarpaulin]],Table_NFI[[#This Row],[Tarpaulin]])</f>
        <v>0</v>
      </c>
      <c r="AB292" s="436">
        <f>IF(NFI_Expiration=1,IF($A292&lt;VLOOKUP(M$5,NFI,5,0),1,0)*Table_NFI[[#This Row],[Blanket]],Table_NFI[[#This Row],[Blanket]])</f>
        <v>0</v>
      </c>
      <c r="AC292" s="436">
        <f>IF(NFI_Expiration=1,IF($A292&lt;VLOOKUP(N$5,NFI,5,0),1,0)*Table_NFI[[#This Row],[Kitchen Set]],Table_NFI[Kitchen Set])</f>
        <v>0</v>
      </c>
      <c r="AD292" s="436">
        <f>IF(NFI_Expiration=1,IF($A292&lt;VLOOKUP(O$5,NFI,5,0),1,0)*Table_NFI[[#This Row],[Clothes Kit]],Table_NFI[Clothes Kit])</f>
        <v>0</v>
      </c>
      <c r="AE292" s="436">
        <f>IF(NFI_Expiration=1,IF($A292&lt;VLOOKUP(P$5,NFI,5,0),1,0)*Table_NFI[[#This Row],[Plastic Bucket]],Table_NFI[Plastic Bucket])</f>
        <v>0</v>
      </c>
      <c r="AF292" s="436">
        <f>IF(NFI_Expiration=1,IF($A292&lt;VLOOKUP(Q$5,NFI,5,0),1,0)*Table_NFI[[#This Row],[Plastic Mat]],Table_NFI[Plastic Mat])*IF(Table_NFI[[#This Row],[Distribution Date]]&gt;"2014-04-01",1,2.5)</f>
        <v>0</v>
      </c>
      <c r="AG292" s="436">
        <f>IF(NFI_Expiration=1,IF($A292&lt;VLOOKUP(R$5,NFI,5,0),1,0)*Table_NFI[[#This Row],[Winter Clothes Adult]],Table_NFI[Winter Clothes Adult])</f>
        <v>0</v>
      </c>
      <c r="AH292" s="436">
        <f>IF(NFI_Expiration=1,IF($A292&lt;VLOOKUP(S$5,NFI,5,0),1,0)*Table_NFI[[#This Row],[Winter Clothes Children]],Table_NFI[Winter Clothes Children])</f>
        <v>0</v>
      </c>
      <c r="AI292" s="436">
        <f>IF(NFI_Expiration=1,IF($A292&lt;VLOOKUP(T$5,NFI,5,0),1,0)*Table_NFI[[#This Row],[Winter Items Other]],Table_NFI[Winter Items Other])</f>
        <v>0</v>
      </c>
      <c r="AJ292" s="436">
        <f>IF(NFI_Expiration=1,IF($A292&lt;VLOOKUP(M$5,NFI,5,0),1,0)*Table_NFI[[#This Row],[Winter Blanket]],Table_NFI[[#This Row],[Winter Blanket]])</f>
        <v>0</v>
      </c>
      <c r="AK292" s="436">
        <f>IF(Table_NFI[[#This Row],[Winter Clothes Adult]]+Table_NFI[[#This Row],[Winter Clothes Children]]+Table_NFI[[#This Row],[Winter Items Other]]+Table_NFI[[#This Row],[Winter Blanket]]&gt;0,1,0)</f>
        <v>0</v>
      </c>
      <c r="AL292" s="439">
        <f>IF(NFI_Expiration=1,IF($A292&lt;VLOOKUP(V$5,NFI,5,0),1,0)*Table_NFI[[#This Row],[Jerry Can]],Table_NFI[Jerry Can])</f>
        <v>0</v>
      </c>
      <c r="AM292" s="781" t="str">
        <f>IFERROR(VLOOKUP(Table_NFI[[#This Row],[Camp Name]],CL,2,0),"")</f>
        <v>MMR001CMP123</v>
      </c>
      <c r="AN292" s="782">
        <f ca="1">IF(Table_NFI[[#This Row],[Pcode]]="","",IF(OFFSET(CampList[Opening Date],MATCH(Table_NFI[[#This Row],[Pcode]],CampList[CP_Pcode],0)-1,0,1,1)&gt;=NFI_Monitor_Date,1,0))</f>
        <v>0</v>
      </c>
      <c r="AO292" s="781" t="str">
        <f>IFERROR(VLOOKUP(Table_NFI[[#This Row],[Camp Name]],CL,3,0),"")</f>
        <v>Open</v>
      </c>
      <c r="AP292" s="436" t="str">
        <f ca="1">IF(Table_NFI[[#This Row],[Pcode]]="","",OFFSET(CampList[Priority],MATCH(Table_NFI[[#This Row],[Pcode]],CampList[CP_Pcode],0)-1,0,1,1))</f>
        <v>P2</v>
      </c>
      <c r="AQ292" s="438">
        <f>IFERROR(Table_NFI[[#This Row],[Kitchen Set]]/VLOOKUP(Table_NFI[[#This Row],[Camp Name]],CL,4,0),"")</f>
        <v>0.26956521739130435</v>
      </c>
      <c r="AR292" s="779" t="s">
        <v>1099</v>
      </c>
      <c r="AS292" s="783"/>
    </row>
    <row r="293" spans="1:45" s="784" customFormat="1" x14ac:dyDescent="0.25">
      <c r="A293" s="455">
        <f t="shared" si="4"/>
        <v>21.5</v>
      </c>
      <c r="B293" s="778">
        <v>41664</v>
      </c>
      <c r="C293" s="779" t="s">
        <v>1043</v>
      </c>
      <c r="D293" s="779" t="s">
        <v>462</v>
      </c>
      <c r="E293" s="779" t="s">
        <v>380</v>
      </c>
      <c r="F293" s="779" t="s">
        <v>310</v>
      </c>
      <c r="G293" s="779" t="s">
        <v>1266</v>
      </c>
      <c r="H293" s="436"/>
      <c r="I293" s="436"/>
      <c r="J293" s="436"/>
      <c r="K293" s="436"/>
      <c r="L293" s="437"/>
      <c r="M293" s="437">
        <v>191</v>
      </c>
      <c r="N293" s="437">
        <v>191</v>
      </c>
      <c r="O293" s="437">
        <v>191</v>
      </c>
      <c r="P293" s="439"/>
      <c r="Q293" s="439">
        <v>191</v>
      </c>
      <c r="R293" s="436"/>
      <c r="S293" s="436"/>
      <c r="T293" s="436"/>
      <c r="U293" s="436"/>
      <c r="V293" s="436"/>
      <c r="W293" s="436">
        <f>IF(NFI_Expiration=1,IF($A293&lt;VLOOKUP(H$5,NFI,5,0),1,0)*Table_NFI[[#This Row],[Hygiene Kit]],Table_NFI[Hygiene Kit])</f>
        <v>0</v>
      </c>
      <c r="X293" s="436">
        <f>IF(NFI_Expiration=1,IF($A293&lt;VLOOKUP(I$5,NFI,5,0),1,0)*Table_NFI[[#This Row],[NFI Core Kit]],Table_NFI[NFI Core Kit])</f>
        <v>0</v>
      </c>
      <c r="Y293" s="436">
        <f>IF(NFI_Expiration=1,IF($A293&lt;VLOOKUP(J$5,NFI,5,0),1,0)*Table_NFI[[#This Row],[Sanitary Kit]],Table_NFI[Sanitary Kit])</f>
        <v>0</v>
      </c>
      <c r="Z293" s="436">
        <f>IF(NFI_Expiration=1,IF($A293&lt;VLOOKUP(K$5,NFI,5,0),1,0)*Table_NFI[[#This Row],[Mosquito net]],Table_NFI[Mosquito net])</f>
        <v>0</v>
      </c>
      <c r="AA293" s="436">
        <f>IF(NFI_Expiration=1,IF($A293&lt;VLOOKUP(L$5,NFI,5,0),1,0)*Table_NFI[[#This Row],[Tarpaulin]],Table_NFI[[#This Row],[Tarpaulin]])</f>
        <v>0</v>
      </c>
      <c r="AB293" s="436">
        <f>IF(NFI_Expiration=1,IF($A293&lt;VLOOKUP(M$5,NFI,5,0),1,0)*Table_NFI[[#This Row],[Blanket]],Table_NFI[[#This Row],[Blanket]])</f>
        <v>0</v>
      </c>
      <c r="AC293" s="436">
        <f>IF(NFI_Expiration=1,IF($A293&lt;VLOOKUP(N$5,NFI,5,0),1,0)*Table_NFI[[#This Row],[Kitchen Set]],Table_NFI[Kitchen Set])</f>
        <v>0</v>
      </c>
      <c r="AD293" s="436">
        <f>IF(NFI_Expiration=1,IF($A293&lt;VLOOKUP(O$5,NFI,5,0),1,0)*Table_NFI[[#This Row],[Clothes Kit]],Table_NFI[Clothes Kit])</f>
        <v>0</v>
      </c>
      <c r="AE293" s="436">
        <f>IF(NFI_Expiration=1,IF($A293&lt;VLOOKUP(P$5,NFI,5,0),1,0)*Table_NFI[[#This Row],[Plastic Bucket]],Table_NFI[Plastic Bucket])</f>
        <v>0</v>
      </c>
      <c r="AF293" s="436">
        <f>IF(NFI_Expiration=1,IF($A293&lt;VLOOKUP(Q$5,NFI,5,0),1,0)*Table_NFI[[#This Row],[Plastic Mat]],Table_NFI[Plastic Mat])*IF(Table_NFI[[#This Row],[Distribution Date]]&gt;"2014-04-01",1,2.5)</f>
        <v>0</v>
      </c>
      <c r="AG293" s="436">
        <f>IF(NFI_Expiration=1,IF($A293&lt;VLOOKUP(R$5,NFI,5,0),1,0)*Table_NFI[[#This Row],[Winter Clothes Adult]],Table_NFI[Winter Clothes Adult])</f>
        <v>0</v>
      </c>
      <c r="AH293" s="436">
        <f>IF(NFI_Expiration=1,IF($A293&lt;VLOOKUP(S$5,NFI,5,0),1,0)*Table_NFI[[#This Row],[Winter Clothes Children]],Table_NFI[Winter Clothes Children])</f>
        <v>0</v>
      </c>
      <c r="AI293" s="436">
        <f>IF(NFI_Expiration=1,IF($A293&lt;VLOOKUP(T$5,NFI,5,0),1,0)*Table_NFI[[#This Row],[Winter Items Other]],Table_NFI[Winter Items Other])</f>
        <v>0</v>
      </c>
      <c r="AJ293" s="436">
        <f>IF(NFI_Expiration=1,IF($A293&lt;VLOOKUP(M$5,NFI,5,0),1,0)*Table_NFI[[#This Row],[Winter Blanket]],Table_NFI[[#This Row],[Winter Blanket]])</f>
        <v>0</v>
      </c>
      <c r="AK293" s="436">
        <f>IF(Table_NFI[[#This Row],[Winter Clothes Adult]]+Table_NFI[[#This Row],[Winter Clothes Children]]+Table_NFI[[#This Row],[Winter Items Other]]+Table_NFI[[#This Row],[Winter Blanket]]&gt;0,1,0)</f>
        <v>0</v>
      </c>
      <c r="AL293" s="439">
        <f>IF(NFI_Expiration=1,IF($A293&lt;VLOOKUP(V$5,NFI,5,0),1,0)*Table_NFI[[#This Row],[Jerry Can]],Table_NFI[Jerry Can])</f>
        <v>0</v>
      </c>
      <c r="AM293" s="781" t="str">
        <f>IFERROR(VLOOKUP(Table_NFI[[#This Row],[Camp Name]],CL,2,0),"")</f>
        <v>MMR001CMP120</v>
      </c>
      <c r="AN293" s="782">
        <f ca="1">IF(Table_NFI[[#This Row],[Pcode]]="","",IF(OFFSET(CampList[Opening Date],MATCH(Table_NFI[[#This Row],[Pcode]],CampList[CP_Pcode],0)-1,0,1,1)&gt;=NFI_Monitor_Date,1,0))</f>
        <v>0</v>
      </c>
      <c r="AO293" s="781" t="str">
        <f>IFERROR(VLOOKUP(Table_NFI[[#This Row],[Camp Name]],CL,3,0),"")</f>
        <v>Open</v>
      </c>
      <c r="AP293" s="436" t="str">
        <f ca="1">IF(Table_NFI[[#This Row],[Pcode]]="","",OFFSET(CampList[Priority],MATCH(Table_NFI[[#This Row],[Pcode]],CampList[CP_Pcode],0)-1,0,1,1))</f>
        <v>P1</v>
      </c>
      <c r="AQ293" s="438">
        <f>IFERROR(Table_NFI[[#This Row],[Kitchen Set]]/VLOOKUP(Table_NFI[[#This Row],[Camp Name]],CL,4,0),"")</f>
        <v>1</v>
      </c>
      <c r="AR293" s="779" t="s">
        <v>1099</v>
      </c>
      <c r="AS293" s="783"/>
    </row>
    <row r="294" spans="1:45" s="784" customFormat="1" x14ac:dyDescent="0.25">
      <c r="A294" s="455">
        <f t="shared" si="4"/>
        <v>21.5</v>
      </c>
      <c r="B294" s="778">
        <v>41664</v>
      </c>
      <c r="C294" s="779" t="s">
        <v>1043</v>
      </c>
      <c r="D294" s="779" t="s">
        <v>462</v>
      </c>
      <c r="E294" s="779" t="s">
        <v>380</v>
      </c>
      <c r="F294" s="779" t="s">
        <v>310</v>
      </c>
      <c r="G294" s="779" t="s">
        <v>347</v>
      </c>
      <c r="H294" s="436"/>
      <c r="I294" s="436"/>
      <c r="J294" s="436"/>
      <c r="K294" s="436"/>
      <c r="L294" s="437"/>
      <c r="M294" s="437">
        <v>198</v>
      </c>
      <c r="N294" s="437">
        <v>198</v>
      </c>
      <c r="O294" s="437">
        <v>198</v>
      </c>
      <c r="P294" s="439"/>
      <c r="Q294" s="439">
        <v>198</v>
      </c>
      <c r="R294" s="436"/>
      <c r="S294" s="436"/>
      <c r="T294" s="436"/>
      <c r="U294" s="436"/>
      <c r="V294" s="436"/>
      <c r="W294" s="436">
        <f>IF(NFI_Expiration=1,IF($A294&lt;VLOOKUP(H$5,NFI,5,0),1,0)*Table_NFI[[#This Row],[Hygiene Kit]],Table_NFI[Hygiene Kit])</f>
        <v>0</v>
      </c>
      <c r="X294" s="436">
        <f>IF(NFI_Expiration=1,IF($A294&lt;VLOOKUP(I$5,NFI,5,0),1,0)*Table_NFI[[#This Row],[NFI Core Kit]],Table_NFI[NFI Core Kit])</f>
        <v>0</v>
      </c>
      <c r="Y294" s="436">
        <f>IF(NFI_Expiration=1,IF($A294&lt;VLOOKUP(J$5,NFI,5,0),1,0)*Table_NFI[[#This Row],[Sanitary Kit]],Table_NFI[Sanitary Kit])</f>
        <v>0</v>
      </c>
      <c r="Z294" s="436">
        <f>IF(NFI_Expiration=1,IF($A294&lt;VLOOKUP(K$5,NFI,5,0),1,0)*Table_NFI[[#This Row],[Mosquito net]],Table_NFI[Mosquito net])</f>
        <v>0</v>
      </c>
      <c r="AA294" s="436">
        <f>IF(NFI_Expiration=1,IF($A294&lt;VLOOKUP(L$5,NFI,5,0),1,0)*Table_NFI[[#This Row],[Tarpaulin]],Table_NFI[[#This Row],[Tarpaulin]])</f>
        <v>0</v>
      </c>
      <c r="AB294" s="436">
        <f>IF(NFI_Expiration=1,IF($A294&lt;VLOOKUP(M$5,NFI,5,0),1,0)*Table_NFI[[#This Row],[Blanket]],Table_NFI[[#This Row],[Blanket]])</f>
        <v>0</v>
      </c>
      <c r="AC294" s="436">
        <f>IF(NFI_Expiration=1,IF($A294&lt;VLOOKUP(N$5,NFI,5,0),1,0)*Table_NFI[[#This Row],[Kitchen Set]],Table_NFI[Kitchen Set])</f>
        <v>0</v>
      </c>
      <c r="AD294" s="436">
        <f>IF(NFI_Expiration=1,IF($A294&lt;VLOOKUP(O$5,NFI,5,0),1,0)*Table_NFI[[#This Row],[Clothes Kit]],Table_NFI[Clothes Kit])</f>
        <v>0</v>
      </c>
      <c r="AE294" s="436">
        <f>IF(NFI_Expiration=1,IF($A294&lt;VLOOKUP(P$5,NFI,5,0),1,0)*Table_NFI[[#This Row],[Plastic Bucket]],Table_NFI[Plastic Bucket])</f>
        <v>0</v>
      </c>
      <c r="AF294" s="436">
        <f>IF(NFI_Expiration=1,IF($A294&lt;VLOOKUP(Q$5,NFI,5,0),1,0)*Table_NFI[[#This Row],[Plastic Mat]],Table_NFI[Plastic Mat])*IF(Table_NFI[[#This Row],[Distribution Date]]&gt;"2014-04-01",1,2.5)</f>
        <v>0</v>
      </c>
      <c r="AG294" s="436">
        <f>IF(NFI_Expiration=1,IF($A294&lt;VLOOKUP(R$5,NFI,5,0),1,0)*Table_NFI[[#This Row],[Winter Clothes Adult]],Table_NFI[Winter Clothes Adult])</f>
        <v>0</v>
      </c>
      <c r="AH294" s="436">
        <f>IF(NFI_Expiration=1,IF($A294&lt;VLOOKUP(S$5,NFI,5,0),1,0)*Table_NFI[[#This Row],[Winter Clothes Children]],Table_NFI[Winter Clothes Children])</f>
        <v>0</v>
      </c>
      <c r="AI294" s="436">
        <f>IF(NFI_Expiration=1,IF($A294&lt;VLOOKUP(T$5,NFI,5,0),1,0)*Table_NFI[[#This Row],[Winter Items Other]],Table_NFI[Winter Items Other])</f>
        <v>0</v>
      </c>
      <c r="AJ294" s="436">
        <f>IF(NFI_Expiration=1,IF($A294&lt;VLOOKUP(M$5,NFI,5,0),1,0)*Table_NFI[[#This Row],[Winter Blanket]],Table_NFI[[#This Row],[Winter Blanket]])</f>
        <v>0</v>
      </c>
      <c r="AK294" s="436">
        <f>IF(Table_NFI[[#This Row],[Winter Clothes Adult]]+Table_NFI[[#This Row],[Winter Clothes Children]]+Table_NFI[[#This Row],[Winter Items Other]]+Table_NFI[[#This Row],[Winter Blanket]]&gt;0,1,0)</f>
        <v>0</v>
      </c>
      <c r="AL294" s="439">
        <f>IF(NFI_Expiration=1,IF($A294&lt;VLOOKUP(V$5,NFI,5,0),1,0)*Table_NFI[[#This Row],[Jerry Can]],Table_NFI[Jerry Can])</f>
        <v>0</v>
      </c>
      <c r="AM294" s="781" t="str">
        <f>IFERROR(VLOOKUP(Table_NFI[[#This Row],[Camp Name]],CL,2,0),"")</f>
        <v>MMR001CMP041</v>
      </c>
      <c r="AN294" s="782">
        <f ca="1">IF(Table_NFI[[#This Row],[Pcode]]="","",IF(OFFSET(CampList[Opening Date],MATCH(Table_NFI[[#This Row],[Pcode]],CampList[CP_Pcode],0)-1,0,1,1)&gt;=NFI_Monitor_Date,1,0))</f>
        <v>0</v>
      </c>
      <c r="AO294" s="781" t="str">
        <f>IFERROR(VLOOKUP(Table_NFI[[#This Row],[Camp Name]],CL,3,0),"")</f>
        <v>Open</v>
      </c>
      <c r="AP294" s="436" t="str">
        <f ca="1">IF(Table_NFI[[#This Row],[Pcode]]="","",OFFSET(CampList[Priority],MATCH(Table_NFI[[#This Row],[Pcode]],CampList[CP_Pcode],0)-1,0,1,1))</f>
        <v>P1</v>
      </c>
      <c r="AQ294" s="438">
        <f>IFERROR(Table_NFI[[#This Row],[Kitchen Set]]/VLOOKUP(Table_NFI[[#This Row],[Camp Name]],CL,4,0),"")</f>
        <v>1.1511627906976745</v>
      </c>
      <c r="AR294" s="779" t="s">
        <v>1099</v>
      </c>
      <c r="AS294" s="783"/>
    </row>
    <row r="295" spans="1:45" s="784" customFormat="1" x14ac:dyDescent="0.25">
      <c r="A295" s="455">
        <f t="shared" si="4"/>
        <v>21.5</v>
      </c>
      <c r="B295" s="778">
        <v>41664</v>
      </c>
      <c r="C295" s="779" t="s">
        <v>1043</v>
      </c>
      <c r="D295" s="779" t="s">
        <v>462</v>
      </c>
      <c r="E295" s="779" t="s">
        <v>380</v>
      </c>
      <c r="F295" s="779" t="s">
        <v>310</v>
      </c>
      <c r="G295" s="779" t="s">
        <v>1268</v>
      </c>
      <c r="H295" s="436"/>
      <c r="I295" s="436"/>
      <c r="J295" s="436"/>
      <c r="K295" s="436"/>
      <c r="L295" s="437"/>
      <c r="M295" s="437">
        <v>646</v>
      </c>
      <c r="N295" s="437">
        <v>646</v>
      </c>
      <c r="O295" s="437">
        <v>646</v>
      </c>
      <c r="P295" s="439"/>
      <c r="Q295" s="439">
        <v>646</v>
      </c>
      <c r="R295" s="436"/>
      <c r="S295" s="436"/>
      <c r="T295" s="436"/>
      <c r="U295" s="436"/>
      <c r="V295" s="436"/>
      <c r="W295" s="436">
        <f>IF(NFI_Expiration=1,IF($A295&lt;VLOOKUP(H$5,NFI,5,0),1,0)*Table_NFI[[#This Row],[Hygiene Kit]],Table_NFI[Hygiene Kit])</f>
        <v>0</v>
      </c>
      <c r="X295" s="436">
        <f>IF(NFI_Expiration=1,IF($A295&lt;VLOOKUP(I$5,NFI,5,0),1,0)*Table_NFI[[#This Row],[NFI Core Kit]],Table_NFI[NFI Core Kit])</f>
        <v>0</v>
      </c>
      <c r="Y295" s="436">
        <f>IF(NFI_Expiration=1,IF($A295&lt;VLOOKUP(J$5,NFI,5,0),1,0)*Table_NFI[[#This Row],[Sanitary Kit]],Table_NFI[Sanitary Kit])</f>
        <v>0</v>
      </c>
      <c r="Z295" s="436">
        <f>IF(NFI_Expiration=1,IF($A295&lt;VLOOKUP(K$5,NFI,5,0),1,0)*Table_NFI[[#This Row],[Mosquito net]],Table_NFI[Mosquito net])</f>
        <v>0</v>
      </c>
      <c r="AA295" s="436">
        <f>IF(NFI_Expiration=1,IF($A295&lt;VLOOKUP(L$5,NFI,5,0),1,0)*Table_NFI[[#This Row],[Tarpaulin]],Table_NFI[[#This Row],[Tarpaulin]])</f>
        <v>0</v>
      </c>
      <c r="AB295" s="436">
        <f>IF(NFI_Expiration=1,IF($A295&lt;VLOOKUP(M$5,NFI,5,0),1,0)*Table_NFI[[#This Row],[Blanket]],Table_NFI[[#This Row],[Blanket]])</f>
        <v>0</v>
      </c>
      <c r="AC295" s="436">
        <f>IF(NFI_Expiration=1,IF($A295&lt;VLOOKUP(N$5,NFI,5,0),1,0)*Table_NFI[[#This Row],[Kitchen Set]],Table_NFI[Kitchen Set])</f>
        <v>0</v>
      </c>
      <c r="AD295" s="436">
        <f>IF(NFI_Expiration=1,IF($A295&lt;VLOOKUP(O$5,NFI,5,0),1,0)*Table_NFI[[#This Row],[Clothes Kit]],Table_NFI[Clothes Kit])</f>
        <v>0</v>
      </c>
      <c r="AE295" s="436">
        <f>IF(NFI_Expiration=1,IF($A295&lt;VLOOKUP(P$5,NFI,5,0),1,0)*Table_NFI[[#This Row],[Plastic Bucket]],Table_NFI[Plastic Bucket])</f>
        <v>0</v>
      </c>
      <c r="AF295" s="436">
        <f>IF(NFI_Expiration=1,IF($A295&lt;VLOOKUP(Q$5,NFI,5,0),1,0)*Table_NFI[[#This Row],[Plastic Mat]],Table_NFI[Plastic Mat])*IF(Table_NFI[[#This Row],[Distribution Date]]&gt;"2014-04-01",1,2.5)</f>
        <v>0</v>
      </c>
      <c r="AG295" s="436">
        <f>IF(NFI_Expiration=1,IF($A295&lt;VLOOKUP(R$5,NFI,5,0),1,0)*Table_NFI[[#This Row],[Winter Clothes Adult]],Table_NFI[Winter Clothes Adult])</f>
        <v>0</v>
      </c>
      <c r="AH295" s="436">
        <f>IF(NFI_Expiration=1,IF($A295&lt;VLOOKUP(S$5,NFI,5,0),1,0)*Table_NFI[[#This Row],[Winter Clothes Children]],Table_NFI[Winter Clothes Children])</f>
        <v>0</v>
      </c>
      <c r="AI295" s="436">
        <f>IF(NFI_Expiration=1,IF($A295&lt;VLOOKUP(T$5,NFI,5,0),1,0)*Table_NFI[[#This Row],[Winter Items Other]],Table_NFI[Winter Items Other])</f>
        <v>0</v>
      </c>
      <c r="AJ295" s="436">
        <f>IF(NFI_Expiration=1,IF($A295&lt;VLOOKUP(M$5,NFI,5,0),1,0)*Table_NFI[[#This Row],[Winter Blanket]],Table_NFI[[#This Row],[Winter Blanket]])</f>
        <v>0</v>
      </c>
      <c r="AK295" s="436">
        <f>IF(Table_NFI[[#This Row],[Winter Clothes Adult]]+Table_NFI[[#This Row],[Winter Clothes Children]]+Table_NFI[[#This Row],[Winter Items Other]]+Table_NFI[[#This Row],[Winter Blanket]]&gt;0,1,0)</f>
        <v>0</v>
      </c>
      <c r="AL295" s="439">
        <f>IF(NFI_Expiration=1,IF($A295&lt;VLOOKUP(V$5,NFI,5,0),1,0)*Table_NFI[[#This Row],[Jerry Can]],Table_NFI[Jerry Can])</f>
        <v>0</v>
      </c>
      <c r="AM295" s="781" t="str">
        <f>IFERROR(VLOOKUP(Table_NFI[[#This Row],[Camp Name]],CL,2,0),"")</f>
        <v>MMR001CMP111</v>
      </c>
      <c r="AN295" s="782">
        <f ca="1">IF(Table_NFI[[#This Row],[Pcode]]="","",IF(OFFSET(CampList[Opening Date],MATCH(Table_NFI[[#This Row],[Pcode]],CampList[CP_Pcode],0)-1,0,1,1)&gt;=NFI_Monitor_Date,1,0))</f>
        <v>0</v>
      </c>
      <c r="AO295" s="781" t="str">
        <f>IFERROR(VLOOKUP(Table_NFI[[#This Row],[Camp Name]],CL,3,0),"")</f>
        <v>Open</v>
      </c>
      <c r="AP295" s="436" t="str">
        <f ca="1">IF(Table_NFI[[#This Row],[Pcode]]="","",OFFSET(CampList[Priority],MATCH(Table_NFI[[#This Row],[Pcode]],CampList[CP_Pcode],0)-1,0,1,1))</f>
        <v>P2</v>
      </c>
      <c r="AQ295" s="438">
        <f>IFERROR(Table_NFI[[#This Row],[Kitchen Set]]/VLOOKUP(Table_NFI[[#This Row],[Camp Name]],CL,4,0),"")</f>
        <v>0.95</v>
      </c>
      <c r="AR295" s="779" t="s">
        <v>1099</v>
      </c>
      <c r="AS295" s="783"/>
    </row>
    <row r="296" spans="1:45" s="784" customFormat="1" x14ac:dyDescent="0.25">
      <c r="A296" s="455">
        <f t="shared" si="4"/>
        <v>21.533333333333335</v>
      </c>
      <c r="B296" s="778">
        <v>41663</v>
      </c>
      <c r="C296" s="779" t="s">
        <v>455</v>
      </c>
      <c r="D296" s="779"/>
      <c r="E296" s="779" t="s">
        <v>380</v>
      </c>
      <c r="F296" s="435" t="s">
        <v>151</v>
      </c>
      <c r="G296" s="779" t="s">
        <v>188</v>
      </c>
      <c r="H296" s="436"/>
      <c r="I296" s="436"/>
      <c r="J296" s="436"/>
      <c r="K296" s="436"/>
      <c r="L296" s="437"/>
      <c r="M296" s="437"/>
      <c r="N296" s="437"/>
      <c r="O296" s="437"/>
      <c r="P296" s="439"/>
      <c r="Q296" s="439"/>
      <c r="R296" s="436"/>
      <c r="S296" s="436">
        <v>838</v>
      </c>
      <c r="T296" s="436"/>
      <c r="U296" s="436"/>
      <c r="V296" s="436"/>
      <c r="W296" s="436">
        <f>IF(NFI_Expiration=1,IF($A296&lt;VLOOKUP(H$5,NFI,5,0),1,0)*Table_NFI[[#This Row],[Hygiene Kit]],Table_NFI[Hygiene Kit])</f>
        <v>0</v>
      </c>
      <c r="X296" s="436">
        <f>IF(NFI_Expiration=1,IF($A296&lt;VLOOKUP(I$5,NFI,5,0),1,0)*Table_NFI[[#This Row],[NFI Core Kit]],Table_NFI[NFI Core Kit])</f>
        <v>0</v>
      </c>
      <c r="Y296" s="436">
        <f>IF(NFI_Expiration=1,IF($A296&lt;VLOOKUP(J$5,NFI,5,0),1,0)*Table_NFI[[#This Row],[Sanitary Kit]],Table_NFI[Sanitary Kit])</f>
        <v>0</v>
      </c>
      <c r="Z296" s="436">
        <f>IF(NFI_Expiration=1,IF($A296&lt;VLOOKUP(K$5,NFI,5,0),1,0)*Table_NFI[[#This Row],[Mosquito net]],Table_NFI[Mosquito net])</f>
        <v>0</v>
      </c>
      <c r="AA296" s="436">
        <f>IF(NFI_Expiration=1,IF($A296&lt;VLOOKUP(L$5,NFI,5,0),1,0)*Table_NFI[[#This Row],[Tarpaulin]],Table_NFI[[#This Row],[Tarpaulin]])</f>
        <v>0</v>
      </c>
      <c r="AB296" s="436">
        <f>IF(NFI_Expiration=1,IF($A296&lt;VLOOKUP(M$5,NFI,5,0),1,0)*Table_NFI[[#This Row],[Blanket]],Table_NFI[[#This Row],[Blanket]])</f>
        <v>0</v>
      </c>
      <c r="AC296" s="436">
        <f>IF(NFI_Expiration=1,IF($A296&lt;VLOOKUP(N$5,NFI,5,0),1,0)*Table_NFI[[#This Row],[Kitchen Set]],Table_NFI[Kitchen Set])</f>
        <v>0</v>
      </c>
      <c r="AD296" s="436">
        <f>IF(NFI_Expiration=1,IF($A296&lt;VLOOKUP(O$5,NFI,5,0),1,0)*Table_NFI[[#This Row],[Clothes Kit]],Table_NFI[Clothes Kit])</f>
        <v>0</v>
      </c>
      <c r="AE296" s="436">
        <f>IF(NFI_Expiration=1,IF($A296&lt;VLOOKUP(P$5,NFI,5,0),1,0)*Table_NFI[[#This Row],[Plastic Bucket]],Table_NFI[Plastic Bucket])</f>
        <v>0</v>
      </c>
      <c r="AF296" s="436">
        <f>IF(NFI_Expiration=1,IF($A296&lt;VLOOKUP(Q$5,NFI,5,0),1,0)*Table_NFI[[#This Row],[Plastic Mat]],Table_NFI[Plastic Mat])*IF(Table_NFI[[#This Row],[Distribution Date]]&gt;"2014-04-01",1,2.5)</f>
        <v>0</v>
      </c>
      <c r="AG296" s="436">
        <f>IF(NFI_Expiration=1,IF($A296&lt;VLOOKUP(R$5,NFI,5,0),1,0)*Table_NFI[[#This Row],[Winter Clothes Adult]],Table_NFI[Winter Clothes Adult])</f>
        <v>0</v>
      </c>
      <c r="AH296" s="436">
        <f>IF(NFI_Expiration=1,IF($A296&lt;VLOOKUP(S$5,NFI,5,0),1,0)*Table_NFI[[#This Row],[Winter Clothes Children]],Table_NFI[Winter Clothes Children])</f>
        <v>0</v>
      </c>
      <c r="AI296" s="436">
        <f>IF(NFI_Expiration=1,IF($A296&lt;VLOOKUP(T$5,NFI,5,0),1,0)*Table_NFI[[#This Row],[Winter Items Other]],Table_NFI[Winter Items Other])</f>
        <v>0</v>
      </c>
      <c r="AJ296" s="436">
        <f>IF(NFI_Expiration=1,IF($A296&lt;VLOOKUP(M$5,NFI,5,0),1,0)*Table_NFI[[#This Row],[Winter Blanket]],Table_NFI[[#This Row],[Winter Blanket]])</f>
        <v>0</v>
      </c>
      <c r="AK296" s="436">
        <f>IF(Table_NFI[[#This Row],[Winter Clothes Adult]]+Table_NFI[[#This Row],[Winter Clothes Children]]+Table_NFI[[#This Row],[Winter Items Other]]+Table_NFI[[#This Row],[Winter Blanket]]&gt;0,1,0)</f>
        <v>1</v>
      </c>
      <c r="AL296" s="439">
        <f>IF(NFI_Expiration=1,IF($A296&lt;VLOOKUP(V$5,NFI,5,0),1,0)*Table_NFI[[#This Row],[Jerry Can]],Table_NFI[Jerry Can])</f>
        <v>0</v>
      </c>
      <c r="AM296" s="781" t="str">
        <f>IFERROR(VLOOKUP(Table_NFI[[#This Row],[Camp Name]],CL,2,0),"")</f>
        <v>MMR001CMP129</v>
      </c>
      <c r="AN296" s="782">
        <f ca="1">IF(Table_NFI[[#This Row],[Pcode]]="","",IF(OFFSET(CampList[Opening Date],MATCH(Table_NFI[[#This Row],[Pcode]],CampList[CP_Pcode],0)-1,0,1,1)&gt;=NFI_Monitor_Date,1,0))</f>
        <v>0</v>
      </c>
      <c r="AO296" s="781" t="str">
        <f>IFERROR(VLOOKUP(Table_NFI[[#This Row],[Camp Name]],CL,3,0),"")</f>
        <v>Open</v>
      </c>
      <c r="AP296" s="436" t="str">
        <f ca="1">IF(Table_NFI[[#This Row],[Pcode]]="","",OFFSET(CampList[Priority],MATCH(Table_NFI[[#This Row],[Pcode]],CampList[CP_Pcode],0)-1,0,1,1))</f>
        <v>P2</v>
      </c>
      <c r="AQ296" s="438">
        <f>IFERROR(Table_NFI[[#This Row],[Kitchen Set]]/VLOOKUP(Table_NFI[[#This Row],[Camp Name]],CL,4,0),"")</f>
        <v>0</v>
      </c>
      <c r="AR296" s="779" t="s">
        <v>1099</v>
      </c>
      <c r="AS296" s="783"/>
    </row>
    <row r="297" spans="1:45" s="784" customFormat="1" x14ac:dyDescent="0.25">
      <c r="A297" s="455">
        <f t="shared" si="4"/>
        <v>21.533333333333335</v>
      </c>
      <c r="B297" s="778">
        <v>41663</v>
      </c>
      <c r="C297" s="779" t="s">
        <v>454</v>
      </c>
      <c r="D297" s="442" t="s">
        <v>454</v>
      </c>
      <c r="E297" s="785" t="s">
        <v>380</v>
      </c>
      <c r="F297" s="779" t="s">
        <v>185</v>
      </c>
      <c r="G297" s="435" t="s">
        <v>219</v>
      </c>
      <c r="H297" s="442"/>
      <c r="I297" s="442"/>
      <c r="J297" s="442"/>
      <c r="K297" s="785">
        <v>60</v>
      </c>
      <c r="L297" s="786">
        <v>30</v>
      </c>
      <c r="M297" s="443">
        <v>60</v>
      </c>
      <c r="N297" s="443">
        <v>30</v>
      </c>
      <c r="O297" s="443"/>
      <c r="P297" s="786">
        <v>30</v>
      </c>
      <c r="Q297" s="443">
        <v>150</v>
      </c>
      <c r="R297" s="442"/>
      <c r="S297" s="442"/>
      <c r="T297" s="442"/>
      <c r="U297" s="442"/>
      <c r="V297" s="442"/>
      <c r="W297" s="436">
        <f>IF(NFI_Expiration=1,IF($A297&lt;VLOOKUP(H$5,NFI,5,0),1,0)*Table_NFI[[#This Row],[Hygiene Kit]],Table_NFI[Hygiene Kit])</f>
        <v>0</v>
      </c>
      <c r="X297" s="436">
        <f>IF(NFI_Expiration=1,IF($A297&lt;VLOOKUP(I$5,NFI,5,0),1,0)*Table_NFI[[#This Row],[NFI Core Kit]],Table_NFI[NFI Core Kit])</f>
        <v>0</v>
      </c>
      <c r="Y297" s="436">
        <f>IF(NFI_Expiration=1,IF($A297&lt;VLOOKUP(J$5,NFI,5,0),1,0)*Table_NFI[[#This Row],[Sanitary Kit]],Table_NFI[Sanitary Kit])</f>
        <v>0</v>
      </c>
      <c r="Z297" s="436">
        <f>IF(NFI_Expiration=1,IF($A297&lt;VLOOKUP(K$5,NFI,5,0),1,0)*Table_NFI[[#This Row],[Mosquito net]],Table_NFI[Mosquito net])</f>
        <v>0</v>
      </c>
      <c r="AA297" s="436">
        <f>IF(NFI_Expiration=1,IF($A297&lt;VLOOKUP(L$5,NFI,5,0),1,0)*Table_NFI[[#This Row],[Tarpaulin]],Table_NFI[[#This Row],[Tarpaulin]])</f>
        <v>0</v>
      </c>
      <c r="AB297" s="436">
        <f>IF(NFI_Expiration=1,IF($A297&lt;VLOOKUP(M$5,NFI,5,0),1,0)*Table_NFI[[#This Row],[Blanket]],Table_NFI[[#This Row],[Blanket]])</f>
        <v>0</v>
      </c>
      <c r="AC297" s="436">
        <f>IF(NFI_Expiration=1,IF($A297&lt;VLOOKUP(N$5,NFI,5,0),1,0)*Table_NFI[[#This Row],[Kitchen Set]],Table_NFI[Kitchen Set])</f>
        <v>0</v>
      </c>
      <c r="AD297" s="436">
        <f>IF(NFI_Expiration=1,IF($A297&lt;VLOOKUP(O$5,NFI,5,0),1,0)*Table_NFI[[#This Row],[Clothes Kit]],Table_NFI[Clothes Kit])</f>
        <v>0</v>
      </c>
      <c r="AE297" s="436">
        <f>IF(NFI_Expiration=1,IF($A297&lt;VLOOKUP(P$5,NFI,5,0),1,0)*Table_NFI[[#This Row],[Plastic Bucket]],Table_NFI[Plastic Bucket])</f>
        <v>0</v>
      </c>
      <c r="AF297" s="436">
        <f>IF(NFI_Expiration=1,IF($A297&lt;VLOOKUP(Q$5,NFI,5,0),1,0)*Table_NFI[[#This Row],[Plastic Mat]],Table_NFI[Plastic Mat])*IF(Table_NFI[[#This Row],[Distribution Date]]&gt;"2014-04-01",1,2.5)</f>
        <v>0</v>
      </c>
      <c r="AG297" s="436">
        <f>IF(NFI_Expiration=1,IF($A297&lt;VLOOKUP(R$5,NFI,5,0),1,0)*Table_NFI[[#This Row],[Winter Clothes Adult]],Table_NFI[Winter Clothes Adult])</f>
        <v>0</v>
      </c>
      <c r="AH297" s="436">
        <f>IF(NFI_Expiration=1,IF($A297&lt;VLOOKUP(S$5,NFI,5,0),1,0)*Table_NFI[[#This Row],[Winter Clothes Children]],Table_NFI[Winter Clothes Children])</f>
        <v>0</v>
      </c>
      <c r="AI297" s="436">
        <f>IF(NFI_Expiration=1,IF($A297&lt;VLOOKUP(T$5,NFI,5,0),1,0)*Table_NFI[[#This Row],[Winter Items Other]],Table_NFI[Winter Items Other])</f>
        <v>0</v>
      </c>
      <c r="AJ297" s="436">
        <f>IF(NFI_Expiration=1,IF($A297&lt;VLOOKUP(M$5,NFI,5,0),1,0)*Table_NFI[[#This Row],[Winter Blanket]],Table_NFI[[#This Row],[Winter Blanket]])</f>
        <v>0</v>
      </c>
      <c r="AK297" s="436">
        <f>IF(Table_NFI[[#This Row],[Winter Clothes Adult]]+Table_NFI[[#This Row],[Winter Clothes Children]]+Table_NFI[[#This Row],[Winter Items Other]]+Table_NFI[[#This Row],[Winter Blanket]]&gt;0,1,0)</f>
        <v>0</v>
      </c>
      <c r="AL297" s="439">
        <f>IF(NFI_Expiration=1,IF($A297&lt;VLOOKUP(V$5,NFI,5,0),1,0)*Table_NFI[[#This Row],[Jerry Can]],Table_NFI[Jerry Can])</f>
        <v>0</v>
      </c>
      <c r="AM297" s="781" t="str">
        <f>IFERROR(VLOOKUP(Table_NFI[[#This Row],[Camp Name]],CL,2,0),"")</f>
        <v>MMR001CMP126</v>
      </c>
      <c r="AN297" s="782">
        <f ca="1">IF(Table_NFI[[#This Row],[Pcode]]="","",IF(OFFSET(CampList[Opening Date],MATCH(Table_NFI[[#This Row],[Pcode]],CampList[CP_Pcode],0)-1,0,1,1)&gt;=NFI_Monitor_Date,1,0))</f>
        <v>0</v>
      </c>
      <c r="AO297" s="781" t="str">
        <f>IFERROR(VLOOKUP(Table_NFI[[#This Row],[Camp Name]],CL,3,0),"")</f>
        <v>Open</v>
      </c>
      <c r="AP297" s="436" t="str">
        <f ca="1">IF(Table_NFI[[#This Row],[Pcode]]="","",OFFSET(CampList[Priority],MATCH(Table_NFI[[#This Row],[Pcode]],CampList[CP_Pcode],0)-1,0,1,1))</f>
        <v>P2</v>
      </c>
      <c r="AQ297" s="438">
        <f>IFERROR(Table_NFI[[#This Row],[Kitchen Set]]/VLOOKUP(Table_NFI[[#This Row],[Camp Name]],CL,4,0),"")</f>
        <v>3.5714285714285712E-2</v>
      </c>
      <c r="AR297" s="779" t="s">
        <v>1099</v>
      </c>
      <c r="AS297" s="783"/>
    </row>
    <row r="298" spans="1:45" s="784" customFormat="1" x14ac:dyDescent="0.25">
      <c r="A298" s="455">
        <f t="shared" si="4"/>
        <v>21.666666666666668</v>
      </c>
      <c r="B298" s="778">
        <v>41659</v>
      </c>
      <c r="C298" s="779" t="s">
        <v>1101</v>
      </c>
      <c r="D298" s="779" t="s">
        <v>907</v>
      </c>
      <c r="E298" s="779" t="s">
        <v>380</v>
      </c>
      <c r="F298" s="779" t="s">
        <v>899</v>
      </c>
      <c r="G298" s="779" t="s">
        <v>901</v>
      </c>
      <c r="H298" s="436"/>
      <c r="I298" s="436"/>
      <c r="J298" s="436"/>
      <c r="K298" s="436">
        <v>8</v>
      </c>
      <c r="L298" s="437">
        <v>16</v>
      </c>
      <c r="M298" s="437">
        <v>16</v>
      </c>
      <c r="N298" s="437">
        <v>8</v>
      </c>
      <c r="O298" s="437"/>
      <c r="P298" s="439"/>
      <c r="Q298" s="439"/>
      <c r="R298" s="436">
        <v>19</v>
      </c>
      <c r="S298" s="436">
        <v>9</v>
      </c>
      <c r="T298" s="436"/>
      <c r="U298" s="436"/>
      <c r="V298" s="436"/>
      <c r="W298" s="446">
        <f>IF(NFI_Expiration=1,IF($A298&lt;VLOOKUP(H$5,NFI,5,0),1,0)*Table_NFI[[#This Row],[Hygiene Kit]],Table_NFI[Hygiene Kit])</f>
        <v>0</v>
      </c>
      <c r="X298" s="446">
        <f>IF(NFI_Expiration=1,IF($A298&lt;VLOOKUP(I$5,NFI,5,0),1,0)*Table_NFI[[#This Row],[NFI Core Kit]],Table_NFI[NFI Core Kit])</f>
        <v>0</v>
      </c>
      <c r="Y298" s="446">
        <f>IF(NFI_Expiration=1,IF($A298&lt;VLOOKUP(J$5,NFI,5,0),1,0)*Table_NFI[[#This Row],[Sanitary Kit]],Table_NFI[Sanitary Kit])</f>
        <v>0</v>
      </c>
      <c r="Z298" s="446">
        <f>IF(NFI_Expiration=1,IF($A298&lt;VLOOKUP(K$5,NFI,5,0),1,0)*Table_NFI[[#This Row],[Mosquito net]],Table_NFI[Mosquito net])</f>
        <v>0</v>
      </c>
      <c r="AA298" s="446">
        <f>IF(NFI_Expiration=1,IF($A298&lt;VLOOKUP(L$5,NFI,5,0),1,0)*Table_NFI[[#This Row],[Tarpaulin]],Table_NFI[[#This Row],[Tarpaulin]])</f>
        <v>0</v>
      </c>
      <c r="AB298" s="446">
        <f>IF(NFI_Expiration=1,IF($A298&lt;VLOOKUP(M$5,NFI,5,0),1,0)*Table_NFI[[#This Row],[Blanket]],Table_NFI[[#This Row],[Blanket]])</f>
        <v>0</v>
      </c>
      <c r="AC298" s="446">
        <f>IF(NFI_Expiration=1,IF($A298&lt;VLOOKUP(N$5,NFI,5,0),1,0)*Table_NFI[[#This Row],[Kitchen Set]],Table_NFI[Kitchen Set])</f>
        <v>0</v>
      </c>
      <c r="AD298" s="446">
        <f>IF(NFI_Expiration=1,IF($A298&lt;VLOOKUP(O$5,NFI,5,0),1,0)*Table_NFI[[#This Row],[Clothes Kit]],Table_NFI[Clothes Kit])</f>
        <v>0</v>
      </c>
      <c r="AE298" s="446">
        <f>IF(NFI_Expiration=1,IF($A298&lt;VLOOKUP(P$5,NFI,5,0),1,0)*Table_NFI[[#This Row],[Plastic Bucket]],Table_NFI[Plastic Bucket])</f>
        <v>0</v>
      </c>
      <c r="AF298" s="446">
        <f>IF(NFI_Expiration=1,IF($A298&lt;VLOOKUP(Q$5,NFI,5,0),1,0)*Table_NFI[[#This Row],[Plastic Mat]],Table_NFI[Plastic Mat])*IF(Table_NFI[[#This Row],[Distribution Date]]&gt;"2014-04-01",1,2.5)</f>
        <v>0</v>
      </c>
      <c r="AG298" s="446">
        <f>IF(NFI_Expiration=1,IF($A298&lt;VLOOKUP(R$5,NFI,5,0),1,0)*Table_NFI[[#This Row],[Winter Clothes Adult]],Table_NFI[Winter Clothes Adult])</f>
        <v>0</v>
      </c>
      <c r="AH298" s="446">
        <f>IF(NFI_Expiration=1,IF($A298&lt;VLOOKUP(S$5,NFI,5,0),1,0)*Table_NFI[[#This Row],[Winter Clothes Children]],Table_NFI[Winter Clothes Children])</f>
        <v>0</v>
      </c>
      <c r="AI298" s="446">
        <f>IF(NFI_Expiration=1,IF($A298&lt;VLOOKUP(T$5,NFI,5,0),1,0)*Table_NFI[[#This Row],[Winter Items Other]],Table_NFI[Winter Items Other])</f>
        <v>0</v>
      </c>
      <c r="AJ298" s="446">
        <f>IF(NFI_Expiration=1,IF($A298&lt;VLOOKUP(M$5,NFI,5,0),1,0)*Table_NFI[[#This Row],[Winter Blanket]],Table_NFI[[#This Row],[Winter Blanket]])</f>
        <v>0</v>
      </c>
      <c r="AK298" s="446">
        <f>IF(Table_NFI[[#This Row],[Winter Clothes Adult]]+Table_NFI[[#This Row],[Winter Clothes Children]]+Table_NFI[[#This Row],[Winter Items Other]]+Table_NFI[[#This Row],[Winter Blanket]]&gt;0,1,0)</f>
        <v>1</v>
      </c>
      <c r="AL298" s="439">
        <f>IF(NFI_Expiration=1,IF($A298&lt;VLOOKUP(V$5,NFI,5,0),1,0)*Table_NFI[[#This Row],[Jerry Can]],Table_NFI[Jerry Can])</f>
        <v>0</v>
      </c>
      <c r="AM298" s="793" t="str">
        <f>IFERROR(VLOOKUP(Table_NFI[[#This Row],[Camp Name]],CL,2,0),"")</f>
        <v>MMR001CMP221</v>
      </c>
      <c r="AN298" s="794">
        <f ca="1">IF(Table_NFI[[#This Row],[Pcode]]="","",IF(OFFSET(CampList[Opening Date],MATCH(Table_NFI[[#This Row],[Pcode]],CampList[CP_Pcode],0)-1,0,1,1)&gt;=NFI_Monitor_Date,1,0))</f>
        <v>0</v>
      </c>
      <c r="AO298" s="793" t="str">
        <f>IFERROR(VLOOKUP(Table_NFI[[#This Row],[Camp Name]],CL,3,0),"")</f>
        <v>Closed</v>
      </c>
      <c r="AP298" s="446" t="str">
        <f ca="1">IF(Table_NFI[[#This Row],[Pcode]]="","",OFFSET(CampList[Priority],MATCH(Table_NFI[[#This Row],[Pcode]],CampList[CP_Pcode],0)-1,0,1,1))</f>
        <v>P3</v>
      </c>
      <c r="AQ298" s="447" t="str">
        <f>IFERROR(Table_NFI[[#This Row],[Kitchen Set]]/VLOOKUP(Table_NFI[[#This Row],[Camp Name]],CL,4,0),"")</f>
        <v/>
      </c>
      <c r="AR298" s="795"/>
      <c r="AS298" s="783"/>
    </row>
    <row r="299" spans="1:45" s="784" customFormat="1" x14ac:dyDescent="0.25">
      <c r="A299" s="455">
        <f t="shared" si="4"/>
        <v>21.666666666666668</v>
      </c>
      <c r="B299" s="778">
        <v>41659</v>
      </c>
      <c r="C299" s="779" t="s">
        <v>455</v>
      </c>
      <c r="D299" s="779" t="s">
        <v>508</v>
      </c>
      <c r="E299" s="779" t="s">
        <v>380</v>
      </c>
      <c r="F299" s="779" t="s">
        <v>310</v>
      </c>
      <c r="G299" s="779" t="s">
        <v>322</v>
      </c>
      <c r="H299" s="436"/>
      <c r="I299" s="436"/>
      <c r="J299" s="436"/>
      <c r="K299" s="436"/>
      <c r="L299" s="437"/>
      <c r="M299" s="437"/>
      <c r="N299" s="437"/>
      <c r="O299" s="437"/>
      <c r="P299" s="439"/>
      <c r="Q299" s="439"/>
      <c r="R299" s="436">
        <v>1497</v>
      </c>
      <c r="S299" s="436">
        <v>925</v>
      </c>
      <c r="T299" s="436"/>
      <c r="U299" s="436"/>
      <c r="V299" s="436"/>
      <c r="W299" s="436">
        <f>IF(NFI_Expiration=1,IF($A299&lt;VLOOKUP(H$5,NFI,5,0),1,0)*Table_NFI[[#This Row],[Hygiene Kit]],Table_NFI[Hygiene Kit])</f>
        <v>0</v>
      </c>
      <c r="X299" s="436">
        <f>IF(NFI_Expiration=1,IF($A299&lt;VLOOKUP(I$5,NFI,5,0),1,0)*Table_NFI[[#This Row],[NFI Core Kit]],Table_NFI[NFI Core Kit])</f>
        <v>0</v>
      </c>
      <c r="Y299" s="436">
        <f>IF(NFI_Expiration=1,IF($A299&lt;VLOOKUP(J$5,NFI,5,0),1,0)*Table_NFI[[#This Row],[Sanitary Kit]],Table_NFI[Sanitary Kit])</f>
        <v>0</v>
      </c>
      <c r="Z299" s="436">
        <f>IF(NFI_Expiration=1,IF($A299&lt;VLOOKUP(K$5,NFI,5,0),1,0)*Table_NFI[[#This Row],[Mosquito net]],Table_NFI[Mosquito net])</f>
        <v>0</v>
      </c>
      <c r="AA299" s="436">
        <f>IF(NFI_Expiration=1,IF($A299&lt;VLOOKUP(L$5,NFI,5,0),1,0)*Table_NFI[[#This Row],[Tarpaulin]],Table_NFI[[#This Row],[Tarpaulin]])</f>
        <v>0</v>
      </c>
      <c r="AB299" s="436">
        <f>IF(NFI_Expiration=1,IF($A299&lt;VLOOKUP(M$5,NFI,5,0),1,0)*Table_NFI[[#This Row],[Blanket]],Table_NFI[[#This Row],[Blanket]])</f>
        <v>0</v>
      </c>
      <c r="AC299" s="436">
        <f>IF(NFI_Expiration=1,IF($A299&lt;VLOOKUP(N$5,NFI,5,0),1,0)*Table_NFI[[#This Row],[Kitchen Set]],Table_NFI[Kitchen Set])</f>
        <v>0</v>
      </c>
      <c r="AD299" s="436">
        <f>IF(NFI_Expiration=1,IF($A299&lt;VLOOKUP(O$5,NFI,5,0),1,0)*Table_NFI[[#This Row],[Clothes Kit]],Table_NFI[Clothes Kit])</f>
        <v>0</v>
      </c>
      <c r="AE299" s="436">
        <f>IF(NFI_Expiration=1,IF($A299&lt;VLOOKUP(P$5,NFI,5,0),1,0)*Table_NFI[[#This Row],[Plastic Bucket]],Table_NFI[Plastic Bucket])</f>
        <v>0</v>
      </c>
      <c r="AF299" s="436">
        <f>IF(NFI_Expiration=1,IF($A299&lt;VLOOKUP(Q$5,NFI,5,0),1,0)*Table_NFI[[#This Row],[Plastic Mat]],Table_NFI[Plastic Mat])*IF(Table_NFI[[#This Row],[Distribution Date]]&gt;"2014-04-01",1,2.5)</f>
        <v>0</v>
      </c>
      <c r="AG299" s="436">
        <f>IF(NFI_Expiration=1,IF($A299&lt;VLOOKUP(R$5,NFI,5,0),1,0)*Table_NFI[[#This Row],[Winter Clothes Adult]],Table_NFI[Winter Clothes Adult])</f>
        <v>0</v>
      </c>
      <c r="AH299" s="436">
        <f>IF(NFI_Expiration=1,IF($A299&lt;VLOOKUP(S$5,NFI,5,0),1,0)*Table_NFI[[#This Row],[Winter Clothes Children]],Table_NFI[Winter Clothes Children])</f>
        <v>0</v>
      </c>
      <c r="AI299" s="436">
        <f>IF(NFI_Expiration=1,IF($A299&lt;VLOOKUP(T$5,NFI,5,0),1,0)*Table_NFI[[#This Row],[Winter Items Other]],Table_NFI[Winter Items Other])</f>
        <v>0</v>
      </c>
      <c r="AJ299" s="436">
        <f>IF(NFI_Expiration=1,IF($A299&lt;VLOOKUP(M$5,NFI,5,0),1,0)*Table_NFI[[#This Row],[Winter Blanket]],Table_NFI[[#This Row],[Winter Blanket]])</f>
        <v>0</v>
      </c>
      <c r="AK299" s="436">
        <f>IF(Table_NFI[[#This Row],[Winter Clothes Adult]]+Table_NFI[[#This Row],[Winter Clothes Children]]+Table_NFI[[#This Row],[Winter Items Other]]+Table_NFI[[#This Row],[Winter Blanket]]&gt;0,1,0)</f>
        <v>1</v>
      </c>
      <c r="AL299" s="439">
        <f>IF(NFI_Expiration=1,IF($A299&lt;VLOOKUP(V$5,NFI,5,0),1,0)*Table_NFI[[#This Row],[Jerry Can]],Table_NFI[Jerry Can])</f>
        <v>0</v>
      </c>
      <c r="AM299" s="781" t="str">
        <f>IFERROR(VLOOKUP(Table_NFI[[#This Row],[Camp Name]],CL,2,0),"")</f>
        <v>MMR001CMP119</v>
      </c>
      <c r="AN299" s="782">
        <f ca="1">IF(Table_NFI[[#This Row],[Pcode]]="","",IF(OFFSET(CampList[Opening Date],MATCH(Table_NFI[[#This Row],[Pcode]],CampList[CP_Pcode],0)-1,0,1,1)&gt;=NFI_Monitor_Date,1,0))</f>
        <v>0</v>
      </c>
      <c r="AO299" s="781" t="str">
        <f>IFERROR(VLOOKUP(Table_NFI[[#This Row],[Camp Name]],CL,3,0),"")</f>
        <v>Open</v>
      </c>
      <c r="AP299" s="436" t="str">
        <f ca="1">IF(Table_NFI[[#This Row],[Pcode]]="","",OFFSET(CampList[Priority],MATCH(Table_NFI[[#This Row],[Pcode]],CampList[CP_Pcode],0)-1,0,1,1))</f>
        <v>P2</v>
      </c>
      <c r="AQ299" s="438">
        <f>IFERROR(Table_NFI[[#This Row],[Kitchen Set]]/VLOOKUP(Table_NFI[[#This Row],[Camp Name]],CL,4,0),"")</f>
        <v>0</v>
      </c>
      <c r="AR299" s="779" t="s">
        <v>1099</v>
      </c>
      <c r="AS299" s="783"/>
    </row>
    <row r="300" spans="1:45" s="784" customFormat="1" x14ac:dyDescent="0.25">
      <c r="A300" s="455">
        <f t="shared" si="4"/>
        <v>21.666666666666668</v>
      </c>
      <c r="B300" s="778">
        <v>41659</v>
      </c>
      <c r="C300" s="779" t="s">
        <v>1101</v>
      </c>
      <c r="D300" s="779" t="s">
        <v>907</v>
      </c>
      <c r="E300" s="779" t="s">
        <v>380</v>
      </c>
      <c r="F300" s="779" t="s">
        <v>300</v>
      </c>
      <c r="G300" s="779" t="s">
        <v>897</v>
      </c>
      <c r="H300" s="436"/>
      <c r="I300" s="436"/>
      <c r="J300" s="436"/>
      <c r="K300" s="436">
        <v>17</v>
      </c>
      <c r="L300" s="437">
        <v>34</v>
      </c>
      <c r="M300" s="437">
        <v>34</v>
      </c>
      <c r="N300" s="437">
        <v>17</v>
      </c>
      <c r="O300" s="437"/>
      <c r="P300" s="439"/>
      <c r="Q300" s="439"/>
      <c r="R300" s="436">
        <v>31</v>
      </c>
      <c r="S300" s="436">
        <v>28</v>
      </c>
      <c r="T300" s="436"/>
      <c r="U300" s="436"/>
      <c r="V300" s="436"/>
      <c r="W300" s="446">
        <f>IF(NFI_Expiration=1,IF($A300&lt;VLOOKUP(H$5,NFI,5,0),1,0)*Table_NFI[[#This Row],[Hygiene Kit]],Table_NFI[Hygiene Kit])</f>
        <v>0</v>
      </c>
      <c r="X300" s="446">
        <f>IF(NFI_Expiration=1,IF($A300&lt;VLOOKUP(I$5,NFI,5,0),1,0)*Table_NFI[[#This Row],[NFI Core Kit]],Table_NFI[NFI Core Kit])</f>
        <v>0</v>
      </c>
      <c r="Y300" s="446">
        <f>IF(NFI_Expiration=1,IF($A300&lt;VLOOKUP(J$5,NFI,5,0),1,0)*Table_NFI[[#This Row],[Sanitary Kit]],Table_NFI[Sanitary Kit])</f>
        <v>0</v>
      </c>
      <c r="Z300" s="446">
        <f>IF(NFI_Expiration=1,IF($A300&lt;VLOOKUP(K$5,NFI,5,0),1,0)*Table_NFI[[#This Row],[Mosquito net]],Table_NFI[Mosquito net])</f>
        <v>0</v>
      </c>
      <c r="AA300" s="446">
        <f>IF(NFI_Expiration=1,IF($A300&lt;VLOOKUP(L$5,NFI,5,0),1,0)*Table_NFI[[#This Row],[Tarpaulin]],Table_NFI[[#This Row],[Tarpaulin]])</f>
        <v>0</v>
      </c>
      <c r="AB300" s="446">
        <f>IF(NFI_Expiration=1,IF($A300&lt;VLOOKUP(M$5,NFI,5,0),1,0)*Table_NFI[[#This Row],[Blanket]],Table_NFI[[#This Row],[Blanket]])</f>
        <v>0</v>
      </c>
      <c r="AC300" s="446">
        <f>IF(NFI_Expiration=1,IF($A300&lt;VLOOKUP(N$5,NFI,5,0),1,0)*Table_NFI[[#This Row],[Kitchen Set]],Table_NFI[Kitchen Set])</f>
        <v>0</v>
      </c>
      <c r="AD300" s="446">
        <f>IF(NFI_Expiration=1,IF($A300&lt;VLOOKUP(O$5,NFI,5,0),1,0)*Table_NFI[[#This Row],[Clothes Kit]],Table_NFI[Clothes Kit])</f>
        <v>0</v>
      </c>
      <c r="AE300" s="446">
        <f>IF(NFI_Expiration=1,IF($A300&lt;VLOOKUP(P$5,NFI,5,0),1,0)*Table_NFI[[#This Row],[Plastic Bucket]],Table_NFI[Plastic Bucket])</f>
        <v>0</v>
      </c>
      <c r="AF300" s="446">
        <f>IF(NFI_Expiration=1,IF($A300&lt;VLOOKUP(Q$5,NFI,5,0),1,0)*Table_NFI[[#This Row],[Plastic Mat]],Table_NFI[Plastic Mat])*IF(Table_NFI[[#This Row],[Distribution Date]]&gt;"2014-04-01",1,2.5)</f>
        <v>0</v>
      </c>
      <c r="AG300" s="446">
        <f>IF(NFI_Expiration=1,IF($A300&lt;VLOOKUP(R$5,NFI,5,0),1,0)*Table_NFI[[#This Row],[Winter Clothes Adult]],Table_NFI[Winter Clothes Adult])</f>
        <v>0</v>
      </c>
      <c r="AH300" s="446">
        <f>IF(NFI_Expiration=1,IF($A300&lt;VLOOKUP(S$5,NFI,5,0),1,0)*Table_NFI[[#This Row],[Winter Clothes Children]],Table_NFI[Winter Clothes Children])</f>
        <v>0</v>
      </c>
      <c r="AI300" s="446">
        <f>IF(NFI_Expiration=1,IF($A300&lt;VLOOKUP(T$5,NFI,5,0),1,0)*Table_NFI[[#This Row],[Winter Items Other]],Table_NFI[Winter Items Other])</f>
        <v>0</v>
      </c>
      <c r="AJ300" s="446">
        <f>IF(NFI_Expiration=1,IF($A300&lt;VLOOKUP(M$5,NFI,5,0),1,0)*Table_NFI[[#This Row],[Winter Blanket]],Table_NFI[[#This Row],[Winter Blanket]])</f>
        <v>0</v>
      </c>
      <c r="AK300" s="446">
        <f>IF(Table_NFI[[#This Row],[Winter Clothes Adult]]+Table_NFI[[#This Row],[Winter Clothes Children]]+Table_NFI[[#This Row],[Winter Items Other]]+Table_NFI[[#This Row],[Winter Blanket]]&gt;0,1,0)</f>
        <v>1</v>
      </c>
      <c r="AL300" s="439">
        <f>IF(NFI_Expiration=1,IF($A300&lt;VLOOKUP(V$5,NFI,5,0),1,0)*Table_NFI[[#This Row],[Jerry Can]],Table_NFI[Jerry Can])</f>
        <v>0</v>
      </c>
      <c r="AM300" s="793" t="str">
        <f>IFERROR(VLOOKUP(Table_NFI[[#This Row],[Camp Name]],CL,2,0),"")</f>
        <v>MMR001CMP220</v>
      </c>
      <c r="AN300" s="794">
        <f ca="1">IF(Table_NFI[[#This Row],[Pcode]]="","",IF(OFFSET(CampList[Opening Date],MATCH(Table_NFI[[#This Row],[Pcode]],CampList[CP_Pcode],0)-1,0,1,1)&gt;=NFI_Monitor_Date,1,0))</f>
        <v>0</v>
      </c>
      <c r="AO300" s="793" t="str">
        <f>IFERROR(VLOOKUP(Table_NFI[[#This Row],[Camp Name]],CL,3,0),"")</f>
        <v>Closed</v>
      </c>
      <c r="AP300" s="446" t="str">
        <f ca="1">IF(Table_NFI[[#This Row],[Pcode]]="","",OFFSET(CampList[Priority],MATCH(Table_NFI[[#This Row],[Pcode]],CampList[CP_Pcode],0)-1,0,1,1))</f>
        <v>P3</v>
      </c>
      <c r="AQ300" s="447" t="str">
        <f>IFERROR(Table_NFI[[#This Row],[Kitchen Set]]/VLOOKUP(Table_NFI[[#This Row],[Camp Name]],CL,4,0),"")</f>
        <v/>
      </c>
      <c r="AR300" s="795"/>
      <c r="AS300" s="783"/>
    </row>
    <row r="301" spans="1:45" s="784" customFormat="1" x14ac:dyDescent="0.25">
      <c r="A301" s="455">
        <f t="shared" si="4"/>
        <v>21.666666666666668</v>
      </c>
      <c r="B301" s="778">
        <v>41659</v>
      </c>
      <c r="C301" s="779" t="s">
        <v>455</v>
      </c>
      <c r="D301" s="779" t="s">
        <v>508</v>
      </c>
      <c r="E301" s="779" t="s">
        <v>380</v>
      </c>
      <c r="F301" s="779" t="s">
        <v>310</v>
      </c>
      <c r="G301" s="779" t="s">
        <v>355</v>
      </c>
      <c r="H301" s="436"/>
      <c r="I301" s="436"/>
      <c r="J301" s="436"/>
      <c r="K301" s="436"/>
      <c r="L301" s="437"/>
      <c r="M301" s="437"/>
      <c r="N301" s="437"/>
      <c r="O301" s="437">
        <v>127</v>
      </c>
      <c r="P301" s="439"/>
      <c r="Q301" s="439"/>
      <c r="R301" s="436"/>
      <c r="S301" s="436"/>
      <c r="T301" s="436"/>
      <c r="U301" s="436"/>
      <c r="V301" s="436"/>
      <c r="W301" s="436">
        <f>IF(NFI_Expiration=1,IF($A301&lt;VLOOKUP(H$5,NFI,5,0),1,0)*Table_NFI[[#This Row],[Hygiene Kit]],Table_NFI[Hygiene Kit])</f>
        <v>0</v>
      </c>
      <c r="X301" s="436">
        <f>IF(NFI_Expiration=1,IF($A301&lt;VLOOKUP(I$5,NFI,5,0),1,0)*Table_NFI[[#This Row],[NFI Core Kit]],Table_NFI[NFI Core Kit])</f>
        <v>0</v>
      </c>
      <c r="Y301" s="436">
        <f>IF(NFI_Expiration=1,IF($A301&lt;VLOOKUP(J$5,NFI,5,0),1,0)*Table_NFI[[#This Row],[Sanitary Kit]],Table_NFI[Sanitary Kit])</f>
        <v>0</v>
      </c>
      <c r="Z301" s="436">
        <f>IF(NFI_Expiration=1,IF($A301&lt;VLOOKUP(K$5,NFI,5,0),1,0)*Table_NFI[[#This Row],[Mosquito net]],Table_NFI[Mosquito net])</f>
        <v>0</v>
      </c>
      <c r="AA301" s="436">
        <f>IF(NFI_Expiration=1,IF($A301&lt;VLOOKUP(L$5,NFI,5,0),1,0)*Table_NFI[[#This Row],[Tarpaulin]],Table_NFI[[#This Row],[Tarpaulin]])</f>
        <v>0</v>
      </c>
      <c r="AB301" s="436">
        <f>IF(NFI_Expiration=1,IF($A301&lt;VLOOKUP(M$5,NFI,5,0),1,0)*Table_NFI[[#This Row],[Blanket]],Table_NFI[[#This Row],[Blanket]])</f>
        <v>0</v>
      </c>
      <c r="AC301" s="436">
        <f>IF(NFI_Expiration=1,IF($A301&lt;VLOOKUP(N$5,NFI,5,0),1,0)*Table_NFI[[#This Row],[Kitchen Set]],Table_NFI[Kitchen Set])</f>
        <v>0</v>
      </c>
      <c r="AD301" s="436">
        <f>IF(NFI_Expiration=1,IF($A301&lt;VLOOKUP(O$5,NFI,5,0),1,0)*Table_NFI[[#This Row],[Clothes Kit]],Table_NFI[Clothes Kit])</f>
        <v>0</v>
      </c>
      <c r="AE301" s="436">
        <f>IF(NFI_Expiration=1,IF($A301&lt;VLOOKUP(P$5,NFI,5,0),1,0)*Table_NFI[[#This Row],[Plastic Bucket]],Table_NFI[Plastic Bucket])</f>
        <v>0</v>
      </c>
      <c r="AF301" s="436">
        <f>IF(NFI_Expiration=1,IF($A301&lt;VLOOKUP(Q$5,NFI,5,0),1,0)*Table_NFI[[#This Row],[Plastic Mat]],Table_NFI[Plastic Mat])*IF(Table_NFI[[#This Row],[Distribution Date]]&gt;"2014-04-01",1,2.5)</f>
        <v>0</v>
      </c>
      <c r="AG301" s="436">
        <f>IF(NFI_Expiration=1,IF($A301&lt;VLOOKUP(R$5,NFI,5,0),1,0)*Table_NFI[[#This Row],[Winter Clothes Adult]],Table_NFI[Winter Clothes Adult])</f>
        <v>0</v>
      </c>
      <c r="AH301" s="436">
        <f>IF(NFI_Expiration=1,IF($A301&lt;VLOOKUP(S$5,NFI,5,0),1,0)*Table_NFI[[#This Row],[Winter Clothes Children]],Table_NFI[Winter Clothes Children])</f>
        <v>0</v>
      </c>
      <c r="AI301" s="436">
        <f>IF(NFI_Expiration=1,IF($A301&lt;VLOOKUP(T$5,NFI,5,0),1,0)*Table_NFI[[#This Row],[Winter Items Other]],Table_NFI[Winter Items Other])</f>
        <v>0</v>
      </c>
      <c r="AJ301" s="436">
        <f>IF(NFI_Expiration=1,IF($A301&lt;VLOOKUP(M$5,NFI,5,0),1,0)*Table_NFI[[#This Row],[Winter Blanket]],Table_NFI[[#This Row],[Winter Blanket]])</f>
        <v>0</v>
      </c>
      <c r="AK301" s="436">
        <f>IF(Table_NFI[[#This Row],[Winter Clothes Adult]]+Table_NFI[[#This Row],[Winter Clothes Children]]+Table_NFI[[#This Row],[Winter Items Other]]+Table_NFI[[#This Row],[Winter Blanket]]&gt;0,1,0)</f>
        <v>0</v>
      </c>
      <c r="AL301" s="439">
        <f>IF(NFI_Expiration=1,IF($A301&lt;VLOOKUP(V$5,NFI,5,0),1,0)*Table_NFI[[#This Row],[Jerry Can]],Table_NFI[Jerry Can])</f>
        <v>0</v>
      </c>
      <c r="AM301" s="781" t="str">
        <f>IFERROR(VLOOKUP(Table_NFI[[#This Row],[Camp Name]],CL,2,0),"")</f>
        <v>MMR001CMP160</v>
      </c>
      <c r="AN301" s="782">
        <f ca="1">IF(Table_NFI[[#This Row],[Pcode]]="","",IF(OFFSET(CampList[Opening Date],MATCH(Table_NFI[[#This Row],[Pcode]],CampList[CP_Pcode],0)-1,0,1,1)&gt;=NFI_Monitor_Date,1,0))</f>
        <v>0</v>
      </c>
      <c r="AO301" s="781" t="str">
        <f>IFERROR(VLOOKUP(Table_NFI[[#This Row],[Camp Name]],CL,3,0),"")</f>
        <v>Open</v>
      </c>
      <c r="AP301" s="436" t="str">
        <f ca="1">IF(Table_NFI[[#This Row],[Pcode]]="","",OFFSET(CampList[Priority],MATCH(Table_NFI[[#This Row],[Pcode]],CampList[CP_Pcode],0)-1,0,1,1))</f>
        <v>P1</v>
      </c>
      <c r="AQ301" s="438">
        <f>IFERROR(Table_NFI[[#This Row],[Kitchen Set]]/VLOOKUP(Table_NFI[[#This Row],[Camp Name]],CL,4,0),"")</f>
        <v>0</v>
      </c>
      <c r="AR301" s="779" t="s">
        <v>1099</v>
      </c>
      <c r="AS301" s="783"/>
    </row>
    <row r="302" spans="1:45" s="784" customFormat="1" x14ac:dyDescent="0.25">
      <c r="A302" s="455">
        <f t="shared" si="4"/>
        <v>21.666666666666668</v>
      </c>
      <c r="B302" s="778">
        <v>41659</v>
      </c>
      <c r="C302" s="779" t="s">
        <v>455</v>
      </c>
      <c r="D302" s="779" t="s">
        <v>508</v>
      </c>
      <c r="E302" s="779" t="s">
        <v>380</v>
      </c>
      <c r="F302" s="779" t="s">
        <v>310</v>
      </c>
      <c r="G302" s="779" t="s">
        <v>355</v>
      </c>
      <c r="H302" s="436"/>
      <c r="I302" s="436"/>
      <c r="J302" s="436"/>
      <c r="K302" s="436"/>
      <c r="L302" s="437"/>
      <c r="M302" s="437"/>
      <c r="N302" s="437"/>
      <c r="O302" s="437"/>
      <c r="P302" s="439"/>
      <c r="Q302" s="439"/>
      <c r="R302" s="436">
        <v>443</v>
      </c>
      <c r="S302" s="436">
        <v>218</v>
      </c>
      <c r="T302" s="436"/>
      <c r="U302" s="436"/>
      <c r="V302" s="436"/>
      <c r="W302" s="436">
        <f>IF(NFI_Expiration=1,IF($A302&lt;VLOOKUP(H$5,NFI,5,0),1,0)*Table_NFI[[#This Row],[Hygiene Kit]],Table_NFI[Hygiene Kit])</f>
        <v>0</v>
      </c>
      <c r="X302" s="436">
        <f>IF(NFI_Expiration=1,IF($A302&lt;VLOOKUP(I$5,NFI,5,0),1,0)*Table_NFI[[#This Row],[NFI Core Kit]],Table_NFI[NFI Core Kit])</f>
        <v>0</v>
      </c>
      <c r="Y302" s="436">
        <f>IF(NFI_Expiration=1,IF($A302&lt;VLOOKUP(J$5,NFI,5,0),1,0)*Table_NFI[[#This Row],[Sanitary Kit]],Table_NFI[Sanitary Kit])</f>
        <v>0</v>
      </c>
      <c r="Z302" s="436">
        <f>IF(NFI_Expiration=1,IF($A302&lt;VLOOKUP(K$5,NFI,5,0),1,0)*Table_NFI[[#This Row],[Mosquito net]],Table_NFI[Mosquito net])</f>
        <v>0</v>
      </c>
      <c r="AA302" s="436">
        <f>IF(NFI_Expiration=1,IF($A302&lt;VLOOKUP(L$5,NFI,5,0),1,0)*Table_NFI[[#This Row],[Tarpaulin]],Table_NFI[[#This Row],[Tarpaulin]])</f>
        <v>0</v>
      </c>
      <c r="AB302" s="436">
        <f>IF(NFI_Expiration=1,IF($A302&lt;VLOOKUP(M$5,NFI,5,0),1,0)*Table_NFI[[#This Row],[Blanket]],Table_NFI[[#This Row],[Blanket]])</f>
        <v>0</v>
      </c>
      <c r="AC302" s="436">
        <f>IF(NFI_Expiration=1,IF($A302&lt;VLOOKUP(N$5,NFI,5,0),1,0)*Table_NFI[[#This Row],[Kitchen Set]],Table_NFI[Kitchen Set])</f>
        <v>0</v>
      </c>
      <c r="AD302" s="436">
        <f>IF(NFI_Expiration=1,IF($A302&lt;VLOOKUP(O$5,NFI,5,0),1,0)*Table_NFI[[#This Row],[Clothes Kit]],Table_NFI[Clothes Kit])</f>
        <v>0</v>
      </c>
      <c r="AE302" s="436">
        <f>IF(NFI_Expiration=1,IF($A302&lt;VLOOKUP(P$5,NFI,5,0),1,0)*Table_NFI[[#This Row],[Plastic Bucket]],Table_NFI[Plastic Bucket])</f>
        <v>0</v>
      </c>
      <c r="AF302" s="436">
        <f>IF(NFI_Expiration=1,IF($A302&lt;VLOOKUP(Q$5,NFI,5,0),1,0)*Table_NFI[[#This Row],[Plastic Mat]],Table_NFI[Plastic Mat])*IF(Table_NFI[[#This Row],[Distribution Date]]&gt;"2014-04-01",1,2.5)</f>
        <v>0</v>
      </c>
      <c r="AG302" s="436">
        <f>IF(NFI_Expiration=1,IF($A302&lt;VLOOKUP(R$5,NFI,5,0),1,0)*Table_NFI[[#This Row],[Winter Clothes Adult]],Table_NFI[Winter Clothes Adult])</f>
        <v>0</v>
      </c>
      <c r="AH302" s="436">
        <f>IF(NFI_Expiration=1,IF($A302&lt;VLOOKUP(S$5,NFI,5,0),1,0)*Table_NFI[[#This Row],[Winter Clothes Children]],Table_NFI[Winter Clothes Children])</f>
        <v>0</v>
      </c>
      <c r="AI302" s="436">
        <f>IF(NFI_Expiration=1,IF($A302&lt;VLOOKUP(T$5,NFI,5,0),1,0)*Table_NFI[[#This Row],[Winter Items Other]],Table_NFI[Winter Items Other])</f>
        <v>0</v>
      </c>
      <c r="AJ302" s="436">
        <f>IF(NFI_Expiration=1,IF($A302&lt;VLOOKUP(M$5,NFI,5,0),1,0)*Table_NFI[[#This Row],[Winter Blanket]],Table_NFI[[#This Row],[Winter Blanket]])</f>
        <v>0</v>
      </c>
      <c r="AK302" s="436">
        <f>IF(Table_NFI[[#This Row],[Winter Clothes Adult]]+Table_NFI[[#This Row],[Winter Clothes Children]]+Table_NFI[[#This Row],[Winter Items Other]]+Table_NFI[[#This Row],[Winter Blanket]]&gt;0,1,0)</f>
        <v>1</v>
      </c>
      <c r="AL302" s="439">
        <f>IF(NFI_Expiration=1,IF($A302&lt;VLOOKUP(V$5,NFI,5,0),1,0)*Table_NFI[[#This Row],[Jerry Can]],Table_NFI[Jerry Can])</f>
        <v>0</v>
      </c>
      <c r="AM302" s="781" t="str">
        <f>IFERROR(VLOOKUP(Table_NFI[[#This Row],[Camp Name]],CL,2,0),"")</f>
        <v>MMR001CMP160</v>
      </c>
      <c r="AN302" s="782">
        <f ca="1">IF(Table_NFI[[#This Row],[Pcode]]="","",IF(OFFSET(CampList[Opening Date],MATCH(Table_NFI[[#This Row],[Pcode]],CampList[CP_Pcode],0)-1,0,1,1)&gt;=NFI_Monitor_Date,1,0))</f>
        <v>0</v>
      </c>
      <c r="AO302" s="781" t="str">
        <f>IFERROR(VLOOKUP(Table_NFI[[#This Row],[Camp Name]],CL,3,0),"")</f>
        <v>Open</v>
      </c>
      <c r="AP302" s="436" t="str">
        <f ca="1">IF(Table_NFI[[#This Row],[Pcode]]="","",OFFSET(CampList[Priority],MATCH(Table_NFI[[#This Row],[Pcode]],CampList[CP_Pcode],0)-1,0,1,1))</f>
        <v>P1</v>
      </c>
      <c r="AQ302" s="438">
        <f>IFERROR(Table_NFI[[#This Row],[Kitchen Set]]/VLOOKUP(Table_NFI[[#This Row],[Camp Name]],CL,4,0),"")</f>
        <v>0</v>
      </c>
      <c r="AR302" s="779" t="s">
        <v>1099</v>
      </c>
      <c r="AS302" s="783"/>
    </row>
    <row r="303" spans="1:45" s="784" customFormat="1" x14ac:dyDescent="0.25">
      <c r="A303" s="455">
        <f t="shared" si="4"/>
        <v>21.666666666666668</v>
      </c>
      <c r="B303" s="778">
        <v>41659</v>
      </c>
      <c r="C303" s="779" t="s">
        <v>1101</v>
      </c>
      <c r="D303" s="779" t="s">
        <v>907</v>
      </c>
      <c r="E303" s="779" t="s">
        <v>380</v>
      </c>
      <c r="F303" s="779" t="s">
        <v>300</v>
      </c>
      <c r="G303" s="779" t="s">
        <v>301</v>
      </c>
      <c r="H303" s="436"/>
      <c r="I303" s="436"/>
      <c r="J303" s="436"/>
      <c r="K303" s="436">
        <v>18</v>
      </c>
      <c r="L303" s="437">
        <v>36</v>
      </c>
      <c r="M303" s="437">
        <v>36</v>
      </c>
      <c r="N303" s="437">
        <v>18</v>
      </c>
      <c r="O303" s="437"/>
      <c r="P303" s="439"/>
      <c r="Q303" s="439"/>
      <c r="R303" s="436">
        <v>53</v>
      </c>
      <c r="S303" s="436">
        <v>42</v>
      </c>
      <c r="T303" s="436"/>
      <c r="U303" s="436"/>
      <c r="V303" s="436"/>
      <c r="W303" s="446">
        <f>IF(NFI_Expiration=1,IF($A303&lt;VLOOKUP(H$5,NFI,5,0),1,0)*Table_NFI[[#This Row],[Hygiene Kit]],Table_NFI[Hygiene Kit])</f>
        <v>0</v>
      </c>
      <c r="X303" s="446">
        <f>IF(NFI_Expiration=1,IF($A303&lt;VLOOKUP(I$5,NFI,5,0),1,0)*Table_NFI[[#This Row],[NFI Core Kit]],Table_NFI[NFI Core Kit])</f>
        <v>0</v>
      </c>
      <c r="Y303" s="446">
        <f>IF(NFI_Expiration=1,IF($A303&lt;VLOOKUP(J$5,NFI,5,0),1,0)*Table_NFI[[#This Row],[Sanitary Kit]],Table_NFI[Sanitary Kit])</f>
        <v>0</v>
      </c>
      <c r="Z303" s="446">
        <f>IF(NFI_Expiration=1,IF($A303&lt;VLOOKUP(K$5,NFI,5,0),1,0)*Table_NFI[[#This Row],[Mosquito net]],Table_NFI[Mosquito net])</f>
        <v>0</v>
      </c>
      <c r="AA303" s="446">
        <f>IF(NFI_Expiration=1,IF($A303&lt;VLOOKUP(L$5,NFI,5,0),1,0)*Table_NFI[[#This Row],[Tarpaulin]],Table_NFI[[#This Row],[Tarpaulin]])</f>
        <v>0</v>
      </c>
      <c r="AB303" s="446">
        <f>IF(NFI_Expiration=1,IF($A303&lt;VLOOKUP(M$5,NFI,5,0),1,0)*Table_NFI[[#This Row],[Blanket]],Table_NFI[[#This Row],[Blanket]])</f>
        <v>0</v>
      </c>
      <c r="AC303" s="446">
        <f>IF(NFI_Expiration=1,IF($A303&lt;VLOOKUP(N$5,NFI,5,0),1,0)*Table_NFI[[#This Row],[Kitchen Set]],Table_NFI[Kitchen Set])</f>
        <v>0</v>
      </c>
      <c r="AD303" s="446">
        <f>IF(NFI_Expiration=1,IF($A303&lt;VLOOKUP(O$5,NFI,5,0),1,0)*Table_NFI[[#This Row],[Clothes Kit]],Table_NFI[Clothes Kit])</f>
        <v>0</v>
      </c>
      <c r="AE303" s="446">
        <f>IF(NFI_Expiration=1,IF($A303&lt;VLOOKUP(P$5,NFI,5,0),1,0)*Table_NFI[[#This Row],[Plastic Bucket]],Table_NFI[Plastic Bucket])</f>
        <v>0</v>
      </c>
      <c r="AF303" s="446">
        <f>IF(NFI_Expiration=1,IF($A303&lt;VLOOKUP(Q$5,NFI,5,0),1,0)*Table_NFI[[#This Row],[Plastic Mat]],Table_NFI[Plastic Mat])*IF(Table_NFI[[#This Row],[Distribution Date]]&gt;"2014-04-01",1,2.5)</f>
        <v>0</v>
      </c>
      <c r="AG303" s="446">
        <f>IF(NFI_Expiration=1,IF($A303&lt;VLOOKUP(R$5,NFI,5,0),1,0)*Table_NFI[[#This Row],[Winter Clothes Adult]],Table_NFI[Winter Clothes Adult])</f>
        <v>0</v>
      </c>
      <c r="AH303" s="446">
        <f>IF(NFI_Expiration=1,IF($A303&lt;VLOOKUP(S$5,NFI,5,0),1,0)*Table_NFI[[#This Row],[Winter Clothes Children]],Table_NFI[Winter Clothes Children])</f>
        <v>0</v>
      </c>
      <c r="AI303" s="446">
        <f>IF(NFI_Expiration=1,IF($A303&lt;VLOOKUP(T$5,NFI,5,0),1,0)*Table_NFI[[#This Row],[Winter Items Other]],Table_NFI[Winter Items Other])</f>
        <v>0</v>
      </c>
      <c r="AJ303" s="446">
        <f>IF(NFI_Expiration=1,IF($A303&lt;VLOOKUP(M$5,NFI,5,0),1,0)*Table_NFI[[#This Row],[Winter Blanket]],Table_NFI[[#This Row],[Winter Blanket]])</f>
        <v>0</v>
      </c>
      <c r="AK303" s="446">
        <f>IF(Table_NFI[[#This Row],[Winter Clothes Adult]]+Table_NFI[[#This Row],[Winter Clothes Children]]+Table_NFI[[#This Row],[Winter Items Other]]+Table_NFI[[#This Row],[Winter Blanket]]&gt;0,1,0)</f>
        <v>1</v>
      </c>
      <c r="AL303" s="439">
        <f>IF(NFI_Expiration=1,IF($A303&lt;VLOOKUP(V$5,NFI,5,0),1,0)*Table_NFI[[#This Row],[Jerry Can]],Table_NFI[Jerry Can])</f>
        <v>0</v>
      </c>
      <c r="AM303" s="793" t="str">
        <f>IFERROR(VLOOKUP(Table_NFI[[#This Row],[Camp Name]],CL,2,0),"")</f>
        <v>MMR001CMP075</v>
      </c>
      <c r="AN303" s="794">
        <f ca="1">IF(Table_NFI[[#This Row],[Pcode]]="","",IF(OFFSET(CampList[Opening Date],MATCH(Table_NFI[[#This Row],[Pcode]],CampList[CP_Pcode],0)-1,0,1,1)&gt;=NFI_Monitor_Date,1,0))</f>
        <v>0</v>
      </c>
      <c r="AO303" s="793" t="str">
        <f>IFERROR(VLOOKUP(Table_NFI[[#This Row],[Camp Name]],CL,3,0),"")</f>
        <v>Open</v>
      </c>
      <c r="AP303" s="446" t="str">
        <f ca="1">IF(Table_NFI[[#This Row],[Pcode]]="","",OFFSET(CampList[Priority],MATCH(Table_NFI[[#This Row],[Pcode]],CampList[CP_Pcode],0)-1,0,1,1))</f>
        <v>P3</v>
      </c>
      <c r="AQ303" s="447">
        <f>IFERROR(Table_NFI[[#This Row],[Kitchen Set]]/VLOOKUP(Table_NFI[[#This Row],[Camp Name]],CL,4,0),"")</f>
        <v>1.2857142857142858</v>
      </c>
      <c r="AR303" s="795"/>
      <c r="AS303" s="783"/>
    </row>
    <row r="304" spans="1:45" s="784" customFormat="1" x14ac:dyDescent="0.25">
      <c r="A304" s="455">
        <f t="shared" si="4"/>
        <v>21.8</v>
      </c>
      <c r="B304" s="778">
        <v>41655</v>
      </c>
      <c r="C304" s="779" t="s">
        <v>454</v>
      </c>
      <c r="D304" s="442" t="s">
        <v>454</v>
      </c>
      <c r="E304" s="785" t="s">
        <v>380</v>
      </c>
      <c r="F304" s="435" t="s">
        <v>151</v>
      </c>
      <c r="G304" s="435" t="s">
        <v>188</v>
      </c>
      <c r="H304" s="442"/>
      <c r="I304" s="442"/>
      <c r="J304" s="442"/>
      <c r="K304" s="785">
        <v>45</v>
      </c>
      <c r="L304" s="786">
        <v>30</v>
      </c>
      <c r="M304" s="443">
        <v>45</v>
      </c>
      <c r="N304" s="443">
        <v>30</v>
      </c>
      <c r="O304" s="443"/>
      <c r="P304" s="786">
        <v>30</v>
      </c>
      <c r="Q304" s="443">
        <v>150</v>
      </c>
      <c r="R304" s="442"/>
      <c r="S304" s="442"/>
      <c r="T304" s="442"/>
      <c r="U304" s="442"/>
      <c r="V304" s="442"/>
      <c r="W304" s="436">
        <f>IF(NFI_Expiration=1,IF($A304&lt;VLOOKUP(H$5,NFI,5,0),1,0)*Table_NFI[[#This Row],[Hygiene Kit]],Table_NFI[Hygiene Kit])</f>
        <v>0</v>
      </c>
      <c r="X304" s="436">
        <f>IF(NFI_Expiration=1,IF($A304&lt;VLOOKUP(I$5,NFI,5,0),1,0)*Table_NFI[[#This Row],[NFI Core Kit]],Table_NFI[NFI Core Kit])</f>
        <v>0</v>
      </c>
      <c r="Y304" s="436">
        <f>IF(NFI_Expiration=1,IF($A304&lt;VLOOKUP(J$5,NFI,5,0),1,0)*Table_NFI[[#This Row],[Sanitary Kit]],Table_NFI[Sanitary Kit])</f>
        <v>0</v>
      </c>
      <c r="Z304" s="436">
        <f>IF(NFI_Expiration=1,IF($A304&lt;VLOOKUP(K$5,NFI,5,0),1,0)*Table_NFI[[#This Row],[Mosquito net]],Table_NFI[Mosquito net])</f>
        <v>0</v>
      </c>
      <c r="AA304" s="436">
        <f>IF(NFI_Expiration=1,IF($A304&lt;VLOOKUP(L$5,NFI,5,0),1,0)*Table_NFI[[#This Row],[Tarpaulin]],Table_NFI[[#This Row],[Tarpaulin]])</f>
        <v>0</v>
      </c>
      <c r="AB304" s="436">
        <f>IF(NFI_Expiration=1,IF($A304&lt;VLOOKUP(M$5,NFI,5,0),1,0)*Table_NFI[[#This Row],[Blanket]],Table_NFI[[#This Row],[Blanket]])</f>
        <v>0</v>
      </c>
      <c r="AC304" s="436">
        <f>IF(NFI_Expiration=1,IF($A304&lt;VLOOKUP(N$5,NFI,5,0),1,0)*Table_NFI[[#This Row],[Kitchen Set]],Table_NFI[Kitchen Set])</f>
        <v>0</v>
      </c>
      <c r="AD304" s="436">
        <f>IF(NFI_Expiration=1,IF($A304&lt;VLOOKUP(O$5,NFI,5,0),1,0)*Table_NFI[[#This Row],[Clothes Kit]],Table_NFI[Clothes Kit])</f>
        <v>0</v>
      </c>
      <c r="AE304" s="436">
        <f>IF(NFI_Expiration=1,IF($A304&lt;VLOOKUP(P$5,NFI,5,0),1,0)*Table_NFI[[#This Row],[Plastic Bucket]],Table_NFI[Plastic Bucket])</f>
        <v>0</v>
      </c>
      <c r="AF304" s="436">
        <f>IF(NFI_Expiration=1,IF($A304&lt;VLOOKUP(Q$5,NFI,5,0),1,0)*Table_NFI[[#This Row],[Plastic Mat]],Table_NFI[Plastic Mat])*IF(Table_NFI[[#This Row],[Distribution Date]]&gt;"2014-04-01",1,2.5)</f>
        <v>0</v>
      </c>
      <c r="AG304" s="436">
        <f>IF(NFI_Expiration=1,IF($A304&lt;VLOOKUP(R$5,NFI,5,0),1,0)*Table_NFI[[#This Row],[Winter Clothes Adult]],Table_NFI[Winter Clothes Adult])</f>
        <v>0</v>
      </c>
      <c r="AH304" s="436">
        <f>IF(NFI_Expiration=1,IF($A304&lt;VLOOKUP(S$5,NFI,5,0),1,0)*Table_NFI[[#This Row],[Winter Clothes Children]],Table_NFI[Winter Clothes Children])</f>
        <v>0</v>
      </c>
      <c r="AI304" s="436">
        <f>IF(NFI_Expiration=1,IF($A304&lt;VLOOKUP(T$5,NFI,5,0),1,0)*Table_NFI[[#This Row],[Winter Items Other]],Table_NFI[Winter Items Other])</f>
        <v>0</v>
      </c>
      <c r="AJ304" s="436">
        <f>IF(NFI_Expiration=1,IF($A304&lt;VLOOKUP(M$5,NFI,5,0),1,0)*Table_NFI[[#This Row],[Winter Blanket]],Table_NFI[[#This Row],[Winter Blanket]])</f>
        <v>0</v>
      </c>
      <c r="AK304" s="436">
        <f>IF(Table_NFI[[#This Row],[Winter Clothes Adult]]+Table_NFI[[#This Row],[Winter Clothes Children]]+Table_NFI[[#This Row],[Winter Items Other]]+Table_NFI[[#This Row],[Winter Blanket]]&gt;0,1,0)</f>
        <v>0</v>
      </c>
      <c r="AL304" s="439">
        <f>IF(NFI_Expiration=1,IF($A304&lt;VLOOKUP(V$5,NFI,5,0),1,0)*Table_NFI[[#This Row],[Jerry Can]],Table_NFI[Jerry Can])</f>
        <v>0</v>
      </c>
      <c r="AM304" s="781" t="str">
        <f>IFERROR(VLOOKUP(Table_NFI[[#This Row],[Camp Name]],CL,2,0),"")</f>
        <v>MMR001CMP129</v>
      </c>
      <c r="AN304" s="782">
        <f ca="1">IF(Table_NFI[[#This Row],[Pcode]]="","",IF(OFFSET(CampList[Opening Date],MATCH(Table_NFI[[#This Row],[Pcode]],CampList[CP_Pcode],0)-1,0,1,1)&gt;=NFI_Monitor_Date,1,0))</f>
        <v>0</v>
      </c>
      <c r="AO304" s="781" t="str">
        <f>IFERROR(VLOOKUP(Table_NFI[[#This Row],[Camp Name]],CL,3,0),"")</f>
        <v>Open</v>
      </c>
      <c r="AP304" s="436" t="str">
        <f ca="1">IF(Table_NFI[[#This Row],[Pcode]]="","",OFFSET(CampList[Priority],MATCH(Table_NFI[[#This Row],[Pcode]],CampList[CP_Pcode],0)-1,0,1,1))</f>
        <v>P2</v>
      </c>
      <c r="AQ304" s="438">
        <f>IFERROR(Table_NFI[[#This Row],[Kitchen Set]]/VLOOKUP(Table_NFI[[#This Row],[Camp Name]],CL,4,0),"")</f>
        <v>0.17241379310344829</v>
      </c>
      <c r="AR304" s="779" t="s">
        <v>1099</v>
      </c>
      <c r="AS304" s="783"/>
    </row>
    <row r="305" spans="1:45" s="784" customFormat="1" x14ac:dyDescent="0.25">
      <c r="A305" s="455">
        <f t="shared" si="4"/>
        <v>21.8</v>
      </c>
      <c r="B305" s="778">
        <v>41655</v>
      </c>
      <c r="C305" s="779" t="s">
        <v>455</v>
      </c>
      <c r="D305" s="779" t="s">
        <v>508</v>
      </c>
      <c r="E305" s="779" t="s">
        <v>380</v>
      </c>
      <c r="F305" s="779" t="s">
        <v>310</v>
      </c>
      <c r="G305" s="779" t="s">
        <v>322</v>
      </c>
      <c r="H305" s="436"/>
      <c r="I305" s="436"/>
      <c r="J305" s="436"/>
      <c r="K305" s="436"/>
      <c r="L305" s="437"/>
      <c r="M305" s="437"/>
      <c r="N305" s="437"/>
      <c r="O305" s="437">
        <v>600</v>
      </c>
      <c r="P305" s="439"/>
      <c r="Q305" s="439"/>
      <c r="R305" s="436"/>
      <c r="S305" s="436"/>
      <c r="T305" s="436"/>
      <c r="U305" s="436"/>
      <c r="V305" s="436"/>
      <c r="W305" s="436">
        <f>IF(NFI_Expiration=1,IF($A305&lt;VLOOKUP(H$5,NFI,5,0),1,0)*Table_NFI[[#This Row],[Hygiene Kit]],Table_NFI[Hygiene Kit])</f>
        <v>0</v>
      </c>
      <c r="X305" s="436">
        <f>IF(NFI_Expiration=1,IF($A305&lt;VLOOKUP(I$5,NFI,5,0),1,0)*Table_NFI[[#This Row],[NFI Core Kit]],Table_NFI[NFI Core Kit])</f>
        <v>0</v>
      </c>
      <c r="Y305" s="436">
        <f>IF(NFI_Expiration=1,IF($A305&lt;VLOOKUP(J$5,NFI,5,0),1,0)*Table_NFI[[#This Row],[Sanitary Kit]],Table_NFI[Sanitary Kit])</f>
        <v>0</v>
      </c>
      <c r="Z305" s="436">
        <f>IF(NFI_Expiration=1,IF($A305&lt;VLOOKUP(K$5,NFI,5,0),1,0)*Table_NFI[[#This Row],[Mosquito net]],Table_NFI[Mosquito net])</f>
        <v>0</v>
      </c>
      <c r="AA305" s="436">
        <f>IF(NFI_Expiration=1,IF($A305&lt;VLOOKUP(L$5,NFI,5,0),1,0)*Table_NFI[[#This Row],[Tarpaulin]],Table_NFI[[#This Row],[Tarpaulin]])</f>
        <v>0</v>
      </c>
      <c r="AB305" s="436">
        <f>IF(NFI_Expiration=1,IF($A305&lt;VLOOKUP(M$5,NFI,5,0),1,0)*Table_NFI[[#This Row],[Blanket]],Table_NFI[[#This Row],[Blanket]])</f>
        <v>0</v>
      </c>
      <c r="AC305" s="436">
        <f>IF(NFI_Expiration=1,IF($A305&lt;VLOOKUP(N$5,NFI,5,0),1,0)*Table_NFI[[#This Row],[Kitchen Set]],Table_NFI[Kitchen Set])</f>
        <v>0</v>
      </c>
      <c r="AD305" s="436">
        <f>IF(NFI_Expiration=1,IF($A305&lt;VLOOKUP(O$5,NFI,5,0),1,0)*Table_NFI[[#This Row],[Clothes Kit]],Table_NFI[Clothes Kit])</f>
        <v>0</v>
      </c>
      <c r="AE305" s="436">
        <f>IF(NFI_Expiration=1,IF($A305&lt;VLOOKUP(P$5,NFI,5,0),1,0)*Table_NFI[[#This Row],[Plastic Bucket]],Table_NFI[Plastic Bucket])</f>
        <v>0</v>
      </c>
      <c r="AF305" s="436">
        <f>IF(NFI_Expiration=1,IF($A305&lt;VLOOKUP(Q$5,NFI,5,0),1,0)*Table_NFI[[#This Row],[Plastic Mat]],Table_NFI[Plastic Mat])*IF(Table_NFI[[#This Row],[Distribution Date]]&gt;"2014-04-01",1,2.5)</f>
        <v>0</v>
      </c>
      <c r="AG305" s="436">
        <f>IF(NFI_Expiration=1,IF($A305&lt;VLOOKUP(R$5,NFI,5,0),1,0)*Table_NFI[[#This Row],[Winter Clothes Adult]],Table_NFI[Winter Clothes Adult])</f>
        <v>0</v>
      </c>
      <c r="AH305" s="436">
        <f>IF(NFI_Expiration=1,IF($A305&lt;VLOOKUP(S$5,NFI,5,0),1,0)*Table_NFI[[#This Row],[Winter Clothes Children]],Table_NFI[Winter Clothes Children])</f>
        <v>0</v>
      </c>
      <c r="AI305" s="436">
        <f>IF(NFI_Expiration=1,IF($A305&lt;VLOOKUP(T$5,NFI,5,0),1,0)*Table_NFI[[#This Row],[Winter Items Other]],Table_NFI[Winter Items Other])</f>
        <v>0</v>
      </c>
      <c r="AJ305" s="436">
        <f>IF(NFI_Expiration=1,IF($A305&lt;VLOOKUP(M$5,NFI,5,0),1,0)*Table_NFI[[#This Row],[Winter Blanket]],Table_NFI[[#This Row],[Winter Blanket]])</f>
        <v>0</v>
      </c>
      <c r="AK305" s="436">
        <f>IF(Table_NFI[[#This Row],[Winter Clothes Adult]]+Table_NFI[[#This Row],[Winter Clothes Children]]+Table_NFI[[#This Row],[Winter Items Other]]+Table_NFI[[#This Row],[Winter Blanket]]&gt;0,1,0)</f>
        <v>0</v>
      </c>
      <c r="AL305" s="439">
        <f>IF(NFI_Expiration=1,IF($A305&lt;VLOOKUP(V$5,NFI,5,0),1,0)*Table_NFI[[#This Row],[Jerry Can]],Table_NFI[Jerry Can])</f>
        <v>0</v>
      </c>
      <c r="AM305" s="781" t="str">
        <f>IFERROR(VLOOKUP(Table_NFI[[#This Row],[Camp Name]],CL,2,0),"")</f>
        <v>MMR001CMP119</v>
      </c>
      <c r="AN305" s="782">
        <f ca="1">IF(Table_NFI[[#This Row],[Pcode]]="","",IF(OFFSET(CampList[Opening Date],MATCH(Table_NFI[[#This Row],[Pcode]],CampList[CP_Pcode],0)-1,0,1,1)&gt;=NFI_Monitor_Date,1,0))</f>
        <v>0</v>
      </c>
      <c r="AO305" s="781" t="str">
        <f>IFERROR(VLOOKUP(Table_NFI[[#This Row],[Camp Name]],CL,3,0),"")</f>
        <v>Open</v>
      </c>
      <c r="AP305" s="436" t="str">
        <f ca="1">IF(Table_NFI[[#This Row],[Pcode]]="","",OFFSET(CampList[Priority],MATCH(Table_NFI[[#This Row],[Pcode]],CampList[CP_Pcode],0)-1,0,1,1))</f>
        <v>P2</v>
      </c>
      <c r="AQ305" s="438">
        <f>IFERROR(Table_NFI[[#This Row],[Kitchen Set]]/VLOOKUP(Table_NFI[[#This Row],[Camp Name]],CL,4,0),"")</f>
        <v>0</v>
      </c>
      <c r="AR305" s="779" t="s">
        <v>1099</v>
      </c>
      <c r="AS305" s="783"/>
    </row>
    <row r="306" spans="1:45" s="784" customFormat="1" x14ac:dyDescent="0.25">
      <c r="A306" s="455">
        <f t="shared" si="4"/>
        <v>21.866666666666667</v>
      </c>
      <c r="B306" s="778">
        <v>41653</v>
      </c>
      <c r="C306" s="779" t="s">
        <v>455</v>
      </c>
      <c r="D306" s="779" t="s">
        <v>508</v>
      </c>
      <c r="E306" s="779" t="s">
        <v>380</v>
      </c>
      <c r="F306" s="779" t="s">
        <v>310</v>
      </c>
      <c r="G306" s="779" t="s">
        <v>334</v>
      </c>
      <c r="H306" s="436"/>
      <c r="I306" s="436"/>
      <c r="J306" s="436"/>
      <c r="K306" s="436"/>
      <c r="L306" s="437"/>
      <c r="M306" s="437"/>
      <c r="N306" s="437"/>
      <c r="O306" s="437">
        <v>180</v>
      </c>
      <c r="P306" s="439"/>
      <c r="Q306" s="439"/>
      <c r="R306" s="436"/>
      <c r="S306" s="436"/>
      <c r="T306" s="436"/>
      <c r="U306" s="436"/>
      <c r="V306" s="436"/>
      <c r="W306" s="436">
        <f>IF(NFI_Expiration=1,IF($A306&lt;VLOOKUP(H$5,NFI,5,0),1,0)*Table_NFI[[#This Row],[Hygiene Kit]],Table_NFI[Hygiene Kit])</f>
        <v>0</v>
      </c>
      <c r="X306" s="436">
        <f>IF(NFI_Expiration=1,IF($A306&lt;VLOOKUP(I$5,NFI,5,0),1,0)*Table_NFI[[#This Row],[NFI Core Kit]],Table_NFI[NFI Core Kit])</f>
        <v>0</v>
      </c>
      <c r="Y306" s="436">
        <f>IF(NFI_Expiration=1,IF($A306&lt;VLOOKUP(J$5,NFI,5,0),1,0)*Table_NFI[[#This Row],[Sanitary Kit]],Table_NFI[Sanitary Kit])</f>
        <v>0</v>
      </c>
      <c r="Z306" s="436">
        <f>IF(NFI_Expiration=1,IF($A306&lt;VLOOKUP(K$5,NFI,5,0),1,0)*Table_NFI[[#This Row],[Mosquito net]],Table_NFI[Mosquito net])</f>
        <v>0</v>
      </c>
      <c r="AA306" s="436">
        <f>IF(NFI_Expiration=1,IF($A306&lt;VLOOKUP(L$5,NFI,5,0),1,0)*Table_NFI[[#This Row],[Tarpaulin]],Table_NFI[[#This Row],[Tarpaulin]])</f>
        <v>0</v>
      </c>
      <c r="AB306" s="436">
        <f>IF(NFI_Expiration=1,IF($A306&lt;VLOOKUP(M$5,NFI,5,0),1,0)*Table_NFI[[#This Row],[Blanket]],Table_NFI[[#This Row],[Blanket]])</f>
        <v>0</v>
      </c>
      <c r="AC306" s="436">
        <f>IF(NFI_Expiration=1,IF($A306&lt;VLOOKUP(N$5,NFI,5,0),1,0)*Table_NFI[[#This Row],[Kitchen Set]],Table_NFI[Kitchen Set])</f>
        <v>0</v>
      </c>
      <c r="AD306" s="436">
        <f>IF(NFI_Expiration=1,IF($A306&lt;VLOOKUP(O$5,NFI,5,0),1,0)*Table_NFI[[#This Row],[Clothes Kit]],Table_NFI[Clothes Kit])</f>
        <v>0</v>
      </c>
      <c r="AE306" s="436">
        <f>IF(NFI_Expiration=1,IF($A306&lt;VLOOKUP(P$5,NFI,5,0),1,0)*Table_NFI[[#This Row],[Plastic Bucket]],Table_NFI[Plastic Bucket])</f>
        <v>0</v>
      </c>
      <c r="AF306" s="436">
        <f>IF(NFI_Expiration=1,IF($A306&lt;VLOOKUP(Q$5,NFI,5,0),1,0)*Table_NFI[[#This Row],[Plastic Mat]],Table_NFI[Plastic Mat])*IF(Table_NFI[[#This Row],[Distribution Date]]&gt;"2014-04-01",1,2.5)</f>
        <v>0</v>
      </c>
      <c r="AG306" s="436">
        <f>IF(NFI_Expiration=1,IF($A306&lt;VLOOKUP(R$5,NFI,5,0),1,0)*Table_NFI[[#This Row],[Winter Clothes Adult]],Table_NFI[Winter Clothes Adult])</f>
        <v>0</v>
      </c>
      <c r="AH306" s="436">
        <f>IF(NFI_Expiration=1,IF($A306&lt;VLOOKUP(S$5,NFI,5,0),1,0)*Table_NFI[[#This Row],[Winter Clothes Children]],Table_NFI[Winter Clothes Children])</f>
        <v>0</v>
      </c>
      <c r="AI306" s="436">
        <f>IF(NFI_Expiration=1,IF($A306&lt;VLOOKUP(T$5,NFI,5,0),1,0)*Table_NFI[[#This Row],[Winter Items Other]],Table_NFI[Winter Items Other])</f>
        <v>0</v>
      </c>
      <c r="AJ306" s="436">
        <f>IF(NFI_Expiration=1,IF($A306&lt;VLOOKUP(M$5,NFI,5,0),1,0)*Table_NFI[[#This Row],[Winter Blanket]],Table_NFI[[#This Row],[Winter Blanket]])</f>
        <v>0</v>
      </c>
      <c r="AK306" s="436">
        <f>IF(Table_NFI[[#This Row],[Winter Clothes Adult]]+Table_NFI[[#This Row],[Winter Clothes Children]]+Table_NFI[[#This Row],[Winter Items Other]]+Table_NFI[[#This Row],[Winter Blanket]]&gt;0,1,0)</f>
        <v>0</v>
      </c>
      <c r="AL306" s="439">
        <f>IF(NFI_Expiration=1,IF($A306&lt;VLOOKUP(V$5,NFI,5,0),1,0)*Table_NFI[[#This Row],[Jerry Can]],Table_NFI[Jerry Can])</f>
        <v>0</v>
      </c>
      <c r="AM306" s="781" t="str">
        <f>IFERROR(VLOOKUP(Table_NFI[[#This Row],[Camp Name]],CL,2,0),"")</f>
        <v>MMR001CMP113</v>
      </c>
      <c r="AN306" s="782">
        <f ca="1">IF(Table_NFI[[#This Row],[Pcode]]="","",IF(OFFSET(CampList[Opening Date],MATCH(Table_NFI[[#This Row],[Pcode]],CampList[CP_Pcode],0)-1,0,1,1)&gt;=NFI_Monitor_Date,1,0))</f>
        <v>0</v>
      </c>
      <c r="AO306" s="781" t="str">
        <f>IFERROR(VLOOKUP(Table_NFI[[#This Row],[Camp Name]],CL,3,0),"")</f>
        <v>Open</v>
      </c>
      <c r="AP306" s="436" t="str">
        <f ca="1">IF(Table_NFI[[#This Row],[Pcode]]="","",OFFSET(CampList[Priority],MATCH(Table_NFI[[#This Row],[Pcode]],CampList[CP_Pcode],0)-1,0,1,1))</f>
        <v>P1</v>
      </c>
      <c r="AQ306" s="438">
        <f>IFERROR(Table_NFI[[#This Row],[Kitchen Set]]/VLOOKUP(Table_NFI[[#This Row],[Camp Name]],CL,4,0),"")</f>
        <v>0</v>
      </c>
      <c r="AR306" s="779" t="s">
        <v>1099</v>
      </c>
      <c r="AS306" s="783"/>
    </row>
    <row r="307" spans="1:45" s="784" customFormat="1" x14ac:dyDescent="0.25">
      <c r="A307" s="455">
        <f t="shared" si="4"/>
        <v>21.866666666666667</v>
      </c>
      <c r="B307" s="778">
        <v>41653</v>
      </c>
      <c r="C307" s="779" t="s">
        <v>455</v>
      </c>
      <c r="D307" s="779" t="s">
        <v>508</v>
      </c>
      <c r="E307" s="779" t="s">
        <v>380</v>
      </c>
      <c r="F307" s="779" t="s">
        <v>310</v>
      </c>
      <c r="G307" s="779" t="s">
        <v>334</v>
      </c>
      <c r="H307" s="436"/>
      <c r="I307" s="436"/>
      <c r="J307" s="436"/>
      <c r="K307" s="436"/>
      <c r="L307" s="437"/>
      <c r="M307" s="437"/>
      <c r="N307" s="437"/>
      <c r="O307" s="437"/>
      <c r="P307" s="439"/>
      <c r="Q307" s="439"/>
      <c r="R307" s="436">
        <v>501</v>
      </c>
      <c r="S307" s="436">
        <v>335</v>
      </c>
      <c r="T307" s="436"/>
      <c r="U307" s="436"/>
      <c r="V307" s="436"/>
      <c r="W307" s="436">
        <f>IF(NFI_Expiration=1,IF($A307&lt;VLOOKUP(H$5,NFI,5,0),1,0)*Table_NFI[[#This Row],[Hygiene Kit]],Table_NFI[Hygiene Kit])</f>
        <v>0</v>
      </c>
      <c r="X307" s="436">
        <f>IF(NFI_Expiration=1,IF($A307&lt;VLOOKUP(I$5,NFI,5,0),1,0)*Table_NFI[[#This Row],[NFI Core Kit]],Table_NFI[NFI Core Kit])</f>
        <v>0</v>
      </c>
      <c r="Y307" s="436">
        <f>IF(NFI_Expiration=1,IF($A307&lt;VLOOKUP(J$5,NFI,5,0),1,0)*Table_NFI[[#This Row],[Sanitary Kit]],Table_NFI[Sanitary Kit])</f>
        <v>0</v>
      </c>
      <c r="Z307" s="436">
        <f>IF(NFI_Expiration=1,IF($A307&lt;VLOOKUP(K$5,NFI,5,0),1,0)*Table_NFI[[#This Row],[Mosquito net]],Table_NFI[Mosquito net])</f>
        <v>0</v>
      </c>
      <c r="AA307" s="436">
        <f>IF(NFI_Expiration=1,IF($A307&lt;VLOOKUP(L$5,NFI,5,0),1,0)*Table_NFI[[#This Row],[Tarpaulin]],Table_NFI[[#This Row],[Tarpaulin]])</f>
        <v>0</v>
      </c>
      <c r="AB307" s="436">
        <f>IF(NFI_Expiration=1,IF($A307&lt;VLOOKUP(M$5,NFI,5,0),1,0)*Table_NFI[[#This Row],[Blanket]],Table_NFI[[#This Row],[Blanket]])</f>
        <v>0</v>
      </c>
      <c r="AC307" s="436">
        <f>IF(NFI_Expiration=1,IF($A307&lt;VLOOKUP(N$5,NFI,5,0),1,0)*Table_NFI[[#This Row],[Kitchen Set]],Table_NFI[Kitchen Set])</f>
        <v>0</v>
      </c>
      <c r="AD307" s="436">
        <f>IF(NFI_Expiration=1,IF($A307&lt;VLOOKUP(O$5,NFI,5,0),1,0)*Table_NFI[[#This Row],[Clothes Kit]],Table_NFI[Clothes Kit])</f>
        <v>0</v>
      </c>
      <c r="AE307" s="436">
        <f>IF(NFI_Expiration=1,IF($A307&lt;VLOOKUP(P$5,NFI,5,0),1,0)*Table_NFI[[#This Row],[Plastic Bucket]],Table_NFI[Plastic Bucket])</f>
        <v>0</v>
      </c>
      <c r="AF307" s="436">
        <f>IF(NFI_Expiration=1,IF($A307&lt;VLOOKUP(Q$5,NFI,5,0),1,0)*Table_NFI[[#This Row],[Plastic Mat]],Table_NFI[Plastic Mat])*IF(Table_NFI[[#This Row],[Distribution Date]]&gt;"2014-04-01",1,2.5)</f>
        <v>0</v>
      </c>
      <c r="AG307" s="436">
        <f>IF(NFI_Expiration=1,IF($A307&lt;VLOOKUP(R$5,NFI,5,0),1,0)*Table_NFI[[#This Row],[Winter Clothes Adult]],Table_NFI[Winter Clothes Adult])</f>
        <v>0</v>
      </c>
      <c r="AH307" s="436">
        <f>IF(NFI_Expiration=1,IF($A307&lt;VLOOKUP(S$5,NFI,5,0),1,0)*Table_NFI[[#This Row],[Winter Clothes Children]],Table_NFI[Winter Clothes Children])</f>
        <v>0</v>
      </c>
      <c r="AI307" s="436">
        <f>IF(NFI_Expiration=1,IF($A307&lt;VLOOKUP(T$5,NFI,5,0),1,0)*Table_NFI[[#This Row],[Winter Items Other]],Table_NFI[Winter Items Other])</f>
        <v>0</v>
      </c>
      <c r="AJ307" s="436">
        <f>IF(NFI_Expiration=1,IF($A307&lt;VLOOKUP(M$5,NFI,5,0),1,0)*Table_NFI[[#This Row],[Winter Blanket]],Table_NFI[[#This Row],[Winter Blanket]])</f>
        <v>0</v>
      </c>
      <c r="AK307" s="436">
        <f>IF(Table_NFI[[#This Row],[Winter Clothes Adult]]+Table_NFI[[#This Row],[Winter Clothes Children]]+Table_NFI[[#This Row],[Winter Items Other]]+Table_NFI[[#This Row],[Winter Blanket]]&gt;0,1,0)</f>
        <v>1</v>
      </c>
      <c r="AL307" s="439">
        <f>IF(NFI_Expiration=1,IF($A307&lt;VLOOKUP(V$5,NFI,5,0),1,0)*Table_NFI[[#This Row],[Jerry Can]],Table_NFI[Jerry Can])</f>
        <v>0</v>
      </c>
      <c r="AM307" s="781" t="str">
        <f>IFERROR(VLOOKUP(Table_NFI[[#This Row],[Camp Name]],CL,2,0),"")</f>
        <v>MMR001CMP113</v>
      </c>
      <c r="AN307" s="782">
        <f ca="1">IF(Table_NFI[[#This Row],[Pcode]]="","",IF(OFFSET(CampList[Opening Date],MATCH(Table_NFI[[#This Row],[Pcode]],CampList[CP_Pcode],0)-1,0,1,1)&gt;=NFI_Monitor_Date,1,0))</f>
        <v>0</v>
      </c>
      <c r="AO307" s="781" t="str">
        <f>IFERROR(VLOOKUP(Table_NFI[[#This Row],[Camp Name]],CL,3,0),"")</f>
        <v>Open</v>
      </c>
      <c r="AP307" s="436" t="str">
        <f ca="1">IF(Table_NFI[[#This Row],[Pcode]]="","",OFFSET(CampList[Priority],MATCH(Table_NFI[[#This Row],[Pcode]],CampList[CP_Pcode],0)-1,0,1,1))</f>
        <v>P1</v>
      </c>
      <c r="AQ307" s="438">
        <f>IFERROR(Table_NFI[[#This Row],[Kitchen Set]]/VLOOKUP(Table_NFI[[#This Row],[Camp Name]],CL,4,0),"")</f>
        <v>0</v>
      </c>
      <c r="AR307" s="779" t="s">
        <v>1099</v>
      </c>
      <c r="AS307" s="783"/>
    </row>
    <row r="308" spans="1:45" s="784" customFormat="1" x14ac:dyDescent="0.25">
      <c r="A308" s="455">
        <f t="shared" si="4"/>
        <v>21.866666666666667</v>
      </c>
      <c r="B308" s="778">
        <v>41653</v>
      </c>
      <c r="C308" s="779" t="s">
        <v>454</v>
      </c>
      <c r="D308" s="442" t="s">
        <v>454</v>
      </c>
      <c r="E308" s="779" t="s">
        <v>380</v>
      </c>
      <c r="F308" s="435" t="s">
        <v>151</v>
      </c>
      <c r="G308" s="435" t="s">
        <v>198</v>
      </c>
      <c r="H308" s="442"/>
      <c r="I308" s="442"/>
      <c r="J308" s="442"/>
      <c r="K308" s="785">
        <v>140</v>
      </c>
      <c r="L308" s="786">
        <v>70</v>
      </c>
      <c r="M308" s="443">
        <v>140</v>
      </c>
      <c r="N308" s="443">
        <v>70</v>
      </c>
      <c r="O308" s="443"/>
      <c r="P308" s="786">
        <v>70</v>
      </c>
      <c r="Q308" s="443">
        <v>350</v>
      </c>
      <c r="R308" s="442"/>
      <c r="S308" s="442"/>
      <c r="T308" s="442"/>
      <c r="U308" s="442"/>
      <c r="V308" s="442"/>
      <c r="W308" s="436">
        <f>IF(NFI_Expiration=1,IF($A308&lt;VLOOKUP(H$5,NFI,5,0),1,0)*Table_NFI[[#This Row],[Hygiene Kit]],Table_NFI[Hygiene Kit])</f>
        <v>0</v>
      </c>
      <c r="X308" s="436">
        <f>IF(NFI_Expiration=1,IF($A308&lt;VLOOKUP(I$5,NFI,5,0),1,0)*Table_NFI[[#This Row],[NFI Core Kit]],Table_NFI[NFI Core Kit])</f>
        <v>0</v>
      </c>
      <c r="Y308" s="436">
        <f>IF(NFI_Expiration=1,IF($A308&lt;VLOOKUP(J$5,NFI,5,0),1,0)*Table_NFI[[#This Row],[Sanitary Kit]],Table_NFI[Sanitary Kit])</f>
        <v>0</v>
      </c>
      <c r="Z308" s="436">
        <f>IF(NFI_Expiration=1,IF($A308&lt;VLOOKUP(K$5,NFI,5,0),1,0)*Table_NFI[[#This Row],[Mosquito net]],Table_NFI[Mosquito net])</f>
        <v>0</v>
      </c>
      <c r="AA308" s="436">
        <f>IF(NFI_Expiration=1,IF($A308&lt;VLOOKUP(L$5,NFI,5,0),1,0)*Table_NFI[[#This Row],[Tarpaulin]],Table_NFI[[#This Row],[Tarpaulin]])</f>
        <v>0</v>
      </c>
      <c r="AB308" s="436">
        <f>IF(NFI_Expiration=1,IF($A308&lt;VLOOKUP(M$5,NFI,5,0),1,0)*Table_NFI[[#This Row],[Blanket]],Table_NFI[[#This Row],[Blanket]])</f>
        <v>0</v>
      </c>
      <c r="AC308" s="436">
        <f>IF(NFI_Expiration=1,IF($A308&lt;VLOOKUP(N$5,NFI,5,0),1,0)*Table_NFI[[#This Row],[Kitchen Set]],Table_NFI[Kitchen Set])</f>
        <v>0</v>
      </c>
      <c r="AD308" s="436">
        <f>IF(NFI_Expiration=1,IF($A308&lt;VLOOKUP(O$5,NFI,5,0),1,0)*Table_NFI[[#This Row],[Clothes Kit]],Table_NFI[Clothes Kit])</f>
        <v>0</v>
      </c>
      <c r="AE308" s="436">
        <f>IF(NFI_Expiration=1,IF($A308&lt;VLOOKUP(P$5,NFI,5,0),1,0)*Table_NFI[[#This Row],[Plastic Bucket]],Table_NFI[Plastic Bucket])</f>
        <v>0</v>
      </c>
      <c r="AF308" s="436">
        <f>IF(NFI_Expiration=1,IF($A308&lt;VLOOKUP(Q$5,NFI,5,0),1,0)*Table_NFI[[#This Row],[Plastic Mat]],Table_NFI[Plastic Mat])*IF(Table_NFI[[#This Row],[Distribution Date]]&gt;"2014-04-01",1,2.5)</f>
        <v>0</v>
      </c>
      <c r="AG308" s="436">
        <f>IF(NFI_Expiration=1,IF($A308&lt;VLOOKUP(R$5,NFI,5,0),1,0)*Table_NFI[[#This Row],[Winter Clothes Adult]],Table_NFI[Winter Clothes Adult])</f>
        <v>0</v>
      </c>
      <c r="AH308" s="436">
        <f>IF(NFI_Expiration=1,IF($A308&lt;VLOOKUP(S$5,NFI,5,0),1,0)*Table_NFI[[#This Row],[Winter Clothes Children]],Table_NFI[Winter Clothes Children])</f>
        <v>0</v>
      </c>
      <c r="AI308" s="436">
        <f>IF(NFI_Expiration=1,IF($A308&lt;VLOOKUP(T$5,NFI,5,0),1,0)*Table_NFI[[#This Row],[Winter Items Other]],Table_NFI[Winter Items Other])</f>
        <v>0</v>
      </c>
      <c r="AJ308" s="436">
        <f>IF(NFI_Expiration=1,IF($A308&lt;VLOOKUP(M$5,NFI,5,0),1,0)*Table_NFI[[#This Row],[Winter Blanket]],Table_NFI[[#This Row],[Winter Blanket]])</f>
        <v>0</v>
      </c>
      <c r="AK308" s="436">
        <f>IF(Table_NFI[[#This Row],[Winter Clothes Adult]]+Table_NFI[[#This Row],[Winter Clothes Children]]+Table_NFI[[#This Row],[Winter Items Other]]+Table_NFI[[#This Row],[Winter Blanket]]&gt;0,1,0)</f>
        <v>0</v>
      </c>
      <c r="AL308" s="439">
        <f>IF(NFI_Expiration=1,IF($A308&lt;VLOOKUP(V$5,NFI,5,0),1,0)*Table_NFI[[#This Row],[Jerry Can]],Table_NFI[Jerry Can])</f>
        <v>0</v>
      </c>
      <c r="AM308" s="781" t="str">
        <f>IFERROR(VLOOKUP(Table_NFI[[#This Row],[Camp Name]],CL,2,0),"")</f>
        <v>MMR001CMP128</v>
      </c>
      <c r="AN308" s="782">
        <f ca="1">IF(Table_NFI[[#This Row],[Pcode]]="","",IF(OFFSET(CampList[Opening Date],MATCH(Table_NFI[[#This Row],[Pcode]],CampList[CP_Pcode],0)-1,0,1,1)&gt;=NFI_Monitor_Date,1,0))</f>
        <v>0</v>
      </c>
      <c r="AO308" s="781" t="str">
        <f>IFERROR(VLOOKUP(Table_NFI[[#This Row],[Camp Name]],CL,3,0),"")</f>
        <v>Open</v>
      </c>
      <c r="AP308" s="436" t="str">
        <f ca="1">IF(Table_NFI[[#This Row],[Pcode]]="","",OFFSET(CampList[Priority],MATCH(Table_NFI[[#This Row],[Pcode]],CampList[CP_Pcode],0)-1,0,1,1))</f>
        <v>P2</v>
      </c>
      <c r="AQ308" s="438">
        <f>IFERROR(Table_NFI[[#This Row],[Kitchen Set]]/VLOOKUP(Table_NFI[[#This Row],[Camp Name]],CL,4,0),"")</f>
        <v>0.12939001848428835</v>
      </c>
      <c r="AR308" s="779" t="s">
        <v>1099</v>
      </c>
      <c r="AS308" s="783"/>
    </row>
    <row r="309" spans="1:45" s="784" customFormat="1" x14ac:dyDescent="0.25">
      <c r="A309" s="455">
        <f t="shared" si="4"/>
        <v>21.933333333333334</v>
      </c>
      <c r="B309" s="778">
        <v>41651</v>
      </c>
      <c r="C309" s="779" t="s">
        <v>455</v>
      </c>
      <c r="D309" s="779" t="s">
        <v>508</v>
      </c>
      <c r="E309" s="779" t="s">
        <v>380</v>
      </c>
      <c r="F309" s="779" t="s">
        <v>185</v>
      </c>
      <c r="G309" s="779" t="s">
        <v>192</v>
      </c>
      <c r="H309" s="436"/>
      <c r="I309" s="436"/>
      <c r="J309" s="436"/>
      <c r="K309" s="436"/>
      <c r="L309" s="437"/>
      <c r="M309" s="437"/>
      <c r="N309" s="437"/>
      <c r="O309" s="437">
        <v>125</v>
      </c>
      <c r="P309" s="439"/>
      <c r="Q309" s="439"/>
      <c r="R309" s="436"/>
      <c r="S309" s="436"/>
      <c r="T309" s="436"/>
      <c r="U309" s="436"/>
      <c r="V309" s="436"/>
      <c r="W309" s="436">
        <f>IF(NFI_Expiration=1,IF($A309&lt;VLOOKUP(H$5,NFI,5,0),1,0)*Table_NFI[[#This Row],[Hygiene Kit]],Table_NFI[Hygiene Kit])</f>
        <v>0</v>
      </c>
      <c r="X309" s="436">
        <f>IF(NFI_Expiration=1,IF($A309&lt;VLOOKUP(I$5,NFI,5,0),1,0)*Table_NFI[[#This Row],[NFI Core Kit]],Table_NFI[NFI Core Kit])</f>
        <v>0</v>
      </c>
      <c r="Y309" s="436">
        <f>IF(NFI_Expiration=1,IF($A309&lt;VLOOKUP(J$5,NFI,5,0),1,0)*Table_NFI[[#This Row],[Sanitary Kit]],Table_NFI[Sanitary Kit])</f>
        <v>0</v>
      </c>
      <c r="Z309" s="436">
        <f>IF(NFI_Expiration=1,IF($A309&lt;VLOOKUP(K$5,NFI,5,0),1,0)*Table_NFI[[#This Row],[Mosquito net]],Table_NFI[Mosquito net])</f>
        <v>0</v>
      </c>
      <c r="AA309" s="436">
        <f>IF(NFI_Expiration=1,IF($A309&lt;VLOOKUP(L$5,NFI,5,0),1,0)*Table_NFI[[#This Row],[Tarpaulin]],Table_NFI[[#This Row],[Tarpaulin]])</f>
        <v>0</v>
      </c>
      <c r="AB309" s="436">
        <f>IF(NFI_Expiration=1,IF($A309&lt;VLOOKUP(M$5,NFI,5,0),1,0)*Table_NFI[[#This Row],[Blanket]],Table_NFI[[#This Row],[Blanket]])</f>
        <v>0</v>
      </c>
      <c r="AC309" s="436">
        <f>IF(NFI_Expiration=1,IF($A309&lt;VLOOKUP(N$5,NFI,5,0),1,0)*Table_NFI[[#This Row],[Kitchen Set]],Table_NFI[Kitchen Set])</f>
        <v>0</v>
      </c>
      <c r="AD309" s="436">
        <f>IF(NFI_Expiration=1,IF($A309&lt;VLOOKUP(O$5,NFI,5,0),1,0)*Table_NFI[[#This Row],[Clothes Kit]],Table_NFI[Clothes Kit])</f>
        <v>0</v>
      </c>
      <c r="AE309" s="436">
        <f>IF(NFI_Expiration=1,IF($A309&lt;VLOOKUP(P$5,NFI,5,0),1,0)*Table_NFI[[#This Row],[Plastic Bucket]],Table_NFI[Plastic Bucket])</f>
        <v>0</v>
      </c>
      <c r="AF309" s="436">
        <f>IF(NFI_Expiration=1,IF($A309&lt;VLOOKUP(Q$5,NFI,5,0),1,0)*Table_NFI[[#This Row],[Plastic Mat]],Table_NFI[Plastic Mat])*IF(Table_NFI[[#This Row],[Distribution Date]]&gt;"2014-04-01",1,2.5)</f>
        <v>0</v>
      </c>
      <c r="AG309" s="436">
        <f>IF(NFI_Expiration=1,IF($A309&lt;VLOOKUP(R$5,NFI,5,0),1,0)*Table_NFI[[#This Row],[Winter Clothes Adult]],Table_NFI[Winter Clothes Adult])</f>
        <v>0</v>
      </c>
      <c r="AH309" s="436">
        <f>IF(NFI_Expiration=1,IF($A309&lt;VLOOKUP(S$5,NFI,5,0),1,0)*Table_NFI[[#This Row],[Winter Clothes Children]],Table_NFI[Winter Clothes Children])</f>
        <v>0</v>
      </c>
      <c r="AI309" s="436">
        <f>IF(NFI_Expiration=1,IF($A309&lt;VLOOKUP(T$5,NFI,5,0),1,0)*Table_NFI[[#This Row],[Winter Items Other]],Table_NFI[Winter Items Other])</f>
        <v>0</v>
      </c>
      <c r="AJ309" s="436">
        <f>IF(NFI_Expiration=1,IF($A309&lt;VLOOKUP(M$5,NFI,5,0),1,0)*Table_NFI[[#This Row],[Winter Blanket]],Table_NFI[[#This Row],[Winter Blanket]])</f>
        <v>0</v>
      </c>
      <c r="AK309" s="436">
        <f>IF(Table_NFI[[#This Row],[Winter Clothes Adult]]+Table_NFI[[#This Row],[Winter Clothes Children]]+Table_NFI[[#This Row],[Winter Items Other]]+Table_NFI[[#This Row],[Winter Blanket]]&gt;0,1,0)</f>
        <v>0</v>
      </c>
      <c r="AL309" s="439">
        <f>IF(NFI_Expiration=1,IF($A309&lt;VLOOKUP(V$5,NFI,5,0),1,0)*Table_NFI[[#This Row],[Jerry Can]],Table_NFI[Jerry Can])</f>
        <v>0</v>
      </c>
      <c r="AM309" s="781" t="str">
        <f>IFERROR(VLOOKUP(Table_NFI[[#This Row],[Camp Name]],CL,2,0),"")</f>
        <v>MMR001CMP123</v>
      </c>
      <c r="AN309" s="782">
        <f ca="1">IF(Table_NFI[[#This Row],[Pcode]]="","",IF(OFFSET(CampList[Opening Date],MATCH(Table_NFI[[#This Row],[Pcode]],CampList[CP_Pcode],0)-1,0,1,1)&gt;=NFI_Monitor_Date,1,0))</f>
        <v>0</v>
      </c>
      <c r="AO309" s="781" t="str">
        <f>IFERROR(VLOOKUP(Table_NFI[[#This Row],[Camp Name]],CL,3,0),"")</f>
        <v>Open</v>
      </c>
      <c r="AP309" s="436" t="str">
        <f ca="1">IF(Table_NFI[[#This Row],[Pcode]]="","",OFFSET(CampList[Priority],MATCH(Table_NFI[[#This Row],[Pcode]],CampList[CP_Pcode],0)-1,0,1,1))</f>
        <v>P2</v>
      </c>
      <c r="AQ309" s="438">
        <f>IFERROR(Table_NFI[[#This Row],[Kitchen Set]]/VLOOKUP(Table_NFI[[#This Row],[Camp Name]],CL,4,0),"")</f>
        <v>0</v>
      </c>
      <c r="AR309" s="779" t="s">
        <v>1099</v>
      </c>
      <c r="AS309" s="783"/>
    </row>
    <row r="310" spans="1:45" s="784" customFormat="1" x14ac:dyDescent="0.25">
      <c r="A310" s="455">
        <f t="shared" si="4"/>
        <v>21.933333333333334</v>
      </c>
      <c r="B310" s="778">
        <v>41651</v>
      </c>
      <c r="C310" s="779" t="s">
        <v>455</v>
      </c>
      <c r="D310" s="779" t="s">
        <v>508</v>
      </c>
      <c r="E310" s="779" t="s">
        <v>380</v>
      </c>
      <c r="F310" s="779" t="s">
        <v>185</v>
      </c>
      <c r="G310" s="779" t="s">
        <v>192</v>
      </c>
      <c r="H310" s="436"/>
      <c r="I310" s="436"/>
      <c r="J310" s="436"/>
      <c r="K310" s="436"/>
      <c r="L310" s="437"/>
      <c r="M310" s="437"/>
      <c r="N310" s="437"/>
      <c r="O310" s="437"/>
      <c r="P310" s="439"/>
      <c r="Q310" s="439"/>
      <c r="R310" s="436">
        <v>393</v>
      </c>
      <c r="S310" s="436">
        <v>232</v>
      </c>
      <c r="T310" s="436"/>
      <c r="U310" s="436"/>
      <c r="V310" s="436"/>
      <c r="W310" s="436">
        <f>IF(NFI_Expiration=1,IF($A310&lt;VLOOKUP(H$5,NFI,5,0),1,0)*Table_NFI[[#This Row],[Hygiene Kit]],Table_NFI[Hygiene Kit])</f>
        <v>0</v>
      </c>
      <c r="X310" s="436">
        <f>IF(NFI_Expiration=1,IF($A310&lt;VLOOKUP(I$5,NFI,5,0),1,0)*Table_NFI[[#This Row],[NFI Core Kit]],Table_NFI[NFI Core Kit])</f>
        <v>0</v>
      </c>
      <c r="Y310" s="436">
        <f>IF(NFI_Expiration=1,IF($A310&lt;VLOOKUP(J$5,NFI,5,0),1,0)*Table_NFI[[#This Row],[Sanitary Kit]],Table_NFI[Sanitary Kit])</f>
        <v>0</v>
      </c>
      <c r="Z310" s="436">
        <f>IF(NFI_Expiration=1,IF($A310&lt;VLOOKUP(K$5,NFI,5,0),1,0)*Table_NFI[[#This Row],[Mosquito net]],Table_NFI[Mosquito net])</f>
        <v>0</v>
      </c>
      <c r="AA310" s="436">
        <f>IF(NFI_Expiration=1,IF($A310&lt;VLOOKUP(L$5,NFI,5,0),1,0)*Table_NFI[[#This Row],[Tarpaulin]],Table_NFI[[#This Row],[Tarpaulin]])</f>
        <v>0</v>
      </c>
      <c r="AB310" s="436">
        <f>IF(NFI_Expiration=1,IF($A310&lt;VLOOKUP(M$5,NFI,5,0),1,0)*Table_NFI[[#This Row],[Blanket]],Table_NFI[[#This Row],[Blanket]])</f>
        <v>0</v>
      </c>
      <c r="AC310" s="436">
        <f>IF(NFI_Expiration=1,IF($A310&lt;VLOOKUP(N$5,NFI,5,0),1,0)*Table_NFI[[#This Row],[Kitchen Set]],Table_NFI[Kitchen Set])</f>
        <v>0</v>
      </c>
      <c r="AD310" s="436">
        <f>IF(NFI_Expiration=1,IF($A310&lt;VLOOKUP(O$5,NFI,5,0),1,0)*Table_NFI[[#This Row],[Clothes Kit]],Table_NFI[Clothes Kit])</f>
        <v>0</v>
      </c>
      <c r="AE310" s="436">
        <f>IF(NFI_Expiration=1,IF($A310&lt;VLOOKUP(P$5,NFI,5,0),1,0)*Table_NFI[[#This Row],[Plastic Bucket]],Table_NFI[Plastic Bucket])</f>
        <v>0</v>
      </c>
      <c r="AF310" s="436">
        <f>IF(NFI_Expiration=1,IF($A310&lt;VLOOKUP(Q$5,NFI,5,0),1,0)*Table_NFI[[#This Row],[Plastic Mat]],Table_NFI[Plastic Mat])*IF(Table_NFI[[#This Row],[Distribution Date]]&gt;"2014-04-01",1,2.5)</f>
        <v>0</v>
      </c>
      <c r="AG310" s="436">
        <f>IF(NFI_Expiration=1,IF($A310&lt;VLOOKUP(R$5,NFI,5,0),1,0)*Table_NFI[[#This Row],[Winter Clothes Adult]],Table_NFI[Winter Clothes Adult])</f>
        <v>0</v>
      </c>
      <c r="AH310" s="436">
        <f>IF(NFI_Expiration=1,IF($A310&lt;VLOOKUP(S$5,NFI,5,0),1,0)*Table_NFI[[#This Row],[Winter Clothes Children]],Table_NFI[Winter Clothes Children])</f>
        <v>0</v>
      </c>
      <c r="AI310" s="436">
        <f>IF(NFI_Expiration=1,IF($A310&lt;VLOOKUP(T$5,NFI,5,0),1,0)*Table_NFI[[#This Row],[Winter Items Other]],Table_NFI[Winter Items Other])</f>
        <v>0</v>
      </c>
      <c r="AJ310" s="436">
        <f>IF(NFI_Expiration=1,IF($A310&lt;VLOOKUP(M$5,NFI,5,0),1,0)*Table_NFI[[#This Row],[Winter Blanket]],Table_NFI[[#This Row],[Winter Blanket]])</f>
        <v>0</v>
      </c>
      <c r="AK310" s="436">
        <f>IF(Table_NFI[[#This Row],[Winter Clothes Adult]]+Table_NFI[[#This Row],[Winter Clothes Children]]+Table_NFI[[#This Row],[Winter Items Other]]+Table_NFI[[#This Row],[Winter Blanket]]&gt;0,1,0)</f>
        <v>1</v>
      </c>
      <c r="AL310" s="439">
        <f>IF(NFI_Expiration=1,IF($A310&lt;VLOOKUP(V$5,NFI,5,0),1,0)*Table_NFI[[#This Row],[Jerry Can]],Table_NFI[Jerry Can])</f>
        <v>0</v>
      </c>
      <c r="AM310" s="781" t="str">
        <f>IFERROR(VLOOKUP(Table_NFI[[#This Row],[Camp Name]],CL,2,0),"")</f>
        <v>MMR001CMP123</v>
      </c>
      <c r="AN310" s="782">
        <f ca="1">IF(Table_NFI[[#This Row],[Pcode]]="","",IF(OFFSET(CampList[Opening Date],MATCH(Table_NFI[[#This Row],[Pcode]],CampList[CP_Pcode],0)-1,0,1,1)&gt;=NFI_Monitor_Date,1,0))</f>
        <v>0</v>
      </c>
      <c r="AO310" s="781" t="str">
        <f>IFERROR(VLOOKUP(Table_NFI[[#This Row],[Camp Name]],CL,3,0),"")</f>
        <v>Open</v>
      </c>
      <c r="AP310" s="436" t="str">
        <f ca="1">IF(Table_NFI[[#This Row],[Pcode]]="","",OFFSET(CampList[Priority],MATCH(Table_NFI[[#This Row],[Pcode]],CampList[CP_Pcode],0)-1,0,1,1))</f>
        <v>P2</v>
      </c>
      <c r="AQ310" s="438">
        <f>IFERROR(Table_NFI[[#This Row],[Kitchen Set]]/VLOOKUP(Table_NFI[[#This Row],[Camp Name]],CL,4,0),"")</f>
        <v>0</v>
      </c>
      <c r="AR310" s="779" t="s">
        <v>1099</v>
      </c>
      <c r="AS310" s="783"/>
    </row>
    <row r="311" spans="1:45" s="784" customFormat="1" x14ac:dyDescent="0.25">
      <c r="A311" s="455">
        <f t="shared" si="4"/>
        <v>21.966666666666665</v>
      </c>
      <c r="B311" s="778">
        <v>41650</v>
      </c>
      <c r="C311" s="789" t="s">
        <v>454</v>
      </c>
      <c r="D311" s="789"/>
      <c r="E311" s="789" t="s">
        <v>380</v>
      </c>
      <c r="F311" s="789" t="s">
        <v>5</v>
      </c>
      <c r="G311" s="789" t="s">
        <v>366</v>
      </c>
      <c r="H311" s="437"/>
      <c r="I311" s="437"/>
      <c r="J311" s="437"/>
      <c r="K311" s="437"/>
      <c r="L311" s="437">
        <v>10</v>
      </c>
      <c r="M311" s="437"/>
      <c r="N311" s="437"/>
      <c r="O311" s="437"/>
      <c r="P311" s="439"/>
      <c r="Q311" s="439"/>
      <c r="R311" s="439"/>
      <c r="S311" s="439"/>
      <c r="T311" s="439"/>
      <c r="U311" s="439"/>
      <c r="V311" s="439"/>
      <c r="W311" s="439">
        <f>IF(NFI_Expiration=1,IF($A311&lt;VLOOKUP(H$5,NFI,5,0),1,0)*Table_NFI[[#This Row],[Hygiene Kit]],Table_NFI[Hygiene Kit])</f>
        <v>0</v>
      </c>
      <c r="X311" s="439">
        <f>IF(NFI_Expiration=1,IF($A311&lt;VLOOKUP(I$5,NFI,5,0),1,0)*Table_NFI[[#This Row],[NFI Core Kit]],Table_NFI[NFI Core Kit])</f>
        <v>0</v>
      </c>
      <c r="Y311" s="439">
        <f>IF(NFI_Expiration=1,IF($A311&lt;VLOOKUP(J$5,NFI,5,0),1,0)*Table_NFI[[#This Row],[Sanitary Kit]],Table_NFI[Sanitary Kit])</f>
        <v>0</v>
      </c>
      <c r="Z311" s="439">
        <f>IF(NFI_Expiration=1,IF($A311&lt;VLOOKUP(K$5,NFI,5,0),1,0)*Table_NFI[[#This Row],[Mosquito net]],Table_NFI[Mosquito net])</f>
        <v>0</v>
      </c>
      <c r="AA311" s="439">
        <f>IF(NFI_Expiration=1,IF($A311&lt;VLOOKUP(L$5,NFI,5,0),1,0)*Table_NFI[[#This Row],[Tarpaulin]],Table_NFI[[#This Row],[Tarpaulin]])</f>
        <v>0</v>
      </c>
      <c r="AB311" s="439">
        <f>IF(NFI_Expiration=1,IF($A311&lt;VLOOKUP(M$5,NFI,5,0),1,0)*Table_NFI[[#This Row],[Blanket]],Table_NFI[[#This Row],[Blanket]])</f>
        <v>0</v>
      </c>
      <c r="AC311" s="439">
        <f>IF(NFI_Expiration=1,IF($A311&lt;VLOOKUP(N$5,NFI,5,0),1,0)*Table_NFI[[#This Row],[Kitchen Set]],Table_NFI[Kitchen Set])</f>
        <v>0</v>
      </c>
      <c r="AD311" s="439">
        <f>IF(NFI_Expiration=1,IF($A311&lt;VLOOKUP(O$5,NFI,5,0),1,0)*Table_NFI[[#This Row],[Clothes Kit]],Table_NFI[Clothes Kit])</f>
        <v>0</v>
      </c>
      <c r="AE311" s="439">
        <f>IF(NFI_Expiration=1,IF($A311&lt;VLOOKUP(P$5,NFI,5,0),1,0)*Table_NFI[[#This Row],[Plastic Bucket]],Table_NFI[Plastic Bucket])</f>
        <v>0</v>
      </c>
      <c r="AF311" s="439">
        <f>IF(NFI_Expiration=1,IF($A311&lt;VLOOKUP(Q$5,NFI,5,0),1,0)*Table_NFI[[#This Row],[Plastic Mat]],Table_NFI[Plastic Mat])*IF(Table_NFI[[#This Row],[Distribution Date]]&gt;"2014-04-01",1,2.5)</f>
        <v>0</v>
      </c>
      <c r="AG311" s="439">
        <f>IF(NFI_Expiration=1,IF($A311&lt;VLOOKUP(R$5,NFI,5,0),1,0)*Table_NFI[[#This Row],[Winter Clothes Adult]],Table_NFI[Winter Clothes Adult])</f>
        <v>0</v>
      </c>
      <c r="AH311" s="439">
        <f>IF(NFI_Expiration=1,IF($A311&lt;VLOOKUP(S$5,NFI,5,0),1,0)*Table_NFI[[#This Row],[Winter Clothes Children]],Table_NFI[Winter Clothes Children])</f>
        <v>0</v>
      </c>
      <c r="AI311" s="439">
        <f>IF(NFI_Expiration=1,IF($A311&lt;VLOOKUP(T$5,NFI,5,0),1,0)*Table_NFI[[#This Row],[Winter Items Other]],Table_NFI[Winter Items Other])</f>
        <v>0</v>
      </c>
      <c r="AJ311" s="439">
        <f>IF(NFI_Expiration=1,IF($A311&lt;VLOOKUP(M$5,NFI,5,0),1,0)*Table_NFI[[#This Row],[Winter Blanket]],Table_NFI[[#This Row],[Winter Blanket]])</f>
        <v>0</v>
      </c>
      <c r="AK311" s="439">
        <f>IF(Table_NFI[[#This Row],[Winter Clothes Adult]]+Table_NFI[[#This Row],[Winter Clothes Children]]+Table_NFI[[#This Row],[Winter Items Other]]+Table_NFI[[#This Row],[Winter Blanket]]&gt;0,1,0)</f>
        <v>0</v>
      </c>
      <c r="AL311" s="439">
        <f>IF(NFI_Expiration=1,IF($A311&lt;VLOOKUP(V$5,NFI,5,0),1,0)*Table_NFI[[#This Row],[Jerry Can]],Table_NFI[Jerry Can])</f>
        <v>0</v>
      </c>
      <c r="AM311" s="791" t="str">
        <f>IFERROR(VLOOKUP(Table_NFI[[#This Row],[Camp Name]],CL,2,0),"")</f>
        <v>MMR001CMP193</v>
      </c>
      <c r="AN311" s="782">
        <f ca="1">IF(Table_NFI[[#This Row],[Pcode]]="","",IF(OFFSET(CampList[Opening Date],MATCH(Table_NFI[[#This Row],[Pcode]],CampList[CP_Pcode],0)-1,0,1,1)&gt;=NFI_Monitor_Date,1,0))</f>
        <v>0</v>
      </c>
      <c r="AO311" s="791" t="str">
        <f>IFERROR(VLOOKUP(Table_NFI[[#This Row],[Camp Name]],CL,3,0),"")</f>
        <v>Open</v>
      </c>
      <c r="AP311" s="439" t="str">
        <f ca="1">IF(Table_NFI[[#This Row],[Pcode]]="","",OFFSET(CampList[Priority],MATCH(Table_NFI[[#This Row],[Pcode]],CampList[CP_Pcode],0)-1,0,1,1))</f>
        <v>P4</v>
      </c>
      <c r="AQ311" s="438">
        <f>IFERROR(Table_NFI[[#This Row],[Kitchen Set]]/VLOOKUP(Table_NFI[[#This Row],[Camp Name]],CL,4,0),"")</f>
        <v>0</v>
      </c>
      <c r="AR311" s="789"/>
      <c r="AS311" s="792"/>
    </row>
    <row r="312" spans="1:45" s="784" customFormat="1" x14ac:dyDescent="0.25">
      <c r="A312" s="455">
        <f t="shared" si="4"/>
        <v>22.033333333333335</v>
      </c>
      <c r="B312" s="778">
        <v>41648</v>
      </c>
      <c r="C312" s="779" t="s">
        <v>912</v>
      </c>
      <c r="D312" s="779" t="s">
        <v>462</v>
      </c>
      <c r="E312" s="779" t="s">
        <v>380</v>
      </c>
      <c r="F312" s="779" t="s">
        <v>151</v>
      </c>
      <c r="G312" s="779" t="s">
        <v>890</v>
      </c>
      <c r="H312" s="436"/>
      <c r="I312" s="436"/>
      <c r="J312" s="436"/>
      <c r="K312" s="436"/>
      <c r="L312" s="437"/>
      <c r="M312" s="437"/>
      <c r="N312" s="437"/>
      <c r="O312" s="437"/>
      <c r="P312" s="439"/>
      <c r="Q312" s="439"/>
      <c r="R312" s="436">
        <v>142</v>
      </c>
      <c r="S312" s="436">
        <v>284</v>
      </c>
      <c r="T312" s="436">
        <v>852</v>
      </c>
      <c r="U312" s="436">
        <v>426</v>
      </c>
      <c r="V312" s="436"/>
      <c r="W312" s="436">
        <f>IF(NFI_Expiration=1,IF($A312&lt;VLOOKUP(H$5,NFI,5,0),1,0)*Table_NFI[[#This Row],[Hygiene Kit]],Table_NFI[Hygiene Kit])</f>
        <v>0</v>
      </c>
      <c r="X312" s="436">
        <f>IF(NFI_Expiration=1,IF($A312&lt;VLOOKUP(I$5,NFI,5,0),1,0)*Table_NFI[[#This Row],[NFI Core Kit]],Table_NFI[NFI Core Kit])</f>
        <v>0</v>
      </c>
      <c r="Y312" s="436">
        <f>IF(NFI_Expiration=1,IF($A312&lt;VLOOKUP(J$5,NFI,5,0),1,0)*Table_NFI[[#This Row],[Sanitary Kit]],Table_NFI[Sanitary Kit])</f>
        <v>0</v>
      </c>
      <c r="Z312" s="436">
        <f>IF(NFI_Expiration=1,IF($A312&lt;VLOOKUP(K$5,NFI,5,0),1,0)*Table_NFI[[#This Row],[Mosquito net]],Table_NFI[Mosquito net])</f>
        <v>0</v>
      </c>
      <c r="AA312" s="436">
        <f>IF(NFI_Expiration=1,IF($A312&lt;VLOOKUP(L$5,NFI,5,0),1,0)*Table_NFI[[#This Row],[Tarpaulin]],Table_NFI[[#This Row],[Tarpaulin]])</f>
        <v>0</v>
      </c>
      <c r="AB312" s="436">
        <f>IF(NFI_Expiration=1,IF($A312&lt;VLOOKUP(M$5,NFI,5,0),1,0)*Table_NFI[[#This Row],[Blanket]],Table_NFI[[#This Row],[Blanket]])</f>
        <v>0</v>
      </c>
      <c r="AC312" s="436">
        <f>IF(NFI_Expiration=1,IF($A312&lt;VLOOKUP(N$5,NFI,5,0),1,0)*Table_NFI[[#This Row],[Kitchen Set]],Table_NFI[Kitchen Set])</f>
        <v>0</v>
      </c>
      <c r="AD312" s="436">
        <f>IF(NFI_Expiration=1,IF($A312&lt;VLOOKUP(O$5,NFI,5,0),1,0)*Table_NFI[[#This Row],[Clothes Kit]],Table_NFI[Clothes Kit])</f>
        <v>0</v>
      </c>
      <c r="AE312" s="436">
        <f>IF(NFI_Expiration=1,IF($A312&lt;VLOOKUP(P$5,NFI,5,0),1,0)*Table_NFI[[#This Row],[Plastic Bucket]],Table_NFI[Plastic Bucket])</f>
        <v>0</v>
      </c>
      <c r="AF312" s="436">
        <f>IF(NFI_Expiration=1,IF($A312&lt;VLOOKUP(Q$5,NFI,5,0),1,0)*Table_NFI[[#This Row],[Plastic Mat]],Table_NFI[Plastic Mat])*IF(Table_NFI[[#This Row],[Distribution Date]]&gt;"2014-04-01",1,2.5)</f>
        <v>0</v>
      </c>
      <c r="AG312" s="436">
        <f>IF(NFI_Expiration=1,IF($A312&lt;VLOOKUP(R$5,NFI,5,0),1,0)*Table_NFI[[#This Row],[Winter Clothes Adult]],Table_NFI[Winter Clothes Adult])</f>
        <v>0</v>
      </c>
      <c r="AH312" s="436">
        <f>IF(NFI_Expiration=1,IF($A312&lt;VLOOKUP(S$5,NFI,5,0),1,0)*Table_NFI[[#This Row],[Winter Clothes Children]],Table_NFI[Winter Clothes Children])</f>
        <v>0</v>
      </c>
      <c r="AI312" s="436">
        <f>IF(NFI_Expiration=1,IF($A312&lt;VLOOKUP(T$5,NFI,5,0),1,0)*Table_NFI[[#This Row],[Winter Items Other]],Table_NFI[Winter Items Other])</f>
        <v>0</v>
      </c>
      <c r="AJ312" s="436">
        <f>IF(NFI_Expiration=1,IF($A312&lt;VLOOKUP(M$5,NFI,5,0),1,0)*Table_NFI[[#This Row],[Winter Blanket]],Table_NFI[[#This Row],[Winter Blanket]])</f>
        <v>0</v>
      </c>
      <c r="AK312" s="436">
        <f>IF(Table_NFI[[#This Row],[Winter Clothes Adult]]+Table_NFI[[#This Row],[Winter Clothes Children]]+Table_NFI[[#This Row],[Winter Items Other]]+Table_NFI[[#This Row],[Winter Blanket]]&gt;0,1,0)</f>
        <v>1</v>
      </c>
      <c r="AL312" s="439">
        <f>IF(NFI_Expiration=1,IF($A312&lt;VLOOKUP(V$5,NFI,5,0),1,0)*Table_NFI[[#This Row],[Jerry Can]],Table_NFI[Jerry Can])</f>
        <v>0</v>
      </c>
      <c r="AM312" s="781" t="str">
        <f>IFERROR(VLOOKUP(Table_NFI[[#This Row],[Camp Name]],CL,2,0),"")</f>
        <v>MMR001CMP217</v>
      </c>
      <c r="AN312" s="782">
        <f ca="1">IF(Table_NFI[[#This Row],[Pcode]]="","",IF(OFFSET(CampList[Opening Date],MATCH(Table_NFI[[#This Row],[Pcode]],CampList[CP_Pcode],0)-1,0,1,1)&gt;=NFI_Monitor_Date,1,0))</f>
        <v>0</v>
      </c>
      <c r="AO312" s="781" t="str">
        <f>IFERROR(VLOOKUP(Table_NFI[[#This Row],[Camp Name]],CL,3,0),"")</f>
        <v>Closed</v>
      </c>
      <c r="AP312" s="436" t="str">
        <f ca="1">IF(Table_NFI[[#This Row],[Pcode]]="","",OFFSET(CampList[Priority],MATCH(Table_NFI[[#This Row],[Pcode]],CampList[CP_Pcode],0)-1,0,1,1))</f>
        <v/>
      </c>
      <c r="AQ312" s="438" t="str">
        <f>IFERROR(Table_NFI[[#This Row],[Kitchen Set]]/VLOOKUP(Table_NFI[[#This Row],[Camp Name]],CL,4,0),"")</f>
        <v/>
      </c>
      <c r="AR312" s="779"/>
      <c r="AS312" s="783"/>
    </row>
    <row r="313" spans="1:45" s="784" customFormat="1" x14ac:dyDescent="0.25">
      <c r="A313" s="455">
        <f t="shared" si="4"/>
        <v>22.1</v>
      </c>
      <c r="B313" s="778">
        <v>41646</v>
      </c>
      <c r="C313" s="779" t="s">
        <v>454</v>
      </c>
      <c r="D313" s="442" t="s">
        <v>454</v>
      </c>
      <c r="E313" s="779" t="s">
        <v>380</v>
      </c>
      <c r="F313" s="435" t="s">
        <v>5</v>
      </c>
      <c r="G313" s="435" t="s">
        <v>22</v>
      </c>
      <c r="H313" s="442"/>
      <c r="I313" s="442"/>
      <c r="J313" s="442"/>
      <c r="K313" s="785">
        <v>44</v>
      </c>
      <c r="L313" s="786">
        <v>30</v>
      </c>
      <c r="M313" s="443">
        <v>44</v>
      </c>
      <c r="N313" s="443">
        <v>20</v>
      </c>
      <c r="O313" s="443">
        <v>20</v>
      </c>
      <c r="P313" s="786"/>
      <c r="Q313" s="443"/>
      <c r="R313" s="442"/>
      <c r="S313" s="442"/>
      <c r="T313" s="442"/>
      <c r="U313" s="442"/>
      <c r="V313" s="442"/>
      <c r="W313" s="436">
        <f>IF(NFI_Expiration=1,IF($A313&lt;VLOOKUP(H$5,NFI,5,0),1,0)*Table_NFI[[#This Row],[Hygiene Kit]],Table_NFI[Hygiene Kit])</f>
        <v>0</v>
      </c>
      <c r="X313" s="436">
        <f>IF(NFI_Expiration=1,IF($A313&lt;VLOOKUP(I$5,NFI,5,0),1,0)*Table_NFI[[#This Row],[NFI Core Kit]],Table_NFI[NFI Core Kit])</f>
        <v>0</v>
      </c>
      <c r="Y313" s="436">
        <f>IF(NFI_Expiration=1,IF($A313&lt;VLOOKUP(J$5,NFI,5,0),1,0)*Table_NFI[[#This Row],[Sanitary Kit]],Table_NFI[Sanitary Kit])</f>
        <v>0</v>
      </c>
      <c r="Z313" s="436">
        <f>IF(NFI_Expiration=1,IF($A313&lt;VLOOKUP(K$5,NFI,5,0),1,0)*Table_NFI[[#This Row],[Mosquito net]],Table_NFI[Mosquito net])</f>
        <v>0</v>
      </c>
      <c r="AA313" s="436">
        <f>IF(NFI_Expiration=1,IF($A313&lt;VLOOKUP(L$5,NFI,5,0),1,0)*Table_NFI[[#This Row],[Tarpaulin]],Table_NFI[[#This Row],[Tarpaulin]])</f>
        <v>0</v>
      </c>
      <c r="AB313" s="436">
        <f>IF(NFI_Expiration=1,IF($A313&lt;VLOOKUP(M$5,NFI,5,0),1,0)*Table_NFI[[#This Row],[Blanket]],Table_NFI[[#This Row],[Blanket]])</f>
        <v>0</v>
      </c>
      <c r="AC313" s="436">
        <f>IF(NFI_Expiration=1,IF($A313&lt;VLOOKUP(N$5,NFI,5,0),1,0)*Table_NFI[[#This Row],[Kitchen Set]],Table_NFI[Kitchen Set])</f>
        <v>0</v>
      </c>
      <c r="AD313" s="436">
        <f>IF(NFI_Expiration=1,IF($A313&lt;VLOOKUP(O$5,NFI,5,0),1,0)*Table_NFI[[#This Row],[Clothes Kit]],Table_NFI[Clothes Kit])</f>
        <v>0</v>
      </c>
      <c r="AE313" s="436">
        <f>IF(NFI_Expiration=1,IF($A313&lt;VLOOKUP(P$5,NFI,5,0),1,0)*Table_NFI[[#This Row],[Plastic Bucket]],Table_NFI[Plastic Bucket])</f>
        <v>0</v>
      </c>
      <c r="AF313" s="436">
        <f>IF(NFI_Expiration=1,IF($A313&lt;VLOOKUP(Q$5,NFI,5,0),1,0)*Table_NFI[[#This Row],[Plastic Mat]],Table_NFI[Plastic Mat])*IF(Table_NFI[[#This Row],[Distribution Date]]&gt;"2014-04-01",1,2.5)</f>
        <v>0</v>
      </c>
      <c r="AG313" s="436">
        <f>IF(NFI_Expiration=1,IF($A313&lt;VLOOKUP(R$5,NFI,5,0),1,0)*Table_NFI[[#This Row],[Winter Clothes Adult]],Table_NFI[Winter Clothes Adult])</f>
        <v>0</v>
      </c>
      <c r="AH313" s="436">
        <f>IF(NFI_Expiration=1,IF($A313&lt;VLOOKUP(S$5,NFI,5,0),1,0)*Table_NFI[[#This Row],[Winter Clothes Children]],Table_NFI[Winter Clothes Children])</f>
        <v>0</v>
      </c>
      <c r="AI313" s="436">
        <f>IF(NFI_Expiration=1,IF($A313&lt;VLOOKUP(T$5,NFI,5,0),1,0)*Table_NFI[[#This Row],[Winter Items Other]],Table_NFI[Winter Items Other])</f>
        <v>0</v>
      </c>
      <c r="AJ313" s="436">
        <f>IF(NFI_Expiration=1,IF($A313&lt;VLOOKUP(M$5,NFI,5,0),1,0)*Table_NFI[[#This Row],[Winter Blanket]],Table_NFI[[#This Row],[Winter Blanket]])</f>
        <v>0</v>
      </c>
      <c r="AK313" s="436">
        <f>IF(Table_NFI[[#This Row],[Winter Clothes Adult]]+Table_NFI[[#This Row],[Winter Clothes Children]]+Table_NFI[[#This Row],[Winter Items Other]]+Table_NFI[[#This Row],[Winter Blanket]]&gt;0,1,0)</f>
        <v>0</v>
      </c>
      <c r="AL313" s="439">
        <f>IF(NFI_Expiration=1,IF($A313&lt;VLOOKUP(V$5,NFI,5,0),1,0)*Table_NFI[[#This Row],[Jerry Can]],Table_NFI[Jerry Can])</f>
        <v>0</v>
      </c>
      <c r="AM313" s="781" t="str">
        <f>IFERROR(VLOOKUP(Table_NFI[[#This Row],[Camp Name]],CL,2,0),"")</f>
        <v>MMR001CMP047</v>
      </c>
      <c r="AN313" s="782">
        <f ca="1">IF(Table_NFI[[#This Row],[Pcode]]="","",IF(OFFSET(CampList[Opening Date],MATCH(Table_NFI[[#This Row],[Pcode]],CampList[CP_Pcode],0)-1,0,1,1)&gt;=NFI_Monitor_Date,1,0))</f>
        <v>0</v>
      </c>
      <c r="AO313" s="781" t="str">
        <f>IFERROR(VLOOKUP(Table_NFI[[#This Row],[Camp Name]],CL,3,0),"")</f>
        <v>Open</v>
      </c>
      <c r="AP313" s="436" t="str">
        <f ca="1">IF(Table_NFI[[#This Row],[Pcode]]="","",OFFSET(CampList[Priority],MATCH(Table_NFI[[#This Row],[Pcode]],CampList[CP_Pcode],0)-1,0,1,1))</f>
        <v>P4</v>
      </c>
      <c r="AQ313" s="438">
        <f>IFERROR(Table_NFI[[#This Row],[Kitchen Set]]/VLOOKUP(Table_NFI[[#This Row],[Camp Name]],CL,4,0),"")</f>
        <v>3.0674846625766871E-2</v>
      </c>
      <c r="AR313" s="779" t="s">
        <v>1099</v>
      </c>
      <c r="AS313" s="783"/>
    </row>
    <row r="314" spans="1:45" s="784" customFormat="1" x14ac:dyDescent="0.25">
      <c r="A314" s="455">
        <f t="shared" si="4"/>
        <v>22.3</v>
      </c>
      <c r="B314" s="778">
        <v>41640</v>
      </c>
      <c r="C314" s="779" t="s">
        <v>1044</v>
      </c>
      <c r="D314" s="779" t="s">
        <v>907</v>
      </c>
      <c r="E314" s="779" t="s">
        <v>380</v>
      </c>
      <c r="F314" s="779" t="s">
        <v>173</v>
      </c>
      <c r="G314" s="779" t="s">
        <v>176</v>
      </c>
      <c r="H314" s="436"/>
      <c r="I314" s="436"/>
      <c r="J314" s="436"/>
      <c r="K314" s="436"/>
      <c r="L314" s="437"/>
      <c r="M314" s="437"/>
      <c r="N314" s="437">
        <v>14</v>
      </c>
      <c r="O314" s="437"/>
      <c r="P314" s="439"/>
      <c r="Q314" s="439"/>
      <c r="R314" s="436"/>
      <c r="S314" s="436"/>
      <c r="T314" s="436"/>
      <c r="U314" s="436"/>
      <c r="V314" s="436"/>
      <c r="W314" s="436">
        <f>IF(NFI_Expiration=1,IF($A314&lt;VLOOKUP(H$5,NFI,5,0),1,0)*Table_NFI[[#This Row],[Hygiene Kit]],Table_NFI[Hygiene Kit])</f>
        <v>0</v>
      </c>
      <c r="X314" s="436">
        <f>IF(NFI_Expiration=1,IF($A314&lt;VLOOKUP(I$5,NFI,5,0),1,0)*Table_NFI[[#This Row],[NFI Core Kit]],Table_NFI[NFI Core Kit])</f>
        <v>0</v>
      </c>
      <c r="Y314" s="436">
        <f>IF(NFI_Expiration=1,IF($A314&lt;VLOOKUP(J$5,NFI,5,0),1,0)*Table_NFI[[#This Row],[Sanitary Kit]],Table_NFI[Sanitary Kit])</f>
        <v>0</v>
      </c>
      <c r="Z314" s="436">
        <f>IF(NFI_Expiration=1,IF($A314&lt;VLOOKUP(K$5,NFI,5,0),1,0)*Table_NFI[[#This Row],[Mosquito net]],Table_NFI[Mosquito net])</f>
        <v>0</v>
      </c>
      <c r="AA314" s="436">
        <f>IF(NFI_Expiration=1,IF($A314&lt;VLOOKUP(L$5,NFI,5,0),1,0)*Table_NFI[[#This Row],[Tarpaulin]],Table_NFI[[#This Row],[Tarpaulin]])</f>
        <v>0</v>
      </c>
      <c r="AB314" s="436">
        <f>IF(NFI_Expiration=1,IF($A314&lt;VLOOKUP(M$5,NFI,5,0),1,0)*Table_NFI[[#This Row],[Blanket]],Table_NFI[[#This Row],[Blanket]])</f>
        <v>0</v>
      </c>
      <c r="AC314" s="436">
        <f>IF(NFI_Expiration=1,IF($A314&lt;VLOOKUP(N$5,NFI,5,0),1,0)*Table_NFI[[#This Row],[Kitchen Set]],Table_NFI[Kitchen Set])</f>
        <v>0</v>
      </c>
      <c r="AD314" s="436">
        <f>IF(NFI_Expiration=1,IF($A314&lt;VLOOKUP(O$5,NFI,5,0),1,0)*Table_NFI[[#This Row],[Clothes Kit]],Table_NFI[Clothes Kit])</f>
        <v>0</v>
      </c>
      <c r="AE314" s="436">
        <f>IF(NFI_Expiration=1,IF($A314&lt;VLOOKUP(P$5,NFI,5,0),1,0)*Table_NFI[[#This Row],[Plastic Bucket]],Table_NFI[Plastic Bucket])</f>
        <v>0</v>
      </c>
      <c r="AF314" s="436">
        <f>IF(NFI_Expiration=1,IF($A314&lt;VLOOKUP(Q$5,NFI,5,0),1,0)*Table_NFI[[#This Row],[Plastic Mat]],Table_NFI[Plastic Mat])*IF(Table_NFI[[#This Row],[Distribution Date]]&gt;"2014-04-01",1,2.5)</f>
        <v>0</v>
      </c>
      <c r="AG314" s="436">
        <f>IF(NFI_Expiration=1,IF($A314&lt;VLOOKUP(R$5,NFI,5,0),1,0)*Table_NFI[[#This Row],[Winter Clothes Adult]],Table_NFI[Winter Clothes Adult])</f>
        <v>0</v>
      </c>
      <c r="AH314" s="436">
        <f>IF(NFI_Expiration=1,IF($A314&lt;VLOOKUP(S$5,NFI,5,0),1,0)*Table_NFI[[#This Row],[Winter Clothes Children]],Table_NFI[Winter Clothes Children])</f>
        <v>0</v>
      </c>
      <c r="AI314" s="436">
        <f>IF(NFI_Expiration=1,IF($A314&lt;VLOOKUP(T$5,NFI,5,0),1,0)*Table_NFI[[#This Row],[Winter Items Other]],Table_NFI[Winter Items Other])</f>
        <v>0</v>
      </c>
      <c r="AJ314" s="436">
        <f>IF(NFI_Expiration=1,IF($A314&lt;VLOOKUP(M$5,NFI,5,0),1,0)*Table_NFI[[#This Row],[Winter Blanket]],Table_NFI[[#This Row],[Winter Blanket]])</f>
        <v>0</v>
      </c>
      <c r="AK314" s="436">
        <f>IF(Table_NFI[[#This Row],[Winter Clothes Adult]]+Table_NFI[[#This Row],[Winter Clothes Children]]+Table_NFI[[#This Row],[Winter Items Other]]+Table_NFI[[#This Row],[Winter Blanket]]&gt;0,1,0)</f>
        <v>0</v>
      </c>
      <c r="AL314" s="439">
        <f>IF(NFI_Expiration=1,IF($A314&lt;VLOOKUP(V$5,NFI,5,0),1,0)*Table_NFI[[#This Row],[Jerry Can]],Table_NFI[Jerry Can])</f>
        <v>0</v>
      </c>
      <c r="AM314" s="781" t="str">
        <f>IFERROR(VLOOKUP(Table_NFI[[#This Row],[Camp Name]],CL,2,0),"")</f>
        <v>MMR001CMP077</v>
      </c>
      <c r="AN314" s="782">
        <f ca="1">IF(Table_NFI[[#This Row],[Pcode]]="","",IF(OFFSET(CampList[Opening Date],MATCH(Table_NFI[[#This Row],[Pcode]],CampList[CP_Pcode],0)-1,0,1,1)&gt;=NFI_Monitor_Date,1,0))</f>
        <v>0</v>
      </c>
      <c r="AO314" s="781" t="str">
        <f>IFERROR(VLOOKUP(Table_NFI[[#This Row],[Camp Name]],CL,3,0),"")</f>
        <v>Open</v>
      </c>
      <c r="AP314" s="436" t="str">
        <f ca="1">IF(Table_NFI[[#This Row],[Pcode]]="","",OFFSET(CampList[Priority],MATCH(Table_NFI[[#This Row],[Pcode]],CampList[CP_Pcode],0)-1,0,1,1))</f>
        <v>P4</v>
      </c>
      <c r="AQ314" s="438">
        <f>IFERROR(Table_NFI[[#This Row],[Kitchen Set]]/VLOOKUP(Table_NFI[[#This Row],[Camp Name]],CL,4,0),"")</f>
        <v>0.77777777777777779</v>
      </c>
      <c r="AR314" s="779" t="s">
        <v>1099</v>
      </c>
      <c r="AS314" s="783"/>
    </row>
    <row r="315" spans="1:45" s="784" customFormat="1" x14ac:dyDescent="0.25">
      <c r="A315" s="455">
        <f t="shared" si="4"/>
        <v>22.3</v>
      </c>
      <c r="B315" s="778">
        <v>41640</v>
      </c>
      <c r="C315" s="779" t="s">
        <v>1044</v>
      </c>
      <c r="D315" s="779" t="s">
        <v>907</v>
      </c>
      <c r="E315" s="779" t="s">
        <v>380</v>
      </c>
      <c r="F315" s="435" t="s">
        <v>180</v>
      </c>
      <c r="G315" s="779" t="s">
        <v>183</v>
      </c>
      <c r="H315" s="436"/>
      <c r="I315" s="436"/>
      <c r="J315" s="436"/>
      <c r="K315" s="436"/>
      <c r="L315" s="437"/>
      <c r="M315" s="437"/>
      <c r="N315" s="437">
        <v>12</v>
      </c>
      <c r="O315" s="437"/>
      <c r="P315" s="439"/>
      <c r="Q315" s="439"/>
      <c r="R315" s="436"/>
      <c r="S315" s="436"/>
      <c r="T315" s="436"/>
      <c r="U315" s="436"/>
      <c r="V315" s="436"/>
      <c r="W315" s="436">
        <f>IF(NFI_Expiration=1,IF($A315&lt;VLOOKUP(H$5,NFI,5,0),1,0)*Table_NFI[[#This Row],[Hygiene Kit]],Table_NFI[Hygiene Kit])</f>
        <v>0</v>
      </c>
      <c r="X315" s="436">
        <f>IF(NFI_Expiration=1,IF($A315&lt;VLOOKUP(I$5,NFI,5,0),1,0)*Table_NFI[[#This Row],[NFI Core Kit]],Table_NFI[NFI Core Kit])</f>
        <v>0</v>
      </c>
      <c r="Y315" s="436">
        <f>IF(NFI_Expiration=1,IF($A315&lt;VLOOKUP(J$5,NFI,5,0),1,0)*Table_NFI[[#This Row],[Sanitary Kit]],Table_NFI[Sanitary Kit])</f>
        <v>0</v>
      </c>
      <c r="Z315" s="436">
        <f>IF(NFI_Expiration=1,IF($A315&lt;VLOOKUP(K$5,NFI,5,0),1,0)*Table_NFI[[#This Row],[Mosquito net]],Table_NFI[Mosquito net])</f>
        <v>0</v>
      </c>
      <c r="AA315" s="436">
        <f>IF(NFI_Expiration=1,IF($A315&lt;VLOOKUP(L$5,NFI,5,0),1,0)*Table_NFI[[#This Row],[Tarpaulin]],Table_NFI[[#This Row],[Tarpaulin]])</f>
        <v>0</v>
      </c>
      <c r="AB315" s="436">
        <f>IF(NFI_Expiration=1,IF($A315&lt;VLOOKUP(M$5,NFI,5,0),1,0)*Table_NFI[[#This Row],[Blanket]],Table_NFI[[#This Row],[Blanket]])</f>
        <v>0</v>
      </c>
      <c r="AC315" s="436">
        <f>IF(NFI_Expiration=1,IF($A315&lt;VLOOKUP(N$5,NFI,5,0),1,0)*Table_NFI[[#This Row],[Kitchen Set]],Table_NFI[Kitchen Set])</f>
        <v>0</v>
      </c>
      <c r="AD315" s="436">
        <f>IF(NFI_Expiration=1,IF($A315&lt;VLOOKUP(O$5,NFI,5,0),1,0)*Table_NFI[[#This Row],[Clothes Kit]],Table_NFI[Clothes Kit])</f>
        <v>0</v>
      </c>
      <c r="AE315" s="436">
        <f>IF(NFI_Expiration=1,IF($A315&lt;VLOOKUP(P$5,NFI,5,0),1,0)*Table_NFI[[#This Row],[Plastic Bucket]],Table_NFI[Plastic Bucket])</f>
        <v>0</v>
      </c>
      <c r="AF315" s="436">
        <f>IF(NFI_Expiration=1,IF($A315&lt;VLOOKUP(Q$5,NFI,5,0),1,0)*Table_NFI[[#This Row],[Plastic Mat]],Table_NFI[Plastic Mat])*IF(Table_NFI[[#This Row],[Distribution Date]]&gt;"2014-04-01",1,2.5)</f>
        <v>0</v>
      </c>
      <c r="AG315" s="436">
        <f>IF(NFI_Expiration=1,IF($A315&lt;VLOOKUP(R$5,NFI,5,0),1,0)*Table_NFI[[#This Row],[Winter Clothes Adult]],Table_NFI[Winter Clothes Adult])</f>
        <v>0</v>
      </c>
      <c r="AH315" s="436">
        <f>IF(NFI_Expiration=1,IF($A315&lt;VLOOKUP(S$5,NFI,5,0),1,0)*Table_NFI[[#This Row],[Winter Clothes Children]],Table_NFI[Winter Clothes Children])</f>
        <v>0</v>
      </c>
      <c r="AI315" s="436">
        <f>IF(NFI_Expiration=1,IF($A315&lt;VLOOKUP(T$5,NFI,5,0),1,0)*Table_NFI[[#This Row],[Winter Items Other]],Table_NFI[Winter Items Other])</f>
        <v>0</v>
      </c>
      <c r="AJ315" s="436">
        <f>IF(NFI_Expiration=1,IF($A315&lt;VLOOKUP(M$5,NFI,5,0),1,0)*Table_NFI[[#This Row],[Winter Blanket]],Table_NFI[[#This Row],[Winter Blanket]])</f>
        <v>0</v>
      </c>
      <c r="AK315" s="436">
        <f>IF(Table_NFI[[#This Row],[Winter Clothes Adult]]+Table_NFI[[#This Row],[Winter Clothes Children]]+Table_NFI[[#This Row],[Winter Items Other]]+Table_NFI[[#This Row],[Winter Blanket]]&gt;0,1,0)</f>
        <v>0</v>
      </c>
      <c r="AL315" s="439">
        <f>IF(NFI_Expiration=1,IF($A315&lt;VLOOKUP(V$5,NFI,5,0),1,0)*Table_NFI[[#This Row],[Jerry Can]],Table_NFI[Jerry Can])</f>
        <v>0</v>
      </c>
      <c r="AM315" s="781" t="str">
        <f>IFERROR(VLOOKUP(Table_NFI[[#This Row],[Camp Name]],CL,2,0),"")</f>
        <v>MMR001CMP081</v>
      </c>
      <c r="AN315" s="782">
        <f ca="1">IF(Table_NFI[[#This Row],[Pcode]]="","",IF(OFFSET(CampList[Opening Date],MATCH(Table_NFI[[#This Row],[Pcode]],CampList[CP_Pcode],0)-1,0,1,1)&gt;=NFI_Monitor_Date,1,0))</f>
        <v>0</v>
      </c>
      <c r="AO315" s="781" t="str">
        <f>IFERROR(VLOOKUP(Table_NFI[[#This Row],[Camp Name]],CL,3,0),"")</f>
        <v>Closed</v>
      </c>
      <c r="AP315" s="436" t="str">
        <f ca="1">IF(Table_NFI[[#This Row],[Pcode]]="","",OFFSET(CampList[Priority],MATCH(Table_NFI[[#This Row],[Pcode]],CampList[CP_Pcode],0)-1,0,1,1))</f>
        <v>P4</v>
      </c>
      <c r="AQ315" s="438" t="str">
        <f>IFERROR(Table_NFI[[#This Row],[Kitchen Set]]/VLOOKUP(Table_NFI[[#This Row],[Camp Name]],CL,4,0),"")</f>
        <v/>
      </c>
      <c r="AR315" s="779" t="s">
        <v>1099</v>
      </c>
      <c r="AS315" s="783"/>
    </row>
    <row r="316" spans="1:45" s="784" customFormat="1" x14ac:dyDescent="0.25">
      <c r="A316" s="455">
        <f t="shared" si="4"/>
        <v>22.3</v>
      </c>
      <c r="B316" s="778">
        <v>41640</v>
      </c>
      <c r="C316" s="779" t="s">
        <v>1044</v>
      </c>
      <c r="D316" s="779" t="s">
        <v>907</v>
      </c>
      <c r="E316" s="779" t="s">
        <v>380</v>
      </c>
      <c r="F316" s="779" t="s">
        <v>173</v>
      </c>
      <c r="G316" s="779" t="s">
        <v>178</v>
      </c>
      <c r="H316" s="436"/>
      <c r="I316" s="436"/>
      <c r="J316" s="436"/>
      <c r="K316" s="436"/>
      <c r="L316" s="437"/>
      <c r="M316" s="437"/>
      <c r="N316" s="437">
        <v>13</v>
      </c>
      <c r="O316" s="437"/>
      <c r="P316" s="439"/>
      <c r="Q316" s="439"/>
      <c r="R316" s="436"/>
      <c r="S316" s="436"/>
      <c r="T316" s="436"/>
      <c r="U316" s="436"/>
      <c r="V316" s="436"/>
      <c r="W316" s="436">
        <f>IF(NFI_Expiration=1,IF($A316&lt;VLOOKUP(H$5,NFI,5,0),1,0)*Table_NFI[[#This Row],[Hygiene Kit]],Table_NFI[Hygiene Kit])</f>
        <v>0</v>
      </c>
      <c r="X316" s="436">
        <f>IF(NFI_Expiration=1,IF($A316&lt;VLOOKUP(I$5,NFI,5,0),1,0)*Table_NFI[[#This Row],[NFI Core Kit]],Table_NFI[NFI Core Kit])</f>
        <v>0</v>
      </c>
      <c r="Y316" s="436">
        <f>IF(NFI_Expiration=1,IF($A316&lt;VLOOKUP(J$5,NFI,5,0),1,0)*Table_NFI[[#This Row],[Sanitary Kit]],Table_NFI[Sanitary Kit])</f>
        <v>0</v>
      </c>
      <c r="Z316" s="436">
        <f>IF(NFI_Expiration=1,IF($A316&lt;VLOOKUP(K$5,NFI,5,0),1,0)*Table_NFI[[#This Row],[Mosquito net]],Table_NFI[Mosquito net])</f>
        <v>0</v>
      </c>
      <c r="AA316" s="436">
        <f>IF(NFI_Expiration=1,IF($A316&lt;VLOOKUP(L$5,NFI,5,0),1,0)*Table_NFI[[#This Row],[Tarpaulin]],Table_NFI[[#This Row],[Tarpaulin]])</f>
        <v>0</v>
      </c>
      <c r="AB316" s="436">
        <f>IF(NFI_Expiration=1,IF($A316&lt;VLOOKUP(M$5,NFI,5,0),1,0)*Table_NFI[[#This Row],[Blanket]],Table_NFI[[#This Row],[Blanket]])</f>
        <v>0</v>
      </c>
      <c r="AC316" s="436">
        <f>IF(NFI_Expiration=1,IF($A316&lt;VLOOKUP(N$5,NFI,5,0),1,0)*Table_NFI[[#This Row],[Kitchen Set]],Table_NFI[Kitchen Set])</f>
        <v>0</v>
      </c>
      <c r="AD316" s="436">
        <f>IF(NFI_Expiration=1,IF($A316&lt;VLOOKUP(O$5,NFI,5,0),1,0)*Table_NFI[[#This Row],[Clothes Kit]],Table_NFI[Clothes Kit])</f>
        <v>0</v>
      </c>
      <c r="AE316" s="436">
        <f>IF(NFI_Expiration=1,IF($A316&lt;VLOOKUP(P$5,NFI,5,0),1,0)*Table_NFI[[#This Row],[Plastic Bucket]],Table_NFI[Plastic Bucket])</f>
        <v>0</v>
      </c>
      <c r="AF316" s="436">
        <f>IF(NFI_Expiration=1,IF($A316&lt;VLOOKUP(Q$5,NFI,5,0),1,0)*Table_NFI[[#This Row],[Plastic Mat]],Table_NFI[Plastic Mat])*IF(Table_NFI[[#This Row],[Distribution Date]]&gt;"2014-04-01",1,2.5)</f>
        <v>0</v>
      </c>
      <c r="AG316" s="436">
        <f>IF(NFI_Expiration=1,IF($A316&lt;VLOOKUP(R$5,NFI,5,0),1,0)*Table_NFI[[#This Row],[Winter Clothes Adult]],Table_NFI[Winter Clothes Adult])</f>
        <v>0</v>
      </c>
      <c r="AH316" s="436">
        <f>IF(NFI_Expiration=1,IF($A316&lt;VLOOKUP(S$5,NFI,5,0),1,0)*Table_NFI[[#This Row],[Winter Clothes Children]],Table_NFI[Winter Clothes Children])</f>
        <v>0</v>
      </c>
      <c r="AI316" s="436">
        <f>IF(NFI_Expiration=1,IF($A316&lt;VLOOKUP(T$5,NFI,5,0),1,0)*Table_NFI[[#This Row],[Winter Items Other]],Table_NFI[Winter Items Other])</f>
        <v>0</v>
      </c>
      <c r="AJ316" s="436">
        <f>IF(NFI_Expiration=1,IF($A316&lt;VLOOKUP(M$5,NFI,5,0),1,0)*Table_NFI[[#This Row],[Winter Blanket]],Table_NFI[[#This Row],[Winter Blanket]])</f>
        <v>0</v>
      </c>
      <c r="AK316" s="436">
        <f>IF(Table_NFI[[#This Row],[Winter Clothes Adult]]+Table_NFI[[#This Row],[Winter Clothes Children]]+Table_NFI[[#This Row],[Winter Items Other]]+Table_NFI[[#This Row],[Winter Blanket]]&gt;0,1,0)</f>
        <v>0</v>
      </c>
      <c r="AL316" s="439">
        <f>IF(NFI_Expiration=1,IF($A316&lt;VLOOKUP(V$5,NFI,5,0),1,0)*Table_NFI[[#This Row],[Jerry Can]],Table_NFI[Jerry Can])</f>
        <v>0</v>
      </c>
      <c r="AM316" s="781" t="str">
        <f>IFERROR(VLOOKUP(Table_NFI[[#This Row],[Camp Name]],CL,2,0),"")</f>
        <v>MMR001CMP079</v>
      </c>
      <c r="AN316" s="782">
        <f ca="1">IF(Table_NFI[[#This Row],[Pcode]]="","",IF(OFFSET(CampList[Opening Date],MATCH(Table_NFI[[#This Row],[Pcode]],CampList[CP_Pcode],0)-1,0,1,1)&gt;=NFI_Monitor_Date,1,0))</f>
        <v>0</v>
      </c>
      <c r="AO316" s="781" t="str">
        <f>IFERROR(VLOOKUP(Table_NFI[[#This Row],[Camp Name]],CL,3,0),"")</f>
        <v>Open</v>
      </c>
      <c r="AP316" s="436" t="str">
        <f ca="1">IF(Table_NFI[[#This Row],[Pcode]]="","",OFFSET(CampList[Priority],MATCH(Table_NFI[[#This Row],[Pcode]],CampList[CP_Pcode],0)-1,0,1,1))</f>
        <v>P4</v>
      </c>
      <c r="AQ316" s="438">
        <f>IFERROR(Table_NFI[[#This Row],[Kitchen Set]]/VLOOKUP(Table_NFI[[#This Row],[Camp Name]],CL,4,0),"")</f>
        <v>0.9285714285714286</v>
      </c>
      <c r="AR316" s="779" t="s">
        <v>1099</v>
      </c>
      <c r="AS316" s="783"/>
    </row>
    <row r="317" spans="1:45" s="784" customFormat="1" x14ac:dyDescent="0.25">
      <c r="A317" s="455">
        <f t="shared" si="4"/>
        <v>22.3</v>
      </c>
      <c r="B317" s="778">
        <v>41640</v>
      </c>
      <c r="C317" s="779" t="s">
        <v>1044</v>
      </c>
      <c r="D317" s="779" t="s">
        <v>907</v>
      </c>
      <c r="E317" s="779" t="s">
        <v>380</v>
      </c>
      <c r="F317" s="779" t="s">
        <v>27</v>
      </c>
      <c r="G317" s="779" t="s">
        <v>870</v>
      </c>
      <c r="H317" s="436"/>
      <c r="I317" s="436"/>
      <c r="J317" s="436"/>
      <c r="K317" s="436"/>
      <c r="L317" s="437"/>
      <c r="M317" s="437"/>
      <c r="N317" s="437">
        <v>92</v>
      </c>
      <c r="O317" s="437"/>
      <c r="P317" s="439"/>
      <c r="Q317" s="439"/>
      <c r="R317" s="436"/>
      <c r="S317" s="436"/>
      <c r="T317" s="436"/>
      <c r="U317" s="436"/>
      <c r="V317" s="436"/>
      <c r="W317" s="436">
        <f>IF(NFI_Expiration=1,IF($A317&lt;VLOOKUP(H$5,NFI,5,0),1,0)*Table_NFI[[#This Row],[Hygiene Kit]],Table_NFI[Hygiene Kit])</f>
        <v>0</v>
      </c>
      <c r="X317" s="436">
        <f>IF(NFI_Expiration=1,IF($A317&lt;VLOOKUP(I$5,NFI,5,0),1,0)*Table_NFI[[#This Row],[NFI Core Kit]],Table_NFI[NFI Core Kit])</f>
        <v>0</v>
      </c>
      <c r="Y317" s="436">
        <f>IF(NFI_Expiration=1,IF($A317&lt;VLOOKUP(J$5,NFI,5,0),1,0)*Table_NFI[[#This Row],[Sanitary Kit]],Table_NFI[Sanitary Kit])</f>
        <v>0</v>
      </c>
      <c r="Z317" s="436">
        <f>IF(NFI_Expiration=1,IF($A317&lt;VLOOKUP(K$5,NFI,5,0),1,0)*Table_NFI[[#This Row],[Mosquito net]],Table_NFI[Mosquito net])</f>
        <v>0</v>
      </c>
      <c r="AA317" s="436">
        <f>IF(NFI_Expiration=1,IF($A317&lt;VLOOKUP(L$5,NFI,5,0),1,0)*Table_NFI[[#This Row],[Tarpaulin]],Table_NFI[[#This Row],[Tarpaulin]])</f>
        <v>0</v>
      </c>
      <c r="AB317" s="436">
        <f>IF(NFI_Expiration=1,IF($A317&lt;VLOOKUP(M$5,NFI,5,0),1,0)*Table_NFI[[#This Row],[Blanket]],Table_NFI[[#This Row],[Blanket]])</f>
        <v>0</v>
      </c>
      <c r="AC317" s="436">
        <f>IF(NFI_Expiration=1,IF($A317&lt;VLOOKUP(N$5,NFI,5,0),1,0)*Table_NFI[[#This Row],[Kitchen Set]],Table_NFI[Kitchen Set])</f>
        <v>0</v>
      </c>
      <c r="AD317" s="436">
        <f>IF(NFI_Expiration=1,IF($A317&lt;VLOOKUP(O$5,NFI,5,0),1,0)*Table_NFI[[#This Row],[Clothes Kit]],Table_NFI[Clothes Kit])</f>
        <v>0</v>
      </c>
      <c r="AE317" s="436">
        <f>IF(NFI_Expiration=1,IF($A317&lt;VLOOKUP(P$5,NFI,5,0),1,0)*Table_NFI[[#This Row],[Plastic Bucket]],Table_NFI[Plastic Bucket])</f>
        <v>0</v>
      </c>
      <c r="AF317" s="436">
        <f>IF(NFI_Expiration=1,IF($A317&lt;VLOOKUP(Q$5,NFI,5,0),1,0)*Table_NFI[[#This Row],[Plastic Mat]],Table_NFI[Plastic Mat])*IF(Table_NFI[[#This Row],[Distribution Date]]&gt;"2014-04-01",1,2.5)</f>
        <v>0</v>
      </c>
      <c r="AG317" s="436">
        <f>IF(NFI_Expiration=1,IF($A317&lt;VLOOKUP(R$5,NFI,5,0),1,0)*Table_NFI[[#This Row],[Winter Clothes Adult]],Table_NFI[Winter Clothes Adult])</f>
        <v>0</v>
      </c>
      <c r="AH317" s="436">
        <f>IF(NFI_Expiration=1,IF($A317&lt;VLOOKUP(S$5,NFI,5,0),1,0)*Table_NFI[[#This Row],[Winter Clothes Children]],Table_NFI[Winter Clothes Children])</f>
        <v>0</v>
      </c>
      <c r="AI317" s="436">
        <f>IF(NFI_Expiration=1,IF($A317&lt;VLOOKUP(T$5,NFI,5,0),1,0)*Table_NFI[[#This Row],[Winter Items Other]],Table_NFI[Winter Items Other])</f>
        <v>0</v>
      </c>
      <c r="AJ317" s="436">
        <f>IF(NFI_Expiration=1,IF($A317&lt;VLOOKUP(M$5,NFI,5,0),1,0)*Table_NFI[[#This Row],[Winter Blanket]],Table_NFI[[#This Row],[Winter Blanket]])</f>
        <v>0</v>
      </c>
      <c r="AK317" s="436">
        <f>IF(Table_NFI[[#This Row],[Winter Clothes Adult]]+Table_NFI[[#This Row],[Winter Clothes Children]]+Table_NFI[[#This Row],[Winter Items Other]]+Table_NFI[[#This Row],[Winter Blanket]]&gt;0,1,0)</f>
        <v>0</v>
      </c>
      <c r="AL317" s="439">
        <f>IF(NFI_Expiration=1,IF($A317&lt;VLOOKUP(V$5,NFI,5,0),1,0)*Table_NFI[[#This Row],[Jerry Can]],Table_NFI[Jerry Can])</f>
        <v>0</v>
      </c>
      <c r="AM317" s="781" t="str">
        <f>IFERROR(VLOOKUP(Table_NFI[[#This Row],[Camp Name]],CL,2,0),"")</f>
        <v>MMR001CMP210</v>
      </c>
      <c r="AN317" s="782">
        <f ca="1">IF(Table_NFI[[#This Row],[Pcode]]="","",IF(OFFSET(CampList[Opening Date],MATCH(Table_NFI[[#This Row],[Pcode]],CampList[CP_Pcode],0)-1,0,1,1)&gt;=NFI_Monitor_Date,1,0))</f>
        <v>0</v>
      </c>
      <c r="AO317" s="781" t="str">
        <f>IFERROR(VLOOKUP(Table_NFI[[#This Row],[Camp Name]],CL,3,0),"")</f>
        <v>Open</v>
      </c>
      <c r="AP317" s="436" t="str">
        <f ca="1">IF(Table_NFI[[#This Row],[Pcode]]="","",OFFSET(CampList[Priority],MATCH(Table_NFI[[#This Row],[Pcode]],CampList[CP_Pcode],0)-1,0,1,1))</f>
        <v>P1</v>
      </c>
      <c r="AQ317" s="438">
        <f>IFERROR(Table_NFI[[#This Row],[Kitchen Set]]/VLOOKUP(Table_NFI[[#This Row],[Camp Name]],CL,4,0),"")</f>
        <v>1.4153846153846155</v>
      </c>
      <c r="AR317" s="779" t="s">
        <v>1099</v>
      </c>
      <c r="AS317" s="783"/>
    </row>
    <row r="318" spans="1:45" s="784" customFormat="1" x14ac:dyDescent="0.25">
      <c r="A318" s="455">
        <f t="shared" si="4"/>
        <v>22.6</v>
      </c>
      <c r="B318" s="778">
        <v>41631</v>
      </c>
      <c r="C318" s="779" t="s">
        <v>454</v>
      </c>
      <c r="D318" s="442" t="s">
        <v>454</v>
      </c>
      <c r="E318" s="779" t="s">
        <v>380</v>
      </c>
      <c r="F318" s="435" t="s">
        <v>5</v>
      </c>
      <c r="G318" s="435" t="s">
        <v>6</v>
      </c>
      <c r="H318" s="442"/>
      <c r="I318" s="442"/>
      <c r="J318" s="442">
        <v>10</v>
      </c>
      <c r="K318" s="785">
        <v>10</v>
      </c>
      <c r="L318" s="786">
        <v>7</v>
      </c>
      <c r="M318" s="443">
        <v>10</v>
      </c>
      <c r="N318" s="443">
        <v>7</v>
      </c>
      <c r="O318" s="443">
        <v>7</v>
      </c>
      <c r="P318" s="786"/>
      <c r="Q318" s="443"/>
      <c r="R318" s="442"/>
      <c r="S318" s="442"/>
      <c r="T318" s="442"/>
      <c r="U318" s="442"/>
      <c r="V318" s="442"/>
      <c r="W318" s="436">
        <f>IF(NFI_Expiration=1,IF($A318&lt;VLOOKUP(H$5,NFI,5,0),1,0)*Table_NFI[[#This Row],[Hygiene Kit]],Table_NFI[Hygiene Kit])</f>
        <v>0</v>
      </c>
      <c r="X318" s="436">
        <f>IF(NFI_Expiration=1,IF($A318&lt;VLOOKUP(I$5,NFI,5,0),1,0)*Table_NFI[[#This Row],[NFI Core Kit]],Table_NFI[NFI Core Kit])</f>
        <v>0</v>
      </c>
      <c r="Y318" s="436">
        <f>IF(NFI_Expiration=1,IF($A318&lt;VLOOKUP(J$5,NFI,5,0),1,0)*Table_NFI[[#This Row],[Sanitary Kit]],Table_NFI[Sanitary Kit])</f>
        <v>0</v>
      </c>
      <c r="Z318" s="436">
        <f>IF(NFI_Expiration=1,IF($A318&lt;VLOOKUP(K$5,NFI,5,0),1,0)*Table_NFI[[#This Row],[Mosquito net]],Table_NFI[Mosquito net])</f>
        <v>0</v>
      </c>
      <c r="AA318" s="436">
        <f>IF(NFI_Expiration=1,IF($A318&lt;VLOOKUP(L$5,NFI,5,0),1,0)*Table_NFI[[#This Row],[Tarpaulin]],Table_NFI[[#This Row],[Tarpaulin]])</f>
        <v>0</v>
      </c>
      <c r="AB318" s="436">
        <f>IF(NFI_Expiration=1,IF($A318&lt;VLOOKUP(M$5,NFI,5,0),1,0)*Table_NFI[[#This Row],[Blanket]],Table_NFI[[#This Row],[Blanket]])</f>
        <v>0</v>
      </c>
      <c r="AC318" s="436">
        <f>IF(NFI_Expiration=1,IF($A318&lt;VLOOKUP(N$5,NFI,5,0),1,0)*Table_NFI[[#This Row],[Kitchen Set]],Table_NFI[Kitchen Set])</f>
        <v>0</v>
      </c>
      <c r="AD318" s="436">
        <f>IF(NFI_Expiration=1,IF($A318&lt;VLOOKUP(O$5,NFI,5,0),1,0)*Table_NFI[[#This Row],[Clothes Kit]],Table_NFI[Clothes Kit])</f>
        <v>0</v>
      </c>
      <c r="AE318" s="436">
        <f>IF(NFI_Expiration=1,IF($A318&lt;VLOOKUP(P$5,NFI,5,0),1,0)*Table_NFI[[#This Row],[Plastic Bucket]],Table_NFI[Plastic Bucket])</f>
        <v>0</v>
      </c>
      <c r="AF318" s="436">
        <f>IF(NFI_Expiration=1,IF($A318&lt;VLOOKUP(Q$5,NFI,5,0),1,0)*Table_NFI[[#This Row],[Plastic Mat]],Table_NFI[Plastic Mat])*IF(Table_NFI[[#This Row],[Distribution Date]]&gt;"2014-04-01",1,2.5)</f>
        <v>0</v>
      </c>
      <c r="AG318" s="436">
        <f>IF(NFI_Expiration=1,IF($A318&lt;VLOOKUP(R$5,NFI,5,0),1,0)*Table_NFI[[#This Row],[Winter Clothes Adult]],Table_NFI[Winter Clothes Adult])</f>
        <v>0</v>
      </c>
      <c r="AH318" s="436">
        <f>IF(NFI_Expiration=1,IF($A318&lt;VLOOKUP(S$5,NFI,5,0),1,0)*Table_NFI[[#This Row],[Winter Clothes Children]],Table_NFI[Winter Clothes Children])</f>
        <v>0</v>
      </c>
      <c r="AI318" s="436">
        <f>IF(NFI_Expiration=1,IF($A318&lt;VLOOKUP(T$5,NFI,5,0),1,0)*Table_NFI[[#This Row],[Winter Items Other]],Table_NFI[Winter Items Other])</f>
        <v>0</v>
      </c>
      <c r="AJ318" s="436">
        <f>IF(NFI_Expiration=1,IF($A318&lt;VLOOKUP(M$5,NFI,5,0),1,0)*Table_NFI[[#This Row],[Winter Blanket]],Table_NFI[[#This Row],[Winter Blanket]])</f>
        <v>0</v>
      </c>
      <c r="AK318" s="436">
        <f>IF(Table_NFI[[#This Row],[Winter Clothes Adult]]+Table_NFI[[#This Row],[Winter Clothes Children]]+Table_NFI[[#This Row],[Winter Items Other]]+Table_NFI[[#This Row],[Winter Blanket]]&gt;0,1,0)</f>
        <v>0</v>
      </c>
      <c r="AL318" s="439">
        <f>IF(NFI_Expiration=1,IF($A318&lt;VLOOKUP(V$5,NFI,5,0),1,0)*Table_NFI[[#This Row],[Jerry Can]],Table_NFI[Jerry Can])</f>
        <v>0</v>
      </c>
      <c r="AM318" s="781" t="str">
        <f>IFERROR(VLOOKUP(Table_NFI[[#This Row],[Camp Name]],CL,2,0),"")</f>
        <v>MMR001CMP050</v>
      </c>
      <c r="AN318" s="782">
        <f ca="1">IF(Table_NFI[[#This Row],[Pcode]]="","",IF(OFFSET(CampList[Opening Date],MATCH(Table_NFI[[#This Row],[Pcode]],CampList[CP_Pcode],0)-1,0,1,1)&gt;=NFI_Monitor_Date,1,0))</f>
        <v>0</v>
      </c>
      <c r="AO318" s="781" t="str">
        <f>IFERROR(VLOOKUP(Table_NFI[[#This Row],[Camp Name]],CL,3,0),"")</f>
        <v>Open</v>
      </c>
      <c r="AP318" s="436" t="str">
        <f ca="1">IF(Table_NFI[[#This Row],[Pcode]]="","",OFFSET(CampList[Priority],MATCH(Table_NFI[[#This Row],[Pcode]],CampList[CP_Pcode],0)-1,0,1,1))</f>
        <v>P4</v>
      </c>
      <c r="AQ318" s="438">
        <f>IFERROR(Table_NFI[[#This Row],[Kitchen Set]]/VLOOKUP(Table_NFI[[#This Row],[Camp Name]],CL,4,0),"")</f>
        <v>2.3255813953488372E-2</v>
      </c>
      <c r="AR318" s="779" t="s">
        <v>1099</v>
      </c>
      <c r="AS318" s="783"/>
    </row>
    <row r="319" spans="1:45" s="784" customFormat="1" x14ac:dyDescent="0.25">
      <c r="A319" s="455">
        <f t="shared" si="4"/>
        <v>22.6</v>
      </c>
      <c r="B319" s="778">
        <v>41631</v>
      </c>
      <c r="C319" s="779" t="s">
        <v>912</v>
      </c>
      <c r="D319" s="779" t="s">
        <v>462</v>
      </c>
      <c r="E319" s="779" t="s">
        <v>380</v>
      </c>
      <c r="F319" s="779" t="s">
        <v>310</v>
      </c>
      <c r="G319" s="779" t="s">
        <v>818</v>
      </c>
      <c r="H319" s="436"/>
      <c r="I319" s="436"/>
      <c r="J319" s="436"/>
      <c r="K319" s="436"/>
      <c r="L319" s="437"/>
      <c r="M319" s="437"/>
      <c r="N319" s="437"/>
      <c r="O319" s="437"/>
      <c r="P319" s="439"/>
      <c r="Q319" s="439"/>
      <c r="R319" s="436">
        <v>2</v>
      </c>
      <c r="S319" s="436">
        <v>111</v>
      </c>
      <c r="T319" s="436">
        <v>226</v>
      </c>
      <c r="U319" s="436">
        <v>113</v>
      </c>
      <c r="V319" s="436"/>
      <c r="W319" s="436">
        <f>IF(NFI_Expiration=1,IF($A319&lt;VLOOKUP(H$5,NFI,5,0),1,0)*Table_NFI[[#This Row],[Hygiene Kit]],Table_NFI[Hygiene Kit])</f>
        <v>0</v>
      </c>
      <c r="X319" s="436">
        <f>IF(NFI_Expiration=1,IF($A319&lt;VLOOKUP(I$5,NFI,5,0),1,0)*Table_NFI[[#This Row],[NFI Core Kit]],Table_NFI[NFI Core Kit])</f>
        <v>0</v>
      </c>
      <c r="Y319" s="436">
        <f>IF(NFI_Expiration=1,IF($A319&lt;VLOOKUP(J$5,NFI,5,0),1,0)*Table_NFI[[#This Row],[Sanitary Kit]],Table_NFI[Sanitary Kit])</f>
        <v>0</v>
      </c>
      <c r="Z319" s="436">
        <f>IF(NFI_Expiration=1,IF($A319&lt;VLOOKUP(K$5,NFI,5,0),1,0)*Table_NFI[[#This Row],[Mosquito net]],Table_NFI[Mosquito net])</f>
        <v>0</v>
      </c>
      <c r="AA319" s="436">
        <f>IF(NFI_Expiration=1,IF($A319&lt;VLOOKUP(L$5,NFI,5,0),1,0)*Table_NFI[[#This Row],[Tarpaulin]],Table_NFI[[#This Row],[Tarpaulin]])</f>
        <v>0</v>
      </c>
      <c r="AB319" s="436">
        <f>IF(NFI_Expiration=1,IF($A319&lt;VLOOKUP(M$5,NFI,5,0),1,0)*Table_NFI[[#This Row],[Blanket]],Table_NFI[[#This Row],[Blanket]])</f>
        <v>0</v>
      </c>
      <c r="AC319" s="436">
        <f>IF(NFI_Expiration=1,IF($A319&lt;VLOOKUP(N$5,NFI,5,0),1,0)*Table_NFI[[#This Row],[Kitchen Set]],Table_NFI[Kitchen Set])</f>
        <v>0</v>
      </c>
      <c r="AD319" s="436">
        <f>IF(NFI_Expiration=1,IF($A319&lt;VLOOKUP(O$5,NFI,5,0),1,0)*Table_NFI[[#This Row],[Clothes Kit]],Table_NFI[Clothes Kit])</f>
        <v>0</v>
      </c>
      <c r="AE319" s="436">
        <f>IF(NFI_Expiration=1,IF($A319&lt;VLOOKUP(P$5,NFI,5,0),1,0)*Table_NFI[[#This Row],[Plastic Bucket]],Table_NFI[Plastic Bucket])</f>
        <v>0</v>
      </c>
      <c r="AF319" s="436">
        <f>IF(NFI_Expiration=1,IF($A319&lt;VLOOKUP(Q$5,NFI,5,0),1,0)*Table_NFI[[#This Row],[Plastic Mat]],Table_NFI[Plastic Mat])*IF(Table_NFI[[#This Row],[Distribution Date]]&gt;"2014-04-01",1,2.5)</f>
        <v>0</v>
      </c>
      <c r="AG319" s="436">
        <f>IF(NFI_Expiration=1,IF($A319&lt;VLOOKUP(R$5,NFI,5,0),1,0)*Table_NFI[[#This Row],[Winter Clothes Adult]],Table_NFI[Winter Clothes Adult])</f>
        <v>0</v>
      </c>
      <c r="AH319" s="436">
        <f>IF(NFI_Expiration=1,IF($A319&lt;VLOOKUP(S$5,NFI,5,0),1,0)*Table_NFI[[#This Row],[Winter Clothes Children]],Table_NFI[Winter Clothes Children])</f>
        <v>0</v>
      </c>
      <c r="AI319" s="436">
        <f>IF(NFI_Expiration=1,IF($A319&lt;VLOOKUP(T$5,NFI,5,0),1,0)*Table_NFI[[#This Row],[Winter Items Other]],Table_NFI[Winter Items Other])</f>
        <v>0</v>
      </c>
      <c r="AJ319" s="436">
        <f>IF(NFI_Expiration=1,IF($A319&lt;VLOOKUP(M$5,NFI,5,0),1,0)*Table_NFI[[#This Row],[Winter Blanket]],Table_NFI[[#This Row],[Winter Blanket]])</f>
        <v>0</v>
      </c>
      <c r="AK319" s="436">
        <f>IF(Table_NFI[[#This Row],[Winter Clothes Adult]]+Table_NFI[[#This Row],[Winter Clothes Children]]+Table_NFI[[#This Row],[Winter Items Other]]+Table_NFI[[#This Row],[Winter Blanket]]&gt;0,1,0)</f>
        <v>1</v>
      </c>
      <c r="AL319" s="439">
        <f>IF(NFI_Expiration=1,IF($A319&lt;VLOOKUP(V$5,NFI,5,0),1,0)*Table_NFI[[#This Row],[Jerry Can]],Table_NFI[Jerry Can])</f>
        <v>0</v>
      </c>
      <c r="AM319" s="781" t="str">
        <f>IFERROR(VLOOKUP(Table_NFI[[#This Row],[Camp Name]],CL,2,0),"")</f>
        <v>MMR001CMP208</v>
      </c>
      <c r="AN319" s="782">
        <f ca="1">IF(Table_NFI[[#This Row],[Pcode]]="","",IF(OFFSET(CampList[Opening Date],MATCH(Table_NFI[[#This Row],[Pcode]],CampList[CP_Pcode],0)-1,0,1,1)&gt;=NFI_Monitor_Date,1,0))</f>
        <v>0</v>
      </c>
      <c r="AO319" s="781" t="str">
        <f>IFERROR(VLOOKUP(Table_NFI[[#This Row],[Camp Name]],CL,3,0),"")</f>
        <v>Open</v>
      </c>
      <c r="AP319" s="436" t="str">
        <f ca="1">IF(Table_NFI[[#This Row],[Pcode]]="","",OFFSET(CampList[Priority],MATCH(Table_NFI[[#This Row],[Pcode]],CampList[CP_Pcode],0)-1,0,1,1))</f>
        <v>P2</v>
      </c>
      <c r="AQ319" s="438" t="str">
        <f>IFERROR(Table_NFI[[#This Row],[Kitchen Set]]/VLOOKUP(Table_NFI[[#This Row],[Camp Name]],CL,4,0),"")</f>
        <v/>
      </c>
      <c r="AR319" s="779"/>
      <c r="AS319" s="783"/>
    </row>
    <row r="320" spans="1:45" s="784" customFormat="1" x14ac:dyDescent="0.25">
      <c r="A320" s="455">
        <f t="shared" si="4"/>
        <v>22.6</v>
      </c>
      <c r="B320" s="778">
        <v>41631</v>
      </c>
      <c r="C320" s="779" t="s">
        <v>912</v>
      </c>
      <c r="D320" s="779" t="s">
        <v>462</v>
      </c>
      <c r="E320" s="779" t="s">
        <v>380</v>
      </c>
      <c r="F320" s="779" t="s">
        <v>310</v>
      </c>
      <c r="G320" s="779" t="s">
        <v>318</v>
      </c>
      <c r="H320" s="436"/>
      <c r="I320" s="436"/>
      <c r="J320" s="436"/>
      <c r="K320" s="436"/>
      <c r="L320" s="437"/>
      <c r="M320" s="437"/>
      <c r="N320" s="437"/>
      <c r="O320" s="437"/>
      <c r="P320" s="439"/>
      <c r="Q320" s="439"/>
      <c r="R320" s="436">
        <v>59</v>
      </c>
      <c r="S320" s="436">
        <v>196</v>
      </c>
      <c r="T320" s="436">
        <v>510</v>
      </c>
      <c r="U320" s="436">
        <v>255</v>
      </c>
      <c r="V320" s="436"/>
      <c r="W320" s="436">
        <f>IF(NFI_Expiration=1,IF($A320&lt;VLOOKUP(H$5,NFI,5,0),1,0)*Table_NFI[[#This Row],[Hygiene Kit]],Table_NFI[Hygiene Kit])</f>
        <v>0</v>
      </c>
      <c r="X320" s="436">
        <f>IF(NFI_Expiration=1,IF($A320&lt;VLOOKUP(I$5,NFI,5,0),1,0)*Table_NFI[[#This Row],[NFI Core Kit]],Table_NFI[NFI Core Kit])</f>
        <v>0</v>
      </c>
      <c r="Y320" s="436">
        <f>IF(NFI_Expiration=1,IF($A320&lt;VLOOKUP(J$5,NFI,5,0),1,0)*Table_NFI[[#This Row],[Sanitary Kit]],Table_NFI[Sanitary Kit])</f>
        <v>0</v>
      </c>
      <c r="Z320" s="436">
        <f>IF(NFI_Expiration=1,IF($A320&lt;VLOOKUP(K$5,NFI,5,0),1,0)*Table_NFI[[#This Row],[Mosquito net]],Table_NFI[Mosquito net])</f>
        <v>0</v>
      </c>
      <c r="AA320" s="436">
        <f>IF(NFI_Expiration=1,IF($A320&lt;VLOOKUP(L$5,NFI,5,0),1,0)*Table_NFI[[#This Row],[Tarpaulin]],Table_NFI[[#This Row],[Tarpaulin]])</f>
        <v>0</v>
      </c>
      <c r="AB320" s="436">
        <f>IF(NFI_Expiration=1,IF($A320&lt;VLOOKUP(M$5,NFI,5,0),1,0)*Table_NFI[[#This Row],[Blanket]],Table_NFI[[#This Row],[Blanket]])</f>
        <v>0</v>
      </c>
      <c r="AC320" s="436">
        <f>IF(NFI_Expiration=1,IF($A320&lt;VLOOKUP(N$5,NFI,5,0),1,0)*Table_NFI[[#This Row],[Kitchen Set]],Table_NFI[Kitchen Set])</f>
        <v>0</v>
      </c>
      <c r="AD320" s="436">
        <f>IF(NFI_Expiration=1,IF($A320&lt;VLOOKUP(O$5,NFI,5,0),1,0)*Table_NFI[[#This Row],[Clothes Kit]],Table_NFI[Clothes Kit])</f>
        <v>0</v>
      </c>
      <c r="AE320" s="436">
        <f>IF(NFI_Expiration=1,IF($A320&lt;VLOOKUP(P$5,NFI,5,0),1,0)*Table_NFI[[#This Row],[Plastic Bucket]],Table_NFI[Plastic Bucket])</f>
        <v>0</v>
      </c>
      <c r="AF320" s="436">
        <f>IF(NFI_Expiration=1,IF($A320&lt;VLOOKUP(Q$5,NFI,5,0),1,0)*Table_NFI[[#This Row],[Plastic Mat]],Table_NFI[Plastic Mat])*IF(Table_NFI[[#This Row],[Distribution Date]]&gt;"2014-04-01",1,2.5)</f>
        <v>0</v>
      </c>
      <c r="AG320" s="436">
        <f>IF(NFI_Expiration=1,IF($A320&lt;VLOOKUP(R$5,NFI,5,0),1,0)*Table_NFI[[#This Row],[Winter Clothes Adult]],Table_NFI[Winter Clothes Adult])</f>
        <v>0</v>
      </c>
      <c r="AH320" s="436">
        <f>IF(NFI_Expiration=1,IF($A320&lt;VLOOKUP(S$5,NFI,5,0),1,0)*Table_NFI[[#This Row],[Winter Clothes Children]],Table_NFI[Winter Clothes Children])</f>
        <v>0</v>
      </c>
      <c r="AI320" s="436">
        <f>IF(NFI_Expiration=1,IF($A320&lt;VLOOKUP(T$5,NFI,5,0),1,0)*Table_NFI[[#This Row],[Winter Items Other]],Table_NFI[Winter Items Other])</f>
        <v>0</v>
      </c>
      <c r="AJ320" s="436">
        <f>IF(NFI_Expiration=1,IF($A320&lt;VLOOKUP(M$5,NFI,5,0),1,0)*Table_NFI[[#This Row],[Winter Blanket]],Table_NFI[[#This Row],[Winter Blanket]])</f>
        <v>0</v>
      </c>
      <c r="AK320" s="436">
        <f>IF(Table_NFI[[#This Row],[Winter Clothes Adult]]+Table_NFI[[#This Row],[Winter Clothes Children]]+Table_NFI[[#This Row],[Winter Items Other]]+Table_NFI[[#This Row],[Winter Blanket]]&gt;0,1,0)</f>
        <v>1</v>
      </c>
      <c r="AL320" s="439">
        <f>IF(NFI_Expiration=1,IF($A320&lt;VLOOKUP(V$5,NFI,5,0),1,0)*Table_NFI[[#This Row],[Jerry Can]],Table_NFI[Jerry Can])</f>
        <v>0</v>
      </c>
      <c r="AM320" s="781" t="str">
        <f>IFERROR(VLOOKUP(Table_NFI[[#This Row],[Camp Name]],CL,2,0),"")</f>
        <v>MMR001CMP032</v>
      </c>
      <c r="AN320" s="782">
        <f ca="1">IF(Table_NFI[[#This Row],[Pcode]]="","",IF(OFFSET(CampList[Opening Date],MATCH(Table_NFI[[#This Row],[Pcode]],CampList[CP_Pcode],0)-1,0,1,1)&gt;=NFI_Monitor_Date,1,0))</f>
        <v>0</v>
      </c>
      <c r="AO320" s="781" t="str">
        <f>IFERROR(VLOOKUP(Table_NFI[[#This Row],[Camp Name]],CL,3,0),"")</f>
        <v>Open</v>
      </c>
      <c r="AP320" s="436" t="str">
        <f ca="1">IF(Table_NFI[[#This Row],[Pcode]]="","",OFFSET(CampList[Priority],MATCH(Table_NFI[[#This Row],[Pcode]],CampList[CP_Pcode],0)-1,0,1,1))</f>
        <v>P4</v>
      </c>
      <c r="AQ320" s="438">
        <f>IFERROR(Table_NFI[[#This Row],[Kitchen Set]]/VLOOKUP(Table_NFI[[#This Row],[Camp Name]],CL,4,0),"")</f>
        <v>0</v>
      </c>
      <c r="AR320" s="779"/>
      <c r="AS320" s="783"/>
    </row>
    <row r="321" spans="1:45" s="784" customFormat="1" x14ac:dyDescent="0.25">
      <c r="A321" s="455">
        <f t="shared" si="4"/>
        <v>22.666666666666668</v>
      </c>
      <c r="B321" s="778">
        <v>41629</v>
      </c>
      <c r="C321" s="779" t="s">
        <v>912</v>
      </c>
      <c r="D321" s="779" t="s">
        <v>462</v>
      </c>
      <c r="E321" s="779" t="s">
        <v>380</v>
      </c>
      <c r="F321" s="779" t="s">
        <v>310</v>
      </c>
      <c r="G321" s="779" t="s">
        <v>349</v>
      </c>
      <c r="H321" s="436"/>
      <c r="I321" s="436"/>
      <c r="J321" s="436"/>
      <c r="K321" s="436"/>
      <c r="L321" s="437"/>
      <c r="M321" s="437"/>
      <c r="N321" s="437"/>
      <c r="O321" s="437"/>
      <c r="P321" s="439"/>
      <c r="Q321" s="439"/>
      <c r="R321" s="436">
        <v>75</v>
      </c>
      <c r="S321" s="436">
        <v>139</v>
      </c>
      <c r="T321" s="436">
        <v>428</v>
      </c>
      <c r="U321" s="436">
        <v>214</v>
      </c>
      <c r="V321" s="436"/>
      <c r="W321" s="436">
        <f>IF(NFI_Expiration=1,IF($A321&lt;VLOOKUP(H$5,NFI,5,0),1,0)*Table_NFI[[#This Row],[Hygiene Kit]],Table_NFI[Hygiene Kit])</f>
        <v>0</v>
      </c>
      <c r="X321" s="436">
        <f>IF(NFI_Expiration=1,IF($A321&lt;VLOOKUP(I$5,NFI,5,0),1,0)*Table_NFI[[#This Row],[NFI Core Kit]],Table_NFI[NFI Core Kit])</f>
        <v>0</v>
      </c>
      <c r="Y321" s="436">
        <f>IF(NFI_Expiration=1,IF($A321&lt;VLOOKUP(J$5,NFI,5,0),1,0)*Table_NFI[[#This Row],[Sanitary Kit]],Table_NFI[Sanitary Kit])</f>
        <v>0</v>
      </c>
      <c r="Z321" s="436">
        <f>IF(NFI_Expiration=1,IF($A321&lt;VLOOKUP(K$5,NFI,5,0),1,0)*Table_NFI[[#This Row],[Mosquito net]],Table_NFI[Mosquito net])</f>
        <v>0</v>
      </c>
      <c r="AA321" s="436">
        <f>IF(NFI_Expiration=1,IF($A321&lt;VLOOKUP(L$5,NFI,5,0),1,0)*Table_NFI[[#This Row],[Tarpaulin]],Table_NFI[[#This Row],[Tarpaulin]])</f>
        <v>0</v>
      </c>
      <c r="AB321" s="436">
        <f>IF(NFI_Expiration=1,IF($A321&lt;VLOOKUP(M$5,NFI,5,0),1,0)*Table_NFI[[#This Row],[Blanket]],Table_NFI[[#This Row],[Blanket]])</f>
        <v>0</v>
      </c>
      <c r="AC321" s="436">
        <f>IF(NFI_Expiration=1,IF($A321&lt;VLOOKUP(N$5,NFI,5,0),1,0)*Table_NFI[[#This Row],[Kitchen Set]],Table_NFI[Kitchen Set])</f>
        <v>0</v>
      </c>
      <c r="AD321" s="436">
        <f>IF(NFI_Expiration=1,IF($A321&lt;VLOOKUP(O$5,NFI,5,0),1,0)*Table_NFI[[#This Row],[Clothes Kit]],Table_NFI[Clothes Kit])</f>
        <v>0</v>
      </c>
      <c r="AE321" s="436">
        <f>IF(NFI_Expiration=1,IF($A321&lt;VLOOKUP(P$5,NFI,5,0),1,0)*Table_NFI[[#This Row],[Plastic Bucket]],Table_NFI[Plastic Bucket])</f>
        <v>0</v>
      </c>
      <c r="AF321" s="436">
        <f>IF(NFI_Expiration=1,IF($A321&lt;VLOOKUP(Q$5,NFI,5,0),1,0)*Table_NFI[[#This Row],[Plastic Mat]],Table_NFI[Plastic Mat])*IF(Table_NFI[[#This Row],[Distribution Date]]&gt;"2014-04-01",1,2.5)</f>
        <v>0</v>
      </c>
      <c r="AG321" s="436">
        <f>IF(NFI_Expiration=1,IF($A321&lt;VLOOKUP(R$5,NFI,5,0),1,0)*Table_NFI[[#This Row],[Winter Clothes Adult]],Table_NFI[Winter Clothes Adult])</f>
        <v>0</v>
      </c>
      <c r="AH321" s="436">
        <f>IF(NFI_Expiration=1,IF($A321&lt;VLOOKUP(S$5,NFI,5,0),1,0)*Table_NFI[[#This Row],[Winter Clothes Children]],Table_NFI[Winter Clothes Children])</f>
        <v>0</v>
      </c>
      <c r="AI321" s="436">
        <f>IF(NFI_Expiration=1,IF($A321&lt;VLOOKUP(T$5,NFI,5,0),1,0)*Table_NFI[[#This Row],[Winter Items Other]],Table_NFI[Winter Items Other])</f>
        <v>0</v>
      </c>
      <c r="AJ321" s="436">
        <f>IF(NFI_Expiration=1,IF($A321&lt;VLOOKUP(M$5,NFI,5,0),1,0)*Table_NFI[[#This Row],[Winter Blanket]],Table_NFI[[#This Row],[Winter Blanket]])</f>
        <v>0</v>
      </c>
      <c r="AK321" s="436">
        <f>IF(Table_NFI[[#This Row],[Winter Clothes Adult]]+Table_NFI[[#This Row],[Winter Clothes Children]]+Table_NFI[[#This Row],[Winter Items Other]]+Table_NFI[[#This Row],[Winter Blanket]]&gt;0,1,0)</f>
        <v>1</v>
      </c>
      <c r="AL321" s="439">
        <f>IF(NFI_Expiration=1,IF($A321&lt;VLOOKUP(V$5,NFI,5,0),1,0)*Table_NFI[[#This Row],[Jerry Can]],Table_NFI[Jerry Can])</f>
        <v>0</v>
      </c>
      <c r="AM321" s="781" t="str">
        <f>IFERROR(VLOOKUP(Table_NFI[[#This Row],[Camp Name]],CL,2,0),"")</f>
        <v>MMR001CMP037</v>
      </c>
      <c r="AN321" s="782">
        <f ca="1">IF(Table_NFI[[#This Row],[Pcode]]="","",IF(OFFSET(CampList[Opening Date],MATCH(Table_NFI[[#This Row],[Pcode]],CampList[CP_Pcode],0)-1,0,1,1)&gt;=NFI_Monitor_Date,1,0))</f>
        <v>0</v>
      </c>
      <c r="AO321" s="781" t="str">
        <f>IFERROR(VLOOKUP(Table_NFI[[#This Row],[Camp Name]],CL,3,0),"")</f>
        <v>Open</v>
      </c>
      <c r="AP321" s="436" t="str">
        <f ca="1">IF(Table_NFI[[#This Row],[Pcode]]="","",OFFSET(CampList[Priority],MATCH(Table_NFI[[#This Row],[Pcode]],CampList[CP_Pcode],0)-1,0,1,1))</f>
        <v>P4</v>
      </c>
      <c r="AQ321" s="438">
        <f>IFERROR(Table_NFI[[#This Row],[Kitchen Set]]/VLOOKUP(Table_NFI[[#This Row],[Camp Name]],CL,4,0),"")</f>
        <v>0</v>
      </c>
      <c r="AR321" s="779"/>
      <c r="AS321" s="783"/>
    </row>
    <row r="322" spans="1:45" s="784" customFormat="1" x14ac:dyDescent="0.25">
      <c r="A322" s="455">
        <f t="shared" si="4"/>
        <v>22.7</v>
      </c>
      <c r="B322" s="778">
        <v>41628</v>
      </c>
      <c r="C322" s="779" t="s">
        <v>912</v>
      </c>
      <c r="D322" s="779" t="s">
        <v>462</v>
      </c>
      <c r="E322" s="779" t="s">
        <v>380</v>
      </c>
      <c r="F322" s="779" t="s">
        <v>310</v>
      </c>
      <c r="G322" s="779" t="s">
        <v>328</v>
      </c>
      <c r="H322" s="436"/>
      <c r="I322" s="436"/>
      <c r="J322" s="436"/>
      <c r="K322" s="436"/>
      <c r="L322" s="437"/>
      <c r="M322" s="437"/>
      <c r="N322" s="437"/>
      <c r="O322" s="437"/>
      <c r="P322" s="439"/>
      <c r="Q322" s="439"/>
      <c r="R322" s="436">
        <v>141</v>
      </c>
      <c r="S322" s="436">
        <v>265</v>
      </c>
      <c r="T322" s="436">
        <v>812</v>
      </c>
      <c r="U322" s="436">
        <v>406</v>
      </c>
      <c r="V322" s="436"/>
      <c r="W322" s="436">
        <f>IF(NFI_Expiration=1,IF($A322&lt;VLOOKUP(H$5,NFI,5,0),1,0)*Table_NFI[[#This Row],[Hygiene Kit]],Table_NFI[Hygiene Kit])</f>
        <v>0</v>
      </c>
      <c r="X322" s="436">
        <f>IF(NFI_Expiration=1,IF($A322&lt;VLOOKUP(I$5,NFI,5,0),1,0)*Table_NFI[[#This Row],[NFI Core Kit]],Table_NFI[NFI Core Kit])</f>
        <v>0</v>
      </c>
      <c r="Y322" s="436">
        <f>IF(NFI_Expiration=1,IF($A322&lt;VLOOKUP(J$5,NFI,5,0),1,0)*Table_NFI[[#This Row],[Sanitary Kit]],Table_NFI[Sanitary Kit])</f>
        <v>0</v>
      </c>
      <c r="Z322" s="436">
        <f>IF(NFI_Expiration=1,IF($A322&lt;VLOOKUP(K$5,NFI,5,0),1,0)*Table_NFI[[#This Row],[Mosquito net]],Table_NFI[Mosquito net])</f>
        <v>0</v>
      </c>
      <c r="AA322" s="436">
        <f>IF(NFI_Expiration=1,IF($A322&lt;VLOOKUP(L$5,NFI,5,0),1,0)*Table_NFI[[#This Row],[Tarpaulin]],Table_NFI[[#This Row],[Tarpaulin]])</f>
        <v>0</v>
      </c>
      <c r="AB322" s="436">
        <f>IF(NFI_Expiration=1,IF($A322&lt;VLOOKUP(M$5,NFI,5,0),1,0)*Table_NFI[[#This Row],[Blanket]],Table_NFI[[#This Row],[Blanket]])</f>
        <v>0</v>
      </c>
      <c r="AC322" s="436">
        <f>IF(NFI_Expiration=1,IF($A322&lt;VLOOKUP(N$5,NFI,5,0),1,0)*Table_NFI[[#This Row],[Kitchen Set]],Table_NFI[Kitchen Set])</f>
        <v>0</v>
      </c>
      <c r="AD322" s="436">
        <f>IF(NFI_Expiration=1,IF($A322&lt;VLOOKUP(O$5,NFI,5,0),1,0)*Table_NFI[[#This Row],[Clothes Kit]],Table_NFI[Clothes Kit])</f>
        <v>0</v>
      </c>
      <c r="AE322" s="436">
        <f>IF(NFI_Expiration=1,IF($A322&lt;VLOOKUP(P$5,NFI,5,0),1,0)*Table_NFI[[#This Row],[Plastic Bucket]],Table_NFI[Plastic Bucket])</f>
        <v>0</v>
      </c>
      <c r="AF322" s="436">
        <f>IF(NFI_Expiration=1,IF($A322&lt;VLOOKUP(Q$5,NFI,5,0),1,0)*Table_NFI[[#This Row],[Plastic Mat]],Table_NFI[Plastic Mat])*IF(Table_NFI[[#This Row],[Distribution Date]]&gt;"2014-04-01",1,2.5)</f>
        <v>0</v>
      </c>
      <c r="AG322" s="436">
        <f>IF(NFI_Expiration=1,IF($A322&lt;VLOOKUP(R$5,NFI,5,0),1,0)*Table_NFI[[#This Row],[Winter Clothes Adult]],Table_NFI[Winter Clothes Adult])</f>
        <v>0</v>
      </c>
      <c r="AH322" s="436">
        <f>IF(NFI_Expiration=1,IF($A322&lt;VLOOKUP(S$5,NFI,5,0),1,0)*Table_NFI[[#This Row],[Winter Clothes Children]],Table_NFI[Winter Clothes Children])</f>
        <v>0</v>
      </c>
      <c r="AI322" s="436">
        <f>IF(NFI_Expiration=1,IF($A322&lt;VLOOKUP(T$5,NFI,5,0),1,0)*Table_NFI[[#This Row],[Winter Items Other]],Table_NFI[Winter Items Other])</f>
        <v>0</v>
      </c>
      <c r="AJ322" s="436">
        <f>IF(NFI_Expiration=1,IF($A322&lt;VLOOKUP(M$5,NFI,5,0),1,0)*Table_NFI[[#This Row],[Winter Blanket]],Table_NFI[[#This Row],[Winter Blanket]])</f>
        <v>0</v>
      </c>
      <c r="AK322" s="436">
        <f>IF(Table_NFI[[#This Row],[Winter Clothes Adult]]+Table_NFI[[#This Row],[Winter Clothes Children]]+Table_NFI[[#This Row],[Winter Items Other]]+Table_NFI[[#This Row],[Winter Blanket]]&gt;0,1,0)</f>
        <v>1</v>
      </c>
      <c r="AL322" s="439">
        <f>IF(NFI_Expiration=1,IF($A322&lt;VLOOKUP(V$5,NFI,5,0),1,0)*Table_NFI[[#This Row],[Jerry Can]],Table_NFI[Jerry Can])</f>
        <v>0</v>
      </c>
      <c r="AM322" s="781" t="str">
        <f>IFERROR(VLOOKUP(Table_NFI[[#This Row],[Camp Name]],CL,2,0),"")</f>
        <v>MMR001CMP031</v>
      </c>
      <c r="AN322" s="782">
        <f ca="1">IF(Table_NFI[[#This Row],[Pcode]]="","",IF(OFFSET(CampList[Opening Date],MATCH(Table_NFI[[#This Row],[Pcode]],CampList[CP_Pcode],0)-1,0,1,1)&gt;=NFI_Monitor_Date,1,0))</f>
        <v>0</v>
      </c>
      <c r="AO322" s="781" t="str">
        <f>IFERROR(VLOOKUP(Table_NFI[[#This Row],[Camp Name]],CL,3,0),"")</f>
        <v>Open</v>
      </c>
      <c r="AP322" s="436" t="str">
        <f ca="1">IF(Table_NFI[[#This Row],[Pcode]]="","",OFFSET(CampList[Priority],MATCH(Table_NFI[[#This Row],[Pcode]],CampList[CP_Pcode],0)-1,0,1,1))</f>
        <v>P4</v>
      </c>
      <c r="AQ322" s="438">
        <f>IFERROR(Table_NFI[[#This Row],[Kitchen Set]]/VLOOKUP(Table_NFI[[#This Row],[Camp Name]],CL,4,0),"")</f>
        <v>0</v>
      </c>
      <c r="AR322" s="779"/>
      <c r="AS322" s="783"/>
    </row>
    <row r="323" spans="1:45" s="784" customFormat="1" x14ac:dyDescent="0.25">
      <c r="A323" s="455">
        <f t="shared" si="4"/>
        <v>22.7</v>
      </c>
      <c r="B323" s="778">
        <v>41628</v>
      </c>
      <c r="C323" s="779" t="s">
        <v>912</v>
      </c>
      <c r="D323" s="779" t="s">
        <v>462</v>
      </c>
      <c r="E323" s="779" t="s">
        <v>380</v>
      </c>
      <c r="F323" s="779" t="s">
        <v>310</v>
      </c>
      <c r="G323" s="779" t="s">
        <v>326</v>
      </c>
      <c r="H323" s="436"/>
      <c r="I323" s="436"/>
      <c r="J323" s="436"/>
      <c r="K323" s="436"/>
      <c r="L323" s="437"/>
      <c r="M323" s="437"/>
      <c r="N323" s="437"/>
      <c r="O323" s="437"/>
      <c r="P323" s="439"/>
      <c r="Q323" s="439"/>
      <c r="R323" s="436">
        <v>47</v>
      </c>
      <c r="S323" s="436">
        <v>85</v>
      </c>
      <c r="T323" s="436">
        <v>264</v>
      </c>
      <c r="U323" s="436">
        <v>132</v>
      </c>
      <c r="V323" s="436"/>
      <c r="W323" s="436">
        <f>IF(NFI_Expiration=1,IF($A323&lt;VLOOKUP(H$5,NFI,5,0),1,0)*Table_NFI[[#This Row],[Hygiene Kit]],Table_NFI[Hygiene Kit])</f>
        <v>0</v>
      </c>
      <c r="X323" s="436">
        <f>IF(NFI_Expiration=1,IF($A323&lt;VLOOKUP(I$5,NFI,5,0),1,0)*Table_NFI[[#This Row],[NFI Core Kit]],Table_NFI[NFI Core Kit])</f>
        <v>0</v>
      </c>
      <c r="Y323" s="436">
        <f>IF(NFI_Expiration=1,IF($A323&lt;VLOOKUP(J$5,NFI,5,0),1,0)*Table_NFI[[#This Row],[Sanitary Kit]],Table_NFI[Sanitary Kit])</f>
        <v>0</v>
      </c>
      <c r="Z323" s="436">
        <f>IF(NFI_Expiration=1,IF($A323&lt;VLOOKUP(K$5,NFI,5,0),1,0)*Table_NFI[[#This Row],[Mosquito net]],Table_NFI[Mosquito net])</f>
        <v>0</v>
      </c>
      <c r="AA323" s="436">
        <f>IF(NFI_Expiration=1,IF($A323&lt;VLOOKUP(L$5,NFI,5,0),1,0)*Table_NFI[[#This Row],[Tarpaulin]],Table_NFI[[#This Row],[Tarpaulin]])</f>
        <v>0</v>
      </c>
      <c r="AB323" s="436">
        <f>IF(NFI_Expiration=1,IF($A323&lt;VLOOKUP(M$5,NFI,5,0),1,0)*Table_NFI[[#This Row],[Blanket]],Table_NFI[[#This Row],[Blanket]])</f>
        <v>0</v>
      </c>
      <c r="AC323" s="436">
        <f>IF(NFI_Expiration=1,IF($A323&lt;VLOOKUP(N$5,NFI,5,0),1,0)*Table_NFI[[#This Row],[Kitchen Set]],Table_NFI[Kitchen Set])</f>
        <v>0</v>
      </c>
      <c r="AD323" s="436">
        <f>IF(NFI_Expiration=1,IF($A323&lt;VLOOKUP(O$5,NFI,5,0),1,0)*Table_NFI[[#This Row],[Clothes Kit]],Table_NFI[Clothes Kit])</f>
        <v>0</v>
      </c>
      <c r="AE323" s="436">
        <f>IF(NFI_Expiration=1,IF($A323&lt;VLOOKUP(P$5,NFI,5,0),1,0)*Table_NFI[[#This Row],[Plastic Bucket]],Table_NFI[Plastic Bucket])</f>
        <v>0</v>
      </c>
      <c r="AF323" s="436">
        <f>IF(NFI_Expiration=1,IF($A323&lt;VLOOKUP(Q$5,NFI,5,0),1,0)*Table_NFI[[#This Row],[Plastic Mat]],Table_NFI[Plastic Mat])*IF(Table_NFI[[#This Row],[Distribution Date]]&gt;"2014-04-01",1,2.5)</f>
        <v>0</v>
      </c>
      <c r="AG323" s="436">
        <f>IF(NFI_Expiration=1,IF($A323&lt;VLOOKUP(R$5,NFI,5,0),1,0)*Table_NFI[[#This Row],[Winter Clothes Adult]],Table_NFI[Winter Clothes Adult])</f>
        <v>0</v>
      </c>
      <c r="AH323" s="436">
        <f>IF(NFI_Expiration=1,IF($A323&lt;VLOOKUP(S$5,NFI,5,0),1,0)*Table_NFI[[#This Row],[Winter Clothes Children]],Table_NFI[Winter Clothes Children])</f>
        <v>0</v>
      </c>
      <c r="AI323" s="436">
        <f>IF(NFI_Expiration=1,IF($A323&lt;VLOOKUP(T$5,NFI,5,0),1,0)*Table_NFI[[#This Row],[Winter Items Other]],Table_NFI[Winter Items Other])</f>
        <v>0</v>
      </c>
      <c r="AJ323" s="436">
        <f>IF(NFI_Expiration=1,IF($A323&lt;VLOOKUP(M$5,NFI,5,0),1,0)*Table_NFI[[#This Row],[Winter Blanket]],Table_NFI[[#This Row],[Winter Blanket]])</f>
        <v>0</v>
      </c>
      <c r="AK323" s="436">
        <f>IF(Table_NFI[[#This Row],[Winter Clothes Adult]]+Table_NFI[[#This Row],[Winter Clothes Children]]+Table_NFI[[#This Row],[Winter Items Other]]+Table_NFI[[#This Row],[Winter Blanket]]&gt;0,1,0)</f>
        <v>1</v>
      </c>
      <c r="AL323" s="439">
        <f>IF(NFI_Expiration=1,IF($A323&lt;VLOOKUP(V$5,NFI,5,0),1,0)*Table_NFI[[#This Row],[Jerry Can]],Table_NFI[Jerry Can])</f>
        <v>0</v>
      </c>
      <c r="AM323" s="781" t="str">
        <f>IFERROR(VLOOKUP(Table_NFI[[#This Row],[Camp Name]],CL,2,0),"")</f>
        <v>MMR001CMP039</v>
      </c>
      <c r="AN323" s="782">
        <f ca="1">IF(Table_NFI[[#This Row],[Pcode]]="","",IF(OFFSET(CampList[Opening Date],MATCH(Table_NFI[[#This Row],[Pcode]],CampList[CP_Pcode],0)-1,0,1,1)&gt;=NFI_Monitor_Date,1,0))</f>
        <v>0</v>
      </c>
      <c r="AO323" s="781" t="str">
        <f>IFERROR(VLOOKUP(Table_NFI[[#This Row],[Camp Name]],CL,3,0),"")</f>
        <v>Open</v>
      </c>
      <c r="AP323" s="436" t="str">
        <f ca="1">IF(Table_NFI[[#This Row],[Pcode]]="","",OFFSET(CampList[Priority],MATCH(Table_NFI[[#This Row],[Pcode]],CampList[CP_Pcode],0)-1,0,1,1))</f>
        <v>P4</v>
      </c>
      <c r="AQ323" s="438">
        <f>IFERROR(Table_NFI[[#This Row],[Kitchen Set]]/VLOOKUP(Table_NFI[[#This Row],[Camp Name]],CL,4,0),"")</f>
        <v>0</v>
      </c>
      <c r="AR323" s="779"/>
      <c r="AS323" s="783"/>
    </row>
    <row r="324" spans="1:45" s="784" customFormat="1" x14ac:dyDescent="0.25">
      <c r="A324" s="455">
        <f t="shared" si="4"/>
        <v>22.7</v>
      </c>
      <c r="B324" s="778">
        <v>41628</v>
      </c>
      <c r="C324" s="779" t="s">
        <v>912</v>
      </c>
      <c r="D324" s="779" t="s">
        <v>462</v>
      </c>
      <c r="E324" s="779" t="s">
        <v>380</v>
      </c>
      <c r="F324" s="779" t="s">
        <v>310</v>
      </c>
      <c r="G324" s="779" t="s">
        <v>351</v>
      </c>
      <c r="H324" s="436"/>
      <c r="I324" s="436"/>
      <c r="J324" s="436"/>
      <c r="K324" s="436"/>
      <c r="L324" s="437"/>
      <c r="M324" s="437"/>
      <c r="N324" s="437"/>
      <c r="O324" s="437"/>
      <c r="P324" s="439"/>
      <c r="Q324" s="439"/>
      <c r="R324" s="436">
        <v>102</v>
      </c>
      <c r="S324" s="436">
        <v>188</v>
      </c>
      <c r="T324" s="436">
        <v>580</v>
      </c>
      <c r="U324" s="436">
        <v>290</v>
      </c>
      <c r="V324" s="436"/>
      <c r="W324" s="436">
        <f>IF(NFI_Expiration=1,IF($A324&lt;VLOOKUP(H$5,NFI,5,0),1,0)*Table_NFI[[#This Row],[Hygiene Kit]],Table_NFI[Hygiene Kit])</f>
        <v>0</v>
      </c>
      <c r="X324" s="436">
        <f>IF(NFI_Expiration=1,IF($A324&lt;VLOOKUP(I$5,NFI,5,0),1,0)*Table_NFI[[#This Row],[NFI Core Kit]],Table_NFI[NFI Core Kit])</f>
        <v>0</v>
      </c>
      <c r="Y324" s="436">
        <f>IF(NFI_Expiration=1,IF($A324&lt;VLOOKUP(J$5,NFI,5,0),1,0)*Table_NFI[[#This Row],[Sanitary Kit]],Table_NFI[Sanitary Kit])</f>
        <v>0</v>
      </c>
      <c r="Z324" s="436">
        <f>IF(NFI_Expiration=1,IF($A324&lt;VLOOKUP(K$5,NFI,5,0),1,0)*Table_NFI[[#This Row],[Mosquito net]],Table_NFI[Mosquito net])</f>
        <v>0</v>
      </c>
      <c r="AA324" s="436">
        <f>IF(NFI_Expiration=1,IF($A324&lt;VLOOKUP(L$5,NFI,5,0),1,0)*Table_NFI[[#This Row],[Tarpaulin]],Table_NFI[[#This Row],[Tarpaulin]])</f>
        <v>0</v>
      </c>
      <c r="AB324" s="436">
        <f>IF(NFI_Expiration=1,IF($A324&lt;VLOOKUP(M$5,NFI,5,0),1,0)*Table_NFI[[#This Row],[Blanket]],Table_NFI[[#This Row],[Blanket]])</f>
        <v>0</v>
      </c>
      <c r="AC324" s="436">
        <f>IF(NFI_Expiration=1,IF($A324&lt;VLOOKUP(N$5,NFI,5,0),1,0)*Table_NFI[[#This Row],[Kitchen Set]],Table_NFI[Kitchen Set])</f>
        <v>0</v>
      </c>
      <c r="AD324" s="436">
        <f>IF(NFI_Expiration=1,IF($A324&lt;VLOOKUP(O$5,NFI,5,0),1,0)*Table_NFI[[#This Row],[Clothes Kit]],Table_NFI[Clothes Kit])</f>
        <v>0</v>
      </c>
      <c r="AE324" s="436">
        <f>IF(NFI_Expiration=1,IF($A324&lt;VLOOKUP(P$5,NFI,5,0),1,0)*Table_NFI[[#This Row],[Plastic Bucket]],Table_NFI[Plastic Bucket])</f>
        <v>0</v>
      </c>
      <c r="AF324" s="436">
        <f>IF(NFI_Expiration=1,IF($A324&lt;VLOOKUP(Q$5,NFI,5,0),1,0)*Table_NFI[[#This Row],[Plastic Mat]],Table_NFI[Plastic Mat])*IF(Table_NFI[[#This Row],[Distribution Date]]&gt;"2014-04-01",1,2.5)</f>
        <v>0</v>
      </c>
      <c r="AG324" s="436">
        <f>IF(NFI_Expiration=1,IF($A324&lt;VLOOKUP(R$5,NFI,5,0),1,0)*Table_NFI[[#This Row],[Winter Clothes Adult]],Table_NFI[Winter Clothes Adult])</f>
        <v>0</v>
      </c>
      <c r="AH324" s="436">
        <f>IF(NFI_Expiration=1,IF($A324&lt;VLOOKUP(S$5,NFI,5,0),1,0)*Table_NFI[[#This Row],[Winter Clothes Children]],Table_NFI[Winter Clothes Children])</f>
        <v>0</v>
      </c>
      <c r="AI324" s="436">
        <f>IF(NFI_Expiration=1,IF($A324&lt;VLOOKUP(T$5,NFI,5,0),1,0)*Table_NFI[[#This Row],[Winter Items Other]],Table_NFI[Winter Items Other])</f>
        <v>0</v>
      </c>
      <c r="AJ324" s="436">
        <f>IF(NFI_Expiration=1,IF($A324&lt;VLOOKUP(M$5,NFI,5,0),1,0)*Table_NFI[[#This Row],[Winter Blanket]],Table_NFI[[#This Row],[Winter Blanket]])</f>
        <v>0</v>
      </c>
      <c r="AK324" s="436">
        <f>IF(Table_NFI[[#This Row],[Winter Clothes Adult]]+Table_NFI[[#This Row],[Winter Clothes Children]]+Table_NFI[[#This Row],[Winter Items Other]]+Table_NFI[[#This Row],[Winter Blanket]]&gt;0,1,0)</f>
        <v>1</v>
      </c>
      <c r="AL324" s="439">
        <f>IF(NFI_Expiration=1,IF($A324&lt;VLOOKUP(V$5,NFI,5,0),1,0)*Table_NFI[[#This Row],[Jerry Can]],Table_NFI[Jerry Can])</f>
        <v>0</v>
      </c>
      <c r="AM324" s="781" t="str">
        <f>IFERROR(VLOOKUP(Table_NFI[[#This Row],[Camp Name]],CL,2,0),"")</f>
        <v>MMR001CMP026</v>
      </c>
      <c r="AN324" s="782">
        <f ca="1">IF(Table_NFI[[#This Row],[Pcode]]="","",IF(OFFSET(CampList[Opening Date],MATCH(Table_NFI[[#This Row],[Pcode]],CampList[CP_Pcode],0)-1,0,1,1)&gt;=NFI_Monitor_Date,1,0))</f>
        <v>0</v>
      </c>
      <c r="AO324" s="781" t="str">
        <f>IFERROR(VLOOKUP(Table_NFI[[#This Row],[Camp Name]],CL,3,0),"")</f>
        <v>Open</v>
      </c>
      <c r="AP324" s="436" t="str">
        <f ca="1">IF(Table_NFI[[#This Row],[Pcode]]="","",OFFSET(CampList[Priority],MATCH(Table_NFI[[#This Row],[Pcode]],CampList[CP_Pcode],0)-1,0,1,1))</f>
        <v>P4</v>
      </c>
      <c r="AQ324" s="438">
        <f>IFERROR(Table_NFI[[#This Row],[Kitchen Set]]/VLOOKUP(Table_NFI[[#This Row],[Camp Name]],CL,4,0),"")</f>
        <v>0</v>
      </c>
      <c r="AR324" s="779"/>
      <c r="AS324" s="783"/>
    </row>
    <row r="325" spans="1:45" s="784" customFormat="1" x14ac:dyDescent="0.25">
      <c r="A325" s="455">
        <f t="shared" si="4"/>
        <v>22.733333333333334</v>
      </c>
      <c r="B325" s="778">
        <v>41627</v>
      </c>
      <c r="C325" s="779" t="s">
        <v>912</v>
      </c>
      <c r="D325" s="779" t="s">
        <v>462</v>
      </c>
      <c r="E325" s="779" t="s">
        <v>380</v>
      </c>
      <c r="F325" s="779" t="s">
        <v>310</v>
      </c>
      <c r="G325" s="779" t="s">
        <v>324</v>
      </c>
      <c r="H325" s="436"/>
      <c r="I325" s="436"/>
      <c r="J325" s="436"/>
      <c r="K325" s="436"/>
      <c r="L325" s="437"/>
      <c r="M325" s="437"/>
      <c r="N325" s="437"/>
      <c r="O325" s="437"/>
      <c r="P325" s="439"/>
      <c r="Q325" s="439"/>
      <c r="R325" s="436">
        <v>414</v>
      </c>
      <c r="S325" s="436">
        <v>764</v>
      </c>
      <c r="T325" s="436">
        <v>2356</v>
      </c>
      <c r="U325" s="436">
        <v>1178</v>
      </c>
      <c r="V325" s="436"/>
      <c r="W325" s="436">
        <f>IF(NFI_Expiration=1,IF($A325&lt;VLOOKUP(H$5,NFI,5,0),1,0)*Table_NFI[[#This Row],[Hygiene Kit]],Table_NFI[Hygiene Kit])</f>
        <v>0</v>
      </c>
      <c r="X325" s="436">
        <f>IF(NFI_Expiration=1,IF($A325&lt;VLOOKUP(I$5,NFI,5,0),1,0)*Table_NFI[[#This Row],[NFI Core Kit]],Table_NFI[NFI Core Kit])</f>
        <v>0</v>
      </c>
      <c r="Y325" s="436">
        <f>IF(NFI_Expiration=1,IF($A325&lt;VLOOKUP(J$5,NFI,5,0),1,0)*Table_NFI[[#This Row],[Sanitary Kit]],Table_NFI[Sanitary Kit])</f>
        <v>0</v>
      </c>
      <c r="Z325" s="436">
        <f>IF(NFI_Expiration=1,IF($A325&lt;VLOOKUP(K$5,NFI,5,0),1,0)*Table_NFI[[#This Row],[Mosquito net]],Table_NFI[Mosquito net])</f>
        <v>0</v>
      </c>
      <c r="AA325" s="436">
        <f>IF(NFI_Expiration=1,IF($A325&lt;VLOOKUP(L$5,NFI,5,0),1,0)*Table_NFI[[#This Row],[Tarpaulin]],Table_NFI[[#This Row],[Tarpaulin]])</f>
        <v>0</v>
      </c>
      <c r="AB325" s="436">
        <f>IF(NFI_Expiration=1,IF($A325&lt;VLOOKUP(M$5,NFI,5,0),1,0)*Table_NFI[[#This Row],[Blanket]],Table_NFI[[#This Row],[Blanket]])</f>
        <v>0</v>
      </c>
      <c r="AC325" s="436">
        <f>IF(NFI_Expiration=1,IF($A325&lt;VLOOKUP(N$5,NFI,5,0),1,0)*Table_NFI[[#This Row],[Kitchen Set]],Table_NFI[Kitchen Set])</f>
        <v>0</v>
      </c>
      <c r="AD325" s="436">
        <f>IF(NFI_Expiration=1,IF($A325&lt;VLOOKUP(O$5,NFI,5,0),1,0)*Table_NFI[[#This Row],[Clothes Kit]],Table_NFI[Clothes Kit])</f>
        <v>0</v>
      </c>
      <c r="AE325" s="436">
        <f>IF(NFI_Expiration=1,IF($A325&lt;VLOOKUP(P$5,NFI,5,0),1,0)*Table_NFI[[#This Row],[Plastic Bucket]],Table_NFI[Plastic Bucket])</f>
        <v>0</v>
      </c>
      <c r="AF325" s="436">
        <f>IF(NFI_Expiration=1,IF($A325&lt;VLOOKUP(Q$5,NFI,5,0),1,0)*Table_NFI[[#This Row],[Plastic Mat]],Table_NFI[Plastic Mat])*IF(Table_NFI[[#This Row],[Distribution Date]]&gt;"2014-04-01",1,2.5)</f>
        <v>0</v>
      </c>
      <c r="AG325" s="436">
        <f>IF(NFI_Expiration=1,IF($A325&lt;VLOOKUP(R$5,NFI,5,0),1,0)*Table_NFI[[#This Row],[Winter Clothes Adult]],Table_NFI[Winter Clothes Adult])</f>
        <v>0</v>
      </c>
      <c r="AH325" s="436">
        <f>IF(NFI_Expiration=1,IF($A325&lt;VLOOKUP(S$5,NFI,5,0),1,0)*Table_NFI[[#This Row],[Winter Clothes Children]],Table_NFI[Winter Clothes Children])</f>
        <v>0</v>
      </c>
      <c r="AI325" s="436">
        <f>IF(NFI_Expiration=1,IF($A325&lt;VLOOKUP(T$5,NFI,5,0),1,0)*Table_NFI[[#This Row],[Winter Items Other]],Table_NFI[Winter Items Other])</f>
        <v>0</v>
      </c>
      <c r="AJ325" s="436">
        <f>IF(NFI_Expiration=1,IF($A325&lt;VLOOKUP(M$5,NFI,5,0),1,0)*Table_NFI[[#This Row],[Winter Blanket]],Table_NFI[[#This Row],[Winter Blanket]])</f>
        <v>0</v>
      </c>
      <c r="AK325" s="436">
        <f>IF(Table_NFI[[#This Row],[Winter Clothes Adult]]+Table_NFI[[#This Row],[Winter Clothes Children]]+Table_NFI[[#This Row],[Winter Items Other]]+Table_NFI[[#This Row],[Winter Blanket]]&gt;0,1,0)</f>
        <v>1</v>
      </c>
      <c r="AL325" s="439">
        <f>IF(NFI_Expiration=1,IF($A325&lt;VLOOKUP(V$5,NFI,5,0),1,0)*Table_NFI[[#This Row],[Jerry Can]],Table_NFI[Jerry Can])</f>
        <v>0</v>
      </c>
      <c r="AM325" s="781" t="str">
        <f>IFERROR(VLOOKUP(Table_NFI[[#This Row],[Camp Name]],CL,2,0),"")</f>
        <v>MMR001CMP040</v>
      </c>
      <c r="AN325" s="782">
        <f ca="1">IF(Table_NFI[[#This Row],[Pcode]]="","",IF(OFFSET(CampList[Opening Date],MATCH(Table_NFI[[#This Row],[Pcode]],CampList[CP_Pcode],0)-1,0,1,1)&gt;=NFI_Monitor_Date,1,0))</f>
        <v>0</v>
      </c>
      <c r="AO325" s="781" t="str">
        <f>IFERROR(VLOOKUP(Table_NFI[[#This Row],[Camp Name]],CL,3,0),"")</f>
        <v>Open</v>
      </c>
      <c r="AP325" s="436" t="str">
        <f ca="1">IF(Table_NFI[[#This Row],[Pcode]]="","",OFFSET(CampList[Priority],MATCH(Table_NFI[[#This Row],[Pcode]],CampList[CP_Pcode],0)-1,0,1,1))</f>
        <v>P4</v>
      </c>
      <c r="AQ325" s="438">
        <f>IFERROR(Table_NFI[[#This Row],[Kitchen Set]]/VLOOKUP(Table_NFI[[#This Row],[Camp Name]],CL,4,0),"")</f>
        <v>0</v>
      </c>
      <c r="AR325" s="779"/>
      <c r="AS325" s="783"/>
    </row>
    <row r="326" spans="1:45" s="784" customFormat="1" x14ac:dyDescent="0.25">
      <c r="A326" s="455">
        <f t="shared" ref="A326:A389" si="5">IF(ISBLANK(B326),"",(Report_Date-B326)/30)</f>
        <v>22.766666666666666</v>
      </c>
      <c r="B326" s="778">
        <v>41626</v>
      </c>
      <c r="C326" s="779" t="s">
        <v>912</v>
      </c>
      <c r="D326" s="779" t="s">
        <v>462</v>
      </c>
      <c r="E326" s="779" t="s">
        <v>380</v>
      </c>
      <c r="F326" s="779" t="s">
        <v>310</v>
      </c>
      <c r="G326" s="779" t="s">
        <v>313</v>
      </c>
      <c r="H326" s="436"/>
      <c r="I326" s="436"/>
      <c r="J326" s="436"/>
      <c r="K326" s="436"/>
      <c r="L326" s="437"/>
      <c r="M326" s="437"/>
      <c r="N326" s="437"/>
      <c r="O326" s="437"/>
      <c r="P326" s="439"/>
      <c r="Q326" s="439"/>
      <c r="R326" s="436">
        <v>134</v>
      </c>
      <c r="S326" s="436">
        <v>238</v>
      </c>
      <c r="T326" s="436">
        <v>744</v>
      </c>
      <c r="U326" s="436">
        <v>372</v>
      </c>
      <c r="V326" s="436"/>
      <c r="W326" s="436">
        <f>IF(NFI_Expiration=1,IF($A326&lt;VLOOKUP(H$5,NFI,5,0),1,0)*Table_NFI[[#This Row],[Hygiene Kit]],Table_NFI[Hygiene Kit])</f>
        <v>0</v>
      </c>
      <c r="X326" s="436">
        <f>IF(NFI_Expiration=1,IF($A326&lt;VLOOKUP(I$5,NFI,5,0),1,0)*Table_NFI[[#This Row],[NFI Core Kit]],Table_NFI[NFI Core Kit])</f>
        <v>0</v>
      </c>
      <c r="Y326" s="436">
        <f>IF(NFI_Expiration=1,IF($A326&lt;VLOOKUP(J$5,NFI,5,0),1,0)*Table_NFI[[#This Row],[Sanitary Kit]],Table_NFI[Sanitary Kit])</f>
        <v>0</v>
      </c>
      <c r="Z326" s="436">
        <f>IF(NFI_Expiration=1,IF($A326&lt;VLOOKUP(K$5,NFI,5,0),1,0)*Table_NFI[[#This Row],[Mosquito net]],Table_NFI[Mosquito net])</f>
        <v>0</v>
      </c>
      <c r="AA326" s="436">
        <f>IF(NFI_Expiration=1,IF($A326&lt;VLOOKUP(L$5,NFI,5,0),1,0)*Table_NFI[[#This Row],[Tarpaulin]],Table_NFI[[#This Row],[Tarpaulin]])</f>
        <v>0</v>
      </c>
      <c r="AB326" s="436">
        <f>IF(NFI_Expiration=1,IF($A326&lt;VLOOKUP(M$5,NFI,5,0),1,0)*Table_NFI[[#This Row],[Blanket]],Table_NFI[[#This Row],[Blanket]])</f>
        <v>0</v>
      </c>
      <c r="AC326" s="436">
        <f>IF(NFI_Expiration=1,IF($A326&lt;VLOOKUP(N$5,NFI,5,0),1,0)*Table_NFI[[#This Row],[Kitchen Set]],Table_NFI[Kitchen Set])</f>
        <v>0</v>
      </c>
      <c r="AD326" s="436">
        <f>IF(NFI_Expiration=1,IF($A326&lt;VLOOKUP(O$5,NFI,5,0),1,0)*Table_NFI[[#This Row],[Clothes Kit]],Table_NFI[Clothes Kit])</f>
        <v>0</v>
      </c>
      <c r="AE326" s="436">
        <f>IF(NFI_Expiration=1,IF($A326&lt;VLOOKUP(P$5,NFI,5,0),1,0)*Table_NFI[[#This Row],[Plastic Bucket]],Table_NFI[Plastic Bucket])</f>
        <v>0</v>
      </c>
      <c r="AF326" s="436">
        <f>IF(NFI_Expiration=1,IF($A326&lt;VLOOKUP(Q$5,NFI,5,0),1,0)*Table_NFI[[#This Row],[Plastic Mat]],Table_NFI[Plastic Mat])*IF(Table_NFI[[#This Row],[Distribution Date]]&gt;"2014-04-01",1,2.5)</f>
        <v>0</v>
      </c>
      <c r="AG326" s="436">
        <f>IF(NFI_Expiration=1,IF($A326&lt;VLOOKUP(R$5,NFI,5,0),1,0)*Table_NFI[[#This Row],[Winter Clothes Adult]],Table_NFI[Winter Clothes Adult])</f>
        <v>0</v>
      </c>
      <c r="AH326" s="436">
        <f>IF(NFI_Expiration=1,IF($A326&lt;VLOOKUP(S$5,NFI,5,0),1,0)*Table_NFI[[#This Row],[Winter Clothes Children]],Table_NFI[Winter Clothes Children])</f>
        <v>0</v>
      </c>
      <c r="AI326" s="436">
        <f>IF(NFI_Expiration=1,IF($A326&lt;VLOOKUP(T$5,NFI,5,0),1,0)*Table_NFI[[#This Row],[Winter Items Other]],Table_NFI[Winter Items Other])</f>
        <v>0</v>
      </c>
      <c r="AJ326" s="436">
        <f>IF(NFI_Expiration=1,IF($A326&lt;VLOOKUP(M$5,NFI,5,0),1,0)*Table_NFI[[#This Row],[Winter Blanket]],Table_NFI[[#This Row],[Winter Blanket]])</f>
        <v>0</v>
      </c>
      <c r="AK326" s="436">
        <f>IF(Table_NFI[[#This Row],[Winter Clothes Adult]]+Table_NFI[[#This Row],[Winter Clothes Children]]+Table_NFI[[#This Row],[Winter Items Other]]+Table_NFI[[#This Row],[Winter Blanket]]&gt;0,1,0)</f>
        <v>1</v>
      </c>
      <c r="AL326" s="439">
        <f>IF(NFI_Expiration=1,IF($A326&lt;VLOOKUP(V$5,NFI,5,0),1,0)*Table_NFI[[#This Row],[Jerry Can]],Table_NFI[Jerry Can])</f>
        <v>0</v>
      </c>
      <c r="AM326" s="781" t="str">
        <f>IFERROR(VLOOKUP(Table_NFI[[#This Row],[Camp Name]],CL,2,0),"")</f>
        <v>MMR001CMP028</v>
      </c>
      <c r="AN326" s="782">
        <f ca="1">IF(Table_NFI[[#This Row],[Pcode]]="","",IF(OFFSET(CampList[Opening Date],MATCH(Table_NFI[[#This Row],[Pcode]],CampList[CP_Pcode],0)-1,0,1,1)&gt;=NFI_Monitor_Date,1,0))</f>
        <v>0</v>
      </c>
      <c r="AO326" s="781" t="str">
        <f>IFERROR(VLOOKUP(Table_NFI[[#This Row],[Camp Name]],CL,3,0),"")</f>
        <v>Open</v>
      </c>
      <c r="AP326" s="436" t="str">
        <f ca="1">IF(Table_NFI[[#This Row],[Pcode]]="","",OFFSET(CampList[Priority],MATCH(Table_NFI[[#This Row],[Pcode]],CampList[CP_Pcode],0)-1,0,1,1))</f>
        <v>P4</v>
      </c>
      <c r="AQ326" s="438">
        <f>IFERROR(Table_NFI[[#This Row],[Kitchen Set]]/VLOOKUP(Table_NFI[[#This Row],[Camp Name]],CL,4,0),"")</f>
        <v>0</v>
      </c>
      <c r="AR326" s="779"/>
      <c r="AS326" s="783"/>
    </row>
    <row r="327" spans="1:45" s="784" customFormat="1" x14ac:dyDescent="0.25">
      <c r="A327" s="455">
        <f t="shared" si="5"/>
        <v>22.766666666666666</v>
      </c>
      <c r="B327" s="778">
        <v>41626</v>
      </c>
      <c r="C327" s="779" t="s">
        <v>454</v>
      </c>
      <c r="D327" s="442" t="s">
        <v>454</v>
      </c>
      <c r="E327" s="779" t="s">
        <v>380</v>
      </c>
      <c r="F327" s="435" t="s">
        <v>5</v>
      </c>
      <c r="G327" s="435" t="s">
        <v>12</v>
      </c>
      <c r="H327" s="442"/>
      <c r="I327" s="442"/>
      <c r="J327" s="442"/>
      <c r="K327" s="785"/>
      <c r="L327" s="786">
        <v>4</v>
      </c>
      <c r="M327" s="443"/>
      <c r="N327" s="443"/>
      <c r="O327" s="443"/>
      <c r="P327" s="786"/>
      <c r="Q327" s="443"/>
      <c r="R327" s="442"/>
      <c r="S327" s="442"/>
      <c r="T327" s="442"/>
      <c r="U327" s="442"/>
      <c r="V327" s="442"/>
      <c r="W327" s="436">
        <f>IF(NFI_Expiration=1,IF($A327&lt;VLOOKUP(H$5,NFI,5,0),1,0)*Table_NFI[[#This Row],[Hygiene Kit]],Table_NFI[Hygiene Kit])</f>
        <v>0</v>
      </c>
      <c r="X327" s="436">
        <f>IF(NFI_Expiration=1,IF($A327&lt;VLOOKUP(I$5,NFI,5,0),1,0)*Table_NFI[[#This Row],[NFI Core Kit]],Table_NFI[NFI Core Kit])</f>
        <v>0</v>
      </c>
      <c r="Y327" s="436">
        <f>IF(NFI_Expiration=1,IF($A327&lt;VLOOKUP(J$5,NFI,5,0),1,0)*Table_NFI[[#This Row],[Sanitary Kit]],Table_NFI[Sanitary Kit])</f>
        <v>0</v>
      </c>
      <c r="Z327" s="436">
        <f>IF(NFI_Expiration=1,IF($A327&lt;VLOOKUP(K$5,NFI,5,0),1,0)*Table_NFI[[#This Row],[Mosquito net]],Table_NFI[Mosquito net])</f>
        <v>0</v>
      </c>
      <c r="AA327" s="436">
        <f>IF(NFI_Expiration=1,IF($A327&lt;VLOOKUP(L$5,NFI,5,0),1,0)*Table_NFI[[#This Row],[Tarpaulin]],Table_NFI[[#This Row],[Tarpaulin]])</f>
        <v>0</v>
      </c>
      <c r="AB327" s="436">
        <f>IF(NFI_Expiration=1,IF($A327&lt;VLOOKUP(M$5,NFI,5,0),1,0)*Table_NFI[[#This Row],[Blanket]],Table_NFI[[#This Row],[Blanket]])</f>
        <v>0</v>
      </c>
      <c r="AC327" s="436">
        <f>IF(NFI_Expiration=1,IF($A327&lt;VLOOKUP(N$5,NFI,5,0),1,0)*Table_NFI[[#This Row],[Kitchen Set]],Table_NFI[Kitchen Set])</f>
        <v>0</v>
      </c>
      <c r="AD327" s="436">
        <f>IF(NFI_Expiration=1,IF($A327&lt;VLOOKUP(O$5,NFI,5,0),1,0)*Table_NFI[[#This Row],[Clothes Kit]],Table_NFI[Clothes Kit])</f>
        <v>0</v>
      </c>
      <c r="AE327" s="436">
        <f>IF(NFI_Expiration=1,IF($A327&lt;VLOOKUP(P$5,NFI,5,0),1,0)*Table_NFI[[#This Row],[Plastic Bucket]],Table_NFI[Plastic Bucket])</f>
        <v>0</v>
      </c>
      <c r="AF327" s="436">
        <f>IF(NFI_Expiration=1,IF($A327&lt;VLOOKUP(Q$5,NFI,5,0),1,0)*Table_NFI[[#This Row],[Plastic Mat]],Table_NFI[Plastic Mat])*IF(Table_NFI[[#This Row],[Distribution Date]]&gt;"2014-04-01",1,2.5)</f>
        <v>0</v>
      </c>
      <c r="AG327" s="436">
        <f>IF(NFI_Expiration=1,IF($A327&lt;VLOOKUP(R$5,NFI,5,0),1,0)*Table_NFI[[#This Row],[Winter Clothes Adult]],Table_NFI[Winter Clothes Adult])</f>
        <v>0</v>
      </c>
      <c r="AH327" s="436">
        <f>IF(NFI_Expiration=1,IF($A327&lt;VLOOKUP(S$5,NFI,5,0),1,0)*Table_NFI[[#This Row],[Winter Clothes Children]],Table_NFI[Winter Clothes Children])</f>
        <v>0</v>
      </c>
      <c r="AI327" s="436">
        <f>IF(NFI_Expiration=1,IF($A327&lt;VLOOKUP(T$5,NFI,5,0),1,0)*Table_NFI[[#This Row],[Winter Items Other]],Table_NFI[Winter Items Other])</f>
        <v>0</v>
      </c>
      <c r="AJ327" s="436">
        <f>IF(NFI_Expiration=1,IF($A327&lt;VLOOKUP(M$5,NFI,5,0),1,0)*Table_NFI[[#This Row],[Winter Blanket]],Table_NFI[[#This Row],[Winter Blanket]])</f>
        <v>0</v>
      </c>
      <c r="AK327" s="436">
        <f>IF(Table_NFI[[#This Row],[Winter Clothes Adult]]+Table_NFI[[#This Row],[Winter Clothes Children]]+Table_NFI[[#This Row],[Winter Items Other]]+Table_NFI[[#This Row],[Winter Blanket]]&gt;0,1,0)</f>
        <v>0</v>
      </c>
      <c r="AL327" s="439">
        <f>IF(NFI_Expiration=1,IF($A327&lt;VLOOKUP(V$5,NFI,5,0),1,0)*Table_NFI[[#This Row],[Jerry Can]],Table_NFI[Jerry Can])</f>
        <v>0</v>
      </c>
      <c r="AM327" s="781" t="str">
        <f>IFERROR(VLOOKUP(Table_NFI[[#This Row],[Camp Name]],CL,2,0),"")</f>
        <v>MMR001CMP163</v>
      </c>
      <c r="AN327" s="782">
        <f ca="1">IF(Table_NFI[[#This Row],[Pcode]]="","",IF(OFFSET(CampList[Opening Date],MATCH(Table_NFI[[#This Row],[Pcode]],CampList[CP_Pcode],0)-1,0,1,1)&gt;=NFI_Monitor_Date,1,0))</f>
        <v>0</v>
      </c>
      <c r="AO327" s="781" t="str">
        <f>IFERROR(VLOOKUP(Table_NFI[[#This Row],[Camp Name]],CL,3,0),"")</f>
        <v>Open</v>
      </c>
      <c r="AP327" s="436" t="str">
        <f ca="1">IF(Table_NFI[[#This Row],[Pcode]]="","",OFFSET(CampList[Priority],MATCH(Table_NFI[[#This Row],[Pcode]],CampList[CP_Pcode],0)-1,0,1,1))</f>
        <v>P4</v>
      </c>
      <c r="AQ327" s="438">
        <f>IFERROR(Table_NFI[[#This Row],[Kitchen Set]]/VLOOKUP(Table_NFI[[#This Row],[Camp Name]],CL,4,0),"")</f>
        <v>0</v>
      </c>
      <c r="AR327" s="779" t="s">
        <v>1099</v>
      </c>
      <c r="AS327" s="783"/>
    </row>
    <row r="328" spans="1:45" s="784" customFormat="1" x14ac:dyDescent="0.25">
      <c r="A328" s="455">
        <f t="shared" si="5"/>
        <v>22.766666666666666</v>
      </c>
      <c r="B328" s="778">
        <v>41626</v>
      </c>
      <c r="C328" s="779" t="s">
        <v>912</v>
      </c>
      <c r="D328" s="779" t="s">
        <v>462</v>
      </c>
      <c r="E328" s="779" t="s">
        <v>380</v>
      </c>
      <c r="F328" s="435" t="s">
        <v>310</v>
      </c>
      <c r="G328" s="779" t="s">
        <v>320</v>
      </c>
      <c r="H328" s="436"/>
      <c r="I328" s="436"/>
      <c r="J328" s="436"/>
      <c r="K328" s="436"/>
      <c r="L328" s="437"/>
      <c r="M328" s="437"/>
      <c r="N328" s="437"/>
      <c r="O328" s="437"/>
      <c r="P328" s="439"/>
      <c r="Q328" s="439"/>
      <c r="R328" s="436">
        <v>23</v>
      </c>
      <c r="S328" s="436">
        <v>45</v>
      </c>
      <c r="T328" s="436">
        <v>136</v>
      </c>
      <c r="U328" s="436">
        <v>68</v>
      </c>
      <c r="V328" s="436"/>
      <c r="W328" s="436">
        <f>IF(NFI_Expiration=1,IF($A328&lt;VLOOKUP(H$5,NFI,5,0),1,0)*Table_NFI[[#This Row],[Hygiene Kit]],Table_NFI[Hygiene Kit])</f>
        <v>0</v>
      </c>
      <c r="X328" s="436">
        <f>IF(NFI_Expiration=1,IF($A328&lt;VLOOKUP(I$5,NFI,5,0),1,0)*Table_NFI[[#This Row],[NFI Core Kit]],Table_NFI[NFI Core Kit])</f>
        <v>0</v>
      </c>
      <c r="Y328" s="436">
        <f>IF(NFI_Expiration=1,IF($A328&lt;VLOOKUP(J$5,NFI,5,0),1,0)*Table_NFI[[#This Row],[Sanitary Kit]],Table_NFI[Sanitary Kit])</f>
        <v>0</v>
      </c>
      <c r="Z328" s="436">
        <f>IF(NFI_Expiration=1,IF($A328&lt;VLOOKUP(K$5,NFI,5,0),1,0)*Table_NFI[[#This Row],[Mosquito net]],Table_NFI[Mosquito net])</f>
        <v>0</v>
      </c>
      <c r="AA328" s="436">
        <f>IF(NFI_Expiration=1,IF($A328&lt;VLOOKUP(L$5,NFI,5,0),1,0)*Table_NFI[[#This Row],[Tarpaulin]],Table_NFI[[#This Row],[Tarpaulin]])</f>
        <v>0</v>
      </c>
      <c r="AB328" s="436">
        <f>IF(NFI_Expiration=1,IF($A328&lt;VLOOKUP(M$5,NFI,5,0),1,0)*Table_NFI[[#This Row],[Blanket]],Table_NFI[[#This Row],[Blanket]])</f>
        <v>0</v>
      </c>
      <c r="AC328" s="436">
        <f>IF(NFI_Expiration=1,IF($A328&lt;VLOOKUP(N$5,NFI,5,0),1,0)*Table_NFI[[#This Row],[Kitchen Set]],Table_NFI[Kitchen Set])</f>
        <v>0</v>
      </c>
      <c r="AD328" s="436">
        <f>IF(NFI_Expiration=1,IF($A328&lt;VLOOKUP(O$5,NFI,5,0),1,0)*Table_NFI[[#This Row],[Clothes Kit]],Table_NFI[Clothes Kit])</f>
        <v>0</v>
      </c>
      <c r="AE328" s="436">
        <f>IF(NFI_Expiration=1,IF($A328&lt;VLOOKUP(P$5,NFI,5,0),1,0)*Table_NFI[[#This Row],[Plastic Bucket]],Table_NFI[Plastic Bucket])</f>
        <v>0</v>
      </c>
      <c r="AF328" s="436">
        <f>IF(NFI_Expiration=1,IF($A328&lt;VLOOKUP(Q$5,NFI,5,0),1,0)*Table_NFI[[#This Row],[Plastic Mat]],Table_NFI[Plastic Mat])*IF(Table_NFI[[#This Row],[Distribution Date]]&gt;"2014-04-01",1,2.5)</f>
        <v>0</v>
      </c>
      <c r="AG328" s="436">
        <f>IF(NFI_Expiration=1,IF($A328&lt;VLOOKUP(R$5,NFI,5,0),1,0)*Table_NFI[[#This Row],[Winter Clothes Adult]],Table_NFI[Winter Clothes Adult])</f>
        <v>0</v>
      </c>
      <c r="AH328" s="436">
        <f>IF(NFI_Expiration=1,IF($A328&lt;VLOOKUP(S$5,NFI,5,0),1,0)*Table_NFI[[#This Row],[Winter Clothes Children]],Table_NFI[Winter Clothes Children])</f>
        <v>0</v>
      </c>
      <c r="AI328" s="436">
        <f>IF(NFI_Expiration=1,IF($A328&lt;VLOOKUP(T$5,NFI,5,0),1,0)*Table_NFI[[#This Row],[Winter Items Other]],Table_NFI[Winter Items Other])</f>
        <v>0</v>
      </c>
      <c r="AJ328" s="436">
        <f>IF(NFI_Expiration=1,IF($A328&lt;VLOOKUP(M$5,NFI,5,0),1,0)*Table_NFI[[#This Row],[Winter Blanket]],Table_NFI[[#This Row],[Winter Blanket]])</f>
        <v>0</v>
      </c>
      <c r="AK328" s="436">
        <f>IF(Table_NFI[[#This Row],[Winter Clothes Adult]]+Table_NFI[[#This Row],[Winter Clothes Children]]+Table_NFI[[#This Row],[Winter Items Other]]+Table_NFI[[#This Row],[Winter Blanket]]&gt;0,1,0)</f>
        <v>1</v>
      </c>
      <c r="AL328" s="439">
        <f>IF(NFI_Expiration=1,IF($A328&lt;VLOOKUP(V$5,NFI,5,0),1,0)*Table_NFI[[#This Row],[Jerry Can]],Table_NFI[Jerry Can])</f>
        <v>0</v>
      </c>
      <c r="AM328" s="781" t="str">
        <f>IFERROR(VLOOKUP(Table_NFI[[#This Row],[Camp Name]],CL,2,0),"")</f>
        <v>MMR001CMP027</v>
      </c>
      <c r="AN328" s="782">
        <f ca="1">IF(Table_NFI[[#This Row],[Pcode]]="","",IF(OFFSET(CampList[Opening Date],MATCH(Table_NFI[[#This Row],[Pcode]],CampList[CP_Pcode],0)-1,0,1,1)&gt;=NFI_Monitor_Date,1,0))</f>
        <v>0</v>
      </c>
      <c r="AO328" s="781" t="str">
        <f>IFERROR(VLOOKUP(Table_NFI[[#This Row],[Camp Name]],CL,3,0),"")</f>
        <v>Open</v>
      </c>
      <c r="AP328" s="436" t="str">
        <f ca="1">IF(Table_NFI[[#This Row],[Pcode]]="","",OFFSET(CampList[Priority],MATCH(Table_NFI[[#This Row],[Pcode]],CampList[CP_Pcode],0)-1,0,1,1))</f>
        <v>P4</v>
      </c>
      <c r="AQ328" s="438">
        <f>IFERROR(Table_NFI[[#This Row],[Kitchen Set]]/VLOOKUP(Table_NFI[[#This Row],[Camp Name]],CL,4,0),"")</f>
        <v>0</v>
      </c>
      <c r="AR328" s="779"/>
      <c r="AS328" s="783"/>
    </row>
    <row r="329" spans="1:45" s="784" customFormat="1" x14ac:dyDescent="0.25">
      <c r="A329" s="455">
        <f t="shared" si="5"/>
        <v>22.766666666666666</v>
      </c>
      <c r="B329" s="778">
        <v>41626</v>
      </c>
      <c r="C329" s="779" t="s">
        <v>912</v>
      </c>
      <c r="D329" s="779" t="s">
        <v>462</v>
      </c>
      <c r="E329" s="779" t="s">
        <v>380</v>
      </c>
      <c r="F329" s="779" t="s">
        <v>310</v>
      </c>
      <c r="G329" s="779" t="s">
        <v>338</v>
      </c>
      <c r="H329" s="436"/>
      <c r="I329" s="436"/>
      <c r="J329" s="436"/>
      <c r="K329" s="436"/>
      <c r="L329" s="437"/>
      <c r="M329" s="437"/>
      <c r="N329" s="437"/>
      <c r="O329" s="437"/>
      <c r="P329" s="439"/>
      <c r="Q329" s="439"/>
      <c r="R329" s="436">
        <v>30</v>
      </c>
      <c r="S329" s="436">
        <v>57</v>
      </c>
      <c r="T329" s="436">
        <v>174</v>
      </c>
      <c r="U329" s="436">
        <v>87</v>
      </c>
      <c r="V329" s="436"/>
      <c r="W329" s="436">
        <f>IF(NFI_Expiration=1,IF($A329&lt;VLOOKUP(H$5,NFI,5,0),1,0)*Table_NFI[[#This Row],[Hygiene Kit]],Table_NFI[Hygiene Kit])</f>
        <v>0</v>
      </c>
      <c r="X329" s="436">
        <f>IF(NFI_Expiration=1,IF($A329&lt;VLOOKUP(I$5,NFI,5,0),1,0)*Table_NFI[[#This Row],[NFI Core Kit]],Table_NFI[NFI Core Kit])</f>
        <v>0</v>
      </c>
      <c r="Y329" s="436">
        <f>IF(NFI_Expiration=1,IF($A329&lt;VLOOKUP(J$5,NFI,5,0),1,0)*Table_NFI[[#This Row],[Sanitary Kit]],Table_NFI[Sanitary Kit])</f>
        <v>0</v>
      </c>
      <c r="Z329" s="436">
        <f>IF(NFI_Expiration=1,IF($A329&lt;VLOOKUP(K$5,NFI,5,0),1,0)*Table_NFI[[#This Row],[Mosquito net]],Table_NFI[Mosquito net])</f>
        <v>0</v>
      </c>
      <c r="AA329" s="436">
        <f>IF(NFI_Expiration=1,IF($A329&lt;VLOOKUP(L$5,NFI,5,0),1,0)*Table_NFI[[#This Row],[Tarpaulin]],Table_NFI[[#This Row],[Tarpaulin]])</f>
        <v>0</v>
      </c>
      <c r="AB329" s="436">
        <f>IF(NFI_Expiration=1,IF($A329&lt;VLOOKUP(M$5,NFI,5,0),1,0)*Table_NFI[[#This Row],[Blanket]],Table_NFI[[#This Row],[Blanket]])</f>
        <v>0</v>
      </c>
      <c r="AC329" s="436">
        <f>IF(NFI_Expiration=1,IF($A329&lt;VLOOKUP(N$5,NFI,5,0),1,0)*Table_NFI[[#This Row],[Kitchen Set]],Table_NFI[Kitchen Set])</f>
        <v>0</v>
      </c>
      <c r="AD329" s="436">
        <f>IF(NFI_Expiration=1,IF($A329&lt;VLOOKUP(O$5,NFI,5,0),1,0)*Table_NFI[[#This Row],[Clothes Kit]],Table_NFI[Clothes Kit])</f>
        <v>0</v>
      </c>
      <c r="AE329" s="436">
        <f>IF(NFI_Expiration=1,IF($A329&lt;VLOOKUP(P$5,NFI,5,0),1,0)*Table_NFI[[#This Row],[Plastic Bucket]],Table_NFI[Plastic Bucket])</f>
        <v>0</v>
      </c>
      <c r="AF329" s="436">
        <f>IF(NFI_Expiration=1,IF($A329&lt;VLOOKUP(Q$5,NFI,5,0),1,0)*Table_NFI[[#This Row],[Plastic Mat]],Table_NFI[Plastic Mat])*IF(Table_NFI[[#This Row],[Distribution Date]]&gt;"2014-04-01",1,2.5)</f>
        <v>0</v>
      </c>
      <c r="AG329" s="436">
        <f>IF(NFI_Expiration=1,IF($A329&lt;VLOOKUP(R$5,NFI,5,0),1,0)*Table_NFI[[#This Row],[Winter Clothes Adult]],Table_NFI[Winter Clothes Adult])</f>
        <v>0</v>
      </c>
      <c r="AH329" s="436">
        <f>IF(NFI_Expiration=1,IF($A329&lt;VLOOKUP(S$5,NFI,5,0),1,0)*Table_NFI[[#This Row],[Winter Clothes Children]],Table_NFI[Winter Clothes Children])</f>
        <v>0</v>
      </c>
      <c r="AI329" s="436">
        <f>IF(NFI_Expiration=1,IF($A329&lt;VLOOKUP(T$5,NFI,5,0),1,0)*Table_NFI[[#This Row],[Winter Items Other]],Table_NFI[Winter Items Other])</f>
        <v>0</v>
      </c>
      <c r="AJ329" s="436">
        <f>IF(NFI_Expiration=1,IF($A329&lt;VLOOKUP(M$5,NFI,5,0),1,0)*Table_NFI[[#This Row],[Winter Blanket]],Table_NFI[[#This Row],[Winter Blanket]])</f>
        <v>0</v>
      </c>
      <c r="AK329" s="436">
        <f>IF(Table_NFI[[#This Row],[Winter Clothes Adult]]+Table_NFI[[#This Row],[Winter Clothes Children]]+Table_NFI[[#This Row],[Winter Items Other]]+Table_NFI[[#This Row],[Winter Blanket]]&gt;0,1,0)</f>
        <v>1</v>
      </c>
      <c r="AL329" s="439">
        <f>IF(NFI_Expiration=1,IF($A329&lt;VLOOKUP(V$5,NFI,5,0),1,0)*Table_NFI[[#This Row],[Jerry Can]],Table_NFI[Jerry Can])</f>
        <v>0</v>
      </c>
      <c r="AM329" s="781" t="str">
        <f>IFERROR(VLOOKUP(Table_NFI[[#This Row],[Camp Name]],CL,2,0),"")</f>
        <v>MMR001CMP030</v>
      </c>
      <c r="AN329" s="782">
        <f ca="1">IF(Table_NFI[[#This Row],[Pcode]]="","",IF(OFFSET(CampList[Opening Date],MATCH(Table_NFI[[#This Row],[Pcode]],CampList[CP_Pcode],0)-1,0,1,1)&gt;=NFI_Monitor_Date,1,0))</f>
        <v>0</v>
      </c>
      <c r="AO329" s="781" t="str">
        <f>IFERROR(VLOOKUP(Table_NFI[[#This Row],[Camp Name]],CL,3,0),"")</f>
        <v>Open</v>
      </c>
      <c r="AP329" s="436" t="str">
        <f ca="1">IF(Table_NFI[[#This Row],[Pcode]]="","",OFFSET(CampList[Priority],MATCH(Table_NFI[[#This Row],[Pcode]],CampList[CP_Pcode],0)-1,0,1,1))</f>
        <v>P4</v>
      </c>
      <c r="AQ329" s="438">
        <f>IFERROR(Table_NFI[[#This Row],[Kitchen Set]]/VLOOKUP(Table_NFI[[#This Row],[Camp Name]],CL,4,0),"")</f>
        <v>0</v>
      </c>
      <c r="AR329" s="779"/>
      <c r="AS329" s="783"/>
    </row>
    <row r="330" spans="1:45" s="784" customFormat="1" x14ac:dyDescent="0.25">
      <c r="A330" s="455">
        <f t="shared" si="5"/>
        <v>22.8</v>
      </c>
      <c r="B330" s="778">
        <v>41625</v>
      </c>
      <c r="C330" s="779" t="s">
        <v>912</v>
      </c>
      <c r="D330" s="779" t="s">
        <v>462</v>
      </c>
      <c r="E330" s="779" t="s">
        <v>380</v>
      </c>
      <c r="F330" s="435" t="s">
        <v>310</v>
      </c>
      <c r="G330" s="779" t="s">
        <v>342</v>
      </c>
      <c r="H330" s="436"/>
      <c r="I330" s="436"/>
      <c r="J330" s="436"/>
      <c r="K330" s="436"/>
      <c r="L330" s="437"/>
      <c r="M330" s="437"/>
      <c r="N330" s="437"/>
      <c r="O330" s="437"/>
      <c r="P330" s="439"/>
      <c r="Q330" s="439"/>
      <c r="R330" s="436">
        <v>73</v>
      </c>
      <c r="S330" s="436">
        <v>146</v>
      </c>
      <c r="T330" s="436">
        <v>438</v>
      </c>
      <c r="U330" s="436">
        <v>219</v>
      </c>
      <c r="V330" s="436"/>
      <c r="W330" s="436">
        <f>IF(NFI_Expiration=1,IF($A330&lt;VLOOKUP(H$5,NFI,5,0),1,0)*Table_NFI[[#This Row],[Hygiene Kit]],Table_NFI[Hygiene Kit])</f>
        <v>0</v>
      </c>
      <c r="X330" s="436">
        <f>IF(NFI_Expiration=1,IF($A330&lt;VLOOKUP(I$5,NFI,5,0),1,0)*Table_NFI[[#This Row],[NFI Core Kit]],Table_NFI[NFI Core Kit])</f>
        <v>0</v>
      </c>
      <c r="Y330" s="436">
        <f>IF(NFI_Expiration=1,IF($A330&lt;VLOOKUP(J$5,NFI,5,0),1,0)*Table_NFI[[#This Row],[Sanitary Kit]],Table_NFI[Sanitary Kit])</f>
        <v>0</v>
      </c>
      <c r="Z330" s="436">
        <f>IF(NFI_Expiration=1,IF($A330&lt;VLOOKUP(K$5,NFI,5,0),1,0)*Table_NFI[[#This Row],[Mosquito net]],Table_NFI[Mosquito net])</f>
        <v>0</v>
      </c>
      <c r="AA330" s="436">
        <f>IF(NFI_Expiration=1,IF($A330&lt;VLOOKUP(L$5,NFI,5,0),1,0)*Table_NFI[[#This Row],[Tarpaulin]],Table_NFI[[#This Row],[Tarpaulin]])</f>
        <v>0</v>
      </c>
      <c r="AB330" s="436">
        <f>IF(NFI_Expiration=1,IF($A330&lt;VLOOKUP(M$5,NFI,5,0),1,0)*Table_NFI[[#This Row],[Blanket]],Table_NFI[[#This Row],[Blanket]])</f>
        <v>0</v>
      </c>
      <c r="AC330" s="436">
        <f>IF(NFI_Expiration=1,IF($A330&lt;VLOOKUP(N$5,NFI,5,0),1,0)*Table_NFI[[#This Row],[Kitchen Set]],Table_NFI[Kitchen Set])</f>
        <v>0</v>
      </c>
      <c r="AD330" s="436">
        <f>IF(NFI_Expiration=1,IF($A330&lt;VLOOKUP(O$5,NFI,5,0),1,0)*Table_NFI[[#This Row],[Clothes Kit]],Table_NFI[Clothes Kit])</f>
        <v>0</v>
      </c>
      <c r="AE330" s="436">
        <f>IF(NFI_Expiration=1,IF($A330&lt;VLOOKUP(P$5,NFI,5,0),1,0)*Table_NFI[[#This Row],[Plastic Bucket]],Table_NFI[Plastic Bucket])</f>
        <v>0</v>
      </c>
      <c r="AF330" s="436">
        <f>IF(NFI_Expiration=1,IF($A330&lt;VLOOKUP(Q$5,NFI,5,0),1,0)*Table_NFI[[#This Row],[Plastic Mat]],Table_NFI[Plastic Mat])*IF(Table_NFI[[#This Row],[Distribution Date]]&gt;"2014-04-01",1,2.5)</f>
        <v>0</v>
      </c>
      <c r="AG330" s="436">
        <f>IF(NFI_Expiration=1,IF($A330&lt;VLOOKUP(R$5,NFI,5,0),1,0)*Table_NFI[[#This Row],[Winter Clothes Adult]],Table_NFI[Winter Clothes Adult])</f>
        <v>0</v>
      </c>
      <c r="AH330" s="436">
        <f>IF(NFI_Expiration=1,IF($A330&lt;VLOOKUP(S$5,NFI,5,0),1,0)*Table_NFI[[#This Row],[Winter Clothes Children]],Table_NFI[Winter Clothes Children])</f>
        <v>0</v>
      </c>
      <c r="AI330" s="436">
        <f>IF(NFI_Expiration=1,IF($A330&lt;VLOOKUP(T$5,NFI,5,0),1,0)*Table_NFI[[#This Row],[Winter Items Other]],Table_NFI[Winter Items Other])</f>
        <v>0</v>
      </c>
      <c r="AJ330" s="436">
        <f>IF(NFI_Expiration=1,IF($A330&lt;VLOOKUP(M$5,NFI,5,0),1,0)*Table_NFI[[#This Row],[Winter Blanket]],Table_NFI[[#This Row],[Winter Blanket]])</f>
        <v>0</v>
      </c>
      <c r="AK330" s="436">
        <f>IF(Table_NFI[[#This Row],[Winter Clothes Adult]]+Table_NFI[[#This Row],[Winter Clothes Children]]+Table_NFI[[#This Row],[Winter Items Other]]+Table_NFI[[#This Row],[Winter Blanket]]&gt;0,1,0)</f>
        <v>1</v>
      </c>
      <c r="AL330" s="439">
        <f>IF(NFI_Expiration=1,IF($A330&lt;VLOOKUP(V$5,NFI,5,0),1,0)*Table_NFI[[#This Row],[Jerry Can]],Table_NFI[Jerry Can])</f>
        <v>0</v>
      </c>
      <c r="AM330" s="781" t="str">
        <f>IFERROR(VLOOKUP(Table_NFI[[#This Row],[Camp Name]],CL,2,0),"")</f>
        <v>MMR001CMP025</v>
      </c>
      <c r="AN330" s="782">
        <f ca="1">IF(Table_NFI[[#This Row],[Pcode]]="","",IF(OFFSET(CampList[Opening Date],MATCH(Table_NFI[[#This Row],[Pcode]],CampList[CP_Pcode],0)-1,0,1,1)&gt;=NFI_Monitor_Date,1,0))</f>
        <v>0</v>
      </c>
      <c r="AO330" s="781" t="str">
        <f>IFERROR(VLOOKUP(Table_NFI[[#This Row],[Camp Name]],CL,3,0),"")</f>
        <v>Open</v>
      </c>
      <c r="AP330" s="436" t="str">
        <f ca="1">IF(Table_NFI[[#This Row],[Pcode]]="","",OFFSET(CampList[Priority],MATCH(Table_NFI[[#This Row],[Pcode]],CampList[CP_Pcode],0)-1,0,1,1))</f>
        <v>P4</v>
      </c>
      <c r="AQ330" s="438">
        <f>IFERROR(Table_NFI[[#This Row],[Kitchen Set]]/VLOOKUP(Table_NFI[[#This Row],[Camp Name]],CL,4,0),"")</f>
        <v>0</v>
      </c>
      <c r="AR330" s="779"/>
      <c r="AS330" s="783"/>
    </row>
    <row r="331" spans="1:45" s="784" customFormat="1" x14ac:dyDescent="0.25">
      <c r="A331" s="455">
        <f t="shared" si="5"/>
        <v>22.8</v>
      </c>
      <c r="B331" s="778">
        <v>41625</v>
      </c>
      <c r="C331" s="779" t="s">
        <v>912</v>
      </c>
      <c r="D331" s="779" t="s">
        <v>462</v>
      </c>
      <c r="E331" s="779" t="s">
        <v>380</v>
      </c>
      <c r="F331" s="779" t="s">
        <v>310</v>
      </c>
      <c r="G331" s="779" t="s">
        <v>347</v>
      </c>
      <c r="H331" s="436"/>
      <c r="I331" s="436"/>
      <c r="J331" s="436"/>
      <c r="K331" s="436"/>
      <c r="L331" s="437"/>
      <c r="M331" s="437"/>
      <c r="N331" s="437"/>
      <c r="O331" s="437"/>
      <c r="P331" s="439"/>
      <c r="Q331" s="439"/>
      <c r="R331" s="436">
        <v>188</v>
      </c>
      <c r="S331" s="436">
        <v>343</v>
      </c>
      <c r="T331" s="436">
        <v>1062</v>
      </c>
      <c r="U331" s="436">
        <v>531</v>
      </c>
      <c r="V331" s="436"/>
      <c r="W331" s="436">
        <f>IF(NFI_Expiration=1,IF($A331&lt;VLOOKUP(H$5,NFI,5,0),1,0)*Table_NFI[[#This Row],[Hygiene Kit]],Table_NFI[Hygiene Kit])</f>
        <v>0</v>
      </c>
      <c r="X331" s="436">
        <f>IF(NFI_Expiration=1,IF($A331&lt;VLOOKUP(I$5,NFI,5,0),1,0)*Table_NFI[[#This Row],[NFI Core Kit]],Table_NFI[NFI Core Kit])</f>
        <v>0</v>
      </c>
      <c r="Y331" s="436">
        <f>IF(NFI_Expiration=1,IF($A331&lt;VLOOKUP(J$5,NFI,5,0),1,0)*Table_NFI[[#This Row],[Sanitary Kit]],Table_NFI[Sanitary Kit])</f>
        <v>0</v>
      </c>
      <c r="Z331" s="436">
        <f>IF(NFI_Expiration=1,IF($A331&lt;VLOOKUP(K$5,NFI,5,0),1,0)*Table_NFI[[#This Row],[Mosquito net]],Table_NFI[Mosquito net])</f>
        <v>0</v>
      </c>
      <c r="AA331" s="436">
        <f>IF(NFI_Expiration=1,IF($A331&lt;VLOOKUP(L$5,NFI,5,0),1,0)*Table_NFI[[#This Row],[Tarpaulin]],Table_NFI[[#This Row],[Tarpaulin]])</f>
        <v>0</v>
      </c>
      <c r="AB331" s="436">
        <f>IF(NFI_Expiration=1,IF($A331&lt;VLOOKUP(M$5,NFI,5,0),1,0)*Table_NFI[[#This Row],[Blanket]],Table_NFI[[#This Row],[Blanket]])</f>
        <v>0</v>
      </c>
      <c r="AC331" s="436">
        <f>IF(NFI_Expiration=1,IF($A331&lt;VLOOKUP(N$5,NFI,5,0),1,0)*Table_NFI[[#This Row],[Kitchen Set]],Table_NFI[Kitchen Set])</f>
        <v>0</v>
      </c>
      <c r="AD331" s="436">
        <f>IF(NFI_Expiration=1,IF($A331&lt;VLOOKUP(O$5,NFI,5,0),1,0)*Table_NFI[[#This Row],[Clothes Kit]],Table_NFI[Clothes Kit])</f>
        <v>0</v>
      </c>
      <c r="AE331" s="436">
        <f>IF(NFI_Expiration=1,IF($A331&lt;VLOOKUP(P$5,NFI,5,0),1,0)*Table_NFI[[#This Row],[Plastic Bucket]],Table_NFI[Plastic Bucket])</f>
        <v>0</v>
      </c>
      <c r="AF331" s="436">
        <f>IF(NFI_Expiration=1,IF($A331&lt;VLOOKUP(Q$5,NFI,5,0),1,0)*Table_NFI[[#This Row],[Plastic Mat]],Table_NFI[Plastic Mat])*IF(Table_NFI[[#This Row],[Distribution Date]]&gt;"2014-04-01",1,2.5)</f>
        <v>0</v>
      </c>
      <c r="AG331" s="436">
        <f>IF(NFI_Expiration=1,IF($A331&lt;VLOOKUP(R$5,NFI,5,0),1,0)*Table_NFI[[#This Row],[Winter Clothes Adult]],Table_NFI[Winter Clothes Adult])</f>
        <v>0</v>
      </c>
      <c r="AH331" s="436">
        <f>IF(NFI_Expiration=1,IF($A331&lt;VLOOKUP(S$5,NFI,5,0),1,0)*Table_NFI[[#This Row],[Winter Clothes Children]],Table_NFI[Winter Clothes Children])</f>
        <v>0</v>
      </c>
      <c r="AI331" s="436">
        <f>IF(NFI_Expiration=1,IF($A331&lt;VLOOKUP(T$5,NFI,5,0),1,0)*Table_NFI[[#This Row],[Winter Items Other]],Table_NFI[Winter Items Other])</f>
        <v>0</v>
      </c>
      <c r="AJ331" s="436">
        <f>IF(NFI_Expiration=1,IF($A331&lt;VLOOKUP(M$5,NFI,5,0),1,0)*Table_NFI[[#This Row],[Winter Blanket]],Table_NFI[[#This Row],[Winter Blanket]])</f>
        <v>0</v>
      </c>
      <c r="AK331" s="436">
        <f>IF(Table_NFI[[#This Row],[Winter Clothes Adult]]+Table_NFI[[#This Row],[Winter Clothes Children]]+Table_NFI[[#This Row],[Winter Items Other]]+Table_NFI[[#This Row],[Winter Blanket]]&gt;0,1,0)</f>
        <v>1</v>
      </c>
      <c r="AL331" s="439">
        <f>IF(NFI_Expiration=1,IF($A331&lt;VLOOKUP(V$5,NFI,5,0),1,0)*Table_NFI[[#This Row],[Jerry Can]],Table_NFI[Jerry Can])</f>
        <v>0</v>
      </c>
      <c r="AM331" s="781" t="str">
        <f>IFERROR(VLOOKUP(Table_NFI[[#This Row],[Camp Name]],CL,2,0),"")</f>
        <v>MMR001CMP041</v>
      </c>
      <c r="AN331" s="782">
        <f ca="1">IF(Table_NFI[[#This Row],[Pcode]]="","",IF(OFFSET(CampList[Opening Date],MATCH(Table_NFI[[#This Row],[Pcode]],CampList[CP_Pcode],0)-1,0,1,1)&gt;=NFI_Monitor_Date,1,0))</f>
        <v>0</v>
      </c>
      <c r="AO331" s="781" t="str">
        <f>IFERROR(VLOOKUP(Table_NFI[[#This Row],[Camp Name]],CL,3,0),"")</f>
        <v>Open</v>
      </c>
      <c r="AP331" s="436" t="str">
        <f ca="1">IF(Table_NFI[[#This Row],[Pcode]]="","",OFFSET(CampList[Priority],MATCH(Table_NFI[[#This Row],[Pcode]],CampList[CP_Pcode],0)-1,0,1,1))</f>
        <v>P1</v>
      </c>
      <c r="AQ331" s="438">
        <f>IFERROR(Table_NFI[[#This Row],[Kitchen Set]]/VLOOKUP(Table_NFI[[#This Row],[Camp Name]],CL,4,0),"")</f>
        <v>0</v>
      </c>
      <c r="AR331" s="779"/>
      <c r="AS331" s="783"/>
    </row>
    <row r="332" spans="1:45" s="784" customFormat="1" x14ac:dyDescent="0.25">
      <c r="A332" s="455">
        <f t="shared" si="5"/>
        <v>22.833333333333332</v>
      </c>
      <c r="B332" s="778">
        <v>41624</v>
      </c>
      <c r="C332" s="779" t="s">
        <v>912</v>
      </c>
      <c r="D332" s="779" t="s">
        <v>462</v>
      </c>
      <c r="E332" s="779" t="s">
        <v>380</v>
      </c>
      <c r="F332" s="779" t="s">
        <v>310</v>
      </c>
      <c r="G332" s="779" t="s">
        <v>316</v>
      </c>
      <c r="H332" s="436"/>
      <c r="I332" s="436"/>
      <c r="J332" s="436"/>
      <c r="K332" s="436"/>
      <c r="L332" s="437"/>
      <c r="M332" s="437"/>
      <c r="N332" s="437"/>
      <c r="O332" s="437"/>
      <c r="P332" s="439"/>
      <c r="Q332" s="439"/>
      <c r="R332" s="436">
        <v>77</v>
      </c>
      <c r="S332" s="436">
        <v>153</v>
      </c>
      <c r="T332" s="436">
        <v>460</v>
      </c>
      <c r="U332" s="436">
        <v>230</v>
      </c>
      <c r="V332" s="436"/>
      <c r="W332" s="436">
        <f>IF(NFI_Expiration=1,IF($A332&lt;VLOOKUP(H$5,NFI,5,0),1,0)*Table_NFI[[#This Row],[Hygiene Kit]],Table_NFI[Hygiene Kit])</f>
        <v>0</v>
      </c>
      <c r="X332" s="436">
        <f>IF(NFI_Expiration=1,IF($A332&lt;VLOOKUP(I$5,NFI,5,0),1,0)*Table_NFI[[#This Row],[NFI Core Kit]],Table_NFI[NFI Core Kit])</f>
        <v>0</v>
      </c>
      <c r="Y332" s="436">
        <f>IF(NFI_Expiration=1,IF($A332&lt;VLOOKUP(J$5,NFI,5,0),1,0)*Table_NFI[[#This Row],[Sanitary Kit]],Table_NFI[Sanitary Kit])</f>
        <v>0</v>
      </c>
      <c r="Z332" s="436">
        <f>IF(NFI_Expiration=1,IF($A332&lt;VLOOKUP(K$5,NFI,5,0),1,0)*Table_NFI[[#This Row],[Mosquito net]],Table_NFI[Mosquito net])</f>
        <v>0</v>
      </c>
      <c r="AA332" s="436">
        <f>IF(NFI_Expiration=1,IF($A332&lt;VLOOKUP(L$5,NFI,5,0),1,0)*Table_NFI[[#This Row],[Tarpaulin]],Table_NFI[[#This Row],[Tarpaulin]])</f>
        <v>0</v>
      </c>
      <c r="AB332" s="436">
        <f>IF(NFI_Expiration=1,IF($A332&lt;VLOOKUP(M$5,NFI,5,0),1,0)*Table_NFI[[#This Row],[Blanket]],Table_NFI[[#This Row],[Blanket]])</f>
        <v>0</v>
      </c>
      <c r="AC332" s="436">
        <f>IF(NFI_Expiration=1,IF($A332&lt;VLOOKUP(N$5,NFI,5,0),1,0)*Table_NFI[[#This Row],[Kitchen Set]],Table_NFI[Kitchen Set])</f>
        <v>0</v>
      </c>
      <c r="AD332" s="436">
        <f>IF(NFI_Expiration=1,IF($A332&lt;VLOOKUP(O$5,NFI,5,0),1,0)*Table_NFI[[#This Row],[Clothes Kit]],Table_NFI[Clothes Kit])</f>
        <v>0</v>
      </c>
      <c r="AE332" s="436">
        <f>IF(NFI_Expiration=1,IF($A332&lt;VLOOKUP(P$5,NFI,5,0),1,0)*Table_NFI[[#This Row],[Plastic Bucket]],Table_NFI[Plastic Bucket])</f>
        <v>0</v>
      </c>
      <c r="AF332" s="436">
        <f>IF(NFI_Expiration=1,IF($A332&lt;VLOOKUP(Q$5,NFI,5,0),1,0)*Table_NFI[[#This Row],[Plastic Mat]],Table_NFI[Plastic Mat])*IF(Table_NFI[[#This Row],[Distribution Date]]&gt;"2014-04-01",1,2.5)</f>
        <v>0</v>
      </c>
      <c r="AG332" s="436">
        <f>IF(NFI_Expiration=1,IF($A332&lt;VLOOKUP(R$5,NFI,5,0),1,0)*Table_NFI[[#This Row],[Winter Clothes Adult]],Table_NFI[Winter Clothes Adult])</f>
        <v>0</v>
      </c>
      <c r="AH332" s="436">
        <f>IF(NFI_Expiration=1,IF($A332&lt;VLOOKUP(S$5,NFI,5,0),1,0)*Table_NFI[[#This Row],[Winter Clothes Children]],Table_NFI[Winter Clothes Children])</f>
        <v>0</v>
      </c>
      <c r="AI332" s="436">
        <f>IF(NFI_Expiration=1,IF($A332&lt;VLOOKUP(T$5,NFI,5,0),1,0)*Table_NFI[[#This Row],[Winter Items Other]],Table_NFI[Winter Items Other])</f>
        <v>0</v>
      </c>
      <c r="AJ332" s="436">
        <f>IF(NFI_Expiration=1,IF($A332&lt;VLOOKUP(M$5,NFI,5,0),1,0)*Table_NFI[[#This Row],[Winter Blanket]],Table_NFI[[#This Row],[Winter Blanket]])</f>
        <v>0</v>
      </c>
      <c r="AK332" s="436">
        <f>IF(Table_NFI[[#This Row],[Winter Clothes Adult]]+Table_NFI[[#This Row],[Winter Clothes Children]]+Table_NFI[[#This Row],[Winter Items Other]]+Table_NFI[[#This Row],[Winter Blanket]]&gt;0,1,0)</f>
        <v>1</v>
      </c>
      <c r="AL332" s="439">
        <f>IF(NFI_Expiration=1,IF($A332&lt;VLOOKUP(V$5,NFI,5,0),1,0)*Table_NFI[[#This Row],[Jerry Can]],Table_NFI[Jerry Can])</f>
        <v>0</v>
      </c>
      <c r="AM332" s="781" t="str">
        <f>IFERROR(VLOOKUP(Table_NFI[[#This Row],[Camp Name]],CL,2,0),"")</f>
        <v>MMR001CMP038</v>
      </c>
      <c r="AN332" s="782">
        <f ca="1">IF(Table_NFI[[#This Row],[Pcode]]="","",IF(OFFSET(CampList[Opening Date],MATCH(Table_NFI[[#This Row],[Pcode]],CampList[CP_Pcode],0)-1,0,1,1)&gt;=NFI_Monitor_Date,1,0))</f>
        <v>0</v>
      </c>
      <c r="AO332" s="781" t="str">
        <f>IFERROR(VLOOKUP(Table_NFI[[#This Row],[Camp Name]],CL,3,0),"")</f>
        <v>Open</v>
      </c>
      <c r="AP332" s="436" t="str">
        <f ca="1">IF(Table_NFI[[#This Row],[Pcode]]="","",OFFSET(CampList[Priority],MATCH(Table_NFI[[#This Row],[Pcode]],CampList[CP_Pcode],0)-1,0,1,1))</f>
        <v>P4</v>
      </c>
      <c r="AQ332" s="438">
        <f>IFERROR(Table_NFI[[#This Row],[Kitchen Set]]/VLOOKUP(Table_NFI[[#This Row],[Camp Name]],CL,4,0),"")</f>
        <v>0</v>
      </c>
      <c r="AR332" s="779"/>
      <c r="AS332" s="783"/>
    </row>
    <row r="333" spans="1:45" s="784" customFormat="1" x14ac:dyDescent="0.25">
      <c r="A333" s="455">
        <f t="shared" si="5"/>
        <v>22.933333333333334</v>
      </c>
      <c r="B333" s="778">
        <v>41621</v>
      </c>
      <c r="C333" s="779" t="s">
        <v>912</v>
      </c>
      <c r="D333" s="779" t="s">
        <v>912</v>
      </c>
      <c r="E333" s="779" t="s">
        <v>380</v>
      </c>
      <c r="F333" s="779" t="s">
        <v>151</v>
      </c>
      <c r="G333" s="779" t="s">
        <v>152</v>
      </c>
      <c r="H333" s="436"/>
      <c r="I333" s="436"/>
      <c r="J333" s="436"/>
      <c r="K333" s="436"/>
      <c r="L333" s="437"/>
      <c r="M333" s="437"/>
      <c r="N333" s="437"/>
      <c r="O333" s="437"/>
      <c r="P333" s="439"/>
      <c r="Q333" s="439"/>
      <c r="R333" s="436">
        <v>13</v>
      </c>
      <c r="S333" s="436">
        <v>53</v>
      </c>
      <c r="T333" s="436">
        <v>132</v>
      </c>
      <c r="U333" s="436">
        <v>66</v>
      </c>
      <c r="V333" s="436"/>
      <c r="W333" s="436">
        <f>IF(NFI_Expiration=1,IF($A333&lt;VLOOKUP(H$5,NFI,5,0),1,0)*Table_NFI[[#This Row],[Hygiene Kit]],Table_NFI[Hygiene Kit])</f>
        <v>0</v>
      </c>
      <c r="X333" s="436">
        <f>IF(NFI_Expiration=1,IF($A333&lt;VLOOKUP(I$5,NFI,5,0),1,0)*Table_NFI[[#This Row],[NFI Core Kit]],Table_NFI[NFI Core Kit])</f>
        <v>0</v>
      </c>
      <c r="Y333" s="436">
        <f>IF(NFI_Expiration=1,IF($A333&lt;VLOOKUP(J$5,NFI,5,0),1,0)*Table_NFI[[#This Row],[Sanitary Kit]],Table_NFI[Sanitary Kit])</f>
        <v>0</v>
      </c>
      <c r="Z333" s="436">
        <f>IF(NFI_Expiration=1,IF($A333&lt;VLOOKUP(K$5,NFI,5,0),1,0)*Table_NFI[[#This Row],[Mosquito net]],Table_NFI[Mosquito net])</f>
        <v>0</v>
      </c>
      <c r="AA333" s="436">
        <f>IF(NFI_Expiration=1,IF($A333&lt;VLOOKUP(L$5,NFI,5,0),1,0)*Table_NFI[[#This Row],[Tarpaulin]],Table_NFI[[#This Row],[Tarpaulin]])</f>
        <v>0</v>
      </c>
      <c r="AB333" s="436">
        <f>IF(NFI_Expiration=1,IF($A333&lt;VLOOKUP(M$5,NFI,5,0),1,0)*Table_NFI[[#This Row],[Blanket]],Table_NFI[[#This Row],[Blanket]])</f>
        <v>0</v>
      </c>
      <c r="AC333" s="436">
        <f>IF(NFI_Expiration=1,IF($A333&lt;VLOOKUP(N$5,NFI,5,0),1,0)*Table_NFI[[#This Row],[Kitchen Set]],Table_NFI[Kitchen Set])</f>
        <v>0</v>
      </c>
      <c r="AD333" s="436">
        <f>IF(NFI_Expiration=1,IF($A333&lt;VLOOKUP(O$5,NFI,5,0),1,0)*Table_NFI[[#This Row],[Clothes Kit]],Table_NFI[Clothes Kit])</f>
        <v>0</v>
      </c>
      <c r="AE333" s="436">
        <f>IF(NFI_Expiration=1,IF($A333&lt;VLOOKUP(P$5,NFI,5,0),1,0)*Table_NFI[[#This Row],[Plastic Bucket]],Table_NFI[Plastic Bucket])</f>
        <v>0</v>
      </c>
      <c r="AF333" s="436">
        <f>IF(NFI_Expiration=1,IF($A333&lt;VLOOKUP(Q$5,NFI,5,0),1,0)*Table_NFI[[#This Row],[Plastic Mat]],Table_NFI[Plastic Mat])*IF(Table_NFI[[#This Row],[Distribution Date]]&gt;"2014-04-01",1,2.5)</f>
        <v>0</v>
      </c>
      <c r="AG333" s="436">
        <f>IF(NFI_Expiration=1,IF($A333&lt;VLOOKUP(R$5,NFI,5,0),1,0)*Table_NFI[[#This Row],[Winter Clothes Adult]],Table_NFI[Winter Clothes Adult])</f>
        <v>0</v>
      </c>
      <c r="AH333" s="436">
        <f>IF(NFI_Expiration=1,IF($A333&lt;VLOOKUP(S$5,NFI,5,0),1,0)*Table_NFI[[#This Row],[Winter Clothes Children]],Table_NFI[Winter Clothes Children])</f>
        <v>0</v>
      </c>
      <c r="AI333" s="436">
        <f>IF(NFI_Expiration=1,IF($A333&lt;VLOOKUP(T$5,NFI,5,0),1,0)*Table_NFI[[#This Row],[Winter Items Other]],Table_NFI[Winter Items Other])</f>
        <v>0</v>
      </c>
      <c r="AJ333" s="436">
        <f>IF(NFI_Expiration=1,IF($A333&lt;VLOOKUP(M$5,NFI,5,0),1,0)*Table_NFI[[#This Row],[Winter Blanket]],Table_NFI[[#This Row],[Winter Blanket]])</f>
        <v>0</v>
      </c>
      <c r="AK333" s="436">
        <f>IF(Table_NFI[[#This Row],[Winter Clothes Adult]]+Table_NFI[[#This Row],[Winter Clothes Children]]+Table_NFI[[#This Row],[Winter Items Other]]+Table_NFI[[#This Row],[Winter Blanket]]&gt;0,1,0)</f>
        <v>1</v>
      </c>
      <c r="AL333" s="439">
        <f>IF(NFI_Expiration=1,IF($A333&lt;VLOOKUP(V$5,NFI,5,0),1,0)*Table_NFI[[#This Row],[Jerry Can]],Table_NFI[Jerry Can])</f>
        <v>0</v>
      </c>
      <c r="AM333" s="781" t="str">
        <f>IFERROR(VLOOKUP(Table_NFI[[#This Row],[Camp Name]],CL,2,0),"")</f>
        <v>MMR001CMP066</v>
      </c>
      <c r="AN333" s="782">
        <f ca="1">IF(Table_NFI[[#This Row],[Pcode]]="","",IF(OFFSET(CampList[Opening Date],MATCH(Table_NFI[[#This Row],[Pcode]],CampList[CP_Pcode],0)-1,0,1,1)&gt;=NFI_Monitor_Date,1,0))</f>
        <v>0</v>
      </c>
      <c r="AO333" s="781" t="str">
        <f>IFERROR(VLOOKUP(Table_NFI[[#This Row],[Camp Name]],CL,3,0),"")</f>
        <v>Open</v>
      </c>
      <c r="AP333" s="436" t="str">
        <f ca="1">IF(Table_NFI[[#This Row],[Pcode]]="","",OFFSET(CampList[Priority],MATCH(Table_NFI[[#This Row],[Pcode]],CampList[CP_Pcode],0)-1,0,1,1))</f>
        <v>P4</v>
      </c>
      <c r="AQ333" s="438">
        <f>IFERROR(Table_NFI[[#This Row],[Kitchen Set]]/VLOOKUP(Table_NFI[[#This Row],[Camp Name]],CL,4,0),"")</f>
        <v>0</v>
      </c>
      <c r="AR333" s="779"/>
      <c r="AS333" s="783"/>
    </row>
    <row r="334" spans="1:45" s="784" customFormat="1" x14ac:dyDescent="0.25">
      <c r="A334" s="455">
        <f t="shared" si="5"/>
        <v>23</v>
      </c>
      <c r="B334" s="778">
        <v>41619</v>
      </c>
      <c r="C334" s="779" t="s">
        <v>1034</v>
      </c>
      <c r="D334" s="779" t="s">
        <v>1035</v>
      </c>
      <c r="E334" s="779" t="s">
        <v>380</v>
      </c>
      <c r="F334" s="435" t="s">
        <v>151</v>
      </c>
      <c r="G334" s="435" t="s">
        <v>188</v>
      </c>
      <c r="H334" s="436"/>
      <c r="I334" s="436"/>
      <c r="J334" s="436"/>
      <c r="K334" s="436"/>
      <c r="L334" s="437"/>
      <c r="M334" s="437">
        <v>278</v>
      </c>
      <c r="N334" s="437"/>
      <c r="O334" s="437"/>
      <c r="P334" s="439"/>
      <c r="Q334" s="439"/>
      <c r="R334" s="436"/>
      <c r="S334" s="436"/>
      <c r="T334" s="436"/>
      <c r="U334" s="436"/>
      <c r="V334" s="436"/>
      <c r="W334" s="436">
        <f>IF(NFI_Expiration=1,IF($A334&lt;VLOOKUP(H$5,NFI,5,0),1,0)*Table_NFI[[#This Row],[Hygiene Kit]],Table_NFI[Hygiene Kit])</f>
        <v>0</v>
      </c>
      <c r="X334" s="436">
        <f>IF(NFI_Expiration=1,IF($A334&lt;VLOOKUP(I$5,NFI,5,0),1,0)*Table_NFI[[#This Row],[NFI Core Kit]],Table_NFI[NFI Core Kit])</f>
        <v>0</v>
      </c>
      <c r="Y334" s="436">
        <f>IF(NFI_Expiration=1,IF($A334&lt;VLOOKUP(J$5,NFI,5,0),1,0)*Table_NFI[[#This Row],[Sanitary Kit]],Table_NFI[Sanitary Kit])</f>
        <v>0</v>
      </c>
      <c r="Z334" s="436">
        <f>IF(NFI_Expiration=1,IF($A334&lt;VLOOKUP(K$5,NFI,5,0),1,0)*Table_NFI[[#This Row],[Mosquito net]],Table_NFI[Mosquito net])</f>
        <v>0</v>
      </c>
      <c r="AA334" s="436">
        <f>IF(NFI_Expiration=1,IF($A334&lt;VLOOKUP(L$5,NFI,5,0),1,0)*Table_NFI[[#This Row],[Tarpaulin]],Table_NFI[[#This Row],[Tarpaulin]])</f>
        <v>0</v>
      </c>
      <c r="AB334" s="436">
        <f>IF(NFI_Expiration=1,IF($A334&lt;VLOOKUP(M$5,NFI,5,0),1,0)*Table_NFI[[#This Row],[Blanket]],Table_NFI[[#This Row],[Blanket]])</f>
        <v>0</v>
      </c>
      <c r="AC334" s="436">
        <f>IF(NFI_Expiration=1,IF($A334&lt;VLOOKUP(N$5,NFI,5,0),1,0)*Table_NFI[[#This Row],[Kitchen Set]],Table_NFI[Kitchen Set])</f>
        <v>0</v>
      </c>
      <c r="AD334" s="436">
        <f>IF(NFI_Expiration=1,IF($A334&lt;VLOOKUP(O$5,NFI,5,0),1,0)*Table_NFI[[#This Row],[Clothes Kit]],Table_NFI[Clothes Kit])</f>
        <v>0</v>
      </c>
      <c r="AE334" s="436">
        <f>IF(NFI_Expiration=1,IF($A334&lt;VLOOKUP(P$5,NFI,5,0),1,0)*Table_NFI[[#This Row],[Plastic Bucket]],Table_NFI[Plastic Bucket])</f>
        <v>0</v>
      </c>
      <c r="AF334" s="436">
        <f>IF(NFI_Expiration=1,IF($A334&lt;VLOOKUP(Q$5,NFI,5,0),1,0)*Table_NFI[[#This Row],[Plastic Mat]],Table_NFI[Plastic Mat])*IF(Table_NFI[[#This Row],[Distribution Date]]&gt;"2014-04-01",1,2.5)</f>
        <v>0</v>
      </c>
      <c r="AG334" s="436">
        <f>IF(NFI_Expiration=1,IF($A334&lt;VLOOKUP(R$5,NFI,5,0),1,0)*Table_NFI[[#This Row],[Winter Clothes Adult]],Table_NFI[Winter Clothes Adult])</f>
        <v>0</v>
      </c>
      <c r="AH334" s="436">
        <f>IF(NFI_Expiration=1,IF($A334&lt;VLOOKUP(S$5,NFI,5,0),1,0)*Table_NFI[[#This Row],[Winter Clothes Children]],Table_NFI[Winter Clothes Children])</f>
        <v>0</v>
      </c>
      <c r="AI334" s="436">
        <f>IF(NFI_Expiration=1,IF($A334&lt;VLOOKUP(T$5,NFI,5,0),1,0)*Table_NFI[[#This Row],[Winter Items Other]],Table_NFI[Winter Items Other])</f>
        <v>0</v>
      </c>
      <c r="AJ334" s="436">
        <f>IF(NFI_Expiration=1,IF($A334&lt;VLOOKUP(M$5,NFI,5,0),1,0)*Table_NFI[[#This Row],[Winter Blanket]],Table_NFI[[#This Row],[Winter Blanket]])</f>
        <v>0</v>
      </c>
      <c r="AK334" s="436">
        <f>IF(Table_NFI[[#This Row],[Winter Clothes Adult]]+Table_NFI[[#This Row],[Winter Clothes Children]]+Table_NFI[[#This Row],[Winter Items Other]]+Table_NFI[[#This Row],[Winter Blanket]]&gt;0,1,0)</f>
        <v>0</v>
      </c>
      <c r="AL334" s="439">
        <f>IF(NFI_Expiration=1,IF($A334&lt;VLOOKUP(V$5,NFI,5,0),1,0)*Table_NFI[[#This Row],[Jerry Can]],Table_NFI[Jerry Can])</f>
        <v>0</v>
      </c>
      <c r="AM334" s="781" t="str">
        <f>IFERROR(VLOOKUP(Table_NFI[[#This Row],[Camp Name]],CL,2,0),"")</f>
        <v>MMR001CMP129</v>
      </c>
      <c r="AN334" s="782">
        <f ca="1">IF(Table_NFI[[#This Row],[Pcode]]="","",IF(OFFSET(CampList[Opening Date],MATCH(Table_NFI[[#This Row],[Pcode]],CampList[CP_Pcode],0)-1,0,1,1)&gt;=NFI_Monitor_Date,1,0))</f>
        <v>0</v>
      </c>
      <c r="AO334" s="781" t="str">
        <f>IFERROR(VLOOKUP(Table_NFI[[#This Row],[Camp Name]],CL,3,0),"")</f>
        <v>Open</v>
      </c>
      <c r="AP334" s="436" t="str">
        <f ca="1">IF(Table_NFI[[#This Row],[Pcode]]="","",OFFSET(CampList[Priority],MATCH(Table_NFI[[#This Row],[Pcode]],CampList[CP_Pcode],0)-1,0,1,1))</f>
        <v>P2</v>
      </c>
      <c r="AQ334" s="438">
        <f>IFERROR(Table_NFI[[#This Row],[Kitchen Set]]/VLOOKUP(Table_NFI[[#This Row],[Camp Name]],CL,4,0),"")</f>
        <v>0</v>
      </c>
      <c r="AR334" s="779" t="s">
        <v>1099</v>
      </c>
      <c r="AS334" s="783"/>
    </row>
    <row r="335" spans="1:45" s="784" customFormat="1" x14ac:dyDescent="0.25">
      <c r="A335" s="455">
        <f t="shared" si="5"/>
        <v>23</v>
      </c>
      <c r="B335" s="778">
        <v>41619</v>
      </c>
      <c r="C335" s="779" t="s">
        <v>1034</v>
      </c>
      <c r="D335" s="779" t="s">
        <v>1035</v>
      </c>
      <c r="E335" s="779" t="s">
        <v>380</v>
      </c>
      <c r="F335" s="435" t="s">
        <v>151</v>
      </c>
      <c r="G335" s="779" t="s">
        <v>188</v>
      </c>
      <c r="H335" s="436"/>
      <c r="I335" s="436"/>
      <c r="J335" s="436"/>
      <c r="K335" s="436"/>
      <c r="L335" s="437"/>
      <c r="M335" s="437">
        <v>174</v>
      </c>
      <c r="N335" s="437"/>
      <c r="O335" s="437"/>
      <c r="P335" s="439"/>
      <c r="Q335" s="439"/>
      <c r="R335" s="436"/>
      <c r="S335" s="436"/>
      <c r="T335" s="436"/>
      <c r="U335" s="436"/>
      <c r="V335" s="436"/>
      <c r="W335" s="436">
        <f>IF(NFI_Expiration=1,IF($A335&lt;VLOOKUP(H$5,NFI,5,0),1,0)*Table_NFI[[#This Row],[Hygiene Kit]],Table_NFI[Hygiene Kit])</f>
        <v>0</v>
      </c>
      <c r="X335" s="436">
        <f>IF(NFI_Expiration=1,IF($A335&lt;VLOOKUP(I$5,NFI,5,0),1,0)*Table_NFI[[#This Row],[NFI Core Kit]],Table_NFI[NFI Core Kit])</f>
        <v>0</v>
      </c>
      <c r="Y335" s="436">
        <f>IF(NFI_Expiration=1,IF($A335&lt;VLOOKUP(J$5,NFI,5,0),1,0)*Table_NFI[[#This Row],[Sanitary Kit]],Table_NFI[Sanitary Kit])</f>
        <v>0</v>
      </c>
      <c r="Z335" s="436">
        <f>IF(NFI_Expiration=1,IF($A335&lt;VLOOKUP(K$5,NFI,5,0),1,0)*Table_NFI[[#This Row],[Mosquito net]],Table_NFI[Mosquito net])</f>
        <v>0</v>
      </c>
      <c r="AA335" s="436">
        <f>IF(NFI_Expiration=1,IF($A335&lt;VLOOKUP(L$5,NFI,5,0),1,0)*Table_NFI[[#This Row],[Tarpaulin]],Table_NFI[[#This Row],[Tarpaulin]])</f>
        <v>0</v>
      </c>
      <c r="AB335" s="436">
        <f>IF(NFI_Expiration=1,IF($A335&lt;VLOOKUP(M$5,NFI,5,0),1,0)*Table_NFI[[#This Row],[Blanket]],Table_NFI[[#This Row],[Blanket]])</f>
        <v>0</v>
      </c>
      <c r="AC335" s="436">
        <f>IF(NFI_Expiration=1,IF($A335&lt;VLOOKUP(N$5,NFI,5,0),1,0)*Table_NFI[[#This Row],[Kitchen Set]],Table_NFI[Kitchen Set])</f>
        <v>0</v>
      </c>
      <c r="AD335" s="436">
        <f>IF(NFI_Expiration=1,IF($A335&lt;VLOOKUP(O$5,NFI,5,0),1,0)*Table_NFI[[#This Row],[Clothes Kit]],Table_NFI[Clothes Kit])</f>
        <v>0</v>
      </c>
      <c r="AE335" s="436">
        <f>IF(NFI_Expiration=1,IF($A335&lt;VLOOKUP(P$5,NFI,5,0),1,0)*Table_NFI[[#This Row],[Plastic Bucket]],Table_NFI[Plastic Bucket])</f>
        <v>0</v>
      </c>
      <c r="AF335" s="436">
        <f>IF(NFI_Expiration=1,IF($A335&lt;VLOOKUP(Q$5,NFI,5,0),1,0)*Table_NFI[[#This Row],[Plastic Mat]],Table_NFI[Plastic Mat])*IF(Table_NFI[[#This Row],[Distribution Date]]&gt;"2014-04-01",1,2.5)</f>
        <v>0</v>
      </c>
      <c r="AG335" s="436">
        <f>IF(NFI_Expiration=1,IF($A335&lt;VLOOKUP(R$5,NFI,5,0),1,0)*Table_NFI[[#This Row],[Winter Clothes Adult]],Table_NFI[Winter Clothes Adult])</f>
        <v>0</v>
      </c>
      <c r="AH335" s="436">
        <f>IF(NFI_Expiration=1,IF($A335&lt;VLOOKUP(S$5,NFI,5,0),1,0)*Table_NFI[[#This Row],[Winter Clothes Children]],Table_NFI[Winter Clothes Children])</f>
        <v>0</v>
      </c>
      <c r="AI335" s="436">
        <f>IF(NFI_Expiration=1,IF($A335&lt;VLOOKUP(T$5,NFI,5,0),1,0)*Table_NFI[[#This Row],[Winter Items Other]],Table_NFI[Winter Items Other])</f>
        <v>0</v>
      </c>
      <c r="AJ335" s="436">
        <f>IF(NFI_Expiration=1,IF($A335&lt;VLOOKUP(M$5,NFI,5,0),1,0)*Table_NFI[[#This Row],[Winter Blanket]],Table_NFI[[#This Row],[Winter Blanket]])</f>
        <v>0</v>
      </c>
      <c r="AK335" s="436">
        <f>IF(Table_NFI[[#This Row],[Winter Clothes Adult]]+Table_NFI[[#This Row],[Winter Clothes Children]]+Table_NFI[[#This Row],[Winter Items Other]]+Table_NFI[[#This Row],[Winter Blanket]]&gt;0,1,0)</f>
        <v>0</v>
      </c>
      <c r="AL335" s="439">
        <f>IF(NFI_Expiration=1,IF($A335&lt;VLOOKUP(V$5,NFI,5,0),1,0)*Table_NFI[[#This Row],[Jerry Can]],Table_NFI[Jerry Can])</f>
        <v>0</v>
      </c>
      <c r="AM335" s="781" t="str">
        <f>IFERROR(VLOOKUP(Table_NFI[[#This Row],[Camp Name]],CL,2,0),"")</f>
        <v>MMR001CMP129</v>
      </c>
      <c r="AN335" s="782">
        <f ca="1">IF(Table_NFI[[#This Row],[Pcode]]="","",IF(OFFSET(CampList[Opening Date],MATCH(Table_NFI[[#This Row],[Pcode]],CampList[CP_Pcode],0)-1,0,1,1)&gt;=NFI_Monitor_Date,1,0))</f>
        <v>0</v>
      </c>
      <c r="AO335" s="781" t="str">
        <f>IFERROR(VLOOKUP(Table_NFI[[#This Row],[Camp Name]],CL,3,0),"")</f>
        <v>Open</v>
      </c>
      <c r="AP335" s="436" t="str">
        <f ca="1">IF(Table_NFI[[#This Row],[Pcode]]="","",OFFSET(CampList[Priority],MATCH(Table_NFI[[#This Row],[Pcode]],CampList[CP_Pcode],0)-1,0,1,1))</f>
        <v>P2</v>
      </c>
      <c r="AQ335" s="438">
        <f>IFERROR(Table_NFI[[#This Row],[Kitchen Set]]/VLOOKUP(Table_NFI[[#This Row],[Camp Name]],CL,4,0),"")</f>
        <v>0</v>
      </c>
      <c r="AR335" s="779" t="s">
        <v>1099</v>
      </c>
      <c r="AS335" s="783"/>
    </row>
    <row r="336" spans="1:45" s="784" customFormat="1" x14ac:dyDescent="0.25">
      <c r="A336" s="455">
        <f t="shared" si="5"/>
        <v>23</v>
      </c>
      <c r="B336" s="778">
        <v>41619</v>
      </c>
      <c r="C336" s="779" t="s">
        <v>1034</v>
      </c>
      <c r="D336" s="779" t="s">
        <v>1035</v>
      </c>
      <c r="E336" s="779" t="s">
        <v>380</v>
      </c>
      <c r="F336" s="435" t="s">
        <v>151</v>
      </c>
      <c r="G336" s="779" t="s">
        <v>198</v>
      </c>
      <c r="H336" s="436"/>
      <c r="I336" s="436"/>
      <c r="J336" s="436"/>
      <c r="K336" s="436"/>
      <c r="L336" s="437"/>
      <c r="M336" s="437">
        <v>543</v>
      </c>
      <c r="N336" s="437"/>
      <c r="O336" s="437"/>
      <c r="P336" s="439"/>
      <c r="Q336" s="439"/>
      <c r="R336" s="436"/>
      <c r="S336" s="436"/>
      <c r="T336" s="436"/>
      <c r="U336" s="436"/>
      <c r="V336" s="436"/>
      <c r="W336" s="436">
        <f>IF(NFI_Expiration=1,IF($A336&lt;VLOOKUP(H$5,NFI,5,0),1,0)*Table_NFI[[#This Row],[Hygiene Kit]],Table_NFI[Hygiene Kit])</f>
        <v>0</v>
      </c>
      <c r="X336" s="436">
        <f>IF(NFI_Expiration=1,IF($A336&lt;VLOOKUP(I$5,NFI,5,0),1,0)*Table_NFI[[#This Row],[NFI Core Kit]],Table_NFI[NFI Core Kit])</f>
        <v>0</v>
      </c>
      <c r="Y336" s="436">
        <f>IF(NFI_Expiration=1,IF($A336&lt;VLOOKUP(J$5,NFI,5,0),1,0)*Table_NFI[[#This Row],[Sanitary Kit]],Table_NFI[Sanitary Kit])</f>
        <v>0</v>
      </c>
      <c r="Z336" s="436">
        <f>IF(NFI_Expiration=1,IF($A336&lt;VLOOKUP(K$5,NFI,5,0),1,0)*Table_NFI[[#This Row],[Mosquito net]],Table_NFI[Mosquito net])</f>
        <v>0</v>
      </c>
      <c r="AA336" s="436">
        <f>IF(NFI_Expiration=1,IF($A336&lt;VLOOKUP(L$5,NFI,5,0),1,0)*Table_NFI[[#This Row],[Tarpaulin]],Table_NFI[[#This Row],[Tarpaulin]])</f>
        <v>0</v>
      </c>
      <c r="AB336" s="436">
        <f>IF(NFI_Expiration=1,IF($A336&lt;VLOOKUP(M$5,NFI,5,0),1,0)*Table_NFI[[#This Row],[Blanket]],Table_NFI[[#This Row],[Blanket]])</f>
        <v>0</v>
      </c>
      <c r="AC336" s="436">
        <f>IF(NFI_Expiration=1,IF($A336&lt;VLOOKUP(N$5,NFI,5,0),1,0)*Table_NFI[[#This Row],[Kitchen Set]],Table_NFI[Kitchen Set])</f>
        <v>0</v>
      </c>
      <c r="AD336" s="436">
        <f>IF(NFI_Expiration=1,IF($A336&lt;VLOOKUP(O$5,NFI,5,0),1,0)*Table_NFI[[#This Row],[Clothes Kit]],Table_NFI[Clothes Kit])</f>
        <v>0</v>
      </c>
      <c r="AE336" s="436">
        <f>IF(NFI_Expiration=1,IF($A336&lt;VLOOKUP(P$5,NFI,5,0),1,0)*Table_NFI[[#This Row],[Plastic Bucket]],Table_NFI[Plastic Bucket])</f>
        <v>0</v>
      </c>
      <c r="AF336" s="436">
        <f>IF(NFI_Expiration=1,IF($A336&lt;VLOOKUP(Q$5,NFI,5,0),1,0)*Table_NFI[[#This Row],[Plastic Mat]],Table_NFI[Plastic Mat])*IF(Table_NFI[[#This Row],[Distribution Date]]&gt;"2014-04-01",1,2.5)</f>
        <v>0</v>
      </c>
      <c r="AG336" s="436">
        <f>IF(NFI_Expiration=1,IF($A336&lt;VLOOKUP(R$5,NFI,5,0),1,0)*Table_NFI[[#This Row],[Winter Clothes Adult]],Table_NFI[Winter Clothes Adult])</f>
        <v>0</v>
      </c>
      <c r="AH336" s="436">
        <f>IF(NFI_Expiration=1,IF($A336&lt;VLOOKUP(S$5,NFI,5,0),1,0)*Table_NFI[[#This Row],[Winter Clothes Children]],Table_NFI[Winter Clothes Children])</f>
        <v>0</v>
      </c>
      <c r="AI336" s="436">
        <f>IF(NFI_Expiration=1,IF($A336&lt;VLOOKUP(T$5,NFI,5,0),1,0)*Table_NFI[[#This Row],[Winter Items Other]],Table_NFI[Winter Items Other])</f>
        <v>0</v>
      </c>
      <c r="AJ336" s="436">
        <f>IF(NFI_Expiration=1,IF($A336&lt;VLOOKUP(M$5,NFI,5,0),1,0)*Table_NFI[[#This Row],[Winter Blanket]],Table_NFI[[#This Row],[Winter Blanket]])</f>
        <v>0</v>
      </c>
      <c r="AK336" s="436">
        <f>IF(Table_NFI[[#This Row],[Winter Clothes Adult]]+Table_NFI[[#This Row],[Winter Clothes Children]]+Table_NFI[[#This Row],[Winter Items Other]]+Table_NFI[[#This Row],[Winter Blanket]]&gt;0,1,0)</f>
        <v>0</v>
      </c>
      <c r="AL336" s="439">
        <f>IF(NFI_Expiration=1,IF($A336&lt;VLOOKUP(V$5,NFI,5,0),1,0)*Table_NFI[[#This Row],[Jerry Can]],Table_NFI[Jerry Can])</f>
        <v>0</v>
      </c>
      <c r="AM336" s="781" t="str">
        <f>IFERROR(VLOOKUP(Table_NFI[[#This Row],[Camp Name]],CL,2,0),"")</f>
        <v>MMR001CMP128</v>
      </c>
      <c r="AN336" s="782">
        <f ca="1">IF(Table_NFI[[#This Row],[Pcode]]="","",IF(OFFSET(CampList[Opening Date],MATCH(Table_NFI[[#This Row],[Pcode]],CampList[CP_Pcode],0)-1,0,1,1)&gt;=NFI_Monitor_Date,1,0))</f>
        <v>0</v>
      </c>
      <c r="AO336" s="781" t="str">
        <f>IFERROR(VLOOKUP(Table_NFI[[#This Row],[Camp Name]],CL,3,0),"")</f>
        <v>Open</v>
      </c>
      <c r="AP336" s="436" t="str">
        <f ca="1">IF(Table_NFI[[#This Row],[Pcode]]="","",OFFSET(CampList[Priority],MATCH(Table_NFI[[#This Row],[Pcode]],CampList[CP_Pcode],0)-1,0,1,1))</f>
        <v>P2</v>
      </c>
      <c r="AQ336" s="438">
        <f>IFERROR(Table_NFI[[#This Row],[Kitchen Set]]/VLOOKUP(Table_NFI[[#This Row],[Camp Name]],CL,4,0),"")</f>
        <v>0</v>
      </c>
      <c r="AR336" s="779" t="s">
        <v>1099</v>
      </c>
      <c r="AS336" s="783"/>
    </row>
    <row r="337" spans="1:45" s="784" customFormat="1" x14ac:dyDescent="0.25">
      <c r="A337" s="455">
        <f t="shared" si="5"/>
        <v>23</v>
      </c>
      <c r="B337" s="778">
        <v>41619</v>
      </c>
      <c r="C337" s="779" t="s">
        <v>1034</v>
      </c>
      <c r="D337" s="779" t="s">
        <v>1035</v>
      </c>
      <c r="E337" s="779" t="s">
        <v>380</v>
      </c>
      <c r="F337" s="779" t="s">
        <v>151</v>
      </c>
      <c r="G337" s="779" t="s">
        <v>158</v>
      </c>
      <c r="H337" s="436"/>
      <c r="I337" s="436"/>
      <c r="J337" s="436"/>
      <c r="K337" s="436"/>
      <c r="L337" s="437"/>
      <c r="M337" s="437">
        <v>38</v>
      </c>
      <c r="N337" s="437"/>
      <c r="O337" s="437"/>
      <c r="P337" s="439"/>
      <c r="Q337" s="439"/>
      <c r="R337" s="436"/>
      <c r="S337" s="436"/>
      <c r="T337" s="436"/>
      <c r="U337" s="436"/>
      <c r="V337" s="436"/>
      <c r="W337" s="436">
        <f>IF(NFI_Expiration=1,IF($A337&lt;VLOOKUP(H$5,NFI,5,0),1,0)*Table_NFI[[#This Row],[Hygiene Kit]],Table_NFI[Hygiene Kit])</f>
        <v>0</v>
      </c>
      <c r="X337" s="436">
        <f>IF(NFI_Expiration=1,IF($A337&lt;VLOOKUP(I$5,NFI,5,0),1,0)*Table_NFI[[#This Row],[NFI Core Kit]],Table_NFI[NFI Core Kit])</f>
        <v>0</v>
      </c>
      <c r="Y337" s="436">
        <f>IF(NFI_Expiration=1,IF($A337&lt;VLOOKUP(J$5,NFI,5,0),1,0)*Table_NFI[[#This Row],[Sanitary Kit]],Table_NFI[Sanitary Kit])</f>
        <v>0</v>
      </c>
      <c r="Z337" s="436">
        <f>IF(NFI_Expiration=1,IF($A337&lt;VLOOKUP(K$5,NFI,5,0),1,0)*Table_NFI[[#This Row],[Mosquito net]],Table_NFI[Mosquito net])</f>
        <v>0</v>
      </c>
      <c r="AA337" s="436">
        <f>IF(NFI_Expiration=1,IF($A337&lt;VLOOKUP(L$5,NFI,5,0),1,0)*Table_NFI[[#This Row],[Tarpaulin]],Table_NFI[[#This Row],[Tarpaulin]])</f>
        <v>0</v>
      </c>
      <c r="AB337" s="436">
        <f>IF(NFI_Expiration=1,IF($A337&lt;VLOOKUP(M$5,NFI,5,0),1,0)*Table_NFI[[#This Row],[Blanket]],Table_NFI[[#This Row],[Blanket]])</f>
        <v>0</v>
      </c>
      <c r="AC337" s="436">
        <f>IF(NFI_Expiration=1,IF($A337&lt;VLOOKUP(N$5,NFI,5,0),1,0)*Table_NFI[[#This Row],[Kitchen Set]],Table_NFI[Kitchen Set])</f>
        <v>0</v>
      </c>
      <c r="AD337" s="436">
        <f>IF(NFI_Expiration=1,IF($A337&lt;VLOOKUP(O$5,NFI,5,0),1,0)*Table_NFI[[#This Row],[Clothes Kit]],Table_NFI[Clothes Kit])</f>
        <v>0</v>
      </c>
      <c r="AE337" s="436">
        <f>IF(NFI_Expiration=1,IF($A337&lt;VLOOKUP(P$5,NFI,5,0),1,0)*Table_NFI[[#This Row],[Plastic Bucket]],Table_NFI[Plastic Bucket])</f>
        <v>0</v>
      </c>
      <c r="AF337" s="436">
        <f>IF(NFI_Expiration=1,IF($A337&lt;VLOOKUP(Q$5,NFI,5,0),1,0)*Table_NFI[[#This Row],[Plastic Mat]],Table_NFI[Plastic Mat])*IF(Table_NFI[[#This Row],[Distribution Date]]&gt;"2014-04-01",1,2.5)</f>
        <v>0</v>
      </c>
      <c r="AG337" s="436">
        <f>IF(NFI_Expiration=1,IF($A337&lt;VLOOKUP(R$5,NFI,5,0),1,0)*Table_NFI[[#This Row],[Winter Clothes Adult]],Table_NFI[Winter Clothes Adult])</f>
        <v>0</v>
      </c>
      <c r="AH337" s="436">
        <f>IF(NFI_Expiration=1,IF($A337&lt;VLOOKUP(S$5,NFI,5,0),1,0)*Table_NFI[[#This Row],[Winter Clothes Children]],Table_NFI[Winter Clothes Children])</f>
        <v>0</v>
      </c>
      <c r="AI337" s="436">
        <f>IF(NFI_Expiration=1,IF($A337&lt;VLOOKUP(T$5,NFI,5,0),1,0)*Table_NFI[[#This Row],[Winter Items Other]],Table_NFI[Winter Items Other])</f>
        <v>0</v>
      </c>
      <c r="AJ337" s="436">
        <f>IF(NFI_Expiration=1,IF($A337&lt;VLOOKUP(M$5,NFI,5,0),1,0)*Table_NFI[[#This Row],[Winter Blanket]],Table_NFI[[#This Row],[Winter Blanket]])</f>
        <v>0</v>
      </c>
      <c r="AK337" s="436">
        <f>IF(Table_NFI[[#This Row],[Winter Clothes Adult]]+Table_NFI[[#This Row],[Winter Clothes Children]]+Table_NFI[[#This Row],[Winter Items Other]]+Table_NFI[[#This Row],[Winter Blanket]]&gt;0,1,0)</f>
        <v>0</v>
      </c>
      <c r="AL337" s="439">
        <f>IF(NFI_Expiration=1,IF($A337&lt;VLOOKUP(V$5,NFI,5,0),1,0)*Table_NFI[[#This Row],[Jerry Can]],Table_NFI[Jerry Can])</f>
        <v>0</v>
      </c>
      <c r="AM337" s="781" t="str">
        <f>IFERROR(VLOOKUP(Table_NFI[[#This Row],[Camp Name]],CL,2,0),"")</f>
        <v>MMR001CMP135</v>
      </c>
      <c r="AN337" s="782">
        <f ca="1">IF(Table_NFI[[#This Row],[Pcode]]="","",IF(OFFSET(CampList[Opening Date],MATCH(Table_NFI[[#This Row],[Pcode]],CampList[CP_Pcode],0)-1,0,1,1)&gt;=NFI_Monitor_Date,1,0))</f>
        <v>0</v>
      </c>
      <c r="AO337" s="781" t="str">
        <f>IFERROR(VLOOKUP(Table_NFI[[#This Row],[Camp Name]],CL,3,0),"")</f>
        <v>Closed</v>
      </c>
      <c r="AP337" s="436" t="str">
        <f ca="1">IF(Table_NFI[[#This Row],[Pcode]]="","",OFFSET(CampList[Priority],MATCH(Table_NFI[[#This Row],[Pcode]],CampList[CP_Pcode],0)-1,0,1,1))</f>
        <v>P2</v>
      </c>
      <c r="AQ337" s="438" t="str">
        <f>IFERROR(Table_NFI[[#This Row],[Kitchen Set]]/VLOOKUP(Table_NFI[[#This Row],[Camp Name]],CL,4,0),"")</f>
        <v/>
      </c>
      <c r="AR337" s="779" t="s">
        <v>1099</v>
      </c>
      <c r="AS337" s="783"/>
    </row>
    <row r="338" spans="1:45" s="784" customFormat="1" x14ac:dyDescent="0.25">
      <c r="A338" s="455">
        <f t="shared" si="5"/>
        <v>23</v>
      </c>
      <c r="B338" s="778">
        <v>41619</v>
      </c>
      <c r="C338" s="779" t="s">
        <v>1034</v>
      </c>
      <c r="D338" s="779" t="s">
        <v>1035</v>
      </c>
      <c r="E338" s="779" t="s">
        <v>380</v>
      </c>
      <c r="F338" s="779" t="s">
        <v>185</v>
      </c>
      <c r="G338" s="779" t="s">
        <v>215</v>
      </c>
      <c r="H338" s="436"/>
      <c r="I338" s="436"/>
      <c r="J338" s="436"/>
      <c r="K338" s="436"/>
      <c r="L338" s="437"/>
      <c r="M338" s="437">
        <v>350</v>
      </c>
      <c r="N338" s="437"/>
      <c r="O338" s="437"/>
      <c r="P338" s="439"/>
      <c r="Q338" s="439"/>
      <c r="R338" s="436"/>
      <c r="S338" s="436"/>
      <c r="T338" s="436"/>
      <c r="U338" s="436"/>
      <c r="V338" s="436"/>
      <c r="W338" s="436">
        <f>IF(NFI_Expiration=1,IF($A338&lt;VLOOKUP(H$5,NFI,5,0),1,0)*Table_NFI[[#This Row],[Hygiene Kit]],Table_NFI[Hygiene Kit])</f>
        <v>0</v>
      </c>
      <c r="X338" s="436">
        <f>IF(NFI_Expiration=1,IF($A338&lt;VLOOKUP(I$5,NFI,5,0),1,0)*Table_NFI[[#This Row],[NFI Core Kit]],Table_NFI[NFI Core Kit])</f>
        <v>0</v>
      </c>
      <c r="Y338" s="436">
        <f>IF(NFI_Expiration=1,IF($A338&lt;VLOOKUP(J$5,NFI,5,0),1,0)*Table_NFI[[#This Row],[Sanitary Kit]],Table_NFI[Sanitary Kit])</f>
        <v>0</v>
      </c>
      <c r="Z338" s="436">
        <f>IF(NFI_Expiration=1,IF($A338&lt;VLOOKUP(K$5,NFI,5,0),1,0)*Table_NFI[[#This Row],[Mosquito net]],Table_NFI[Mosquito net])</f>
        <v>0</v>
      </c>
      <c r="AA338" s="436">
        <f>IF(NFI_Expiration=1,IF($A338&lt;VLOOKUP(L$5,NFI,5,0),1,0)*Table_NFI[[#This Row],[Tarpaulin]],Table_NFI[[#This Row],[Tarpaulin]])</f>
        <v>0</v>
      </c>
      <c r="AB338" s="436">
        <f>IF(NFI_Expiration=1,IF($A338&lt;VLOOKUP(M$5,NFI,5,0),1,0)*Table_NFI[[#This Row],[Blanket]],Table_NFI[[#This Row],[Blanket]])</f>
        <v>0</v>
      </c>
      <c r="AC338" s="436">
        <f>IF(NFI_Expiration=1,IF($A338&lt;VLOOKUP(N$5,NFI,5,0),1,0)*Table_NFI[[#This Row],[Kitchen Set]],Table_NFI[Kitchen Set])</f>
        <v>0</v>
      </c>
      <c r="AD338" s="436">
        <f>IF(NFI_Expiration=1,IF($A338&lt;VLOOKUP(O$5,NFI,5,0),1,0)*Table_NFI[[#This Row],[Clothes Kit]],Table_NFI[Clothes Kit])</f>
        <v>0</v>
      </c>
      <c r="AE338" s="436">
        <f>IF(NFI_Expiration=1,IF($A338&lt;VLOOKUP(P$5,NFI,5,0),1,0)*Table_NFI[[#This Row],[Plastic Bucket]],Table_NFI[Plastic Bucket])</f>
        <v>0</v>
      </c>
      <c r="AF338" s="436">
        <f>IF(NFI_Expiration=1,IF($A338&lt;VLOOKUP(Q$5,NFI,5,0),1,0)*Table_NFI[[#This Row],[Plastic Mat]],Table_NFI[Plastic Mat])*IF(Table_NFI[[#This Row],[Distribution Date]]&gt;"2014-04-01",1,2.5)</f>
        <v>0</v>
      </c>
      <c r="AG338" s="436">
        <f>IF(NFI_Expiration=1,IF($A338&lt;VLOOKUP(R$5,NFI,5,0),1,0)*Table_NFI[[#This Row],[Winter Clothes Adult]],Table_NFI[Winter Clothes Adult])</f>
        <v>0</v>
      </c>
      <c r="AH338" s="436">
        <f>IF(NFI_Expiration=1,IF($A338&lt;VLOOKUP(S$5,NFI,5,0),1,0)*Table_NFI[[#This Row],[Winter Clothes Children]],Table_NFI[Winter Clothes Children])</f>
        <v>0</v>
      </c>
      <c r="AI338" s="436">
        <f>IF(NFI_Expiration=1,IF($A338&lt;VLOOKUP(T$5,NFI,5,0),1,0)*Table_NFI[[#This Row],[Winter Items Other]],Table_NFI[Winter Items Other])</f>
        <v>0</v>
      </c>
      <c r="AJ338" s="436">
        <f>IF(NFI_Expiration=1,IF($A338&lt;VLOOKUP(M$5,NFI,5,0),1,0)*Table_NFI[[#This Row],[Winter Blanket]],Table_NFI[[#This Row],[Winter Blanket]])</f>
        <v>0</v>
      </c>
      <c r="AK338" s="436">
        <f>IF(Table_NFI[[#This Row],[Winter Clothes Adult]]+Table_NFI[[#This Row],[Winter Clothes Children]]+Table_NFI[[#This Row],[Winter Items Other]]+Table_NFI[[#This Row],[Winter Blanket]]&gt;0,1,0)</f>
        <v>0</v>
      </c>
      <c r="AL338" s="439">
        <f>IF(NFI_Expiration=1,IF($A338&lt;VLOOKUP(V$5,NFI,5,0),1,0)*Table_NFI[[#This Row],[Jerry Can]],Table_NFI[Jerry Can])</f>
        <v>0</v>
      </c>
      <c r="AM338" s="781" t="str">
        <f>IFERROR(VLOOKUP(Table_NFI[[#This Row],[Camp Name]],CL,2,0),"")</f>
        <v>MMR001CMP131</v>
      </c>
      <c r="AN338" s="782">
        <f ca="1">IF(Table_NFI[[#This Row],[Pcode]]="","",IF(OFFSET(CampList[Opening Date],MATCH(Table_NFI[[#This Row],[Pcode]],CampList[CP_Pcode],0)-1,0,1,1)&gt;=NFI_Monitor_Date,1,0))</f>
        <v>0</v>
      </c>
      <c r="AO338" s="781" t="str">
        <f>IFERROR(VLOOKUP(Table_NFI[[#This Row],[Camp Name]],CL,3,0),"")</f>
        <v>Open</v>
      </c>
      <c r="AP338" s="436" t="str">
        <f ca="1">IF(Table_NFI[[#This Row],[Pcode]]="","",OFFSET(CampList[Priority],MATCH(Table_NFI[[#This Row],[Pcode]],CampList[CP_Pcode],0)-1,0,1,1))</f>
        <v>P1</v>
      </c>
      <c r="AQ338" s="438">
        <f>IFERROR(Table_NFI[[#This Row],[Kitchen Set]]/VLOOKUP(Table_NFI[[#This Row],[Camp Name]],CL,4,0),"")</f>
        <v>0</v>
      </c>
      <c r="AR338" s="779" t="s">
        <v>1099</v>
      </c>
      <c r="AS338" s="783"/>
    </row>
    <row r="339" spans="1:45" s="784" customFormat="1" x14ac:dyDescent="0.25">
      <c r="A339" s="455">
        <f t="shared" si="5"/>
        <v>23</v>
      </c>
      <c r="B339" s="778">
        <v>41619</v>
      </c>
      <c r="C339" s="779" t="s">
        <v>1034</v>
      </c>
      <c r="D339" s="779" t="s">
        <v>1035</v>
      </c>
      <c r="E339" s="779" t="s">
        <v>380</v>
      </c>
      <c r="F339" s="779" t="s">
        <v>185</v>
      </c>
      <c r="G339" s="779" t="s">
        <v>219</v>
      </c>
      <c r="H339" s="436"/>
      <c r="I339" s="436"/>
      <c r="J339" s="436"/>
      <c r="K339" s="436"/>
      <c r="L339" s="437"/>
      <c r="M339" s="437">
        <v>417</v>
      </c>
      <c r="N339" s="437"/>
      <c r="O339" s="437"/>
      <c r="P339" s="439"/>
      <c r="Q339" s="439"/>
      <c r="R339" s="436"/>
      <c r="S339" s="436"/>
      <c r="T339" s="436"/>
      <c r="U339" s="436"/>
      <c r="V339" s="436"/>
      <c r="W339" s="436">
        <f>IF(NFI_Expiration=1,IF($A339&lt;VLOOKUP(H$5,NFI,5,0),1,0)*Table_NFI[[#This Row],[Hygiene Kit]],Table_NFI[Hygiene Kit])</f>
        <v>0</v>
      </c>
      <c r="X339" s="436">
        <f>IF(NFI_Expiration=1,IF($A339&lt;VLOOKUP(I$5,NFI,5,0),1,0)*Table_NFI[[#This Row],[NFI Core Kit]],Table_NFI[NFI Core Kit])</f>
        <v>0</v>
      </c>
      <c r="Y339" s="436">
        <f>IF(NFI_Expiration=1,IF($A339&lt;VLOOKUP(J$5,NFI,5,0),1,0)*Table_NFI[[#This Row],[Sanitary Kit]],Table_NFI[Sanitary Kit])</f>
        <v>0</v>
      </c>
      <c r="Z339" s="436">
        <f>IF(NFI_Expiration=1,IF($A339&lt;VLOOKUP(K$5,NFI,5,0),1,0)*Table_NFI[[#This Row],[Mosquito net]],Table_NFI[Mosquito net])</f>
        <v>0</v>
      </c>
      <c r="AA339" s="436">
        <f>IF(NFI_Expiration=1,IF($A339&lt;VLOOKUP(L$5,NFI,5,0),1,0)*Table_NFI[[#This Row],[Tarpaulin]],Table_NFI[[#This Row],[Tarpaulin]])</f>
        <v>0</v>
      </c>
      <c r="AB339" s="436">
        <f>IF(NFI_Expiration=1,IF($A339&lt;VLOOKUP(M$5,NFI,5,0),1,0)*Table_NFI[[#This Row],[Blanket]],Table_NFI[[#This Row],[Blanket]])</f>
        <v>0</v>
      </c>
      <c r="AC339" s="436">
        <f>IF(NFI_Expiration=1,IF($A339&lt;VLOOKUP(N$5,NFI,5,0),1,0)*Table_NFI[[#This Row],[Kitchen Set]],Table_NFI[Kitchen Set])</f>
        <v>0</v>
      </c>
      <c r="AD339" s="436">
        <f>IF(NFI_Expiration=1,IF($A339&lt;VLOOKUP(O$5,NFI,5,0),1,0)*Table_NFI[[#This Row],[Clothes Kit]],Table_NFI[Clothes Kit])</f>
        <v>0</v>
      </c>
      <c r="AE339" s="436">
        <f>IF(NFI_Expiration=1,IF($A339&lt;VLOOKUP(P$5,NFI,5,0),1,0)*Table_NFI[[#This Row],[Plastic Bucket]],Table_NFI[Plastic Bucket])</f>
        <v>0</v>
      </c>
      <c r="AF339" s="436">
        <f>IF(NFI_Expiration=1,IF($A339&lt;VLOOKUP(Q$5,NFI,5,0),1,0)*Table_NFI[[#This Row],[Plastic Mat]],Table_NFI[Plastic Mat])*IF(Table_NFI[[#This Row],[Distribution Date]]&gt;"2014-04-01",1,2.5)</f>
        <v>0</v>
      </c>
      <c r="AG339" s="436">
        <f>IF(NFI_Expiration=1,IF($A339&lt;VLOOKUP(R$5,NFI,5,0),1,0)*Table_NFI[[#This Row],[Winter Clothes Adult]],Table_NFI[Winter Clothes Adult])</f>
        <v>0</v>
      </c>
      <c r="AH339" s="436">
        <f>IF(NFI_Expiration=1,IF($A339&lt;VLOOKUP(S$5,NFI,5,0),1,0)*Table_NFI[[#This Row],[Winter Clothes Children]],Table_NFI[Winter Clothes Children])</f>
        <v>0</v>
      </c>
      <c r="AI339" s="436">
        <f>IF(NFI_Expiration=1,IF($A339&lt;VLOOKUP(T$5,NFI,5,0),1,0)*Table_NFI[[#This Row],[Winter Items Other]],Table_NFI[Winter Items Other])</f>
        <v>0</v>
      </c>
      <c r="AJ339" s="436">
        <f>IF(NFI_Expiration=1,IF($A339&lt;VLOOKUP(M$5,NFI,5,0),1,0)*Table_NFI[[#This Row],[Winter Blanket]],Table_NFI[[#This Row],[Winter Blanket]])</f>
        <v>0</v>
      </c>
      <c r="AK339" s="436">
        <f>IF(Table_NFI[[#This Row],[Winter Clothes Adult]]+Table_NFI[[#This Row],[Winter Clothes Children]]+Table_NFI[[#This Row],[Winter Items Other]]+Table_NFI[[#This Row],[Winter Blanket]]&gt;0,1,0)</f>
        <v>0</v>
      </c>
      <c r="AL339" s="439">
        <f>IF(NFI_Expiration=1,IF($A339&lt;VLOOKUP(V$5,NFI,5,0),1,0)*Table_NFI[[#This Row],[Jerry Can]],Table_NFI[Jerry Can])</f>
        <v>0</v>
      </c>
      <c r="AM339" s="781" t="str">
        <f>IFERROR(VLOOKUP(Table_NFI[[#This Row],[Camp Name]],CL,2,0),"")</f>
        <v>MMR001CMP126</v>
      </c>
      <c r="AN339" s="782">
        <f ca="1">IF(Table_NFI[[#This Row],[Pcode]]="","",IF(OFFSET(CampList[Opening Date],MATCH(Table_NFI[[#This Row],[Pcode]],CampList[CP_Pcode],0)-1,0,1,1)&gt;=NFI_Monitor_Date,1,0))</f>
        <v>0</v>
      </c>
      <c r="AO339" s="781" t="str">
        <f>IFERROR(VLOOKUP(Table_NFI[[#This Row],[Camp Name]],CL,3,0),"")</f>
        <v>Open</v>
      </c>
      <c r="AP339" s="436" t="str">
        <f ca="1">IF(Table_NFI[[#This Row],[Pcode]]="","",OFFSET(CampList[Priority],MATCH(Table_NFI[[#This Row],[Pcode]],CampList[CP_Pcode],0)-1,0,1,1))</f>
        <v>P2</v>
      </c>
      <c r="AQ339" s="438">
        <f>IFERROR(Table_NFI[[#This Row],[Kitchen Set]]/VLOOKUP(Table_NFI[[#This Row],[Camp Name]],CL,4,0),"")</f>
        <v>0</v>
      </c>
      <c r="AR339" s="779" t="s">
        <v>1099</v>
      </c>
      <c r="AS339" s="783"/>
    </row>
    <row r="340" spans="1:45" s="784" customFormat="1" x14ac:dyDescent="0.25">
      <c r="A340" s="455">
        <f t="shared" si="5"/>
        <v>23.033333333333335</v>
      </c>
      <c r="B340" s="778">
        <v>41618</v>
      </c>
      <c r="C340" s="779" t="s">
        <v>455</v>
      </c>
      <c r="D340" s="779"/>
      <c r="E340" s="779" t="s">
        <v>380</v>
      </c>
      <c r="F340" s="779" t="s">
        <v>151</v>
      </c>
      <c r="G340" s="779" t="s">
        <v>154</v>
      </c>
      <c r="H340" s="436"/>
      <c r="I340" s="436"/>
      <c r="J340" s="436"/>
      <c r="K340" s="436"/>
      <c r="L340" s="437"/>
      <c r="M340" s="437"/>
      <c r="N340" s="437"/>
      <c r="O340" s="437"/>
      <c r="P340" s="439"/>
      <c r="Q340" s="439"/>
      <c r="R340" s="436"/>
      <c r="S340" s="436">
        <v>256</v>
      </c>
      <c r="T340" s="436"/>
      <c r="U340" s="436"/>
      <c r="V340" s="436"/>
      <c r="W340" s="436">
        <f>IF(NFI_Expiration=1,IF($A340&lt;VLOOKUP(H$5,NFI,5,0),1,0)*Table_NFI[[#This Row],[Hygiene Kit]],Table_NFI[Hygiene Kit])</f>
        <v>0</v>
      </c>
      <c r="X340" s="436">
        <f>IF(NFI_Expiration=1,IF($A340&lt;VLOOKUP(I$5,NFI,5,0),1,0)*Table_NFI[[#This Row],[NFI Core Kit]],Table_NFI[NFI Core Kit])</f>
        <v>0</v>
      </c>
      <c r="Y340" s="436">
        <f>IF(NFI_Expiration=1,IF($A340&lt;VLOOKUP(J$5,NFI,5,0),1,0)*Table_NFI[[#This Row],[Sanitary Kit]],Table_NFI[Sanitary Kit])</f>
        <v>0</v>
      </c>
      <c r="Z340" s="436">
        <f>IF(NFI_Expiration=1,IF($A340&lt;VLOOKUP(K$5,NFI,5,0),1,0)*Table_NFI[[#This Row],[Mosquito net]],Table_NFI[Mosquito net])</f>
        <v>0</v>
      </c>
      <c r="AA340" s="436">
        <f>IF(NFI_Expiration=1,IF($A340&lt;VLOOKUP(L$5,NFI,5,0),1,0)*Table_NFI[[#This Row],[Tarpaulin]],Table_NFI[[#This Row],[Tarpaulin]])</f>
        <v>0</v>
      </c>
      <c r="AB340" s="436">
        <f>IF(NFI_Expiration=1,IF($A340&lt;VLOOKUP(M$5,NFI,5,0),1,0)*Table_NFI[[#This Row],[Blanket]],Table_NFI[[#This Row],[Blanket]])</f>
        <v>0</v>
      </c>
      <c r="AC340" s="436">
        <f>IF(NFI_Expiration=1,IF($A340&lt;VLOOKUP(N$5,NFI,5,0),1,0)*Table_NFI[[#This Row],[Kitchen Set]],Table_NFI[Kitchen Set])</f>
        <v>0</v>
      </c>
      <c r="AD340" s="436">
        <f>IF(NFI_Expiration=1,IF($A340&lt;VLOOKUP(O$5,NFI,5,0),1,0)*Table_NFI[[#This Row],[Clothes Kit]],Table_NFI[Clothes Kit])</f>
        <v>0</v>
      </c>
      <c r="AE340" s="436">
        <f>IF(NFI_Expiration=1,IF($A340&lt;VLOOKUP(P$5,NFI,5,0),1,0)*Table_NFI[[#This Row],[Plastic Bucket]],Table_NFI[Plastic Bucket])</f>
        <v>0</v>
      </c>
      <c r="AF340" s="436">
        <f>IF(NFI_Expiration=1,IF($A340&lt;VLOOKUP(Q$5,NFI,5,0),1,0)*Table_NFI[[#This Row],[Plastic Mat]],Table_NFI[Plastic Mat])*IF(Table_NFI[[#This Row],[Distribution Date]]&gt;"2014-04-01",1,2.5)</f>
        <v>0</v>
      </c>
      <c r="AG340" s="436">
        <f>IF(NFI_Expiration=1,IF($A340&lt;VLOOKUP(R$5,NFI,5,0),1,0)*Table_NFI[[#This Row],[Winter Clothes Adult]],Table_NFI[Winter Clothes Adult])</f>
        <v>0</v>
      </c>
      <c r="AH340" s="436">
        <f>IF(NFI_Expiration=1,IF($A340&lt;VLOOKUP(S$5,NFI,5,0),1,0)*Table_NFI[[#This Row],[Winter Clothes Children]],Table_NFI[Winter Clothes Children])</f>
        <v>0</v>
      </c>
      <c r="AI340" s="436">
        <f>IF(NFI_Expiration=1,IF($A340&lt;VLOOKUP(T$5,NFI,5,0),1,0)*Table_NFI[[#This Row],[Winter Items Other]],Table_NFI[Winter Items Other])</f>
        <v>0</v>
      </c>
      <c r="AJ340" s="436">
        <f>IF(NFI_Expiration=1,IF($A340&lt;VLOOKUP(M$5,NFI,5,0),1,0)*Table_NFI[[#This Row],[Winter Blanket]],Table_NFI[[#This Row],[Winter Blanket]])</f>
        <v>0</v>
      </c>
      <c r="AK340" s="436">
        <f>IF(Table_NFI[[#This Row],[Winter Clothes Adult]]+Table_NFI[[#This Row],[Winter Clothes Children]]+Table_NFI[[#This Row],[Winter Items Other]]+Table_NFI[[#This Row],[Winter Blanket]]&gt;0,1,0)</f>
        <v>1</v>
      </c>
      <c r="AL340" s="439">
        <f>IF(NFI_Expiration=1,IF($A340&lt;VLOOKUP(V$5,NFI,5,0),1,0)*Table_NFI[[#This Row],[Jerry Can]],Table_NFI[Jerry Can])</f>
        <v>0</v>
      </c>
      <c r="AM340" s="781" t="str">
        <f>IFERROR(VLOOKUP(Table_NFI[[#This Row],[Camp Name]],CL,2,0),"")</f>
        <v>MMR001CMP132</v>
      </c>
      <c r="AN340" s="782">
        <f ca="1">IF(Table_NFI[[#This Row],[Pcode]]="","",IF(OFFSET(CampList[Opening Date],MATCH(Table_NFI[[#This Row],[Pcode]],CampList[CP_Pcode],0)-1,0,1,1)&gt;=NFI_Monitor_Date,1,0))</f>
        <v>0</v>
      </c>
      <c r="AO340" s="781" t="str">
        <f>IFERROR(VLOOKUP(Table_NFI[[#This Row],[Camp Name]],CL,3,0),"")</f>
        <v>Open</v>
      </c>
      <c r="AP340" s="436" t="str">
        <f ca="1">IF(Table_NFI[[#This Row],[Pcode]]="","",OFFSET(CampList[Priority],MATCH(Table_NFI[[#This Row],[Pcode]],CampList[CP_Pcode],0)-1,0,1,1))</f>
        <v>P4</v>
      </c>
      <c r="AQ340" s="438">
        <f>IFERROR(Table_NFI[[#This Row],[Kitchen Set]]/VLOOKUP(Table_NFI[[#This Row],[Camp Name]],CL,4,0),"")</f>
        <v>0</v>
      </c>
      <c r="AR340" s="779" t="s">
        <v>1099</v>
      </c>
      <c r="AS340" s="783"/>
    </row>
    <row r="341" spans="1:45" s="784" customFormat="1" x14ac:dyDescent="0.25">
      <c r="A341" s="455">
        <f t="shared" si="5"/>
        <v>23.2</v>
      </c>
      <c r="B341" s="778">
        <v>41613</v>
      </c>
      <c r="C341" s="779" t="s">
        <v>912</v>
      </c>
      <c r="D341" s="779" t="s">
        <v>462</v>
      </c>
      <c r="E341" s="779" t="s">
        <v>380</v>
      </c>
      <c r="F341" s="779" t="s">
        <v>185</v>
      </c>
      <c r="G341" s="779" t="s">
        <v>192</v>
      </c>
      <c r="H341" s="436"/>
      <c r="I341" s="436"/>
      <c r="J341" s="436"/>
      <c r="K341" s="436"/>
      <c r="L341" s="437"/>
      <c r="M341" s="437"/>
      <c r="N341" s="437"/>
      <c r="O341" s="437"/>
      <c r="P341" s="439"/>
      <c r="Q341" s="439"/>
      <c r="R341" s="436">
        <v>120</v>
      </c>
      <c r="S341" s="436">
        <v>240</v>
      </c>
      <c r="T341" s="436">
        <v>720</v>
      </c>
      <c r="U341" s="436">
        <v>360</v>
      </c>
      <c r="V341" s="436"/>
      <c r="W341" s="436">
        <f>IF(NFI_Expiration=1,IF($A341&lt;VLOOKUP(H$5,NFI,5,0),1,0)*Table_NFI[[#This Row],[Hygiene Kit]],Table_NFI[Hygiene Kit])</f>
        <v>0</v>
      </c>
      <c r="X341" s="436">
        <f>IF(NFI_Expiration=1,IF($A341&lt;VLOOKUP(I$5,NFI,5,0),1,0)*Table_NFI[[#This Row],[NFI Core Kit]],Table_NFI[NFI Core Kit])</f>
        <v>0</v>
      </c>
      <c r="Y341" s="436">
        <f>IF(NFI_Expiration=1,IF($A341&lt;VLOOKUP(J$5,NFI,5,0),1,0)*Table_NFI[[#This Row],[Sanitary Kit]],Table_NFI[Sanitary Kit])</f>
        <v>0</v>
      </c>
      <c r="Z341" s="436">
        <f>IF(NFI_Expiration=1,IF($A341&lt;VLOOKUP(K$5,NFI,5,0),1,0)*Table_NFI[[#This Row],[Mosquito net]],Table_NFI[Mosquito net])</f>
        <v>0</v>
      </c>
      <c r="AA341" s="436">
        <f>IF(NFI_Expiration=1,IF($A341&lt;VLOOKUP(L$5,NFI,5,0),1,0)*Table_NFI[[#This Row],[Tarpaulin]],Table_NFI[[#This Row],[Tarpaulin]])</f>
        <v>0</v>
      </c>
      <c r="AB341" s="436">
        <f>IF(NFI_Expiration=1,IF($A341&lt;VLOOKUP(M$5,NFI,5,0),1,0)*Table_NFI[[#This Row],[Blanket]],Table_NFI[[#This Row],[Blanket]])</f>
        <v>0</v>
      </c>
      <c r="AC341" s="436">
        <f>IF(NFI_Expiration=1,IF($A341&lt;VLOOKUP(N$5,NFI,5,0),1,0)*Table_NFI[[#This Row],[Kitchen Set]],Table_NFI[Kitchen Set])</f>
        <v>0</v>
      </c>
      <c r="AD341" s="436">
        <f>IF(NFI_Expiration=1,IF($A341&lt;VLOOKUP(O$5,NFI,5,0),1,0)*Table_NFI[[#This Row],[Clothes Kit]],Table_NFI[Clothes Kit])</f>
        <v>0</v>
      </c>
      <c r="AE341" s="436">
        <f>IF(NFI_Expiration=1,IF($A341&lt;VLOOKUP(P$5,NFI,5,0),1,0)*Table_NFI[[#This Row],[Plastic Bucket]],Table_NFI[Plastic Bucket])</f>
        <v>0</v>
      </c>
      <c r="AF341" s="436">
        <f>IF(NFI_Expiration=1,IF($A341&lt;VLOOKUP(Q$5,NFI,5,0),1,0)*Table_NFI[[#This Row],[Plastic Mat]],Table_NFI[Plastic Mat])*IF(Table_NFI[[#This Row],[Distribution Date]]&gt;"2014-04-01",1,2.5)</f>
        <v>0</v>
      </c>
      <c r="AG341" s="436">
        <f>IF(NFI_Expiration=1,IF($A341&lt;VLOOKUP(R$5,NFI,5,0),1,0)*Table_NFI[[#This Row],[Winter Clothes Adult]],Table_NFI[Winter Clothes Adult])</f>
        <v>0</v>
      </c>
      <c r="AH341" s="436">
        <f>IF(NFI_Expiration=1,IF($A341&lt;VLOOKUP(S$5,NFI,5,0),1,0)*Table_NFI[[#This Row],[Winter Clothes Children]],Table_NFI[Winter Clothes Children])</f>
        <v>0</v>
      </c>
      <c r="AI341" s="436">
        <f>IF(NFI_Expiration=1,IF($A341&lt;VLOOKUP(T$5,NFI,5,0),1,0)*Table_NFI[[#This Row],[Winter Items Other]],Table_NFI[Winter Items Other])</f>
        <v>0</v>
      </c>
      <c r="AJ341" s="436">
        <f>IF(NFI_Expiration=1,IF($A341&lt;VLOOKUP(M$5,NFI,5,0),1,0)*Table_NFI[[#This Row],[Winter Blanket]],Table_NFI[[#This Row],[Winter Blanket]])</f>
        <v>0</v>
      </c>
      <c r="AK341" s="436">
        <f>IF(Table_NFI[[#This Row],[Winter Clothes Adult]]+Table_NFI[[#This Row],[Winter Clothes Children]]+Table_NFI[[#This Row],[Winter Items Other]]+Table_NFI[[#This Row],[Winter Blanket]]&gt;0,1,0)</f>
        <v>1</v>
      </c>
      <c r="AL341" s="439">
        <f>IF(NFI_Expiration=1,IF($A341&lt;VLOOKUP(V$5,NFI,5,0),1,0)*Table_NFI[[#This Row],[Jerry Can]],Table_NFI[Jerry Can])</f>
        <v>0</v>
      </c>
      <c r="AM341" s="781" t="str">
        <f>IFERROR(VLOOKUP(Table_NFI[[#This Row],[Camp Name]],CL,2,0),"")</f>
        <v>MMR001CMP123</v>
      </c>
      <c r="AN341" s="782">
        <f ca="1">IF(Table_NFI[[#This Row],[Pcode]]="","",IF(OFFSET(CampList[Opening Date],MATCH(Table_NFI[[#This Row],[Pcode]],CampList[CP_Pcode],0)-1,0,1,1)&gt;=NFI_Monitor_Date,1,0))</f>
        <v>0</v>
      </c>
      <c r="AO341" s="781" t="str">
        <f>IFERROR(VLOOKUP(Table_NFI[[#This Row],[Camp Name]],CL,3,0),"")</f>
        <v>Open</v>
      </c>
      <c r="AP341" s="436" t="str">
        <f ca="1">IF(Table_NFI[[#This Row],[Pcode]]="","",OFFSET(CampList[Priority],MATCH(Table_NFI[[#This Row],[Pcode]],CampList[CP_Pcode],0)-1,0,1,1))</f>
        <v>P2</v>
      </c>
      <c r="AQ341" s="438">
        <f>IFERROR(Table_NFI[[#This Row],[Kitchen Set]]/VLOOKUP(Table_NFI[[#This Row],[Camp Name]],CL,4,0),"")</f>
        <v>0</v>
      </c>
      <c r="AR341" s="779"/>
      <c r="AS341" s="783"/>
    </row>
    <row r="342" spans="1:45" s="784" customFormat="1" x14ac:dyDescent="0.25">
      <c r="A342" s="455">
        <f t="shared" si="5"/>
        <v>23.233333333333334</v>
      </c>
      <c r="B342" s="778">
        <v>41612</v>
      </c>
      <c r="C342" s="779" t="s">
        <v>454</v>
      </c>
      <c r="D342" s="442" t="s">
        <v>454</v>
      </c>
      <c r="E342" s="779" t="s">
        <v>380</v>
      </c>
      <c r="F342" s="435" t="s">
        <v>5</v>
      </c>
      <c r="G342" s="435" t="s">
        <v>514</v>
      </c>
      <c r="H342" s="442"/>
      <c r="I342" s="442"/>
      <c r="J342" s="442"/>
      <c r="K342" s="785"/>
      <c r="L342" s="786"/>
      <c r="M342" s="443">
        <v>10</v>
      </c>
      <c r="N342" s="443">
        <v>5</v>
      </c>
      <c r="O342" s="443">
        <v>5</v>
      </c>
      <c r="P342" s="786"/>
      <c r="Q342" s="443"/>
      <c r="R342" s="442"/>
      <c r="S342" s="442"/>
      <c r="T342" s="442"/>
      <c r="U342" s="442"/>
      <c r="V342" s="442"/>
      <c r="W342" s="436">
        <f>IF(NFI_Expiration=1,IF($A342&lt;VLOOKUP(H$5,NFI,5,0),1,0)*Table_NFI[[#This Row],[Hygiene Kit]],Table_NFI[Hygiene Kit])</f>
        <v>0</v>
      </c>
      <c r="X342" s="436">
        <f>IF(NFI_Expiration=1,IF($A342&lt;VLOOKUP(I$5,NFI,5,0),1,0)*Table_NFI[[#This Row],[NFI Core Kit]],Table_NFI[NFI Core Kit])</f>
        <v>0</v>
      </c>
      <c r="Y342" s="436">
        <f>IF(NFI_Expiration=1,IF($A342&lt;VLOOKUP(J$5,NFI,5,0),1,0)*Table_NFI[[#This Row],[Sanitary Kit]],Table_NFI[Sanitary Kit])</f>
        <v>0</v>
      </c>
      <c r="Z342" s="436">
        <f>IF(NFI_Expiration=1,IF($A342&lt;VLOOKUP(K$5,NFI,5,0),1,0)*Table_NFI[[#This Row],[Mosquito net]],Table_NFI[Mosquito net])</f>
        <v>0</v>
      </c>
      <c r="AA342" s="436">
        <f>IF(NFI_Expiration=1,IF($A342&lt;VLOOKUP(L$5,NFI,5,0),1,0)*Table_NFI[[#This Row],[Tarpaulin]],Table_NFI[[#This Row],[Tarpaulin]])</f>
        <v>0</v>
      </c>
      <c r="AB342" s="436">
        <f>IF(NFI_Expiration=1,IF($A342&lt;VLOOKUP(M$5,NFI,5,0),1,0)*Table_NFI[[#This Row],[Blanket]],Table_NFI[[#This Row],[Blanket]])</f>
        <v>0</v>
      </c>
      <c r="AC342" s="436">
        <f>IF(NFI_Expiration=1,IF($A342&lt;VLOOKUP(N$5,NFI,5,0),1,0)*Table_NFI[[#This Row],[Kitchen Set]],Table_NFI[Kitchen Set])</f>
        <v>0</v>
      </c>
      <c r="AD342" s="436">
        <f>IF(NFI_Expiration=1,IF($A342&lt;VLOOKUP(O$5,NFI,5,0),1,0)*Table_NFI[[#This Row],[Clothes Kit]],Table_NFI[Clothes Kit])</f>
        <v>0</v>
      </c>
      <c r="AE342" s="436">
        <f>IF(NFI_Expiration=1,IF($A342&lt;VLOOKUP(P$5,NFI,5,0),1,0)*Table_NFI[[#This Row],[Plastic Bucket]],Table_NFI[Plastic Bucket])</f>
        <v>0</v>
      </c>
      <c r="AF342" s="436">
        <f>IF(NFI_Expiration=1,IF($A342&lt;VLOOKUP(Q$5,NFI,5,0),1,0)*Table_NFI[[#This Row],[Plastic Mat]],Table_NFI[Plastic Mat])*IF(Table_NFI[[#This Row],[Distribution Date]]&gt;"2014-04-01",1,2.5)</f>
        <v>0</v>
      </c>
      <c r="AG342" s="436">
        <f>IF(NFI_Expiration=1,IF($A342&lt;VLOOKUP(R$5,NFI,5,0),1,0)*Table_NFI[[#This Row],[Winter Clothes Adult]],Table_NFI[Winter Clothes Adult])</f>
        <v>0</v>
      </c>
      <c r="AH342" s="436">
        <f>IF(NFI_Expiration=1,IF($A342&lt;VLOOKUP(S$5,NFI,5,0),1,0)*Table_NFI[[#This Row],[Winter Clothes Children]],Table_NFI[Winter Clothes Children])</f>
        <v>0</v>
      </c>
      <c r="AI342" s="436">
        <f>IF(NFI_Expiration=1,IF($A342&lt;VLOOKUP(T$5,NFI,5,0),1,0)*Table_NFI[[#This Row],[Winter Items Other]],Table_NFI[Winter Items Other])</f>
        <v>0</v>
      </c>
      <c r="AJ342" s="436">
        <f>IF(NFI_Expiration=1,IF($A342&lt;VLOOKUP(M$5,NFI,5,0),1,0)*Table_NFI[[#This Row],[Winter Blanket]],Table_NFI[[#This Row],[Winter Blanket]])</f>
        <v>0</v>
      </c>
      <c r="AK342" s="436">
        <f>IF(Table_NFI[[#This Row],[Winter Clothes Adult]]+Table_NFI[[#This Row],[Winter Clothes Children]]+Table_NFI[[#This Row],[Winter Items Other]]+Table_NFI[[#This Row],[Winter Blanket]]&gt;0,1,0)</f>
        <v>0</v>
      </c>
      <c r="AL342" s="439">
        <f>IF(NFI_Expiration=1,IF($A342&lt;VLOOKUP(V$5,NFI,5,0),1,0)*Table_NFI[[#This Row],[Jerry Can]],Table_NFI[Jerry Can])</f>
        <v>0</v>
      </c>
      <c r="AM342" s="781" t="str">
        <f>IFERROR(VLOOKUP(Table_NFI[[#This Row],[Camp Name]],CL,2,0),"")</f>
        <v>MMR001CMP194</v>
      </c>
      <c r="AN342" s="782">
        <f ca="1">IF(Table_NFI[[#This Row],[Pcode]]="","",IF(OFFSET(CampList[Opening Date],MATCH(Table_NFI[[#This Row],[Pcode]],CampList[CP_Pcode],0)-1,0,1,1)&gt;=NFI_Monitor_Date,1,0))</f>
        <v>0</v>
      </c>
      <c r="AO342" s="781" t="s">
        <v>849</v>
      </c>
      <c r="AP342" s="436" t="str">
        <f ca="1">IF(Table_NFI[[#This Row],[Pcode]]="","",OFFSET(CampList[Priority],MATCH(Table_NFI[[#This Row],[Pcode]],CampList[CP_Pcode],0)-1,0,1,1))</f>
        <v>P4</v>
      </c>
      <c r="AQ342" s="438">
        <f>IFERROR(Table_NFI[[#This Row],[Kitchen Set]]/VLOOKUP(Table_NFI[[#This Row],[Camp Name]],CL,4,0),"")</f>
        <v>0.41666666666666669</v>
      </c>
      <c r="AR342" s="779" t="s">
        <v>1099</v>
      </c>
      <c r="AS342" s="783"/>
    </row>
    <row r="343" spans="1:45" s="784" customFormat="1" x14ac:dyDescent="0.25">
      <c r="A343" s="455">
        <f t="shared" si="5"/>
        <v>23.233333333333334</v>
      </c>
      <c r="B343" s="778">
        <v>41612</v>
      </c>
      <c r="C343" s="779" t="s">
        <v>454</v>
      </c>
      <c r="D343" s="442" t="s">
        <v>454</v>
      </c>
      <c r="E343" s="779" t="s">
        <v>380</v>
      </c>
      <c r="F343" s="435" t="s">
        <v>5</v>
      </c>
      <c r="G343" s="435" t="s">
        <v>22</v>
      </c>
      <c r="H343" s="442"/>
      <c r="I343" s="442"/>
      <c r="J343" s="442"/>
      <c r="K343" s="785"/>
      <c r="L343" s="786"/>
      <c r="M343" s="443">
        <v>120</v>
      </c>
      <c r="N343" s="443"/>
      <c r="O343" s="443"/>
      <c r="P343" s="786"/>
      <c r="Q343" s="443"/>
      <c r="R343" s="442"/>
      <c r="S343" s="442"/>
      <c r="T343" s="442"/>
      <c r="U343" s="442"/>
      <c r="V343" s="442"/>
      <c r="W343" s="436">
        <f>IF(NFI_Expiration=1,IF($A343&lt;VLOOKUP(H$5,NFI,5,0),1,0)*Table_NFI[[#This Row],[Hygiene Kit]],Table_NFI[Hygiene Kit])</f>
        <v>0</v>
      </c>
      <c r="X343" s="436">
        <f>IF(NFI_Expiration=1,IF($A343&lt;VLOOKUP(I$5,NFI,5,0),1,0)*Table_NFI[[#This Row],[NFI Core Kit]],Table_NFI[NFI Core Kit])</f>
        <v>0</v>
      </c>
      <c r="Y343" s="436">
        <f>IF(NFI_Expiration=1,IF($A343&lt;VLOOKUP(J$5,NFI,5,0),1,0)*Table_NFI[[#This Row],[Sanitary Kit]],Table_NFI[Sanitary Kit])</f>
        <v>0</v>
      </c>
      <c r="Z343" s="436">
        <f>IF(NFI_Expiration=1,IF($A343&lt;VLOOKUP(K$5,NFI,5,0),1,0)*Table_NFI[[#This Row],[Mosquito net]],Table_NFI[Mosquito net])</f>
        <v>0</v>
      </c>
      <c r="AA343" s="436">
        <f>IF(NFI_Expiration=1,IF($A343&lt;VLOOKUP(L$5,NFI,5,0),1,0)*Table_NFI[[#This Row],[Tarpaulin]],Table_NFI[[#This Row],[Tarpaulin]])</f>
        <v>0</v>
      </c>
      <c r="AB343" s="436">
        <f>IF(NFI_Expiration=1,IF($A343&lt;VLOOKUP(M$5,NFI,5,0),1,0)*Table_NFI[[#This Row],[Blanket]],Table_NFI[[#This Row],[Blanket]])</f>
        <v>0</v>
      </c>
      <c r="AC343" s="436">
        <f>IF(NFI_Expiration=1,IF($A343&lt;VLOOKUP(N$5,NFI,5,0),1,0)*Table_NFI[[#This Row],[Kitchen Set]],Table_NFI[Kitchen Set])</f>
        <v>0</v>
      </c>
      <c r="AD343" s="436">
        <f>IF(NFI_Expiration=1,IF($A343&lt;VLOOKUP(O$5,NFI,5,0),1,0)*Table_NFI[[#This Row],[Clothes Kit]],Table_NFI[Clothes Kit])</f>
        <v>0</v>
      </c>
      <c r="AE343" s="436">
        <f>IF(NFI_Expiration=1,IF($A343&lt;VLOOKUP(P$5,NFI,5,0),1,0)*Table_NFI[[#This Row],[Plastic Bucket]],Table_NFI[Plastic Bucket])</f>
        <v>0</v>
      </c>
      <c r="AF343" s="436">
        <f>IF(NFI_Expiration=1,IF($A343&lt;VLOOKUP(Q$5,NFI,5,0),1,0)*Table_NFI[[#This Row],[Plastic Mat]],Table_NFI[Plastic Mat])*IF(Table_NFI[[#This Row],[Distribution Date]]&gt;"2014-04-01",1,2.5)</f>
        <v>0</v>
      </c>
      <c r="AG343" s="436">
        <f>IF(NFI_Expiration=1,IF($A343&lt;VLOOKUP(R$5,NFI,5,0),1,0)*Table_NFI[[#This Row],[Winter Clothes Adult]],Table_NFI[Winter Clothes Adult])</f>
        <v>0</v>
      </c>
      <c r="AH343" s="436">
        <f>IF(NFI_Expiration=1,IF($A343&lt;VLOOKUP(S$5,NFI,5,0),1,0)*Table_NFI[[#This Row],[Winter Clothes Children]],Table_NFI[Winter Clothes Children])</f>
        <v>0</v>
      </c>
      <c r="AI343" s="436">
        <f>IF(NFI_Expiration=1,IF($A343&lt;VLOOKUP(T$5,NFI,5,0),1,0)*Table_NFI[[#This Row],[Winter Items Other]],Table_NFI[Winter Items Other])</f>
        <v>0</v>
      </c>
      <c r="AJ343" s="436">
        <f>IF(NFI_Expiration=1,IF($A343&lt;VLOOKUP(M$5,NFI,5,0),1,0)*Table_NFI[[#This Row],[Winter Blanket]],Table_NFI[[#This Row],[Winter Blanket]])</f>
        <v>0</v>
      </c>
      <c r="AK343" s="436">
        <f>IF(Table_NFI[[#This Row],[Winter Clothes Adult]]+Table_NFI[[#This Row],[Winter Clothes Children]]+Table_NFI[[#This Row],[Winter Items Other]]+Table_NFI[[#This Row],[Winter Blanket]]&gt;0,1,0)</f>
        <v>0</v>
      </c>
      <c r="AL343" s="439">
        <f>IF(NFI_Expiration=1,IF($A343&lt;VLOOKUP(V$5,NFI,5,0),1,0)*Table_NFI[[#This Row],[Jerry Can]],Table_NFI[Jerry Can])</f>
        <v>0</v>
      </c>
      <c r="AM343" s="781" t="str">
        <f>IFERROR(VLOOKUP(Table_NFI[[#This Row],[Camp Name]],CL,2,0),"")</f>
        <v>MMR001CMP047</v>
      </c>
      <c r="AN343" s="782">
        <f ca="1">IF(Table_NFI[[#This Row],[Pcode]]="","",IF(OFFSET(CampList[Opening Date],MATCH(Table_NFI[[#This Row],[Pcode]],CampList[CP_Pcode],0)-1,0,1,1)&gt;=NFI_Monitor_Date,1,0))</f>
        <v>0</v>
      </c>
      <c r="AO343" s="781" t="str">
        <f>IFERROR(VLOOKUP(Table_NFI[[#This Row],[Camp Name]],CL,3,0),"")</f>
        <v>Open</v>
      </c>
      <c r="AP343" s="436" t="str">
        <f ca="1">IF(Table_NFI[[#This Row],[Pcode]]="","",OFFSET(CampList[Priority],MATCH(Table_NFI[[#This Row],[Pcode]],CampList[CP_Pcode],0)-1,0,1,1))</f>
        <v>P4</v>
      </c>
      <c r="AQ343" s="438">
        <f>IFERROR(Table_NFI[[#This Row],[Kitchen Set]]/VLOOKUP(Table_NFI[[#This Row],[Camp Name]],CL,4,0),"")</f>
        <v>0</v>
      </c>
      <c r="AR343" s="779" t="s">
        <v>1099</v>
      </c>
      <c r="AS343" s="783"/>
    </row>
    <row r="344" spans="1:45" s="784" customFormat="1" x14ac:dyDescent="0.25">
      <c r="A344" s="455">
        <f t="shared" si="5"/>
        <v>23.233333333333334</v>
      </c>
      <c r="B344" s="778">
        <v>41612</v>
      </c>
      <c r="C344" s="779" t="s">
        <v>454</v>
      </c>
      <c r="D344" s="442" t="s">
        <v>454</v>
      </c>
      <c r="E344" s="779" t="s">
        <v>380</v>
      </c>
      <c r="F344" s="435" t="s">
        <v>5</v>
      </c>
      <c r="G344" s="435" t="s">
        <v>22</v>
      </c>
      <c r="H344" s="442"/>
      <c r="I344" s="442"/>
      <c r="J344" s="442"/>
      <c r="K344" s="785"/>
      <c r="L344" s="786">
        <v>5</v>
      </c>
      <c r="M344" s="443"/>
      <c r="N344" s="443"/>
      <c r="O344" s="443"/>
      <c r="P344" s="786"/>
      <c r="Q344" s="443"/>
      <c r="R344" s="442"/>
      <c r="S344" s="442"/>
      <c r="T344" s="442"/>
      <c r="U344" s="442"/>
      <c r="V344" s="442"/>
      <c r="W344" s="436">
        <f>IF(NFI_Expiration=1,IF($A344&lt;VLOOKUP(H$5,NFI,5,0),1,0)*Table_NFI[[#This Row],[Hygiene Kit]],Table_NFI[Hygiene Kit])</f>
        <v>0</v>
      </c>
      <c r="X344" s="436">
        <f>IF(NFI_Expiration=1,IF($A344&lt;VLOOKUP(I$5,NFI,5,0),1,0)*Table_NFI[[#This Row],[NFI Core Kit]],Table_NFI[NFI Core Kit])</f>
        <v>0</v>
      </c>
      <c r="Y344" s="436">
        <f>IF(NFI_Expiration=1,IF($A344&lt;VLOOKUP(J$5,NFI,5,0),1,0)*Table_NFI[[#This Row],[Sanitary Kit]],Table_NFI[Sanitary Kit])</f>
        <v>0</v>
      </c>
      <c r="Z344" s="436">
        <f>IF(NFI_Expiration=1,IF($A344&lt;VLOOKUP(K$5,NFI,5,0),1,0)*Table_NFI[[#This Row],[Mosquito net]],Table_NFI[Mosquito net])</f>
        <v>0</v>
      </c>
      <c r="AA344" s="436">
        <f>IF(NFI_Expiration=1,IF($A344&lt;VLOOKUP(L$5,NFI,5,0),1,0)*Table_NFI[[#This Row],[Tarpaulin]],Table_NFI[[#This Row],[Tarpaulin]])</f>
        <v>0</v>
      </c>
      <c r="AB344" s="436">
        <f>IF(NFI_Expiration=1,IF($A344&lt;VLOOKUP(M$5,NFI,5,0),1,0)*Table_NFI[[#This Row],[Blanket]],Table_NFI[[#This Row],[Blanket]])</f>
        <v>0</v>
      </c>
      <c r="AC344" s="436">
        <f>IF(NFI_Expiration=1,IF($A344&lt;VLOOKUP(N$5,NFI,5,0),1,0)*Table_NFI[[#This Row],[Kitchen Set]],Table_NFI[Kitchen Set])</f>
        <v>0</v>
      </c>
      <c r="AD344" s="436">
        <f>IF(NFI_Expiration=1,IF($A344&lt;VLOOKUP(O$5,NFI,5,0),1,0)*Table_NFI[[#This Row],[Clothes Kit]],Table_NFI[Clothes Kit])</f>
        <v>0</v>
      </c>
      <c r="AE344" s="436">
        <f>IF(NFI_Expiration=1,IF($A344&lt;VLOOKUP(P$5,NFI,5,0),1,0)*Table_NFI[[#This Row],[Plastic Bucket]],Table_NFI[Plastic Bucket])</f>
        <v>0</v>
      </c>
      <c r="AF344" s="436">
        <f>IF(NFI_Expiration=1,IF($A344&lt;VLOOKUP(Q$5,NFI,5,0),1,0)*Table_NFI[[#This Row],[Plastic Mat]],Table_NFI[Plastic Mat])*IF(Table_NFI[[#This Row],[Distribution Date]]&gt;"2014-04-01",1,2.5)</f>
        <v>0</v>
      </c>
      <c r="AG344" s="436">
        <f>IF(NFI_Expiration=1,IF($A344&lt;VLOOKUP(R$5,NFI,5,0),1,0)*Table_NFI[[#This Row],[Winter Clothes Adult]],Table_NFI[Winter Clothes Adult])</f>
        <v>0</v>
      </c>
      <c r="AH344" s="436">
        <f>IF(NFI_Expiration=1,IF($A344&lt;VLOOKUP(S$5,NFI,5,0),1,0)*Table_NFI[[#This Row],[Winter Clothes Children]],Table_NFI[Winter Clothes Children])</f>
        <v>0</v>
      </c>
      <c r="AI344" s="436">
        <f>IF(NFI_Expiration=1,IF($A344&lt;VLOOKUP(T$5,NFI,5,0),1,0)*Table_NFI[[#This Row],[Winter Items Other]],Table_NFI[Winter Items Other])</f>
        <v>0</v>
      </c>
      <c r="AJ344" s="436">
        <f>IF(NFI_Expiration=1,IF($A344&lt;VLOOKUP(M$5,NFI,5,0),1,0)*Table_NFI[[#This Row],[Winter Blanket]],Table_NFI[[#This Row],[Winter Blanket]])</f>
        <v>0</v>
      </c>
      <c r="AK344" s="436">
        <f>IF(Table_NFI[[#This Row],[Winter Clothes Adult]]+Table_NFI[[#This Row],[Winter Clothes Children]]+Table_NFI[[#This Row],[Winter Items Other]]+Table_NFI[[#This Row],[Winter Blanket]]&gt;0,1,0)</f>
        <v>0</v>
      </c>
      <c r="AL344" s="439">
        <f>IF(NFI_Expiration=1,IF($A344&lt;VLOOKUP(V$5,NFI,5,0),1,0)*Table_NFI[[#This Row],[Jerry Can]],Table_NFI[Jerry Can])</f>
        <v>0</v>
      </c>
      <c r="AM344" s="781" t="str">
        <f>IFERROR(VLOOKUP(Table_NFI[[#This Row],[Camp Name]],CL,2,0),"")</f>
        <v>MMR001CMP047</v>
      </c>
      <c r="AN344" s="782">
        <f ca="1">IF(Table_NFI[[#This Row],[Pcode]]="","",IF(OFFSET(CampList[Opening Date],MATCH(Table_NFI[[#This Row],[Pcode]],CampList[CP_Pcode],0)-1,0,1,1)&gt;=NFI_Monitor_Date,1,0))</f>
        <v>0</v>
      </c>
      <c r="AO344" s="781" t="str">
        <f>IFERROR(VLOOKUP(Table_NFI[[#This Row],[Camp Name]],CL,3,0),"")</f>
        <v>Open</v>
      </c>
      <c r="AP344" s="436" t="str">
        <f ca="1">IF(Table_NFI[[#This Row],[Pcode]]="","",OFFSET(CampList[Priority],MATCH(Table_NFI[[#This Row],[Pcode]],CampList[CP_Pcode],0)-1,0,1,1))</f>
        <v>P4</v>
      </c>
      <c r="AQ344" s="438">
        <f>IFERROR(Table_NFI[[#This Row],[Kitchen Set]]/VLOOKUP(Table_NFI[[#This Row],[Camp Name]],CL,4,0),"")</f>
        <v>0</v>
      </c>
      <c r="AR344" s="779" t="s">
        <v>1099</v>
      </c>
      <c r="AS344" s="783"/>
    </row>
    <row r="345" spans="1:45" s="784" customFormat="1" x14ac:dyDescent="0.25">
      <c r="A345" s="455">
        <f t="shared" si="5"/>
        <v>23.266666666666666</v>
      </c>
      <c r="B345" s="778">
        <v>41611</v>
      </c>
      <c r="C345" s="779" t="s">
        <v>912</v>
      </c>
      <c r="D345" s="779" t="s">
        <v>462</v>
      </c>
      <c r="E345" s="779" t="s">
        <v>380</v>
      </c>
      <c r="F345" s="779" t="s">
        <v>310</v>
      </c>
      <c r="G345" s="779" t="s">
        <v>334</v>
      </c>
      <c r="H345" s="436"/>
      <c r="I345" s="436"/>
      <c r="J345" s="436"/>
      <c r="K345" s="436"/>
      <c r="L345" s="437"/>
      <c r="M345" s="437"/>
      <c r="N345" s="437"/>
      <c r="O345" s="437"/>
      <c r="P345" s="439"/>
      <c r="Q345" s="439"/>
      <c r="R345" s="436">
        <v>181</v>
      </c>
      <c r="S345" s="436">
        <v>362</v>
      </c>
      <c r="T345" s="436">
        <v>1086</v>
      </c>
      <c r="U345" s="436">
        <v>543</v>
      </c>
      <c r="V345" s="436"/>
      <c r="W345" s="436">
        <f>IF(NFI_Expiration=1,IF($A345&lt;VLOOKUP(H$5,NFI,5,0),1,0)*Table_NFI[[#This Row],[Hygiene Kit]],Table_NFI[Hygiene Kit])</f>
        <v>0</v>
      </c>
      <c r="X345" s="436">
        <f>IF(NFI_Expiration=1,IF($A345&lt;VLOOKUP(I$5,NFI,5,0),1,0)*Table_NFI[[#This Row],[NFI Core Kit]],Table_NFI[NFI Core Kit])</f>
        <v>0</v>
      </c>
      <c r="Y345" s="436">
        <f>IF(NFI_Expiration=1,IF($A345&lt;VLOOKUP(J$5,NFI,5,0),1,0)*Table_NFI[[#This Row],[Sanitary Kit]],Table_NFI[Sanitary Kit])</f>
        <v>0</v>
      </c>
      <c r="Z345" s="436">
        <f>IF(NFI_Expiration=1,IF($A345&lt;VLOOKUP(K$5,NFI,5,0),1,0)*Table_NFI[[#This Row],[Mosquito net]],Table_NFI[Mosquito net])</f>
        <v>0</v>
      </c>
      <c r="AA345" s="436">
        <f>IF(NFI_Expiration=1,IF($A345&lt;VLOOKUP(L$5,NFI,5,0),1,0)*Table_NFI[[#This Row],[Tarpaulin]],Table_NFI[[#This Row],[Tarpaulin]])</f>
        <v>0</v>
      </c>
      <c r="AB345" s="436">
        <f>IF(NFI_Expiration=1,IF($A345&lt;VLOOKUP(M$5,NFI,5,0),1,0)*Table_NFI[[#This Row],[Blanket]],Table_NFI[[#This Row],[Blanket]])</f>
        <v>0</v>
      </c>
      <c r="AC345" s="436">
        <f>IF(NFI_Expiration=1,IF($A345&lt;VLOOKUP(N$5,NFI,5,0),1,0)*Table_NFI[[#This Row],[Kitchen Set]],Table_NFI[Kitchen Set])</f>
        <v>0</v>
      </c>
      <c r="AD345" s="436">
        <f>IF(NFI_Expiration=1,IF($A345&lt;VLOOKUP(O$5,NFI,5,0),1,0)*Table_NFI[[#This Row],[Clothes Kit]],Table_NFI[Clothes Kit])</f>
        <v>0</v>
      </c>
      <c r="AE345" s="436">
        <f>IF(NFI_Expiration=1,IF($A345&lt;VLOOKUP(P$5,NFI,5,0),1,0)*Table_NFI[[#This Row],[Plastic Bucket]],Table_NFI[Plastic Bucket])</f>
        <v>0</v>
      </c>
      <c r="AF345" s="436">
        <f>IF(NFI_Expiration=1,IF($A345&lt;VLOOKUP(Q$5,NFI,5,0),1,0)*Table_NFI[[#This Row],[Plastic Mat]],Table_NFI[Plastic Mat])*IF(Table_NFI[[#This Row],[Distribution Date]]&gt;"2014-04-01",1,2.5)</f>
        <v>0</v>
      </c>
      <c r="AG345" s="436">
        <f>IF(NFI_Expiration=1,IF($A345&lt;VLOOKUP(R$5,NFI,5,0),1,0)*Table_NFI[[#This Row],[Winter Clothes Adult]],Table_NFI[Winter Clothes Adult])</f>
        <v>0</v>
      </c>
      <c r="AH345" s="436">
        <f>IF(NFI_Expiration=1,IF($A345&lt;VLOOKUP(S$5,NFI,5,0),1,0)*Table_NFI[[#This Row],[Winter Clothes Children]],Table_NFI[Winter Clothes Children])</f>
        <v>0</v>
      </c>
      <c r="AI345" s="436">
        <f>IF(NFI_Expiration=1,IF($A345&lt;VLOOKUP(T$5,NFI,5,0),1,0)*Table_NFI[[#This Row],[Winter Items Other]],Table_NFI[Winter Items Other])</f>
        <v>0</v>
      </c>
      <c r="AJ345" s="436">
        <f>IF(NFI_Expiration=1,IF($A345&lt;VLOOKUP(M$5,NFI,5,0),1,0)*Table_NFI[[#This Row],[Winter Blanket]],Table_NFI[[#This Row],[Winter Blanket]])</f>
        <v>0</v>
      </c>
      <c r="AK345" s="436">
        <f>IF(Table_NFI[[#This Row],[Winter Clothes Adult]]+Table_NFI[[#This Row],[Winter Clothes Children]]+Table_NFI[[#This Row],[Winter Items Other]]+Table_NFI[[#This Row],[Winter Blanket]]&gt;0,1,0)</f>
        <v>1</v>
      </c>
      <c r="AL345" s="439">
        <f>IF(NFI_Expiration=1,IF($A345&lt;VLOOKUP(V$5,NFI,5,0),1,0)*Table_NFI[[#This Row],[Jerry Can]],Table_NFI[Jerry Can])</f>
        <v>0</v>
      </c>
      <c r="AM345" s="781" t="str">
        <f>IFERROR(VLOOKUP(Table_NFI[[#This Row],[Camp Name]],CL,2,0),"")</f>
        <v>MMR001CMP113</v>
      </c>
      <c r="AN345" s="782">
        <f ca="1">IF(Table_NFI[[#This Row],[Pcode]]="","",IF(OFFSET(CampList[Opening Date],MATCH(Table_NFI[[#This Row],[Pcode]],CampList[CP_Pcode],0)-1,0,1,1)&gt;=NFI_Monitor_Date,1,0))</f>
        <v>0</v>
      </c>
      <c r="AO345" s="781" t="str">
        <f>IFERROR(VLOOKUP(Table_NFI[[#This Row],[Camp Name]],CL,3,0),"")</f>
        <v>Open</v>
      </c>
      <c r="AP345" s="436" t="str">
        <f ca="1">IF(Table_NFI[[#This Row],[Pcode]]="","",OFFSET(CampList[Priority],MATCH(Table_NFI[[#This Row],[Pcode]],CampList[CP_Pcode],0)-1,0,1,1))</f>
        <v>P1</v>
      </c>
      <c r="AQ345" s="438">
        <f>IFERROR(Table_NFI[[#This Row],[Kitchen Set]]/VLOOKUP(Table_NFI[[#This Row],[Camp Name]],CL,4,0),"")</f>
        <v>0</v>
      </c>
      <c r="AR345" s="779"/>
      <c r="AS345" s="783"/>
    </row>
    <row r="346" spans="1:45" s="784" customFormat="1" x14ac:dyDescent="0.25">
      <c r="A346" s="455">
        <f t="shared" si="5"/>
        <v>23.266666666666666</v>
      </c>
      <c r="B346" s="778">
        <v>41611</v>
      </c>
      <c r="C346" s="779" t="s">
        <v>454</v>
      </c>
      <c r="D346" s="442" t="s">
        <v>454</v>
      </c>
      <c r="E346" s="779" t="s">
        <v>380</v>
      </c>
      <c r="F346" s="435" t="s">
        <v>185</v>
      </c>
      <c r="G346" s="435" t="s">
        <v>209</v>
      </c>
      <c r="H346" s="442"/>
      <c r="I346" s="442"/>
      <c r="J346" s="442"/>
      <c r="K346" s="785">
        <v>25</v>
      </c>
      <c r="L346" s="786">
        <v>13</v>
      </c>
      <c r="M346" s="443">
        <v>25</v>
      </c>
      <c r="N346" s="443">
        <v>13</v>
      </c>
      <c r="O346" s="443">
        <v>13</v>
      </c>
      <c r="P346" s="786"/>
      <c r="Q346" s="443"/>
      <c r="R346" s="442"/>
      <c r="S346" s="442"/>
      <c r="T346" s="442"/>
      <c r="U346" s="442"/>
      <c r="V346" s="442"/>
      <c r="W346" s="436">
        <f>IF(NFI_Expiration=1,IF($A346&lt;VLOOKUP(H$5,NFI,5,0),1,0)*Table_NFI[[#This Row],[Hygiene Kit]],Table_NFI[Hygiene Kit])</f>
        <v>0</v>
      </c>
      <c r="X346" s="436">
        <f>IF(NFI_Expiration=1,IF($A346&lt;VLOOKUP(I$5,NFI,5,0),1,0)*Table_NFI[[#This Row],[NFI Core Kit]],Table_NFI[NFI Core Kit])</f>
        <v>0</v>
      </c>
      <c r="Y346" s="436">
        <f>IF(NFI_Expiration=1,IF($A346&lt;VLOOKUP(J$5,NFI,5,0),1,0)*Table_NFI[[#This Row],[Sanitary Kit]],Table_NFI[Sanitary Kit])</f>
        <v>0</v>
      </c>
      <c r="Z346" s="436">
        <f>IF(NFI_Expiration=1,IF($A346&lt;VLOOKUP(K$5,NFI,5,0),1,0)*Table_NFI[[#This Row],[Mosquito net]],Table_NFI[Mosquito net])</f>
        <v>0</v>
      </c>
      <c r="AA346" s="436">
        <f>IF(NFI_Expiration=1,IF($A346&lt;VLOOKUP(L$5,NFI,5,0),1,0)*Table_NFI[[#This Row],[Tarpaulin]],Table_NFI[[#This Row],[Tarpaulin]])</f>
        <v>0</v>
      </c>
      <c r="AB346" s="436">
        <f>IF(NFI_Expiration=1,IF($A346&lt;VLOOKUP(M$5,NFI,5,0),1,0)*Table_NFI[[#This Row],[Blanket]],Table_NFI[[#This Row],[Blanket]])</f>
        <v>0</v>
      </c>
      <c r="AC346" s="436">
        <f>IF(NFI_Expiration=1,IF($A346&lt;VLOOKUP(N$5,NFI,5,0),1,0)*Table_NFI[[#This Row],[Kitchen Set]],Table_NFI[Kitchen Set])</f>
        <v>0</v>
      </c>
      <c r="AD346" s="436">
        <f>IF(NFI_Expiration=1,IF($A346&lt;VLOOKUP(O$5,NFI,5,0),1,0)*Table_NFI[[#This Row],[Clothes Kit]],Table_NFI[Clothes Kit])</f>
        <v>0</v>
      </c>
      <c r="AE346" s="436">
        <f>IF(NFI_Expiration=1,IF($A346&lt;VLOOKUP(P$5,NFI,5,0),1,0)*Table_NFI[[#This Row],[Plastic Bucket]],Table_NFI[Plastic Bucket])</f>
        <v>0</v>
      </c>
      <c r="AF346" s="436">
        <f>IF(NFI_Expiration=1,IF($A346&lt;VLOOKUP(Q$5,NFI,5,0),1,0)*Table_NFI[[#This Row],[Plastic Mat]],Table_NFI[Plastic Mat])*IF(Table_NFI[[#This Row],[Distribution Date]]&gt;"2014-04-01",1,2.5)</f>
        <v>0</v>
      </c>
      <c r="AG346" s="436">
        <f>IF(NFI_Expiration=1,IF($A346&lt;VLOOKUP(R$5,NFI,5,0),1,0)*Table_NFI[[#This Row],[Winter Clothes Adult]],Table_NFI[Winter Clothes Adult])</f>
        <v>0</v>
      </c>
      <c r="AH346" s="436">
        <f>IF(NFI_Expiration=1,IF($A346&lt;VLOOKUP(S$5,NFI,5,0),1,0)*Table_NFI[[#This Row],[Winter Clothes Children]],Table_NFI[Winter Clothes Children])</f>
        <v>0</v>
      </c>
      <c r="AI346" s="436">
        <f>IF(NFI_Expiration=1,IF($A346&lt;VLOOKUP(T$5,NFI,5,0),1,0)*Table_NFI[[#This Row],[Winter Items Other]],Table_NFI[Winter Items Other])</f>
        <v>0</v>
      </c>
      <c r="AJ346" s="436">
        <f>IF(NFI_Expiration=1,IF($A346&lt;VLOOKUP(M$5,NFI,5,0),1,0)*Table_NFI[[#This Row],[Winter Blanket]],Table_NFI[[#This Row],[Winter Blanket]])</f>
        <v>0</v>
      </c>
      <c r="AK346" s="436">
        <f>IF(Table_NFI[[#This Row],[Winter Clothes Adult]]+Table_NFI[[#This Row],[Winter Clothes Children]]+Table_NFI[[#This Row],[Winter Items Other]]+Table_NFI[[#This Row],[Winter Blanket]]&gt;0,1,0)</f>
        <v>0</v>
      </c>
      <c r="AL346" s="439">
        <f>IF(NFI_Expiration=1,IF($A346&lt;VLOOKUP(V$5,NFI,5,0),1,0)*Table_NFI[[#This Row],[Jerry Can]],Table_NFI[Jerry Can])</f>
        <v>0</v>
      </c>
      <c r="AM346" s="781" t="str">
        <f>IFERROR(VLOOKUP(Table_NFI[[#This Row],[Camp Name]],CL,2,0),"")</f>
        <v>MMR001CMP056</v>
      </c>
      <c r="AN346" s="782">
        <f ca="1">IF(Table_NFI[[#This Row],[Pcode]]="","",IF(OFFSET(CampList[Opening Date],MATCH(Table_NFI[[#This Row],[Pcode]],CampList[CP_Pcode],0)-1,0,1,1)&gt;=NFI_Monitor_Date,1,0))</f>
        <v>0</v>
      </c>
      <c r="AO346" s="781" t="str">
        <f>IFERROR(VLOOKUP(Table_NFI[[#This Row],[Camp Name]],CL,3,0),"")</f>
        <v>Open</v>
      </c>
      <c r="AP346" s="436" t="str">
        <f ca="1">IF(Table_NFI[[#This Row],[Pcode]]="","",OFFSET(CampList[Priority],MATCH(Table_NFI[[#This Row],[Pcode]],CampList[CP_Pcode],0)-1,0,1,1))</f>
        <v>P4</v>
      </c>
      <c r="AQ346" s="438">
        <f>IFERROR(Table_NFI[[#This Row],[Kitchen Set]]/VLOOKUP(Table_NFI[[#This Row],[Camp Name]],CL,4,0),"")</f>
        <v>6.280193236714976E-2</v>
      </c>
      <c r="AR346" s="779" t="s">
        <v>1099</v>
      </c>
      <c r="AS346" s="783"/>
    </row>
    <row r="347" spans="1:45" s="784" customFormat="1" x14ac:dyDescent="0.25">
      <c r="A347" s="455">
        <f t="shared" si="5"/>
        <v>23.3</v>
      </c>
      <c r="B347" s="778">
        <v>41610</v>
      </c>
      <c r="C347" s="779" t="s">
        <v>912</v>
      </c>
      <c r="D347" s="779" t="s">
        <v>462</v>
      </c>
      <c r="E347" s="779" t="s">
        <v>380</v>
      </c>
      <c r="F347" s="779" t="s">
        <v>310</v>
      </c>
      <c r="G347" s="779" t="s">
        <v>355</v>
      </c>
      <c r="H347" s="436"/>
      <c r="I347" s="436"/>
      <c r="J347" s="436"/>
      <c r="K347" s="436"/>
      <c r="L347" s="437"/>
      <c r="M347" s="437"/>
      <c r="N347" s="437"/>
      <c r="O347" s="437"/>
      <c r="P347" s="439"/>
      <c r="Q347" s="439"/>
      <c r="R347" s="436">
        <v>124</v>
      </c>
      <c r="S347" s="436">
        <v>248</v>
      </c>
      <c r="T347" s="436">
        <v>744</v>
      </c>
      <c r="U347" s="436">
        <v>372</v>
      </c>
      <c r="V347" s="436"/>
      <c r="W347" s="436">
        <f>IF(NFI_Expiration=1,IF($A347&lt;VLOOKUP(H$5,NFI,5,0),1,0)*Table_NFI[[#This Row],[Hygiene Kit]],Table_NFI[Hygiene Kit])</f>
        <v>0</v>
      </c>
      <c r="X347" s="436">
        <f>IF(NFI_Expiration=1,IF($A347&lt;VLOOKUP(I$5,NFI,5,0),1,0)*Table_NFI[[#This Row],[NFI Core Kit]],Table_NFI[NFI Core Kit])</f>
        <v>0</v>
      </c>
      <c r="Y347" s="436">
        <f>IF(NFI_Expiration=1,IF($A347&lt;VLOOKUP(J$5,NFI,5,0),1,0)*Table_NFI[[#This Row],[Sanitary Kit]],Table_NFI[Sanitary Kit])</f>
        <v>0</v>
      </c>
      <c r="Z347" s="436">
        <f>IF(NFI_Expiration=1,IF($A347&lt;VLOOKUP(K$5,NFI,5,0),1,0)*Table_NFI[[#This Row],[Mosquito net]],Table_NFI[Mosquito net])</f>
        <v>0</v>
      </c>
      <c r="AA347" s="436">
        <f>IF(NFI_Expiration=1,IF($A347&lt;VLOOKUP(L$5,NFI,5,0),1,0)*Table_NFI[[#This Row],[Tarpaulin]],Table_NFI[[#This Row],[Tarpaulin]])</f>
        <v>0</v>
      </c>
      <c r="AB347" s="436">
        <f>IF(NFI_Expiration=1,IF($A347&lt;VLOOKUP(M$5,NFI,5,0),1,0)*Table_NFI[[#This Row],[Blanket]],Table_NFI[[#This Row],[Blanket]])</f>
        <v>0</v>
      </c>
      <c r="AC347" s="436">
        <f>IF(NFI_Expiration=1,IF($A347&lt;VLOOKUP(N$5,NFI,5,0),1,0)*Table_NFI[[#This Row],[Kitchen Set]],Table_NFI[Kitchen Set])</f>
        <v>0</v>
      </c>
      <c r="AD347" s="436">
        <f>IF(NFI_Expiration=1,IF($A347&lt;VLOOKUP(O$5,NFI,5,0),1,0)*Table_NFI[[#This Row],[Clothes Kit]],Table_NFI[Clothes Kit])</f>
        <v>0</v>
      </c>
      <c r="AE347" s="436">
        <f>IF(NFI_Expiration=1,IF($A347&lt;VLOOKUP(P$5,NFI,5,0),1,0)*Table_NFI[[#This Row],[Plastic Bucket]],Table_NFI[Plastic Bucket])</f>
        <v>0</v>
      </c>
      <c r="AF347" s="436">
        <f>IF(NFI_Expiration=1,IF($A347&lt;VLOOKUP(Q$5,NFI,5,0),1,0)*Table_NFI[[#This Row],[Plastic Mat]],Table_NFI[Plastic Mat])*IF(Table_NFI[[#This Row],[Distribution Date]]&gt;"2014-04-01",1,2.5)</f>
        <v>0</v>
      </c>
      <c r="AG347" s="436">
        <f>IF(NFI_Expiration=1,IF($A347&lt;VLOOKUP(R$5,NFI,5,0),1,0)*Table_NFI[[#This Row],[Winter Clothes Adult]],Table_NFI[Winter Clothes Adult])</f>
        <v>0</v>
      </c>
      <c r="AH347" s="436">
        <f>IF(NFI_Expiration=1,IF($A347&lt;VLOOKUP(S$5,NFI,5,0),1,0)*Table_NFI[[#This Row],[Winter Clothes Children]],Table_NFI[Winter Clothes Children])</f>
        <v>0</v>
      </c>
      <c r="AI347" s="436">
        <f>IF(NFI_Expiration=1,IF($A347&lt;VLOOKUP(T$5,NFI,5,0),1,0)*Table_NFI[[#This Row],[Winter Items Other]],Table_NFI[Winter Items Other])</f>
        <v>0</v>
      </c>
      <c r="AJ347" s="436">
        <f>IF(NFI_Expiration=1,IF($A347&lt;VLOOKUP(M$5,NFI,5,0),1,0)*Table_NFI[[#This Row],[Winter Blanket]],Table_NFI[[#This Row],[Winter Blanket]])</f>
        <v>0</v>
      </c>
      <c r="AK347" s="436">
        <f>IF(Table_NFI[[#This Row],[Winter Clothes Adult]]+Table_NFI[[#This Row],[Winter Clothes Children]]+Table_NFI[[#This Row],[Winter Items Other]]+Table_NFI[[#This Row],[Winter Blanket]]&gt;0,1,0)</f>
        <v>1</v>
      </c>
      <c r="AL347" s="439">
        <f>IF(NFI_Expiration=1,IF($A347&lt;VLOOKUP(V$5,NFI,5,0),1,0)*Table_NFI[[#This Row],[Jerry Can]],Table_NFI[Jerry Can])</f>
        <v>0</v>
      </c>
      <c r="AM347" s="781" t="str">
        <f>IFERROR(VLOOKUP(Table_NFI[[#This Row],[Camp Name]],CL,2,0),"")</f>
        <v>MMR001CMP160</v>
      </c>
      <c r="AN347" s="782">
        <f ca="1">IF(Table_NFI[[#This Row],[Pcode]]="","",IF(OFFSET(CampList[Opening Date],MATCH(Table_NFI[[#This Row],[Pcode]],CampList[CP_Pcode],0)-1,0,1,1)&gt;=NFI_Monitor_Date,1,0))</f>
        <v>0</v>
      </c>
      <c r="AO347" s="781" t="str">
        <f>IFERROR(VLOOKUP(Table_NFI[[#This Row],[Camp Name]],CL,3,0),"")</f>
        <v>Open</v>
      </c>
      <c r="AP347" s="436" t="str">
        <f ca="1">IF(Table_NFI[[#This Row],[Pcode]]="","",OFFSET(CampList[Priority],MATCH(Table_NFI[[#This Row],[Pcode]],CampList[CP_Pcode],0)-1,0,1,1))</f>
        <v>P1</v>
      </c>
      <c r="AQ347" s="438">
        <f>IFERROR(Table_NFI[[#This Row],[Kitchen Set]]/VLOOKUP(Table_NFI[[#This Row],[Camp Name]],CL,4,0),"")</f>
        <v>0</v>
      </c>
      <c r="AR347" s="779"/>
      <c r="AS347" s="783"/>
    </row>
    <row r="348" spans="1:45" s="784" customFormat="1" x14ac:dyDescent="0.25">
      <c r="A348" s="455">
        <f t="shared" si="5"/>
        <v>23.333333333333332</v>
      </c>
      <c r="B348" s="778">
        <v>41609</v>
      </c>
      <c r="C348" s="779" t="s">
        <v>454</v>
      </c>
      <c r="D348" s="442" t="s">
        <v>454</v>
      </c>
      <c r="E348" s="779" t="s">
        <v>380</v>
      </c>
      <c r="F348" s="435" t="s">
        <v>5</v>
      </c>
      <c r="G348" s="435" t="s">
        <v>22</v>
      </c>
      <c r="H348" s="442"/>
      <c r="I348" s="442"/>
      <c r="J348" s="442"/>
      <c r="K348" s="785"/>
      <c r="L348" s="786"/>
      <c r="M348" s="443">
        <v>30</v>
      </c>
      <c r="N348" s="443"/>
      <c r="O348" s="443"/>
      <c r="P348" s="786"/>
      <c r="Q348" s="443"/>
      <c r="R348" s="442"/>
      <c r="S348" s="442"/>
      <c r="T348" s="442"/>
      <c r="U348" s="442"/>
      <c r="V348" s="442"/>
      <c r="W348" s="436">
        <f>IF(NFI_Expiration=1,IF($A348&lt;VLOOKUP(H$5,NFI,5,0),1,0)*Table_NFI[[#This Row],[Hygiene Kit]],Table_NFI[Hygiene Kit])</f>
        <v>0</v>
      </c>
      <c r="X348" s="436">
        <f>IF(NFI_Expiration=1,IF($A348&lt;VLOOKUP(I$5,NFI,5,0),1,0)*Table_NFI[[#This Row],[NFI Core Kit]],Table_NFI[NFI Core Kit])</f>
        <v>0</v>
      </c>
      <c r="Y348" s="436">
        <f>IF(NFI_Expiration=1,IF($A348&lt;VLOOKUP(J$5,NFI,5,0),1,0)*Table_NFI[[#This Row],[Sanitary Kit]],Table_NFI[Sanitary Kit])</f>
        <v>0</v>
      </c>
      <c r="Z348" s="436">
        <f>IF(NFI_Expiration=1,IF($A348&lt;VLOOKUP(K$5,NFI,5,0),1,0)*Table_NFI[[#This Row],[Mosquito net]],Table_NFI[Mosquito net])</f>
        <v>0</v>
      </c>
      <c r="AA348" s="436">
        <f>IF(NFI_Expiration=1,IF($A348&lt;VLOOKUP(L$5,NFI,5,0),1,0)*Table_NFI[[#This Row],[Tarpaulin]],Table_NFI[[#This Row],[Tarpaulin]])</f>
        <v>0</v>
      </c>
      <c r="AB348" s="436">
        <f>IF(NFI_Expiration=1,IF($A348&lt;VLOOKUP(M$5,NFI,5,0),1,0)*Table_NFI[[#This Row],[Blanket]],Table_NFI[[#This Row],[Blanket]])</f>
        <v>0</v>
      </c>
      <c r="AC348" s="436">
        <f>IF(NFI_Expiration=1,IF($A348&lt;VLOOKUP(N$5,NFI,5,0),1,0)*Table_NFI[[#This Row],[Kitchen Set]],Table_NFI[Kitchen Set])</f>
        <v>0</v>
      </c>
      <c r="AD348" s="436">
        <f>IF(NFI_Expiration=1,IF($A348&lt;VLOOKUP(O$5,NFI,5,0),1,0)*Table_NFI[[#This Row],[Clothes Kit]],Table_NFI[Clothes Kit])</f>
        <v>0</v>
      </c>
      <c r="AE348" s="436">
        <f>IF(NFI_Expiration=1,IF($A348&lt;VLOOKUP(P$5,NFI,5,0),1,0)*Table_NFI[[#This Row],[Plastic Bucket]],Table_NFI[Plastic Bucket])</f>
        <v>0</v>
      </c>
      <c r="AF348" s="436">
        <f>IF(NFI_Expiration=1,IF($A348&lt;VLOOKUP(Q$5,NFI,5,0),1,0)*Table_NFI[[#This Row],[Plastic Mat]],Table_NFI[Plastic Mat])*IF(Table_NFI[[#This Row],[Distribution Date]]&gt;"2014-04-01",1,2.5)</f>
        <v>0</v>
      </c>
      <c r="AG348" s="436">
        <f>IF(NFI_Expiration=1,IF($A348&lt;VLOOKUP(R$5,NFI,5,0),1,0)*Table_NFI[[#This Row],[Winter Clothes Adult]],Table_NFI[Winter Clothes Adult])</f>
        <v>0</v>
      </c>
      <c r="AH348" s="436">
        <f>IF(NFI_Expiration=1,IF($A348&lt;VLOOKUP(S$5,NFI,5,0),1,0)*Table_NFI[[#This Row],[Winter Clothes Children]],Table_NFI[Winter Clothes Children])</f>
        <v>0</v>
      </c>
      <c r="AI348" s="436">
        <f>IF(NFI_Expiration=1,IF($A348&lt;VLOOKUP(T$5,NFI,5,0),1,0)*Table_NFI[[#This Row],[Winter Items Other]],Table_NFI[Winter Items Other])</f>
        <v>0</v>
      </c>
      <c r="AJ348" s="436">
        <f>IF(NFI_Expiration=1,IF($A348&lt;VLOOKUP(M$5,NFI,5,0),1,0)*Table_NFI[[#This Row],[Winter Blanket]],Table_NFI[[#This Row],[Winter Blanket]])</f>
        <v>0</v>
      </c>
      <c r="AK348" s="436">
        <f>IF(Table_NFI[[#This Row],[Winter Clothes Adult]]+Table_NFI[[#This Row],[Winter Clothes Children]]+Table_NFI[[#This Row],[Winter Items Other]]+Table_NFI[[#This Row],[Winter Blanket]]&gt;0,1,0)</f>
        <v>0</v>
      </c>
      <c r="AL348" s="439">
        <f>IF(NFI_Expiration=1,IF($A348&lt;VLOOKUP(V$5,NFI,5,0),1,0)*Table_NFI[[#This Row],[Jerry Can]],Table_NFI[Jerry Can])</f>
        <v>0</v>
      </c>
      <c r="AM348" s="781" t="str">
        <f>IFERROR(VLOOKUP(Table_NFI[[#This Row],[Camp Name]],CL,2,0),"")</f>
        <v>MMR001CMP047</v>
      </c>
      <c r="AN348" s="782">
        <f ca="1">IF(Table_NFI[[#This Row],[Pcode]]="","",IF(OFFSET(CampList[Opening Date],MATCH(Table_NFI[[#This Row],[Pcode]],CampList[CP_Pcode],0)-1,0,1,1)&gt;=NFI_Monitor_Date,1,0))</f>
        <v>0</v>
      </c>
      <c r="AO348" s="781" t="str">
        <f>IFERROR(VLOOKUP(Table_NFI[[#This Row],[Camp Name]],CL,3,0),"")</f>
        <v>Open</v>
      </c>
      <c r="AP348" s="436" t="str">
        <f ca="1">IF(Table_NFI[[#This Row],[Pcode]]="","",OFFSET(CampList[Priority],MATCH(Table_NFI[[#This Row],[Pcode]],CampList[CP_Pcode],0)-1,0,1,1))</f>
        <v>P4</v>
      </c>
      <c r="AQ348" s="438">
        <f>IFERROR(Table_NFI[[#This Row],[Kitchen Set]]/VLOOKUP(Table_NFI[[#This Row],[Camp Name]],CL,4,0),"")</f>
        <v>0</v>
      </c>
      <c r="AR348" s="779" t="s">
        <v>1099</v>
      </c>
      <c r="AS348" s="783"/>
    </row>
    <row r="349" spans="1:45" s="784" customFormat="1" x14ac:dyDescent="0.25">
      <c r="A349" s="455">
        <f t="shared" si="5"/>
        <v>23.366666666666667</v>
      </c>
      <c r="B349" s="778">
        <v>41608</v>
      </c>
      <c r="C349" s="779" t="s">
        <v>1104</v>
      </c>
      <c r="D349" s="442" t="s">
        <v>951</v>
      </c>
      <c r="E349" s="785" t="s">
        <v>380</v>
      </c>
      <c r="F349" s="435" t="s">
        <v>302</v>
      </c>
      <c r="G349" s="435" t="s">
        <v>306</v>
      </c>
      <c r="H349" s="442"/>
      <c r="I349" s="442"/>
      <c r="J349" s="442"/>
      <c r="K349" s="785"/>
      <c r="L349" s="786"/>
      <c r="M349" s="443">
        <v>197</v>
      </c>
      <c r="N349" s="443"/>
      <c r="O349" s="443"/>
      <c r="P349" s="786"/>
      <c r="Q349" s="443"/>
      <c r="R349" s="442">
        <v>226</v>
      </c>
      <c r="S349" s="442">
        <v>68</v>
      </c>
      <c r="T349" s="442">
        <v>0</v>
      </c>
      <c r="U349" s="442"/>
      <c r="V349" s="442"/>
      <c r="W349" s="436">
        <f>IF(NFI_Expiration=1,IF($A349&lt;VLOOKUP(H$5,NFI,5,0),1,0)*Table_NFI[[#This Row],[Hygiene Kit]],Table_NFI[Hygiene Kit])</f>
        <v>0</v>
      </c>
      <c r="X349" s="436">
        <f>IF(NFI_Expiration=1,IF($A349&lt;VLOOKUP(I$5,NFI,5,0),1,0)*Table_NFI[[#This Row],[NFI Core Kit]],Table_NFI[NFI Core Kit])</f>
        <v>0</v>
      </c>
      <c r="Y349" s="436">
        <f>IF(NFI_Expiration=1,IF($A349&lt;VLOOKUP(J$5,NFI,5,0),1,0)*Table_NFI[[#This Row],[Sanitary Kit]],Table_NFI[Sanitary Kit])</f>
        <v>0</v>
      </c>
      <c r="Z349" s="436">
        <f>IF(NFI_Expiration=1,IF($A349&lt;VLOOKUP(K$5,NFI,5,0),1,0)*Table_NFI[[#This Row],[Mosquito net]],Table_NFI[Mosquito net])</f>
        <v>0</v>
      </c>
      <c r="AA349" s="436">
        <f>IF(NFI_Expiration=1,IF($A349&lt;VLOOKUP(L$5,NFI,5,0),1,0)*Table_NFI[[#This Row],[Tarpaulin]],Table_NFI[[#This Row],[Tarpaulin]])</f>
        <v>0</v>
      </c>
      <c r="AB349" s="436">
        <f>IF(NFI_Expiration=1,IF($A349&lt;VLOOKUP(M$5,NFI,5,0),1,0)*Table_NFI[[#This Row],[Blanket]],Table_NFI[[#This Row],[Blanket]])</f>
        <v>0</v>
      </c>
      <c r="AC349" s="436">
        <f>IF(NFI_Expiration=1,IF($A349&lt;VLOOKUP(N$5,NFI,5,0),1,0)*Table_NFI[[#This Row],[Kitchen Set]],Table_NFI[Kitchen Set])</f>
        <v>0</v>
      </c>
      <c r="AD349" s="436">
        <f>IF(NFI_Expiration=1,IF($A349&lt;VLOOKUP(O$5,NFI,5,0),1,0)*Table_NFI[[#This Row],[Clothes Kit]],Table_NFI[Clothes Kit])</f>
        <v>0</v>
      </c>
      <c r="AE349" s="436">
        <f>IF(NFI_Expiration=1,IF($A349&lt;VLOOKUP(P$5,NFI,5,0),1,0)*Table_NFI[[#This Row],[Plastic Bucket]],Table_NFI[Plastic Bucket])</f>
        <v>0</v>
      </c>
      <c r="AF349" s="436">
        <f>IF(NFI_Expiration=1,IF($A349&lt;VLOOKUP(Q$5,NFI,5,0),1,0)*Table_NFI[[#This Row],[Plastic Mat]],Table_NFI[Plastic Mat])*IF(Table_NFI[[#This Row],[Distribution Date]]&gt;"2014-04-01",1,2.5)</f>
        <v>0</v>
      </c>
      <c r="AG349" s="436">
        <f>IF(NFI_Expiration=1,IF($A349&lt;VLOOKUP(R$5,NFI,5,0),1,0)*Table_NFI[[#This Row],[Winter Clothes Adult]],Table_NFI[Winter Clothes Adult])</f>
        <v>0</v>
      </c>
      <c r="AH349" s="436">
        <f>IF(NFI_Expiration=1,IF($A349&lt;VLOOKUP(S$5,NFI,5,0),1,0)*Table_NFI[[#This Row],[Winter Clothes Children]],Table_NFI[Winter Clothes Children])</f>
        <v>0</v>
      </c>
      <c r="AI349" s="436">
        <f>IF(NFI_Expiration=1,IF($A349&lt;VLOOKUP(T$5,NFI,5,0),1,0)*Table_NFI[[#This Row],[Winter Items Other]],Table_NFI[Winter Items Other])</f>
        <v>0</v>
      </c>
      <c r="AJ349" s="436">
        <f>IF(NFI_Expiration=1,IF($A349&lt;VLOOKUP(M$5,NFI,5,0),1,0)*Table_NFI[[#This Row],[Winter Blanket]],Table_NFI[[#This Row],[Winter Blanket]])</f>
        <v>0</v>
      </c>
      <c r="AK349" s="436">
        <f>IF(Table_NFI[[#This Row],[Winter Clothes Adult]]+Table_NFI[[#This Row],[Winter Clothes Children]]+Table_NFI[[#This Row],[Winter Items Other]]+Table_NFI[[#This Row],[Winter Blanket]]&gt;0,1,0)</f>
        <v>1</v>
      </c>
      <c r="AL349" s="439">
        <f>IF(NFI_Expiration=1,IF($A349&lt;VLOOKUP(V$5,NFI,5,0),1,0)*Table_NFI[[#This Row],[Jerry Can]],Table_NFI[Jerry Can])</f>
        <v>0</v>
      </c>
      <c r="AM349" s="781" t="str">
        <f>IFERROR(VLOOKUP(Table_NFI[[#This Row],[Camp Name]],CL,2,0),"")</f>
        <v>MMR001CMP067</v>
      </c>
      <c r="AN349" s="782">
        <f ca="1">IF(Table_NFI[[#This Row],[Pcode]]="","",IF(OFFSET(CampList[Opening Date],MATCH(Table_NFI[[#This Row],[Pcode]],CampList[CP_Pcode],0)-1,0,1,1)&gt;=NFI_Monitor_Date,1,0))</f>
        <v>0</v>
      </c>
      <c r="AO349" s="781" t="str">
        <f>IFERROR(VLOOKUP(Table_NFI[[#This Row],[Camp Name]],CL,3,0),"")</f>
        <v>Open</v>
      </c>
      <c r="AP349" s="436" t="str">
        <f ca="1">IF(Table_NFI[[#This Row],[Pcode]]="","",OFFSET(CampList[Priority],MATCH(Table_NFI[[#This Row],[Pcode]],CampList[CP_Pcode],0)-1,0,1,1))</f>
        <v>P4</v>
      </c>
      <c r="AQ349" s="438">
        <f>IFERROR(Table_NFI[[#This Row],[Kitchen Set]]/VLOOKUP(Table_NFI[[#This Row],[Camp Name]],CL,4,0),"")</f>
        <v>0</v>
      </c>
      <c r="AR349" s="779" t="s">
        <v>1099</v>
      </c>
      <c r="AS349" s="783"/>
    </row>
    <row r="350" spans="1:45" s="784" customFormat="1" x14ac:dyDescent="0.25">
      <c r="A350" s="455">
        <f t="shared" si="5"/>
        <v>23.366666666666667</v>
      </c>
      <c r="B350" s="778">
        <v>41608</v>
      </c>
      <c r="C350" s="779" t="s">
        <v>912</v>
      </c>
      <c r="D350" s="779"/>
      <c r="E350" s="779" t="s">
        <v>380</v>
      </c>
      <c r="F350" s="435" t="s">
        <v>302</v>
      </c>
      <c r="G350" s="435" t="s">
        <v>306</v>
      </c>
      <c r="H350" s="436"/>
      <c r="I350" s="436"/>
      <c r="J350" s="436"/>
      <c r="K350" s="436"/>
      <c r="L350" s="437"/>
      <c r="M350" s="437"/>
      <c r="N350" s="437"/>
      <c r="O350" s="437"/>
      <c r="P350" s="439"/>
      <c r="Q350" s="439">
        <v>204</v>
      </c>
      <c r="R350" s="436"/>
      <c r="S350" s="436"/>
      <c r="T350" s="436"/>
      <c r="U350" s="436"/>
      <c r="V350" s="436"/>
      <c r="W350" s="436">
        <f>IF(NFI_Expiration=1,IF($A350&lt;VLOOKUP(H$5,NFI,5,0),1,0)*Table_NFI[[#This Row],[Hygiene Kit]],Table_NFI[Hygiene Kit])</f>
        <v>0</v>
      </c>
      <c r="X350" s="436">
        <f>IF(NFI_Expiration=1,IF($A350&lt;VLOOKUP(I$5,NFI,5,0),1,0)*Table_NFI[[#This Row],[NFI Core Kit]],Table_NFI[NFI Core Kit])</f>
        <v>0</v>
      </c>
      <c r="Y350" s="436">
        <f>IF(NFI_Expiration=1,IF($A350&lt;VLOOKUP(J$5,NFI,5,0),1,0)*Table_NFI[[#This Row],[Sanitary Kit]],Table_NFI[Sanitary Kit])</f>
        <v>0</v>
      </c>
      <c r="Z350" s="436">
        <f>IF(NFI_Expiration=1,IF($A350&lt;VLOOKUP(K$5,NFI,5,0),1,0)*Table_NFI[[#This Row],[Mosquito net]],Table_NFI[Mosquito net])</f>
        <v>0</v>
      </c>
      <c r="AA350" s="436">
        <f>IF(NFI_Expiration=1,IF($A350&lt;VLOOKUP(L$5,NFI,5,0),1,0)*Table_NFI[[#This Row],[Tarpaulin]],Table_NFI[[#This Row],[Tarpaulin]])</f>
        <v>0</v>
      </c>
      <c r="AB350" s="436">
        <f>IF(NFI_Expiration=1,IF($A350&lt;VLOOKUP(M$5,NFI,5,0),1,0)*Table_NFI[[#This Row],[Blanket]],Table_NFI[[#This Row],[Blanket]])</f>
        <v>0</v>
      </c>
      <c r="AC350" s="436">
        <f>IF(NFI_Expiration=1,IF($A350&lt;VLOOKUP(N$5,NFI,5,0),1,0)*Table_NFI[[#This Row],[Kitchen Set]],Table_NFI[Kitchen Set])</f>
        <v>0</v>
      </c>
      <c r="AD350" s="436">
        <f>IF(NFI_Expiration=1,IF($A350&lt;VLOOKUP(O$5,NFI,5,0),1,0)*Table_NFI[[#This Row],[Clothes Kit]],Table_NFI[Clothes Kit])</f>
        <v>0</v>
      </c>
      <c r="AE350" s="436">
        <f>IF(NFI_Expiration=1,IF($A350&lt;VLOOKUP(P$5,NFI,5,0),1,0)*Table_NFI[[#This Row],[Plastic Bucket]],Table_NFI[Plastic Bucket])</f>
        <v>0</v>
      </c>
      <c r="AF350" s="436">
        <f>IF(NFI_Expiration=1,IF($A350&lt;VLOOKUP(Q$5,NFI,5,0),1,0)*Table_NFI[[#This Row],[Plastic Mat]],Table_NFI[Plastic Mat])*IF(Table_NFI[[#This Row],[Distribution Date]]&gt;"2014-04-01",1,2.5)</f>
        <v>0</v>
      </c>
      <c r="AG350" s="436">
        <f>IF(NFI_Expiration=1,IF($A350&lt;VLOOKUP(R$5,NFI,5,0),1,0)*Table_NFI[[#This Row],[Winter Clothes Adult]],Table_NFI[Winter Clothes Adult])</f>
        <v>0</v>
      </c>
      <c r="AH350" s="436">
        <f>IF(NFI_Expiration=1,IF($A350&lt;VLOOKUP(S$5,NFI,5,0),1,0)*Table_NFI[[#This Row],[Winter Clothes Children]],Table_NFI[Winter Clothes Children])</f>
        <v>0</v>
      </c>
      <c r="AI350" s="436">
        <f>IF(NFI_Expiration=1,IF($A350&lt;VLOOKUP(T$5,NFI,5,0),1,0)*Table_NFI[[#This Row],[Winter Items Other]],Table_NFI[Winter Items Other])</f>
        <v>0</v>
      </c>
      <c r="AJ350" s="436">
        <f>IF(NFI_Expiration=1,IF($A350&lt;VLOOKUP(M$5,NFI,5,0),1,0)*Table_NFI[[#This Row],[Winter Blanket]],Table_NFI[[#This Row],[Winter Blanket]])</f>
        <v>0</v>
      </c>
      <c r="AK350" s="436">
        <f>IF(Table_NFI[[#This Row],[Winter Clothes Adult]]+Table_NFI[[#This Row],[Winter Clothes Children]]+Table_NFI[[#This Row],[Winter Items Other]]+Table_NFI[[#This Row],[Winter Blanket]]&gt;0,1,0)</f>
        <v>0</v>
      </c>
      <c r="AL350" s="439">
        <f>IF(NFI_Expiration=1,IF($A350&lt;VLOOKUP(V$5,NFI,5,0),1,0)*Table_NFI[[#This Row],[Jerry Can]],Table_NFI[Jerry Can])</f>
        <v>0</v>
      </c>
      <c r="AM350" s="781" t="str">
        <f>IFERROR(VLOOKUP(Table_NFI[[#This Row],[Camp Name]],CL,2,0),"")</f>
        <v>MMR001CMP067</v>
      </c>
      <c r="AN350" s="782">
        <f ca="1">IF(Table_NFI[[#This Row],[Pcode]]="","",IF(OFFSET(CampList[Opening Date],MATCH(Table_NFI[[#This Row],[Pcode]],CampList[CP_Pcode],0)-1,0,1,1)&gt;=NFI_Monitor_Date,1,0))</f>
        <v>0</v>
      </c>
      <c r="AO350" s="781" t="str">
        <f>IFERROR(VLOOKUP(Table_NFI[[#This Row],[Camp Name]],CL,3,0),"")</f>
        <v>Open</v>
      </c>
      <c r="AP350" s="436" t="str">
        <f ca="1">IF(Table_NFI[[#This Row],[Pcode]]="","",OFFSET(CampList[Priority],MATCH(Table_NFI[[#This Row],[Pcode]],CampList[CP_Pcode],0)-1,0,1,1))</f>
        <v>P4</v>
      </c>
      <c r="AQ350" s="438">
        <f>IFERROR(Table_NFI[[#This Row],[Kitchen Set]]/VLOOKUP(Table_NFI[[#This Row],[Camp Name]],CL,4,0),"")</f>
        <v>0</v>
      </c>
      <c r="AR350" s="779" t="s">
        <v>1099</v>
      </c>
      <c r="AS350" s="783"/>
    </row>
    <row r="351" spans="1:45" s="784" customFormat="1" x14ac:dyDescent="0.25">
      <c r="A351" s="455">
        <f t="shared" si="5"/>
        <v>23.366666666666667</v>
      </c>
      <c r="B351" s="778">
        <v>41608</v>
      </c>
      <c r="C351" s="779" t="s">
        <v>1104</v>
      </c>
      <c r="D351" s="442" t="s">
        <v>951</v>
      </c>
      <c r="E351" s="785" t="s">
        <v>380</v>
      </c>
      <c r="F351" s="435" t="s">
        <v>302</v>
      </c>
      <c r="G351" s="435" t="s">
        <v>308</v>
      </c>
      <c r="H351" s="442"/>
      <c r="I351" s="442"/>
      <c r="J351" s="442"/>
      <c r="K351" s="785"/>
      <c r="L351" s="786"/>
      <c r="M351" s="443">
        <v>142</v>
      </c>
      <c r="N351" s="443"/>
      <c r="O351" s="443"/>
      <c r="P351" s="786"/>
      <c r="Q351" s="443"/>
      <c r="R351" s="442">
        <v>182</v>
      </c>
      <c r="S351" s="442">
        <v>60</v>
      </c>
      <c r="T351" s="442">
        <v>0</v>
      </c>
      <c r="U351" s="442"/>
      <c r="V351" s="442"/>
      <c r="W351" s="436">
        <f>IF(NFI_Expiration=1,IF($A351&lt;VLOOKUP(H$5,NFI,5,0),1,0)*Table_NFI[[#This Row],[Hygiene Kit]],Table_NFI[Hygiene Kit])</f>
        <v>0</v>
      </c>
      <c r="X351" s="436">
        <f>IF(NFI_Expiration=1,IF($A351&lt;VLOOKUP(I$5,NFI,5,0),1,0)*Table_NFI[[#This Row],[NFI Core Kit]],Table_NFI[NFI Core Kit])</f>
        <v>0</v>
      </c>
      <c r="Y351" s="436">
        <f>IF(NFI_Expiration=1,IF($A351&lt;VLOOKUP(J$5,NFI,5,0),1,0)*Table_NFI[[#This Row],[Sanitary Kit]],Table_NFI[Sanitary Kit])</f>
        <v>0</v>
      </c>
      <c r="Z351" s="436">
        <f>IF(NFI_Expiration=1,IF($A351&lt;VLOOKUP(K$5,NFI,5,0),1,0)*Table_NFI[[#This Row],[Mosquito net]],Table_NFI[Mosquito net])</f>
        <v>0</v>
      </c>
      <c r="AA351" s="436">
        <f>IF(NFI_Expiration=1,IF($A351&lt;VLOOKUP(L$5,NFI,5,0),1,0)*Table_NFI[[#This Row],[Tarpaulin]],Table_NFI[[#This Row],[Tarpaulin]])</f>
        <v>0</v>
      </c>
      <c r="AB351" s="436">
        <f>IF(NFI_Expiration=1,IF($A351&lt;VLOOKUP(M$5,NFI,5,0),1,0)*Table_NFI[[#This Row],[Blanket]],Table_NFI[[#This Row],[Blanket]])</f>
        <v>0</v>
      </c>
      <c r="AC351" s="436">
        <f>IF(NFI_Expiration=1,IF($A351&lt;VLOOKUP(N$5,NFI,5,0),1,0)*Table_NFI[[#This Row],[Kitchen Set]],Table_NFI[Kitchen Set])</f>
        <v>0</v>
      </c>
      <c r="AD351" s="436">
        <f>IF(NFI_Expiration=1,IF($A351&lt;VLOOKUP(O$5,NFI,5,0),1,0)*Table_NFI[[#This Row],[Clothes Kit]],Table_NFI[Clothes Kit])</f>
        <v>0</v>
      </c>
      <c r="AE351" s="436">
        <f>IF(NFI_Expiration=1,IF($A351&lt;VLOOKUP(P$5,NFI,5,0),1,0)*Table_NFI[[#This Row],[Plastic Bucket]],Table_NFI[Plastic Bucket])</f>
        <v>0</v>
      </c>
      <c r="AF351" s="436">
        <f>IF(NFI_Expiration=1,IF($A351&lt;VLOOKUP(Q$5,NFI,5,0),1,0)*Table_NFI[[#This Row],[Plastic Mat]],Table_NFI[Plastic Mat])*IF(Table_NFI[[#This Row],[Distribution Date]]&gt;"2014-04-01",1,2.5)</f>
        <v>0</v>
      </c>
      <c r="AG351" s="436">
        <f>IF(NFI_Expiration=1,IF($A351&lt;VLOOKUP(R$5,NFI,5,0),1,0)*Table_NFI[[#This Row],[Winter Clothes Adult]],Table_NFI[Winter Clothes Adult])</f>
        <v>0</v>
      </c>
      <c r="AH351" s="436">
        <f>IF(NFI_Expiration=1,IF($A351&lt;VLOOKUP(S$5,NFI,5,0),1,0)*Table_NFI[[#This Row],[Winter Clothes Children]],Table_NFI[Winter Clothes Children])</f>
        <v>0</v>
      </c>
      <c r="AI351" s="436">
        <f>IF(NFI_Expiration=1,IF($A351&lt;VLOOKUP(T$5,NFI,5,0),1,0)*Table_NFI[[#This Row],[Winter Items Other]],Table_NFI[Winter Items Other])</f>
        <v>0</v>
      </c>
      <c r="AJ351" s="436">
        <f>IF(NFI_Expiration=1,IF($A351&lt;VLOOKUP(M$5,NFI,5,0),1,0)*Table_NFI[[#This Row],[Winter Blanket]],Table_NFI[[#This Row],[Winter Blanket]])</f>
        <v>0</v>
      </c>
      <c r="AK351" s="436">
        <f>IF(Table_NFI[[#This Row],[Winter Clothes Adult]]+Table_NFI[[#This Row],[Winter Clothes Children]]+Table_NFI[[#This Row],[Winter Items Other]]+Table_NFI[[#This Row],[Winter Blanket]]&gt;0,1,0)</f>
        <v>1</v>
      </c>
      <c r="AL351" s="439">
        <f>IF(NFI_Expiration=1,IF($A351&lt;VLOOKUP(V$5,NFI,5,0),1,0)*Table_NFI[[#This Row],[Jerry Can]],Table_NFI[Jerry Can])</f>
        <v>0</v>
      </c>
      <c r="AM351" s="781" t="str">
        <f>IFERROR(VLOOKUP(Table_NFI[[#This Row],[Camp Name]],CL,2,0),"")</f>
        <v>MMR001CMP068</v>
      </c>
      <c r="AN351" s="782">
        <f ca="1">IF(Table_NFI[[#This Row],[Pcode]]="","",IF(OFFSET(CampList[Opening Date],MATCH(Table_NFI[[#This Row],[Pcode]],CampList[CP_Pcode],0)-1,0,1,1)&gt;=NFI_Monitor_Date,1,0))</f>
        <v>0</v>
      </c>
      <c r="AO351" s="781" t="str">
        <f>IFERROR(VLOOKUP(Table_NFI[[#This Row],[Camp Name]],CL,3,0),"")</f>
        <v>Open</v>
      </c>
      <c r="AP351" s="436" t="str">
        <f ca="1">IF(Table_NFI[[#This Row],[Pcode]]="","",OFFSET(CampList[Priority],MATCH(Table_NFI[[#This Row],[Pcode]],CampList[CP_Pcode],0)-1,0,1,1))</f>
        <v>P4</v>
      </c>
      <c r="AQ351" s="438">
        <f>IFERROR(Table_NFI[[#This Row],[Kitchen Set]]/VLOOKUP(Table_NFI[[#This Row],[Camp Name]],CL,4,0),"")</f>
        <v>0</v>
      </c>
      <c r="AR351" s="779" t="s">
        <v>1099</v>
      </c>
      <c r="AS351" s="783"/>
    </row>
    <row r="352" spans="1:45" s="784" customFormat="1" x14ac:dyDescent="0.25">
      <c r="A352" s="455">
        <f t="shared" si="5"/>
        <v>23.366666666666667</v>
      </c>
      <c r="B352" s="778">
        <v>41608</v>
      </c>
      <c r="C352" s="779" t="s">
        <v>912</v>
      </c>
      <c r="D352" s="779"/>
      <c r="E352" s="779" t="s">
        <v>380</v>
      </c>
      <c r="F352" s="435" t="s">
        <v>302</v>
      </c>
      <c r="G352" s="435" t="s">
        <v>308</v>
      </c>
      <c r="H352" s="436"/>
      <c r="I352" s="436"/>
      <c r="J352" s="436"/>
      <c r="K352" s="436"/>
      <c r="L352" s="437"/>
      <c r="M352" s="437"/>
      <c r="N352" s="437"/>
      <c r="O352" s="437"/>
      <c r="P352" s="439"/>
      <c r="Q352" s="439">
        <v>126</v>
      </c>
      <c r="R352" s="436"/>
      <c r="S352" s="436"/>
      <c r="T352" s="436"/>
      <c r="U352" s="436"/>
      <c r="V352" s="436"/>
      <c r="W352" s="436">
        <f>IF(NFI_Expiration=1,IF($A352&lt;VLOOKUP(H$5,NFI,5,0),1,0)*Table_NFI[[#This Row],[Hygiene Kit]],Table_NFI[Hygiene Kit])</f>
        <v>0</v>
      </c>
      <c r="X352" s="436">
        <f>IF(NFI_Expiration=1,IF($A352&lt;VLOOKUP(I$5,NFI,5,0),1,0)*Table_NFI[[#This Row],[NFI Core Kit]],Table_NFI[NFI Core Kit])</f>
        <v>0</v>
      </c>
      <c r="Y352" s="436">
        <f>IF(NFI_Expiration=1,IF($A352&lt;VLOOKUP(J$5,NFI,5,0),1,0)*Table_NFI[[#This Row],[Sanitary Kit]],Table_NFI[Sanitary Kit])</f>
        <v>0</v>
      </c>
      <c r="Z352" s="436">
        <f>IF(NFI_Expiration=1,IF($A352&lt;VLOOKUP(K$5,NFI,5,0),1,0)*Table_NFI[[#This Row],[Mosquito net]],Table_NFI[Mosquito net])</f>
        <v>0</v>
      </c>
      <c r="AA352" s="436">
        <f>IF(NFI_Expiration=1,IF($A352&lt;VLOOKUP(L$5,NFI,5,0),1,0)*Table_NFI[[#This Row],[Tarpaulin]],Table_NFI[[#This Row],[Tarpaulin]])</f>
        <v>0</v>
      </c>
      <c r="AB352" s="436">
        <f>IF(NFI_Expiration=1,IF($A352&lt;VLOOKUP(M$5,NFI,5,0),1,0)*Table_NFI[[#This Row],[Blanket]],Table_NFI[[#This Row],[Blanket]])</f>
        <v>0</v>
      </c>
      <c r="AC352" s="436">
        <f>IF(NFI_Expiration=1,IF($A352&lt;VLOOKUP(N$5,NFI,5,0),1,0)*Table_NFI[[#This Row],[Kitchen Set]],Table_NFI[Kitchen Set])</f>
        <v>0</v>
      </c>
      <c r="AD352" s="436">
        <f>IF(NFI_Expiration=1,IF($A352&lt;VLOOKUP(O$5,NFI,5,0),1,0)*Table_NFI[[#This Row],[Clothes Kit]],Table_NFI[Clothes Kit])</f>
        <v>0</v>
      </c>
      <c r="AE352" s="436">
        <f>IF(NFI_Expiration=1,IF($A352&lt;VLOOKUP(P$5,NFI,5,0),1,0)*Table_NFI[[#This Row],[Plastic Bucket]],Table_NFI[Plastic Bucket])</f>
        <v>0</v>
      </c>
      <c r="AF352" s="436">
        <f>IF(NFI_Expiration=1,IF($A352&lt;VLOOKUP(Q$5,NFI,5,0),1,0)*Table_NFI[[#This Row],[Plastic Mat]],Table_NFI[Plastic Mat])*IF(Table_NFI[[#This Row],[Distribution Date]]&gt;"2014-04-01",1,2.5)</f>
        <v>0</v>
      </c>
      <c r="AG352" s="436">
        <f>IF(NFI_Expiration=1,IF($A352&lt;VLOOKUP(R$5,NFI,5,0),1,0)*Table_NFI[[#This Row],[Winter Clothes Adult]],Table_NFI[Winter Clothes Adult])</f>
        <v>0</v>
      </c>
      <c r="AH352" s="436">
        <f>IF(NFI_Expiration=1,IF($A352&lt;VLOOKUP(S$5,NFI,5,0),1,0)*Table_NFI[[#This Row],[Winter Clothes Children]],Table_NFI[Winter Clothes Children])</f>
        <v>0</v>
      </c>
      <c r="AI352" s="436">
        <f>IF(NFI_Expiration=1,IF($A352&lt;VLOOKUP(T$5,NFI,5,0),1,0)*Table_NFI[[#This Row],[Winter Items Other]],Table_NFI[Winter Items Other])</f>
        <v>0</v>
      </c>
      <c r="AJ352" s="436">
        <f>IF(NFI_Expiration=1,IF($A352&lt;VLOOKUP(M$5,NFI,5,0),1,0)*Table_NFI[[#This Row],[Winter Blanket]],Table_NFI[[#This Row],[Winter Blanket]])</f>
        <v>0</v>
      </c>
      <c r="AK352" s="436">
        <f>IF(Table_NFI[[#This Row],[Winter Clothes Adult]]+Table_NFI[[#This Row],[Winter Clothes Children]]+Table_NFI[[#This Row],[Winter Items Other]]+Table_NFI[[#This Row],[Winter Blanket]]&gt;0,1,0)</f>
        <v>0</v>
      </c>
      <c r="AL352" s="439">
        <f>IF(NFI_Expiration=1,IF($A352&lt;VLOOKUP(V$5,NFI,5,0),1,0)*Table_NFI[[#This Row],[Jerry Can]],Table_NFI[Jerry Can])</f>
        <v>0</v>
      </c>
      <c r="AM352" s="781" t="str">
        <f>IFERROR(VLOOKUP(Table_NFI[[#This Row],[Camp Name]],CL,2,0),"")</f>
        <v>MMR001CMP068</v>
      </c>
      <c r="AN352" s="782">
        <f ca="1">IF(Table_NFI[[#This Row],[Pcode]]="","",IF(OFFSET(CampList[Opening Date],MATCH(Table_NFI[[#This Row],[Pcode]],CampList[CP_Pcode],0)-1,0,1,1)&gt;=NFI_Monitor_Date,1,0))</f>
        <v>0</v>
      </c>
      <c r="AO352" s="781" t="str">
        <f>IFERROR(VLOOKUP(Table_NFI[[#This Row],[Camp Name]],CL,3,0),"")</f>
        <v>Open</v>
      </c>
      <c r="AP352" s="436" t="str">
        <f ca="1">IF(Table_NFI[[#This Row],[Pcode]]="","",OFFSET(CampList[Priority],MATCH(Table_NFI[[#This Row],[Pcode]],CampList[CP_Pcode],0)-1,0,1,1))</f>
        <v>P4</v>
      </c>
      <c r="AQ352" s="438">
        <f>IFERROR(Table_NFI[[#This Row],[Kitchen Set]]/VLOOKUP(Table_NFI[[#This Row],[Camp Name]],CL,4,0),"")</f>
        <v>0</v>
      </c>
      <c r="AR352" s="779" t="s">
        <v>1099</v>
      </c>
      <c r="AS352" s="783"/>
    </row>
    <row r="353" spans="1:45" s="784" customFormat="1" x14ac:dyDescent="0.25">
      <c r="A353" s="455">
        <f t="shared" si="5"/>
        <v>23.366666666666667</v>
      </c>
      <c r="B353" s="778">
        <v>41608</v>
      </c>
      <c r="C353" s="779" t="s">
        <v>1104</v>
      </c>
      <c r="D353" s="442" t="s">
        <v>951</v>
      </c>
      <c r="E353" s="785" t="s">
        <v>380</v>
      </c>
      <c r="F353" s="785" t="s">
        <v>5</v>
      </c>
      <c r="G353" s="435" t="s">
        <v>6</v>
      </c>
      <c r="H353" s="442"/>
      <c r="I353" s="442"/>
      <c r="J353" s="442"/>
      <c r="K353" s="785"/>
      <c r="L353" s="786"/>
      <c r="M353" s="443">
        <v>104</v>
      </c>
      <c r="N353" s="443"/>
      <c r="O353" s="443"/>
      <c r="P353" s="786"/>
      <c r="Q353" s="443"/>
      <c r="R353" s="442">
        <v>146</v>
      </c>
      <c r="S353" s="442">
        <v>39</v>
      </c>
      <c r="T353" s="442">
        <v>0</v>
      </c>
      <c r="U353" s="442"/>
      <c r="V353" s="442"/>
      <c r="W353" s="436">
        <f>IF(NFI_Expiration=1,IF($A353&lt;VLOOKUP(H$5,NFI,5,0),1,0)*Table_NFI[[#This Row],[Hygiene Kit]],Table_NFI[Hygiene Kit])</f>
        <v>0</v>
      </c>
      <c r="X353" s="436">
        <f>IF(NFI_Expiration=1,IF($A353&lt;VLOOKUP(I$5,NFI,5,0),1,0)*Table_NFI[[#This Row],[NFI Core Kit]],Table_NFI[NFI Core Kit])</f>
        <v>0</v>
      </c>
      <c r="Y353" s="436">
        <f>IF(NFI_Expiration=1,IF($A353&lt;VLOOKUP(J$5,NFI,5,0),1,0)*Table_NFI[[#This Row],[Sanitary Kit]],Table_NFI[Sanitary Kit])</f>
        <v>0</v>
      </c>
      <c r="Z353" s="436">
        <f>IF(NFI_Expiration=1,IF($A353&lt;VLOOKUP(K$5,NFI,5,0),1,0)*Table_NFI[[#This Row],[Mosquito net]],Table_NFI[Mosquito net])</f>
        <v>0</v>
      </c>
      <c r="AA353" s="436">
        <f>IF(NFI_Expiration=1,IF($A353&lt;VLOOKUP(L$5,NFI,5,0),1,0)*Table_NFI[[#This Row],[Tarpaulin]],Table_NFI[[#This Row],[Tarpaulin]])</f>
        <v>0</v>
      </c>
      <c r="AB353" s="436">
        <f>IF(NFI_Expiration=1,IF($A353&lt;VLOOKUP(M$5,NFI,5,0),1,0)*Table_NFI[[#This Row],[Blanket]],Table_NFI[[#This Row],[Blanket]])</f>
        <v>0</v>
      </c>
      <c r="AC353" s="436">
        <f>IF(NFI_Expiration=1,IF($A353&lt;VLOOKUP(N$5,NFI,5,0),1,0)*Table_NFI[[#This Row],[Kitchen Set]],Table_NFI[Kitchen Set])</f>
        <v>0</v>
      </c>
      <c r="AD353" s="436">
        <f>IF(NFI_Expiration=1,IF($A353&lt;VLOOKUP(O$5,NFI,5,0),1,0)*Table_NFI[[#This Row],[Clothes Kit]],Table_NFI[Clothes Kit])</f>
        <v>0</v>
      </c>
      <c r="AE353" s="436">
        <f>IF(NFI_Expiration=1,IF($A353&lt;VLOOKUP(P$5,NFI,5,0),1,0)*Table_NFI[[#This Row],[Plastic Bucket]],Table_NFI[Plastic Bucket])</f>
        <v>0</v>
      </c>
      <c r="AF353" s="436">
        <f>IF(NFI_Expiration=1,IF($A353&lt;VLOOKUP(Q$5,NFI,5,0),1,0)*Table_NFI[[#This Row],[Plastic Mat]],Table_NFI[Plastic Mat])*IF(Table_NFI[[#This Row],[Distribution Date]]&gt;"2014-04-01",1,2.5)</f>
        <v>0</v>
      </c>
      <c r="AG353" s="436">
        <f>IF(NFI_Expiration=1,IF($A353&lt;VLOOKUP(R$5,NFI,5,0),1,0)*Table_NFI[[#This Row],[Winter Clothes Adult]],Table_NFI[Winter Clothes Adult])</f>
        <v>0</v>
      </c>
      <c r="AH353" s="436">
        <f>IF(NFI_Expiration=1,IF($A353&lt;VLOOKUP(S$5,NFI,5,0),1,0)*Table_NFI[[#This Row],[Winter Clothes Children]],Table_NFI[Winter Clothes Children])</f>
        <v>0</v>
      </c>
      <c r="AI353" s="436">
        <f>IF(NFI_Expiration=1,IF($A353&lt;VLOOKUP(T$5,NFI,5,0),1,0)*Table_NFI[[#This Row],[Winter Items Other]],Table_NFI[Winter Items Other])</f>
        <v>0</v>
      </c>
      <c r="AJ353" s="436">
        <f>IF(NFI_Expiration=1,IF($A353&lt;VLOOKUP(M$5,NFI,5,0),1,0)*Table_NFI[[#This Row],[Winter Blanket]],Table_NFI[[#This Row],[Winter Blanket]])</f>
        <v>0</v>
      </c>
      <c r="AK353" s="436">
        <f>IF(Table_NFI[[#This Row],[Winter Clothes Adult]]+Table_NFI[[#This Row],[Winter Clothes Children]]+Table_NFI[[#This Row],[Winter Items Other]]+Table_NFI[[#This Row],[Winter Blanket]]&gt;0,1,0)</f>
        <v>1</v>
      </c>
      <c r="AL353" s="439">
        <f>IF(NFI_Expiration=1,IF($A353&lt;VLOOKUP(V$5,NFI,5,0),1,0)*Table_NFI[[#This Row],[Jerry Can]],Table_NFI[Jerry Can])</f>
        <v>0</v>
      </c>
      <c r="AM353" s="781" t="str">
        <f>IFERROR(VLOOKUP(Table_NFI[[#This Row],[Camp Name]],CL,2,0),"")</f>
        <v>MMR001CMP050</v>
      </c>
      <c r="AN353" s="782">
        <f ca="1">IF(Table_NFI[[#This Row],[Pcode]]="","",IF(OFFSET(CampList[Opening Date],MATCH(Table_NFI[[#This Row],[Pcode]],CampList[CP_Pcode],0)-1,0,1,1)&gt;=NFI_Monitor_Date,1,0))</f>
        <v>0</v>
      </c>
      <c r="AO353" s="781" t="str">
        <f>IFERROR(VLOOKUP(Table_NFI[[#This Row],[Camp Name]],CL,3,0),"")</f>
        <v>Open</v>
      </c>
      <c r="AP353" s="436" t="str">
        <f ca="1">IF(Table_NFI[[#This Row],[Pcode]]="","",OFFSET(CampList[Priority],MATCH(Table_NFI[[#This Row],[Pcode]],CampList[CP_Pcode],0)-1,0,1,1))</f>
        <v>P4</v>
      </c>
      <c r="AQ353" s="438">
        <f>IFERROR(Table_NFI[[#This Row],[Kitchen Set]]/VLOOKUP(Table_NFI[[#This Row],[Camp Name]],CL,4,0),"")</f>
        <v>0</v>
      </c>
      <c r="AR353" s="779" t="s">
        <v>1099</v>
      </c>
      <c r="AS353" s="783"/>
    </row>
    <row r="354" spans="1:45" s="784" customFormat="1" x14ac:dyDescent="0.25">
      <c r="A354" s="455">
        <f t="shared" si="5"/>
        <v>23.366666666666667</v>
      </c>
      <c r="B354" s="778">
        <v>41608</v>
      </c>
      <c r="C354" s="779" t="s">
        <v>912</v>
      </c>
      <c r="D354" s="779"/>
      <c r="E354" s="779" t="s">
        <v>380</v>
      </c>
      <c r="F354" s="435" t="s">
        <v>5</v>
      </c>
      <c r="G354" s="435" t="s">
        <v>6</v>
      </c>
      <c r="H354" s="436"/>
      <c r="I354" s="436"/>
      <c r="J354" s="436"/>
      <c r="K354" s="436"/>
      <c r="L354" s="437"/>
      <c r="M354" s="437"/>
      <c r="N354" s="437"/>
      <c r="O354" s="437"/>
      <c r="P354" s="439"/>
      <c r="Q354" s="439">
        <v>660</v>
      </c>
      <c r="R354" s="436"/>
      <c r="S354" s="436"/>
      <c r="T354" s="436"/>
      <c r="U354" s="436"/>
      <c r="V354" s="436"/>
      <c r="W354" s="436">
        <f>IF(NFI_Expiration=1,IF($A354&lt;VLOOKUP(H$5,NFI,5,0),1,0)*Table_NFI[[#This Row],[Hygiene Kit]],Table_NFI[Hygiene Kit])</f>
        <v>0</v>
      </c>
      <c r="X354" s="436">
        <f>IF(NFI_Expiration=1,IF($A354&lt;VLOOKUP(I$5,NFI,5,0),1,0)*Table_NFI[[#This Row],[NFI Core Kit]],Table_NFI[NFI Core Kit])</f>
        <v>0</v>
      </c>
      <c r="Y354" s="436">
        <f>IF(NFI_Expiration=1,IF($A354&lt;VLOOKUP(J$5,NFI,5,0),1,0)*Table_NFI[[#This Row],[Sanitary Kit]],Table_NFI[Sanitary Kit])</f>
        <v>0</v>
      </c>
      <c r="Z354" s="436">
        <f>IF(NFI_Expiration=1,IF($A354&lt;VLOOKUP(K$5,NFI,5,0),1,0)*Table_NFI[[#This Row],[Mosquito net]],Table_NFI[Mosquito net])</f>
        <v>0</v>
      </c>
      <c r="AA354" s="436">
        <f>IF(NFI_Expiration=1,IF($A354&lt;VLOOKUP(L$5,NFI,5,0),1,0)*Table_NFI[[#This Row],[Tarpaulin]],Table_NFI[[#This Row],[Tarpaulin]])</f>
        <v>0</v>
      </c>
      <c r="AB354" s="436">
        <f>IF(NFI_Expiration=1,IF($A354&lt;VLOOKUP(M$5,NFI,5,0),1,0)*Table_NFI[[#This Row],[Blanket]],Table_NFI[[#This Row],[Blanket]])</f>
        <v>0</v>
      </c>
      <c r="AC354" s="436">
        <f>IF(NFI_Expiration=1,IF($A354&lt;VLOOKUP(N$5,NFI,5,0),1,0)*Table_NFI[[#This Row],[Kitchen Set]],Table_NFI[Kitchen Set])</f>
        <v>0</v>
      </c>
      <c r="AD354" s="436">
        <f>IF(NFI_Expiration=1,IF($A354&lt;VLOOKUP(O$5,NFI,5,0),1,0)*Table_NFI[[#This Row],[Clothes Kit]],Table_NFI[Clothes Kit])</f>
        <v>0</v>
      </c>
      <c r="AE354" s="436">
        <f>IF(NFI_Expiration=1,IF($A354&lt;VLOOKUP(P$5,NFI,5,0),1,0)*Table_NFI[[#This Row],[Plastic Bucket]],Table_NFI[Plastic Bucket])</f>
        <v>0</v>
      </c>
      <c r="AF354" s="436">
        <f>IF(NFI_Expiration=1,IF($A354&lt;VLOOKUP(Q$5,NFI,5,0),1,0)*Table_NFI[[#This Row],[Plastic Mat]],Table_NFI[Plastic Mat])*IF(Table_NFI[[#This Row],[Distribution Date]]&gt;"2014-04-01",1,2.5)</f>
        <v>0</v>
      </c>
      <c r="AG354" s="436">
        <f>IF(NFI_Expiration=1,IF($A354&lt;VLOOKUP(R$5,NFI,5,0),1,0)*Table_NFI[[#This Row],[Winter Clothes Adult]],Table_NFI[Winter Clothes Adult])</f>
        <v>0</v>
      </c>
      <c r="AH354" s="436">
        <f>IF(NFI_Expiration=1,IF($A354&lt;VLOOKUP(S$5,NFI,5,0),1,0)*Table_NFI[[#This Row],[Winter Clothes Children]],Table_NFI[Winter Clothes Children])</f>
        <v>0</v>
      </c>
      <c r="AI354" s="436">
        <f>IF(NFI_Expiration=1,IF($A354&lt;VLOOKUP(T$5,NFI,5,0),1,0)*Table_NFI[[#This Row],[Winter Items Other]],Table_NFI[Winter Items Other])</f>
        <v>0</v>
      </c>
      <c r="AJ354" s="436">
        <f>IF(NFI_Expiration=1,IF($A354&lt;VLOOKUP(M$5,NFI,5,0),1,0)*Table_NFI[[#This Row],[Winter Blanket]],Table_NFI[[#This Row],[Winter Blanket]])</f>
        <v>0</v>
      </c>
      <c r="AK354" s="436">
        <f>IF(Table_NFI[[#This Row],[Winter Clothes Adult]]+Table_NFI[[#This Row],[Winter Clothes Children]]+Table_NFI[[#This Row],[Winter Items Other]]+Table_NFI[[#This Row],[Winter Blanket]]&gt;0,1,0)</f>
        <v>0</v>
      </c>
      <c r="AL354" s="439">
        <f>IF(NFI_Expiration=1,IF($A354&lt;VLOOKUP(V$5,NFI,5,0),1,0)*Table_NFI[[#This Row],[Jerry Can]],Table_NFI[Jerry Can])</f>
        <v>0</v>
      </c>
      <c r="AM354" s="781" t="str">
        <f>IFERROR(VLOOKUP(Table_NFI[[#This Row],[Camp Name]],CL,2,0),"")</f>
        <v>MMR001CMP050</v>
      </c>
      <c r="AN354" s="782">
        <f ca="1">IF(Table_NFI[[#This Row],[Pcode]]="","",IF(OFFSET(CampList[Opening Date],MATCH(Table_NFI[[#This Row],[Pcode]],CampList[CP_Pcode],0)-1,0,1,1)&gt;=NFI_Monitor_Date,1,0))</f>
        <v>0</v>
      </c>
      <c r="AO354" s="781" t="str">
        <f>IFERROR(VLOOKUP(Table_NFI[[#This Row],[Camp Name]],CL,3,0),"")</f>
        <v>Open</v>
      </c>
      <c r="AP354" s="436" t="str">
        <f ca="1">IF(Table_NFI[[#This Row],[Pcode]]="","",OFFSET(CampList[Priority],MATCH(Table_NFI[[#This Row],[Pcode]],CampList[CP_Pcode],0)-1,0,1,1))</f>
        <v>P4</v>
      </c>
      <c r="AQ354" s="438">
        <f>IFERROR(Table_NFI[[#This Row],[Kitchen Set]]/VLOOKUP(Table_NFI[[#This Row],[Camp Name]],CL,4,0),"")</f>
        <v>0</v>
      </c>
      <c r="AR354" s="779" t="s">
        <v>1099</v>
      </c>
      <c r="AS354" s="783"/>
    </row>
    <row r="355" spans="1:45" s="784" customFormat="1" x14ac:dyDescent="0.25">
      <c r="A355" s="455">
        <f t="shared" si="5"/>
        <v>23.366666666666667</v>
      </c>
      <c r="B355" s="778">
        <v>41608</v>
      </c>
      <c r="C355" s="442" t="s">
        <v>454</v>
      </c>
      <c r="D355" s="442" t="s">
        <v>454</v>
      </c>
      <c r="E355" s="779" t="s">
        <v>380</v>
      </c>
      <c r="F355" s="435" t="s">
        <v>5</v>
      </c>
      <c r="G355" s="435" t="s">
        <v>6</v>
      </c>
      <c r="H355" s="442"/>
      <c r="I355" s="442"/>
      <c r="J355" s="442"/>
      <c r="K355" s="785">
        <v>6</v>
      </c>
      <c r="L355" s="786">
        <v>6</v>
      </c>
      <c r="M355" s="443">
        <v>6</v>
      </c>
      <c r="N355" s="443">
        <v>6</v>
      </c>
      <c r="O355" s="443">
        <v>6</v>
      </c>
      <c r="P355" s="786"/>
      <c r="Q355" s="443"/>
      <c r="R355" s="442"/>
      <c r="S355" s="442"/>
      <c r="T355" s="442"/>
      <c r="U355" s="442"/>
      <c r="V355" s="442"/>
      <c r="W355" s="436">
        <f>IF(NFI_Expiration=1,IF($A355&lt;VLOOKUP(H$5,NFI,5,0),1,0)*Table_NFI[[#This Row],[Hygiene Kit]],Table_NFI[Hygiene Kit])</f>
        <v>0</v>
      </c>
      <c r="X355" s="436">
        <f>IF(NFI_Expiration=1,IF($A355&lt;VLOOKUP(I$5,NFI,5,0),1,0)*Table_NFI[[#This Row],[NFI Core Kit]],Table_NFI[NFI Core Kit])</f>
        <v>0</v>
      </c>
      <c r="Y355" s="436">
        <f>IF(NFI_Expiration=1,IF($A355&lt;VLOOKUP(J$5,NFI,5,0),1,0)*Table_NFI[[#This Row],[Sanitary Kit]],Table_NFI[Sanitary Kit])</f>
        <v>0</v>
      </c>
      <c r="Z355" s="436">
        <f>IF(NFI_Expiration=1,IF($A355&lt;VLOOKUP(K$5,NFI,5,0),1,0)*Table_NFI[[#This Row],[Mosquito net]],Table_NFI[Mosquito net])</f>
        <v>0</v>
      </c>
      <c r="AA355" s="436">
        <f>IF(NFI_Expiration=1,IF($A355&lt;VLOOKUP(L$5,NFI,5,0),1,0)*Table_NFI[[#This Row],[Tarpaulin]],Table_NFI[[#This Row],[Tarpaulin]])</f>
        <v>0</v>
      </c>
      <c r="AB355" s="436">
        <f>IF(NFI_Expiration=1,IF($A355&lt;VLOOKUP(M$5,NFI,5,0),1,0)*Table_NFI[[#This Row],[Blanket]],Table_NFI[[#This Row],[Blanket]])</f>
        <v>0</v>
      </c>
      <c r="AC355" s="436">
        <f>IF(NFI_Expiration=1,IF($A355&lt;VLOOKUP(N$5,NFI,5,0),1,0)*Table_NFI[[#This Row],[Kitchen Set]],Table_NFI[Kitchen Set])</f>
        <v>0</v>
      </c>
      <c r="AD355" s="436">
        <f>IF(NFI_Expiration=1,IF($A355&lt;VLOOKUP(O$5,NFI,5,0),1,0)*Table_NFI[[#This Row],[Clothes Kit]],Table_NFI[Clothes Kit])</f>
        <v>0</v>
      </c>
      <c r="AE355" s="436">
        <f>IF(NFI_Expiration=1,IF($A355&lt;VLOOKUP(P$5,NFI,5,0),1,0)*Table_NFI[[#This Row],[Plastic Bucket]],Table_NFI[Plastic Bucket])</f>
        <v>0</v>
      </c>
      <c r="AF355" s="436">
        <f>IF(NFI_Expiration=1,IF($A355&lt;VLOOKUP(Q$5,NFI,5,0),1,0)*Table_NFI[[#This Row],[Plastic Mat]],Table_NFI[Plastic Mat])*IF(Table_NFI[[#This Row],[Distribution Date]]&gt;"2014-04-01",1,2.5)</f>
        <v>0</v>
      </c>
      <c r="AG355" s="436">
        <f>IF(NFI_Expiration=1,IF($A355&lt;VLOOKUP(R$5,NFI,5,0),1,0)*Table_NFI[[#This Row],[Winter Clothes Adult]],Table_NFI[Winter Clothes Adult])</f>
        <v>0</v>
      </c>
      <c r="AH355" s="436">
        <f>IF(NFI_Expiration=1,IF($A355&lt;VLOOKUP(S$5,NFI,5,0),1,0)*Table_NFI[[#This Row],[Winter Clothes Children]],Table_NFI[Winter Clothes Children])</f>
        <v>0</v>
      </c>
      <c r="AI355" s="436">
        <f>IF(NFI_Expiration=1,IF($A355&lt;VLOOKUP(T$5,NFI,5,0),1,0)*Table_NFI[[#This Row],[Winter Items Other]],Table_NFI[Winter Items Other])</f>
        <v>0</v>
      </c>
      <c r="AJ355" s="436">
        <f>IF(NFI_Expiration=1,IF($A355&lt;VLOOKUP(M$5,NFI,5,0),1,0)*Table_NFI[[#This Row],[Winter Blanket]],Table_NFI[[#This Row],[Winter Blanket]])</f>
        <v>0</v>
      </c>
      <c r="AK355" s="436">
        <f>IF(Table_NFI[[#This Row],[Winter Clothes Adult]]+Table_NFI[[#This Row],[Winter Clothes Children]]+Table_NFI[[#This Row],[Winter Items Other]]+Table_NFI[[#This Row],[Winter Blanket]]&gt;0,1,0)</f>
        <v>0</v>
      </c>
      <c r="AL355" s="439">
        <f>IF(NFI_Expiration=1,IF($A355&lt;VLOOKUP(V$5,NFI,5,0),1,0)*Table_NFI[[#This Row],[Jerry Can]],Table_NFI[Jerry Can])</f>
        <v>0</v>
      </c>
      <c r="AM355" s="781" t="str">
        <f>IFERROR(VLOOKUP(Table_NFI[[#This Row],[Camp Name]],CL,2,0),"")</f>
        <v>MMR001CMP050</v>
      </c>
      <c r="AN355" s="782">
        <f ca="1">IF(Table_NFI[[#This Row],[Pcode]]="","",IF(OFFSET(CampList[Opening Date],MATCH(Table_NFI[[#This Row],[Pcode]],CampList[CP_Pcode],0)-1,0,1,1)&gt;=NFI_Monitor_Date,1,0))</f>
        <v>0</v>
      </c>
      <c r="AO355" s="781" t="str">
        <f>IFERROR(VLOOKUP(Table_NFI[[#This Row],[Camp Name]],CL,3,0),"")</f>
        <v>Open</v>
      </c>
      <c r="AP355" s="436" t="str">
        <f ca="1">IF(Table_NFI[[#This Row],[Pcode]]="","",OFFSET(CampList[Priority],MATCH(Table_NFI[[#This Row],[Pcode]],CampList[CP_Pcode],0)-1,0,1,1))</f>
        <v>P4</v>
      </c>
      <c r="AQ355" s="438">
        <f>IFERROR(Table_NFI[[#This Row],[Kitchen Set]]/VLOOKUP(Table_NFI[[#This Row],[Camp Name]],CL,4,0),"")</f>
        <v>1.9933554817275746E-2</v>
      </c>
      <c r="AR355" s="779" t="s">
        <v>1099</v>
      </c>
      <c r="AS355" s="783"/>
    </row>
    <row r="356" spans="1:45" s="784" customFormat="1" x14ac:dyDescent="0.25">
      <c r="A356" s="455">
        <f t="shared" si="5"/>
        <v>23.366666666666667</v>
      </c>
      <c r="B356" s="778">
        <v>41608</v>
      </c>
      <c r="C356" s="779" t="s">
        <v>912</v>
      </c>
      <c r="D356" s="779"/>
      <c r="E356" s="779" t="s">
        <v>380</v>
      </c>
      <c r="F356" s="435" t="s">
        <v>5</v>
      </c>
      <c r="G356" s="435" t="s">
        <v>514</v>
      </c>
      <c r="H356" s="436"/>
      <c r="I356" s="436"/>
      <c r="J356" s="436"/>
      <c r="K356" s="436"/>
      <c r="L356" s="437"/>
      <c r="M356" s="437"/>
      <c r="N356" s="437"/>
      <c r="O356" s="437"/>
      <c r="P356" s="439"/>
      <c r="Q356" s="439"/>
      <c r="R356" s="436"/>
      <c r="S356" s="436"/>
      <c r="T356" s="436"/>
      <c r="U356" s="436"/>
      <c r="V356" s="436"/>
      <c r="W356" s="436">
        <f>IF(NFI_Expiration=1,IF($A356&lt;VLOOKUP(H$5,NFI,5,0),1,0)*Table_NFI[[#This Row],[Hygiene Kit]],Table_NFI[Hygiene Kit])</f>
        <v>0</v>
      </c>
      <c r="X356" s="436">
        <f>IF(NFI_Expiration=1,IF($A356&lt;VLOOKUP(I$5,NFI,5,0),1,0)*Table_NFI[[#This Row],[NFI Core Kit]],Table_NFI[NFI Core Kit])</f>
        <v>0</v>
      </c>
      <c r="Y356" s="436">
        <f>IF(NFI_Expiration=1,IF($A356&lt;VLOOKUP(J$5,NFI,5,0),1,0)*Table_NFI[[#This Row],[Sanitary Kit]],Table_NFI[Sanitary Kit])</f>
        <v>0</v>
      </c>
      <c r="Z356" s="436">
        <f>IF(NFI_Expiration=1,IF($A356&lt;VLOOKUP(K$5,NFI,5,0),1,0)*Table_NFI[[#This Row],[Mosquito net]],Table_NFI[Mosquito net])</f>
        <v>0</v>
      </c>
      <c r="AA356" s="436">
        <f>IF(NFI_Expiration=1,IF($A356&lt;VLOOKUP(L$5,NFI,5,0),1,0)*Table_NFI[[#This Row],[Tarpaulin]],Table_NFI[[#This Row],[Tarpaulin]])</f>
        <v>0</v>
      </c>
      <c r="AB356" s="436">
        <f>IF(NFI_Expiration=1,IF($A356&lt;VLOOKUP(M$5,NFI,5,0),1,0)*Table_NFI[[#This Row],[Blanket]],Table_NFI[[#This Row],[Blanket]])</f>
        <v>0</v>
      </c>
      <c r="AC356" s="436">
        <f>IF(NFI_Expiration=1,IF($A356&lt;VLOOKUP(N$5,NFI,5,0),1,0)*Table_NFI[[#This Row],[Kitchen Set]],Table_NFI[Kitchen Set])</f>
        <v>0</v>
      </c>
      <c r="AD356" s="436">
        <f>IF(NFI_Expiration=1,IF($A356&lt;VLOOKUP(O$5,NFI,5,0),1,0)*Table_NFI[[#This Row],[Clothes Kit]],Table_NFI[Clothes Kit])</f>
        <v>0</v>
      </c>
      <c r="AE356" s="436">
        <f>IF(NFI_Expiration=1,IF($A356&lt;VLOOKUP(P$5,NFI,5,0),1,0)*Table_NFI[[#This Row],[Plastic Bucket]],Table_NFI[Plastic Bucket])</f>
        <v>0</v>
      </c>
      <c r="AF356" s="436">
        <f>IF(NFI_Expiration=1,IF($A356&lt;VLOOKUP(Q$5,NFI,5,0),1,0)*Table_NFI[[#This Row],[Plastic Mat]],Table_NFI[Plastic Mat])*IF(Table_NFI[[#This Row],[Distribution Date]]&gt;"2014-04-01",1,2.5)</f>
        <v>0</v>
      </c>
      <c r="AG356" s="436">
        <f>IF(NFI_Expiration=1,IF($A356&lt;VLOOKUP(R$5,NFI,5,0),1,0)*Table_NFI[[#This Row],[Winter Clothes Adult]],Table_NFI[Winter Clothes Adult])</f>
        <v>0</v>
      </c>
      <c r="AH356" s="436">
        <f>IF(NFI_Expiration=1,IF($A356&lt;VLOOKUP(S$5,NFI,5,0),1,0)*Table_NFI[[#This Row],[Winter Clothes Children]],Table_NFI[Winter Clothes Children])</f>
        <v>0</v>
      </c>
      <c r="AI356" s="436">
        <f>IF(NFI_Expiration=1,IF($A356&lt;VLOOKUP(T$5,NFI,5,0),1,0)*Table_NFI[[#This Row],[Winter Items Other]],Table_NFI[Winter Items Other])</f>
        <v>0</v>
      </c>
      <c r="AJ356" s="436">
        <f>IF(NFI_Expiration=1,IF($A356&lt;VLOOKUP(M$5,NFI,5,0),1,0)*Table_NFI[[#This Row],[Winter Blanket]],Table_NFI[[#This Row],[Winter Blanket]])</f>
        <v>0</v>
      </c>
      <c r="AK356" s="436">
        <f>IF(Table_NFI[[#This Row],[Winter Clothes Adult]]+Table_NFI[[#This Row],[Winter Clothes Children]]+Table_NFI[[#This Row],[Winter Items Other]]+Table_NFI[[#This Row],[Winter Blanket]]&gt;0,1,0)</f>
        <v>0</v>
      </c>
      <c r="AL356" s="439">
        <f>IF(NFI_Expiration=1,IF($A356&lt;VLOOKUP(V$5,NFI,5,0),1,0)*Table_NFI[[#This Row],[Jerry Can]],Table_NFI[Jerry Can])</f>
        <v>0</v>
      </c>
      <c r="AM356" s="781" t="str">
        <f>IFERROR(VLOOKUP(Table_NFI[[#This Row],[Camp Name]],CL,2,0),"")</f>
        <v>MMR001CMP194</v>
      </c>
      <c r="AN356" s="782">
        <f ca="1">IF(Table_NFI[[#This Row],[Pcode]]="","",IF(OFFSET(CampList[Opening Date],MATCH(Table_NFI[[#This Row],[Pcode]],CampList[CP_Pcode],0)-1,0,1,1)&gt;=NFI_Monitor_Date,1,0))</f>
        <v>0</v>
      </c>
      <c r="AO356" s="781" t="s">
        <v>849</v>
      </c>
      <c r="AP356" s="436" t="str">
        <f ca="1">IF(Table_NFI[[#This Row],[Pcode]]="","",OFFSET(CampList[Priority],MATCH(Table_NFI[[#This Row],[Pcode]],CampList[CP_Pcode],0)-1,0,1,1))</f>
        <v>P4</v>
      </c>
      <c r="AQ356" s="438">
        <f>IFERROR(Table_NFI[[#This Row],[Kitchen Set]]/VLOOKUP(Table_NFI[[#This Row],[Camp Name]],CL,4,0),"")</f>
        <v>0</v>
      </c>
      <c r="AR356" s="779" t="s">
        <v>1099</v>
      </c>
      <c r="AS356" s="783"/>
    </row>
    <row r="357" spans="1:45" s="784" customFormat="1" x14ac:dyDescent="0.25">
      <c r="A357" s="455">
        <f t="shared" si="5"/>
        <v>23.366666666666667</v>
      </c>
      <c r="B357" s="778">
        <v>41608</v>
      </c>
      <c r="C357" s="779" t="s">
        <v>912</v>
      </c>
      <c r="D357" s="779" t="s">
        <v>462</v>
      </c>
      <c r="E357" s="779" t="s">
        <v>380</v>
      </c>
      <c r="F357" s="435" t="s">
        <v>310</v>
      </c>
      <c r="G357" s="435" t="s">
        <v>334</v>
      </c>
      <c r="H357" s="436"/>
      <c r="I357" s="436"/>
      <c r="J357" s="436"/>
      <c r="K357" s="436"/>
      <c r="L357" s="437"/>
      <c r="M357" s="437"/>
      <c r="N357" s="437"/>
      <c r="O357" s="437"/>
      <c r="P357" s="439"/>
      <c r="Q357" s="439"/>
      <c r="R357" s="436"/>
      <c r="S357" s="436"/>
      <c r="T357" s="436"/>
      <c r="U357" s="436"/>
      <c r="V357" s="436"/>
      <c r="W357" s="436">
        <f>IF(NFI_Expiration=1,IF($A357&lt;VLOOKUP(H$5,NFI,5,0),1,0)*Table_NFI[[#This Row],[Hygiene Kit]],Table_NFI[Hygiene Kit])</f>
        <v>0</v>
      </c>
      <c r="X357" s="436">
        <f>IF(NFI_Expiration=1,IF($A357&lt;VLOOKUP(I$5,NFI,5,0),1,0)*Table_NFI[[#This Row],[NFI Core Kit]],Table_NFI[NFI Core Kit])</f>
        <v>0</v>
      </c>
      <c r="Y357" s="436">
        <f>IF(NFI_Expiration=1,IF($A357&lt;VLOOKUP(J$5,NFI,5,0),1,0)*Table_NFI[[#This Row],[Sanitary Kit]],Table_NFI[Sanitary Kit])</f>
        <v>0</v>
      </c>
      <c r="Z357" s="436">
        <f>IF(NFI_Expiration=1,IF($A357&lt;VLOOKUP(K$5,NFI,5,0),1,0)*Table_NFI[[#This Row],[Mosquito net]],Table_NFI[Mosquito net])</f>
        <v>0</v>
      </c>
      <c r="AA357" s="436">
        <f>IF(NFI_Expiration=1,IF($A357&lt;VLOOKUP(L$5,NFI,5,0),1,0)*Table_NFI[[#This Row],[Tarpaulin]],Table_NFI[[#This Row],[Tarpaulin]])</f>
        <v>0</v>
      </c>
      <c r="AB357" s="436">
        <f>IF(NFI_Expiration=1,IF($A357&lt;VLOOKUP(M$5,NFI,5,0),1,0)*Table_NFI[[#This Row],[Blanket]],Table_NFI[[#This Row],[Blanket]])</f>
        <v>0</v>
      </c>
      <c r="AC357" s="436">
        <f>IF(NFI_Expiration=1,IF($A357&lt;VLOOKUP(N$5,NFI,5,0),1,0)*Table_NFI[[#This Row],[Kitchen Set]],Table_NFI[Kitchen Set])</f>
        <v>0</v>
      </c>
      <c r="AD357" s="436">
        <f>IF(NFI_Expiration=1,IF($A357&lt;VLOOKUP(O$5,NFI,5,0),1,0)*Table_NFI[[#This Row],[Clothes Kit]],Table_NFI[Clothes Kit])</f>
        <v>0</v>
      </c>
      <c r="AE357" s="436">
        <f>IF(NFI_Expiration=1,IF($A357&lt;VLOOKUP(P$5,NFI,5,0),1,0)*Table_NFI[[#This Row],[Plastic Bucket]],Table_NFI[Plastic Bucket])</f>
        <v>0</v>
      </c>
      <c r="AF357" s="436">
        <f>IF(NFI_Expiration=1,IF($A357&lt;VLOOKUP(Q$5,NFI,5,0),1,0)*Table_NFI[[#This Row],[Plastic Mat]],Table_NFI[Plastic Mat])*IF(Table_NFI[[#This Row],[Distribution Date]]&gt;"2014-04-01",1,2.5)</f>
        <v>0</v>
      </c>
      <c r="AG357" s="436">
        <f>IF(NFI_Expiration=1,IF($A357&lt;VLOOKUP(R$5,NFI,5,0),1,0)*Table_NFI[[#This Row],[Winter Clothes Adult]],Table_NFI[Winter Clothes Adult])</f>
        <v>0</v>
      </c>
      <c r="AH357" s="436">
        <f>IF(NFI_Expiration=1,IF($A357&lt;VLOOKUP(S$5,NFI,5,0),1,0)*Table_NFI[[#This Row],[Winter Clothes Children]],Table_NFI[Winter Clothes Children])</f>
        <v>0</v>
      </c>
      <c r="AI357" s="436">
        <f>IF(NFI_Expiration=1,IF($A357&lt;VLOOKUP(T$5,NFI,5,0),1,0)*Table_NFI[[#This Row],[Winter Items Other]],Table_NFI[Winter Items Other])</f>
        <v>0</v>
      </c>
      <c r="AJ357" s="436">
        <f>IF(NFI_Expiration=1,IF($A357&lt;VLOOKUP(M$5,NFI,5,0),1,0)*Table_NFI[[#This Row],[Winter Blanket]],Table_NFI[[#This Row],[Winter Blanket]])</f>
        <v>0</v>
      </c>
      <c r="AK357" s="436">
        <f>IF(Table_NFI[[#This Row],[Winter Clothes Adult]]+Table_NFI[[#This Row],[Winter Clothes Children]]+Table_NFI[[#This Row],[Winter Items Other]]+Table_NFI[[#This Row],[Winter Blanket]]&gt;0,1,0)</f>
        <v>0</v>
      </c>
      <c r="AL357" s="439">
        <f>IF(NFI_Expiration=1,IF($A357&lt;VLOOKUP(V$5,NFI,5,0),1,0)*Table_NFI[[#This Row],[Jerry Can]],Table_NFI[Jerry Can])</f>
        <v>0</v>
      </c>
      <c r="AM357" s="781" t="str">
        <f>IFERROR(VLOOKUP(Table_NFI[[#This Row],[Camp Name]],CL,2,0),"")</f>
        <v>MMR001CMP113</v>
      </c>
      <c r="AN357" s="782">
        <f ca="1">IF(Table_NFI[[#This Row],[Pcode]]="","",IF(OFFSET(CampList[Opening Date],MATCH(Table_NFI[[#This Row],[Pcode]],CampList[CP_Pcode],0)-1,0,1,1)&gt;=NFI_Monitor_Date,1,0))</f>
        <v>0</v>
      </c>
      <c r="AO357" s="781" t="str">
        <f>IFERROR(VLOOKUP(Table_NFI[[#This Row],[Camp Name]],CL,3,0),"")</f>
        <v>Open</v>
      </c>
      <c r="AP357" s="436" t="str">
        <f ca="1">IF(Table_NFI[[#This Row],[Pcode]]="","",OFFSET(CampList[Priority],MATCH(Table_NFI[[#This Row],[Pcode]],CampList[CP_Pcode],0)-1,0,1,1))</f>
        <v>P1</v>
      </c>
      <c r="AQ357" s="438">
        <f>IFERROR(Table_NFI[[#This Row],[Kitchen Set]]/VLOOKUP(Table_NFI[[#This Row],[Camp Name]],CL,4,0),"")</f>
        <v>0</v>
      </c>
      <c r="AR357" s="779" t="s">
        <v>1099</v>
      </c>
      <c r="AS357" s="783"/>
    </row>
    <row r="358" spans="1:45" s="784" customFormat="1" x14ac:dyDescent="0.25">
      <c r="A358" s="455">
        <f t="shared" si="5"/>
        <v>23.366666666666667</v>
      </c>
      <c r="B358" s="778">
        <v>41608</v>
      </c>
      <c r="C358" s="779" t="s">
        <v>1104</v>
      </c>
      <c r="D358" s="442" t="s">
        <v>951</v>
      </c>
      <c r="E358" s="785" t="s">
        <v>380</v>
      </c>
      <c r="F358" s="435" t="s">
        <v>151</v>
      </c>
      <c r="G358" s="435" t="s">
        <v>188</v>
      </c>
      <c r="H358" s="442"/>
      <c r="I358" s="442"/>
      <c r="J358" s="442"/>
      <c r="K358" s="785"/>
      <c r="L358" s="786"/>
      <c r="M358" s="443">
        <v>819</v>
      </c>
      <c r="N358" s="443"/>
      <c r="O358" s="443"/>
      <c r="P358" s="786"/>
      <c r="Q358" s="443"/>
      <c r="R358" s="442">
        <v>966</v>
      </c>
      <c r="S358" s="442">
        <v>484</v>
      </c>
      <c r="T358" s="442">
        <v>0</v>
      </c>
      <c r="U358" s="442"/>
      <c r="V358" s="442"/>
      <c r="W358" s="436">
        <f>IF(NFI_Expiration=1,IF($A358&lt;VLOOKUP(H$5,NFI,5,0),1,0)*Table_NFI[[#This Row],[Hygiene Kit]],Table_NFI[Hygiene Kit])</f>
        <v>0</v>
      </c>
      <c r="X358" s="436">
        <f>IF(NFI_Expiration=1,IF($A358&lt;VLOOKUP(I$5,NFI,5,0),1,0)*Table_NFI[[#This Row],[NFI Core Kit]],Table_NFI[NFI Core Kit])</f>
        <v>0</v>
      </c>
      <c r="Y358" s="436">
        <f>IF(NFI_Expiration=1,IF($A358&lt;VLOOKUP(J$5,NFI,5,0),1,0)*Table_NFI[[#This Row],[Sanitary Kit]],Table_NFI[Sanitary Kit])</f>
        <v>0</v>
      </c>
      <c r="Z358" s="436">
        <f>IF(NFI_Expiration=1,IF($A358&lt;VLOOKUP(K$5,NFI,5,0),1,0)*Table_NFI[[#This Row],[Mosquito net]],Table_NFI[Mosquito net])</f>
        <v>0</v>
      </c>
      <c r="AA358" s="436">
        <f>IF(NFI_Expiration=1,IF($A358&lt;VLOOKUP(L$5,NFI,5,0),1,0)*Table_NFI[[#This Row],[Tarpaulin]],Table_NFI[[#This Row],[Tarpaulin]])</f>
        <v>0</v>
      </c>
      <c r="AB358" s="436">
        <f>IF(NFI_Expiration=1,IF($A358&lt;VLOOKUP(M$5,NFI,5,0),1,0)*Table_NFI[[#This Row],[Blanket]],Table_NFI[[#This Row],[Blanket]])</f>
        <v>0</v>
      </c>
      <c r="AC358" s="436">
        <f>IF(NFI_Expiration=1,IF($A358&lt;VLOOKUP(N$5,NFI,5,0),1,0)*Table_NFI[[#This Row],[Kitchen Set]],Table_NFI[Kitchen Set])</f>
        <v>0</v>
      </c>
      <c r="AD358" s="436">
        <f>IF(NFI_Expiration=1,IF($A358&lt;VLOOKUP(O$5,NFI,5,0),1,0)*Table_NFI[[#This Row],[Clothes Kit]],Table_NFI[Clothes Kit])</f>
        <v>0</v>
      </c>
      <c r="AE358" s="436">
        <f>IF(NFI_Expiration=1,IF($A358&lt;VLOOKUP(P$5,NFI,5,0),1,0)*Table_NFI[[#This Row],[Plastic Bucket]],Table_NFI[Plastic Bucket])</f>
        <v>0</v>
      </c>
      <c r="AF358" s="436">
        <f>IF(NFI_Expiration=1,IF($A358&lt;VLOOKUP(Q$5,NFI,5,0),1,0)*Table_NFI[[#This Row],[Plastic Mat]],Table_NFI[Plastic Mat])*IF(Table_NFI[[#This Row],[Distribution Date]]&gt;"2014-04-01",1,2.5)</f>
        <v>0</v>
      </c>
      <c r="AG358" s="436">
        <f>IF(NFI_Expiration=1,IF($A358&lt;VLOOKUP(R$5,NFI,5,0),1,0)*Table_NFI[[#This Row],[Winter Clothes Adult]],Table_NFI[Winter Clothes Adult])</f>
        <v>0</v>
      </c>
      <c r="AH358" s="436">
        <f>IF(NFI_Expiration=1,IF($A358&lt;VLOOKUP(S$5,NFI,5,0),1,0)*Table_NFI[[#This Row],[Winter Clothes Children]],Table_NFI[Winter Clothes Children])</f>
        <v>0</v>
      </c>
      <c r="AI358" s="436">
        <f>IF(NFI_Expiration=1,IF($A358&lt;VLOOKUP(T$5,NFI,5,0),1,0)*Table_NFI[[#This Row],[Winter Items Other]],Table_NFI[Winter Items Other])</f>
        <v>0</v>
      </c>
      <c r="AJ358" s="436">
        <f>IF(NFI_Expiration=1,IF($A358&lt;VLOOKUP(M$5,NFI,5,0),1,0)*Table_NFI[[#This Row],[Winter Blanket]],Table_NFI[[#This Row],[Winter Blanket]])</f>
        <v>0</v>
      </c>
      <c r="AK358" s="436">
        <f>IF(Table_NFI[[#This Row],[Winter Clothes Adult]]+Table_NFI[[#This Row],[Winter Clothes Children]]+Table_NFI[[#This Row],[Winter Items Other]]+Table_NFI[[#This Row],[Winter Blanket]]&gt;0,1,0)</f>
        <v>1</v>
      </c>
      <c r="AL358" s="439">
        <f>IF(NFI_Expiration=1,IF($A358&lt;VLOOKUP(V$5,NFI,5,0),1,0)*Table_NFI[[#This Row],[Jerry Can]],Table_NFI[Jerry Can])</f>
        <v>0</v>
      </c>
      <c r="AM358" s="781" t="str">
        <f>IFERROR(VLOOKUP(Table_NFI[[#This Row],[Camp Name]],CL,2,0),"")</f>
        <v>MMR001CMP129</v>
      </c>
      <c r="AN358" s="782">
        <f ca="1">IF(Table_NFI[[#This Row],[Pcode]]="","",IF(OFFSET(CampList[Opening Date],MATCH(Table_NFI[[#This Row],[Pcode]],CampList[CP_Pcode],0)-1,0,1,1)&gt;=NFI_Monitor_Date,1,0))</f>
        <v>0</v>
      </c>
      <c r="AO358" s="781" t="str">
        <f>IFERROR(VLOOKUP(Table_NFI[[#This Row],[Camp Name]],CL,3,0),"")</f>
        <v>Open</v>
      </c>
      <c r="AP358" s="436" t="str">
        <f ca="1">IF(Table_NFI[[#This Row],[Pcode]]="","",OFFSET(CampList[Priority],MATCH(Table_NFI[[#This Row],[Pcode]],CampList[CP_Pcode],0)-1,0,1,1))</f>
        <v>P2</v>
      </c>
      <c r="AQ358" s="438">
        <f>IFERROR(Table_NFI[[#This Row],[Kitchen Set]]/VLOOKUP(Table_NFI[[#This Row],[Camp Name]],CL,4,0),"")</f>
        <v>0</v>
      </c>
      <c r="AR358" s="779" t="s">
        <v>1099</v>
      </c>
      <c r="AS358" s="783"/>
    </row>
    <row r="359" spans="1:45" s="784" customFormat="1" x14ac:dyDescent="0.25">
      <c r="A359" s="455">
        <f t="shared" si="5"/>
        <v>23.366666666666667</v>
      </c>
      <c r="B359" s="778">
        <v>41608</v>
      </c>
      <c r="C359" s="779" t="s">
        <v>912</v>
      </c>
      <c r="D359" s="779" t="s">
        <v>462</v>
      </c>
      <c r="E359" s="779" t="s">
        <v>380</v>
      </c>
      <c r="F359" s="435" t="s">
        <v>151</v>
      </c>
      <c r="G359" s="435" t="s">
        <v>188</v>
      </c>
      <c r="H359" s="436"/>
      <c r="I359" s="436"/>
      <c r="J359" s="436"/>
      <c r="K359" s="436"/>
      <c r="L359" s="437"/>
      <c r="M359" s="437"/>
      <c r="N359" s="437"/>
      <c r="O359" s="437"/>
      <c r="P359" s="439"/>
      <c r="Q359" s="439">
        <v>321</v>
      </c>
      <c r="R359" s="436"/>
      <c r="S359" s="436"/>
      <c r="T359" s="436"/>
      <c r="U359" s="436"/>
      <c r="V359" s="436"/>
      <c r="W359" s="436">
        <f>IF(NFI_Expiration=1,IF($A359&lt;VLOOKUP(H$5,NFI,5,0),1,0)*Table_NFI[[#This Row],[Hygiene Kit]],Table_NFI[Hygiene Kit])</f>
        <v>0</v>
      </c>
      <c r="X359" s="436">
        <f>IF(NFI_Expiration=1,IF($A359&lt;VLOOKUP(I$5,NFI,5,0),1,0)*Table_NFI[[#This Row],[NFI Core Kit]],Table_NFI[NFI Core Kit])</f>
        <v>0</v>
      </c>
      <c r="Y359" s="436">
        <f>IF(NFI_Expiration=1,IF($A359&lt;VLOOKUP(J$5,NFI,5,0),1,0)*Table_NFI[[#This Row],[Sanitary Kit]],Table_NFI[Sanitary Kit])</f>
        <v>0</v>
      </c>
      <c r="Z359" s="436">
        <f>IF(NFI_Expiration=1,IF($A359&lt;VLOOKUP(K$5,NFI,5,0),1,0)*Table_NFI[[#This Row],[Mosquito net]],Table_NFI[Mosquito net])</f>
        <v>0</v>
      </c>
      <c r="AA359" s="436">
        <f>IF(NFI_Expiration=1,IF($A359&lt;VLOOKUP(L$5,NFI,5,0),1,0)*Table_NFI[[#This Row],[Tarpaulin]],Table_NFI[[#This Row],[Tarpaulin]])</f>
        <v>0</v>
      </c>
      <c r="AB359" s="436">
        <f>IF(NFI_Expiration=1,IF($A359&lt;VLOOKUP(M$5,NFI,5,0),1,0)*Table_NFI[[#This Row],[Blanket]],Table_NFI[[#This Row],[Blanket]])</f>
        <v>0</v>
      </c>
      <c r="AC359" s="436">
        <f>IF(NFI_Expiration=1,IF($A359&lt;VLOOKUP(N$5,NFI,5,0),1,0)*Table_NFI[[#This Row],[Kitchen Set]],Table_NFI[Kitchen Set])</f>
        <v>0</v>
      </c>
      <c r="AD359" s="436">
        <f>IF(NFI_Expiration=1,IF($A359&lt;VLOOKUP(O$5,NFI,5,0),1,0)*Table_NFI[[#This Row],[Clothes Kit]],Table_NFI[Clothes Kit])</f>
        <v>0</v>
      </c>
      <c r="AE359" s="436">
        <f>IF(NFI_Expiration=1,IF($A359&lt;VLOOKUP(P$5,NFI,5,0),1,0)*Table_NFI[[#This Row],[Plastic Bucket]],Table_NFI[Plastic Bucket])</f>
        <v>0</v>
      </c>
      <c r="AF359" s="436">
        <f>IF(NFI_Expiration=1,IF($A359&lt;VLOOKUP(Q$5,NFI,5,0),1,0)*Table_NFI[[#This Row],[Plastic Mat]],Table_NFI[Plastic Mat])*IF(Table_NFI[[#This Row],[Distribution Date]]&gt;"2014-04-01",1,2.5)</f>
        <v>0</v>
      </c>
      <c r="AG359" s="436">
        <f>IF(NFI_Expiration=1,IF($A359&lt;VLOOKUP(R$5,NFI,5,0),1,0)*Table_NFI[[#This Row],[Winter Clothes Adult]],Table_NFI[Winter Clothes Adult])</f>
        <v>0</v>
      </c>
      <c r="AH359" s="436">
        <f>IF(NFI_Expiration=1,IF($A359&lt;VLOOKUP(S$5,NFI,5,0),1,0)*Table_NFI[[#This Row],[Winter Clothes Children]],Table_NFI[Winter Clothes Children])</f>
        <v>0</v>
      </c>
      <c r="AI359" s="436">
        <f>IF(NFI_Expiration=1,IF($A359&lt;VLOOKUP(T$5,NFI,5,0),1,0)*Table_NFI[[#This Row],[Winter Items Other]],Table_NFI[Winter Items Other])</f>
        <v>0</v>
      </c>
      <c r="AJ359" s="436">
        <f>IF(NFI_Expiration=1,IF($A359&lt;VLOOKUP(M$5,NFI,5,0),1,0)*Table_NFI[[#This Row],[Winter Blanket]],Table_NFI[[#This Row],[Winter Blanket]])</f>
        <v>0</v>
      </c>
      <c r="AK359" s="436">
        <f>IF(Table_NFI[[#This Row],[Winter Clothes Adult]]+Table_NFI[[#This Row],[Winter Clothes Children]]+Table_NFI[[#This Row],[Winter Items Other]]+Table_NFI[[#This Row],[Winter Blanket]]&gt;0,1,0)</f>
        <v>0</v>
      </c>
      <c r="AL359" s="439">
        <f>IF(NFI_Expiration=1,IF($A359&lt;VLOOKUP(V$5,NFI,5,0),1,0)*Table_NFI[[#This Row],[Jerry Can]],Table_NFI[Jerry Can])</f>
        <v>0</v>
      </c>
      <c r="AM359" s="781" t="str">
        <f>IFERROR(VLOOKUP(Table_NFI[[#This Row],[Camp Name]],CL,2,0),"")</f>
        <v>MMR001CMP129</v>
      </c>
      <c r="AN359" s="782">
        <f ca="1">IF(Table_NFI[[#This Row],[Pcode]]="","",IF(OFFSET(CampList[Opening Date],MATCH(Table_NFI[[#This Row],[Pcode]],CampList[CP_Pcode],0)-1,0,1,1)&gt;=NFI_Monitor_Date,1,0))</f>
        <v>0</v>
      </c>
      <c r="AO359" s="781" t="str">
        <f>IFERROR(VLOOKUP(Table_NFI[[#This Row],[Camp Name]],CL,3,0),"")</f>
        <v>Open</v>
      </c>
      <c r="AP359" s="436" t="str">
        <f ca="1">IF(Table_NFI[[#This Row],[Pcode]]="","",OFFSET(CampList[Priority],MATCH(Table_NFI[[#This Row],[Pcode]],CampList[CP_Pcode],0)-1,0,1,1))</f>
        <v>P2</v>
      </c>
      <c r="AQ359" s="438">
        <f>IFERROR(Table_NFI[[#This Row],[Kitchen Set]]/VLOOKUP(Table_NFI[[#This Row],[Camp Name]],CL,4,0),"")</f>
        <v>0</v>
      </c>
      <c r="AR359" s="779" t="s">
        <v>1099</v>
      </c>
      <c r="AS359" s="783"/>
    </row>
    <row r="360" spans="1:45" s="784" customFormat="1" x14ac:dyDescent="0.25">
      <c r="A360" s="455">
        <f t="shared" si="5"/>
        <v>23.366666666666667</v>
      </c>
      <c r="B360" s="778">
        <v>41608</v>
      </c>
      <c r="C360" s="442" t="s">
        <v>454</v>
      </c>
      <c r="D360" s="442" t="s">
        <v>454</v>
      </c>
      <c r="E360" s="779" t="s">
        <v>380</v>
      </c>
      <c r="F360" s="435" t="s">
        <v>151</v>
      </c>
      <c r="G360" s="435" t="s">
        <v>188</v>
      </c>
      <c r="H360" s="442"/>
      <c r="I360" s="442"/>
      <c r="J360" s="442"/>
      <c r="K360" s="785"/>
      <c r="L360" s="786"/>
      <c r="M360" s="443"/>
      <c r="N360" s="443"/>
      <c r="O360" s="443"/>
      <c r="P360" s="786"/>
      <c r="Q360" s="443"/>
      <c r="R360" s="442"/>
      <c r="S360" s="442"/>
      <c r="T360" s="442"/>
      <c r="U360" s="442"/>
      <c r="V360" s="442"/>
      <c r="W360" s="436">
        <f>IF(NFI_Expiration=1,IF($A360&lt;VLOOKUP(H$5,NFI,5,0),1,0)*Table_NFI[[#This Row],[Hygiene Kit]],Table_NFI[Hygiene Kit])</f>
        <v>0</v>
      </c>
      <c r="X360" s="436">
        <f>IF(NFI_Expiration=1,IF($A360&lt;VLOOKUP(I$5,NFI,5,0),1,0)*Table_NFI[[#This Row],[NFI Core Kit]],Table_NFI[NFI Core Kit])</f>
        <v>0</v>
      </c>
      <c r="Y360" s="436">
        <f>IF(NFI_Expiration=1,IF($A360&lt;VLOOKUP(J$5,NFI,5,0),1,0)*Table_NFI[[#This Row],[Sanitary Kit]],Table_NFI[Sanitary Kit])</f>
        <v>0</v>
      </c>
      <c r="Z360" s="436">
        <f>IF(NFI_Expiration=1,IF($A360&lt;VLOOKUP(K$5,NFI,5,0),1,0)*Table_NFI[[#This Row],[Mosquito net]],Table_NFI[Mosquito net])</f>
        <v>0</v>
      </c>
      <c r="AA360" s="436">
        <f>IF(NFI_Expiration=1,IF($A360&lt;VLOOKUP(L$5,NFI,5,0),1,0)*Table_NFI[[#This Row],[Tarpaulin]],Table_NFI[[#This Row],[Tarpaulin]])</f>
        <v>0</v>
      </c>
      <c r="AB360" s="436">
        <f>IF(NFI_Expiration=1,IF($A360&lt;VLOOKUP(M$5,NFI,5,0),1,0)*Table_NFI[[#This Row],[Blanket]],Table_NFI[[#This Row],[Blanket]])</f>
        <v>0</v>
      </c>
      <c r="AC360" s="436">
        <f>IF(NFI_Expiration=1,IF($A360&lt;VLOOKUP(N$5,NFI,5,0),1,0)*Table_NFI[[#This Row],[Kitchen Set]],Table_NFI[Kitchen Set])</f>
        <v>0</v>
      </c>
      <c r="AD360" s="436">
        <f>IF(NFI_Expiration=1,IF($A360&lt;VLOOKUP(O$5,NFI,5,0),1,0)*Table_NFI[[#This Row],[Clothes Kit]],Table_NFI[Clothes Kit])</f>
        <v>0</v>
      </c>
      <c r="AE360" s="436">
        <f>IF(NFI_Expiration=1,IF($A360&lt;VLOOKUP(P$5,NFI,5,0),1,0)*Table_NFI[[#This Row],[Plastic Bucket]],Table_NFI[Plastic Bucket])</f>
        <v>0</v>
      </c>
      <c r="AF360" s="436">
        <f>IF(NFI_Expiration=1,IF($A360&lt;VLOOKUP(Q$5,NFI,5,0),1,0)*Table_NFI[[#This Row],[Plastic Mat]],Table_NFI[Plastic Mat])*IF(Table_NFI[[#This Row],[Distribution Date]]&gt;"2014-04-01",1,2.5)</f>
        <v>0</v>
      </c>
      <c r="AG360" s="436">
        <f>IF(NFI_Expiration=1,IF($A360&lt;VLOOKUP(R$5,NFI,5,0),1,0)*Table_NFI[[#This Row],[Winter Clothes Adult]],Table_NFI[Winter Clothes Adult])</f>
        <v>0</v>
      </c>
      <c r="AH360" s="436">
        <f>IF(NFI_Expiration=1,IF($A360&lt;VLOOKUP(S$5,NFI,5,0),1,0)*Table_NFI[[#This Row],[Winter Clothes Children]],Table_NFI[Winter Clothes Children])</f>
        <v>0</v>
      </c>
      <c r="AI360" s="436">
        <f>IF(NFI_Expiration=1,IF($A360&lt;VLOOKUP(T$5,NFI,5,0),1,0)*Table_NFI[[#This Row],[Winter Items Other]],Table_NFI[Winter Items Other])</f>
        <v>0</v>
      </c>
      <c r="AJ360" s="436">
        <f>IF(NFI_Expiration=1,IF($A360&lt;VLOOKUP(M$5,NFI,5,0),1,0)*Table_NFI[[#This Row],[Winter Blanket]],Table_NFI[[#This Row],[Winter Blanket]])</f>
        <v>0</v>
      </c>
      <c r="AK360" s="436">
        <f>IF(Table_NFI[[#This Row],[Winter Clothes Adult]]+Table_NFI[[#This Row],[Winter Clothes Children]]+Table_NFI[[#This Row],[Winter Items Other]]+Table_NFI[[#This Row],[Winter Blanket]]&gt;0,1,0)</f>
        <v>0</v>
      </c>
      <c r="AL360" s="439">
        <f>IF(NFI_Expiration=1,IF($A360&lt;VLOOKUP(V$5,NFI,5,0),1,0)*Table_NFI[[#This Row],[Jerry Can]],Table_NFI[Jerry Can])</f>
        <v>0</v>
      </c>
      <c r="AM360" s="781" t="str">
        <f>IFERROR(VLOOKUP(Table_NFI[[#This Row],[Camp Name]],CL,2,0),"")</f>
        <v>MMR001CMP129</v>
      </c>
      <c r="AN360" s="782">
        <f ca="1">IF(Table_NFI[[#This Row],[Pcode]]="","",IF(OFFSET(CampList[Opening Date],MATCH(Table_NFI[[#This Row],[Pcode]],CampList[CP_Pcode],0)-1,0,1,1)&gt;=NFI_Monitor_Date,1,0))</f>
        <v>0</v>
      </c>
      <c r="AO360" s="781" t="str">
        <f>IFERROR(VLOOKUP(Table_NFI[[#This Row],[Camp Name]],CL,3,0),"")</f>
        <v>Open</v>
      </c>
      <c r="AP360" s="436" t="str">
        <f ca="1">IF(Table_NFI[[#This Row],[Pcode]]="","",OFFSET(CampList[Priority],MATCH(Table_NFI[[#This Row],[Pcode]],CampList[CP_Pcode],0)-1,0,1,1))</f>
        <v>P2</v>
      </c>
      <c r="AQ360" s="438">
        <f>IFERROR(Table_NFI[[#This Row],[Kitchen Set]]/VLOOKUP(Table_NFI[[#This Row],[Camp Name]],CL,4,0),"")</f>
        <v>0</v>
      </c>
      <c r="AR360" s="779" t="s">
        <v>1099</v>
      </c>
      <c r="AS360" s="783"/>
    </row>
    <row r="361" spans="1:45" s="784" customFormat="1" x14ac:dyDescent="0.25">
      <c r="A361" s="455">
        <f t="shared" si="5"/>
        <v>23.366666666666667</v>
      </c>
      <c r="B361" s="778">
        <v>41608</v>
      </c>
      <c r="C361" s="779" t="s">
        <v>912</v>
      </c>
      <c r="D361" s="779" t="s">
        <v>462</v>
      </c>
      <c r="E361" s="779" t="s">
        <v>380</v>
      </c>
      <c r="F361" s="435" t="s">
        <v>185</v>
      </c>
      <c r="G361" s="435" t="s">
        <v>192</v>
      </c>
      <c r="H361" s="436"/>
      <c r="I361" s="436"/>
      <c r="J361" s="436"/>
      <c r="K361" s="436"/>
      <c r="L361" s="437"/>
      <c r="M361" s="437"/>
      <c r="N361" s="437"/>
      <c r="O361" s="437"/>
      <c r="P361" s="439"/>
      <c r="Q361" s="439"/>
      <c r="R361" s="436"/>
      <c r="S361" s="436"/>
      <c r="T361" s="436"/>
      <c r="U361" s="436"/>
      <c r="V361" s="436"/>
      <c r="W361" s="436">
        <f>IF(NFI_Expiration=1,IF($A361&lt;VLOOKUP(H$5,NFI,5,0),1,0)*Table_NFI[[#This Row],[Hygiene Kit]],Table_NFI[Hygiene Kit])</f>
        <v>0</v>
      </c>
      <c r="X361" s="436">
        <f>IF(NFI_Expiration=1,IF($A361&lt;VLOOKUP(I$5,NFI,5,0),1,0)*Table_NFI[[#This Row],[NFI Core Kit]],Table_NFI[NFI Core Kit])</f>
        <v>0</v>
      </c>
      <c r="Y361" s="436">
        <f>IF(NFI_Expiration=1,IF($A361&lt;VLOOKUP(J$5,NFI,5,0),1,0)*Table_NFI[[#This Row],[Sanitary Kit]],Table_NFI[Sanitary Kit])</f>
        <v>0</v>
      </c>
      <c r="Z361" s="436">
        <f>IF(NFI_Expiration=1,IF($A361&lt;VLOOKUP(K$5,NFI,5,0),1,0)*Table_NFI[[#This Row],[Mosquito net]],Table_NFI[Mosquito net])</f>
        <v>0</v>
      </c>
      <c r="AA361" s="436">
        <f>IF(NFI_Expiration=1,IF($A361&lt;VLOOKUP(L$5,NFI,5,0),1,0)*Table_NFI[[#This Row],[Tarpaulin]],Table_NFI[[#This Row],[Tarpaulin]])</f>
        <v>0</v>
      </c>
      <c r="AB361" s="436">
        <f>IF(NFI_Expiration=1,IF($A361&lt;VLOOKUP(M$5,NFI,5,0),1,0)*Table_NFI[[#This Row],[Blanket]],Table_NFI[[#This Row],[Blanket]])</f>
        <v>0</v>
      </c>
      <c r="AC361" s="436">
        <f>IF(NFI_Expiration=1,IF($A361&lt;VLOOKUP(N$5,NFI,5,0),1,0)*Table_NFI[[#This Row],[Kitchen Set]],Table_NFI[Kitchen Set])</f>
        <v>0</v>
      </c>
      <c r="AD361" s="436">
        <f>IF(NFI_Expiration=1,IF($A361&lt;VLOOKUP(O$5,NFI,5,0),1,0)*Table_NFI[[#This Row],[Clothes Kit]],Table_NFI[Clothes Kit])</f>
        <v>0</v>
      </c>
      <c r="AE361" s="436">
        <f>IF(NFI_Expiration=1,IF($A361&lt;VLOOKUP(P$5,NFI,5,0),1,0)*Table_NFI[[#This Row],[Plastic Bucket]],Table_NFI[Plastic Bucket])</f>
        <v>0</v>
      </c>
      <c r="AF361" s="436">
        <f>IF(NFI_Expiration=1,IF($A361&lt;VLOOKUP(Q$5,NFI,5,0),1,0)*Table_NFI[[#This Row],[Plastic Mat]],Table_NFI[Plastic Mat])*IF(Table_NFI[[#This Row],[Distribution Date]]&gt;"2014-04-01",1,2.5)</f>
        <v>0</v>
      </c>
      <c r="AG361" s="436">
        <f>IF(NFI_Expiration=1,IF($A361&lt;VLOOKUP(R$5,NFI,5,0),1,0)*Table_NFI[[#This Row],[Winter Clothes Adult]],Table_NFI[Winter Clothes Adult])</f>
        <v>0</v>
      </c>
      <c r="AH361" s="436">
        <f>IF(NFI_Expiration=1,IF($A361&lt;VLOOKUP(S$5,NFI,5,0),1,0)*Table_NFI[[#This Row],[Winter Clothes Children]],Table_NFI[Winter Clothes Children])</f>
        <v>0</v>
      </c>
      <c r="AI361" s="436">
        <f>IF(NFI_Expiration=1,IF($A361&lt;VLOOKUP(T$5,NFI,5,0),1,0)*Table_NFI[[#This Row],[Winter Items Other]],Table_NFI[Winter Items Other])</f>
        <v>0</v>
      </c>
      <c r="AJ361" s="436">
        <f>IF(NFI_Expiration=1,IF($A361&lt;VLOOKUP(M$5,NFI,5,0),1,0)*Table_NFI[[#This Row],[Winter Blanket]],Table_NFI[[#This Row],[Winter Blanket]])</f>
        <v>0</v>
      </c>
      <c r="AK361" s="436">
        <f>IF(Table_NFI[[#This Row],[Winter Clothes Adult]]+Table_NFI[[#This Row],[Winter Clothes Children]]+Table_NFI[[#This Row],[Winter Items Other]]+Table_NFI[[#This Row],[Winter Blanket]]&gt;0,1,0)</f>
        <v>0</v>
      </c>
      <c r="AL361" s="439">
        <f>IF(NFI_Expiration=1,IF($A361&lt;VLOOKUP(V$5,NFI,5,0),1,0)*Table_NFI[[#This Row],[Jerry Can]],Table_NFI[Jerry Can])</f>
        <v>0</v>
      </c>
      <c r="AM361" s="781" t="str">
        <f>IFERROR(VLOOKUP(Table_NFI[[#This Row],[Camp Name]],CL,2,0),"")</f>
        <v>MMR001CMP123</v>
      </c>
      <c r="AN361" s="782">
        <f ca="1">IF(Table_NFI[[#This Row],[Pcode]]="","",IF(OFFSET(CampList[Opening Date],MATCH(Table_NFI[[#This Row],[Pcode]],CampList[CP_Pcode],0)-1,0,1,1)&gt;=NFI_Monitor_Date,1,0))</f>
        <v>0</v>
      </c>
      <c r="AO361" s="781" t="str">
        <f>IFERROR(VLOOKUP(Table_NFI[[#This Row],[Camp Name]],CL,3,0),"")</f>
        <v>Open</v>
      </c>
      <c r="AP361" s="436" t="str">
        <f ca="1">IF(Table_NFI[[#This Row],[Pcode]]="","",OFFSET(CampList[Priority],MATCH(Table_NFI[[#This Row],[Pcode]],CampList[CP_Pcode],0)-1,0,1,1))</f>
        <v>P2</v>
      </c>
      <c r="AQ361" s="438">
        <f>IFERROR(Table_NFI[[#This Row],[Kitchen Set]]/VLOOKUP(Table_NFI[[#This Row],[Camp Name]],CL,4,0),"")</f>
        <v>0</v>
      </c>
      <c r="AR361" s="779" t="s">
        <v>1099</v>
      </c>
      <c r="AS361" s="783"/>
    </row>
    <row r="362" spans="1:45" s="784" customFormat="1" x14ac:dyDescent="0.25">
      <c r="A362" s="455">
        <f t="shared" si="5"/>
        <v>23.366666666666667</v>
      </c>
      <c r="B362" s="778">
        <v>41608</v>
      </c>
      <c r="C362" s="779" t="s">
        <v>454</v>
      </c>
      <c r="D362" s="442" t="s">
        <v>454</v>
      </c>
      <c r="E362" s="785" t="s">
        <v>380</v>
      </c>
      <c r="F362" s="435" t="s">
        <v>185</v>
      </c>
      <c r="G362" s="435" t="s">
        <v>192</v>
      </c>
      <c r="H362" s="442"/>
      <c r="I362" s="442"/>
      <c r="J362" s="442"/>
      <c r="K362" s="785"/>
      <c r="L362" s="786"/>
      <c r="M362" s="443"/>
      <c r="N362" s="443"/>
      <c r="O362" s="443"/>
      <c r="P362" s="786"/>
      <c r="Q362" s="443"/>
      <c r="R362" s="442"/>
      <c r="S362" s="442"/>
      <c r="T362" s="442"/>
      <c r="U362" s="442"/>
      <c r="V362" s="442"/>
      <c r="W362" s="436">
        <f>IF(NFI_Expiration=1,IF($A362&lt;VLOOKUP(H$5,NFI,5,0),1,0)*Table_NFI[[#This Row],[Hygiene Kit]],Table_NFI[Hygiene Kit])</f>
        <v>0</v>
      </c>
      <c r="X362" s="436">
        <f>IF(NFI_Expiration=1,IF($A362&lt;VLOOKUP(I$5,NFI,5,0),1,0)*Table_NFI[[#This Row],[NFI Core Kit]],Table_NFI[NFI Core Kit])</f>
        <v>0</v>
      </c>
      <c r="Y362" s="436">
        <f>IF(NFI_Expiration=1,IF($A362&lt;VLOOKUP(J$5,NFI,5,0),1,0)*Table_NFI[[#This Row],[Sanitary Kit]],Table_NFI[Sanitary Kit])</f>
        <v>0</v>
      </c>
      <c r="Z362" s="436">
        <f>IF(NFI_Expiration=1,IF($A362&lt;VLOOKUP(K$5,NFI,5,0),1,0)*Table_NFI[[#This Row],[Mosquito net]],Table_NFI[Mosquito net])</f>
        <v>0</v>
      </c>
      <c r="AA362" s="436">
        <f>IF(NFI_Expiration=1,IF($A362&lt;VLOOKUP(L$5,NFI,5,0),1,0)*Table_NFI[[#This Row],[Tarpaulin]],Table_NFI[[#This Row],[Tarpaulin]])</f>
        <v>0</v>
      </c>
      <c r="AB362" s="436">
        <f>IF(NFI_Expiration=1,IF($A362&lt;VLOOKUP(M$5,NFI,5,0),1,0)*Table_NFI[[#This Row],[Blanket]],Table_NFI[[#This Row],[Blanket]])</f>
        <v>0</v>
      </c>
      <c r="AC362" s="436">
        <f>IF(NFI_Expiration=1,IF($A362&lt;VLOOKUP(N$5,NFI,5,0),1,0)*Table_NFI[[#This Row],[Kitchen Set]],Table_NFI[Kitchen Set])</f>
        <v>0</v>
      </c>
      <c r="AD362" s="436">
        <f>IF(NFI_Expiration=1,IF($A362&lt;VLOOKUP(O$5,NFI,5,0),1,0)*Table_NFI[[#This Row],[Clothes Kit]],Table_NFI[Clothes Kit])</f>
        <v>0</v>
      </c>
      <c r="AE362" s="436">
        <f>IF(NFI_Expiration=1,IF($A362&lt;VLOOKUP(P$5,NFI,5,0),1,0)*Table_NFI[[#This Row],[Plastic Bucket]],Table_NFI[Plastic Bucket])</f>
        <v>0</v>
      </c>
      <c r="AF362" s="436">
        <f>IF(NFI_Expiration=1,IF($A362&lt;VLOOKUP(Q$5,NFI,5,0),1,0)*Table_NFI[[#This Row],[Plastic Mat]],Table_NFI[Plastic Mat])*IF(Table_NFI[[#This Row],[Distribution Date]]&gt;"2014-04-01",1,2.5)</f>
        <v>0</v>
      </c>
      <c r="AG362" s="436">
        <f>IF(NFI_Expiration=1,IF($A362&lt;VLOOKUP(R$5,NFI,5,0),1,0)*Table_NFI[[#This Row],[Winter Clothes Adult]],Table_NFI[Winter Clothes Adult])</f>
        <v>0</v>
      </c>
      <c r="AH362" s="436">
        <f>IF(NFI_Expiration=1,IF($A362&lt;VLOOKUP(S$5,NFI,5,0),1,0)*Table_NFI[[#This Row],[Winter Clothes Children]],Table_NFI[Winter Clothes Children])</f>
        <v>0</v>
      </c>
      <c r="AI362" s="436">
        <f>IF(NFI_Expiration=1,IF($A362&lt;VLOOKUP(T$5,NFI,5,0),1,0)*Table_NFI[[#This Row],[Winter Items Other]],Table_NFI[Winter Items Other])</f>
        <v>0</v>
      </c>
      <c r="AJ362" s="436">
        <f>IF(NFI_Expiration=1,IF($A362&lt;VLOOKUP(M$5,NFI,5,0),1,0)*Table_NFI[[#This Row],[Winter Blanket]],Table_NFI[[#This Row],[Winter Blanket]])</f>
        <v>0</v>
      </c>
      <c r="AK362" s="436">
        <f>IF(Table_NFI[[#This Row],[Winter Clothes Adult]]+Table_NFI[[#This Row],[Winter Clothes Children]]+Table_NFI[[#This Row],[Winter Items Other]]+Table_NFI[[#This Row],[Winter Blanket]]&gt;0,1,0)</f>
        <v>0</v>
      </c>
      <c r="AL362" s="439">
        <f>IF(NFI_Expiration=1,IF($A362&lt;VLOOKUP(V$5,NFI,5,0),1,0)*Table_NFI[[#This Row],[Jerry Can]],Table_NFI[Jerry Can])</f>
        <v>0</v>
      </c>
      <c r="AM362" s="781" t="str">
        <f>IFERROR(VLOOKUP(Table_NFI[[#This Row],[Camp Name]],CL,2,0),"")</f>
        <v>MMR001CMP123</v>
      </c>
      <c r="AN362" s="782">
        <f ca="1">IF(Table_NFI[[#This Row],[Pcode]]="","",IF(OFFSET(CampList[Opening Date],MATCH(Table_NFI[[#This Row],[Pcode]],CampList[CP_Pcode],0)-1,0,1,1)&gt;=NFI_Monitor_Date,1,0))</f>
        <v>0</v>
      </c>
      <c r="AO362" s="781" t="str">
        <f>IFERROR(VLOOKUP(Table_NFI[[#This Row],[Camp Name]],CL,3,0),"")</f>
        <v>Open</v>
      </c>
      <c r="AP362" s="436" t="str">
        <f ca="1">IF(Table_NFI[[#This Row],[Pcode]]="","",OFFSET(CampList[Priority],MATCH(Table_NFI[[#This Row],[Pcode]],CampList[CP_Pcode],0)-1,0,1,1))</f>
        <v>P2</v>
      </c>
      <c r="AQ362" s="438">
        <f>IFERROR(Table_NFI[[#This Row],[Kitchen Set]]/VLOOKUP(Table_NFI[[#This Row],[Camp Name]],CL,4,0),"")</f>
        <v>0</v>
      </c>
      <c r="AR362" s="779" t="s">
        <v>1099</v>
      </c>
      <c r="AS362" s="783"/>
    </row>
    <row r="363" spans="1:45" s="784" customFormat="1" x14ac:dyDescent="0.25">
      <c r="A363" s="455">
        <f t="shared" si="5"/>
        <v>23.366666666666667</v>
      </c>
      <c r="B363" s="778">
        <v>41608</v>
      </c>
      <c r="C363" s="779" t="s">
        <v>912</v>
      </c>
      <c r="D363" s="779" t="s">
        <v>462</v>
      </c>
      <c r="E363" s="779" t="s">
        <v>380</v>
      </c>
      <c r="F363" s="779" t="s">
        <v>310</v>
      </c>
      <c r="G363" s="435" t="s">
        <v>313</v>
      </c>
      <c r="H363" s="436"/>
      <c r="I363" s="436"/>
      <c r="J363" s="436"/>
      <c r="K363" s="436"/>
      <c r="L363" s="437"/>
      <c r="M363" s="437"/>
      <c r="N363" s="437"/>
      <c r="O363" s="437"/>
      <c r="P363" s="439"/>
      <c r="Q363" s="439"/>
      <c r="R363" s="436"/>
      <c r="S363" s="436"/>
      <c r="T363" s="436"/>
      <c r="U363" s="436"/>
      <c r="V363" s="436"/>
      <c r="W363" s="436">
        <f>IF(NFI_Expiration=1,IF($A363&lt;VLOOKUP(H$5,NFI,5,0),1,0)*Table_NFI[[#This Row],[Hygiene Kit]],Table_NFI[Hygiene Kit])</f>
        <v>0</v>
      </c>
      <c r="X363" s="436">
        <f>IF(NFI_Expiration=1,IF($A363&lt;VLOOKUP(I$5,NFI,5,0),1,0)*Table_NFI[[#This Row],[NFI Core Kit]],Table_NFI[NFI Core Kit])</f>
        <v>0</v>
      </c>
      <c r="Y363" s="436">
        <f>IF(NFI_Expiration=1,IF($A363&lt;VLOOKUP(J$5,NFI,5,0),1,0)*Table_NFI[[#This Row],[Sanitary Kit]],Table_NFI[Sanitary Kit])</f>
        <v>0</v>
      </c>
      <c r="Z363" s="436">
        <f>IF(NFI_Expiration=1,IF($A363&lt;VLOOKUP(K$5,NFI,5,0),1,0)*Table_NFI[[#This Row],[Mosquito net]],Table_NFI[Mosquito net])</f>
        <v>0</v>
      </c>
      <c r="AA363" s="436">
        <f>IF(NFI_Expiration=1,IF($A363&lt;VLOOKUP(L$5,NFI,5,0),1,0)*Table_NFI[[#This Row],[Tarpaulin]],Table_NFI[[#This Row],[Tarpaulin]])</f>
        <v>0</v>
      </c>
      <c r="AB363" s="436">
        <f>IF(NFI_Expiration=1,IF($A363&lt;VLOOKUP(M$5,NFI,5,0),1,0)*Table_NFI[[#This Row],[Blanket]],Table_NFI[[#This Row],[Blanket]])</f>
        <v>0</v>
      </c>
      <c r="AC363" s="436">
        <f>IF(NFI_Expiration=1,IF($A363&lt;VLOOKUP(N$5,NFI,5,0),1,0)*Table_NFI[[#This Row],[Kitchen Set]],Table_NFI[Kitchen Set])</f>
        <v>0</v>
      </c>
      <c r="AD363" s="436">
        <f>IF(NFI_Expiration=1,IF($A363&lt;VLOOKUP(O$5,NFI,5,0),1,0)*Table_NFI[[#This Row],[Clothes Kit]],Table_NFI[Clothes Kit])</f>
        <v>0</v>
      </c>
      <c r="AE363" s="436">
        <f>IF(NFI_Expiration=1,IF($A363&lt;VLOOKUP(P$5,NFI,5,0),1,0)*Table_NFI[[#This Row],[Plastic Bucket]],Table_NFI[Plastic Bucket])</f>
        <v>0</v>
      </c>
      <c r="AF363" s="436">
        <f>IF(NFI_Expiration=1,IF($A363&lt;VLOOKUP(Q$5,NFI,5,0),1,0)*Table_NFI[[#This Row],[Plastic Mat]],Table_NFI[Plastic Mat])*IF(Table_NFI[[#This Row],[Distribution Date]]&gt;"2014-04-01",1,2.5)</f>
        <v>0</v>
      </c>
      <c r="AG363" s="436">
        <f>IF(NFI_Expiration=1,IF($A363&lt;VLOOKUP(R$5,NFI,5,0),1,0)*Table_NFI[[#This Row],[Winter Clothes Adult]],Table_NFI[Winter Clothes Adult])</f>
        <v>0</v>
      </c>
      <c r="AH363" s="436">
        <f>IF(NFI_Expiration=1,IF($A363&lt;VLOOKUP(S$5,NFI,5,0),1,0)*Table_NFI[[#This Row],[Winter Clothes Children]],Table_NFI[Winter Clothes Children])</f>
        <v>0</v>
      </c>
      <c r="AI363" s="436">
        <f>IF(NFI_Expiration=1,IF($A363&lt;VLOOKUP(T$5,NFI,5,0),1,0)*Table_NFI[[#This Row],[Winter Items Other]],Table_NFI[Winter Items Other])</f>
        <v>0</v>
      </c>
      <c r="AJ363" s="436">
        <f>IF(NFI_Expiration=1,IF($A363&lt;VLOOKUP(M$5,NFI,5,0),1,0)*Table_NFI[[#This Row],[Winter Blanket]],Table_NFI[[#This Row],[Winter Blanket]])</f>
        <v>0</v>
      </c>
      <c r="AK363" s="436">
        <f>IF(Table_NFI[[#This Row],[Winter Clothes Adult]]+Table_NFI[[#This Row],[Winter Clothes Children]]+Table_NFI[[#This Row],[Winter Items Other]]+Table_NFI[[#This Row],[Winter Blanket]]&gt;0,1,0)</f>
        <v>0</v>
      </c>
      <c r="AL363" s="439">
        <f>IF(NFI_Expiration=1,IF($A363&lt;VLOOKUP(V$5,NFI,5,0),1,0)*Table_NFI[[#This Row],[Jerry Can]],Table_NFI[Jerry Can])</f>
        <v>0</v>
      </c>
      <c r="AM363" s="781" t="str">
        <f>IFERROR(VLOOKUP(Table_NFI[[#This Row],[Camp Name]],CL,2,0),"")</f>
        <v>MMR001CMP028</v>
      </c>
      <c r="AN363" s="782">
        <f ca="1">IF(Table_NFI[[#This Row],[Pcode]]="","",IF(OFFSET(CampList[Opening Date],MATCH(Table_NFI[[#This Row],[Pcode]],CampList[CP_Pcode],0)-1,0,1,1)&gt;=NFI_Monitor_Date,1,0))</f>
        <v>0</v>
      </c>
      <c r="AO363" s="781" t="str">
        <f>IFERROR(VLOOKUP(Table_NFI[[#This Row],[Camp Name]],CL,3,0),"")</f>
        <v>Open</v>
      </c>
      <c r="AP363" s="436" t="str">
        <f ca="1">IF(Table_NFI[[#This Row],[Pcode]]="","",OFFSET(CampList[Priority],MATCH(Table_NFI[[#This Row],[Pcode]],CampList[CP_Pcode],0)-1,0,1,1))</f>
        <v>P4</v>
      </c>
      <c r="AQ363" s="438">
        <f>IFERROR(Table_NFI[[#This Row],[Kitchen Set]]/VLOOKUP(Table_NFI[[#This Row],[Camp Name]],CL,4,0),"")</f>
        <v>0</v>
      </c>
      <c r="AR363" s="779" t="s">
        <v>1099</v>
      </c>
      <c r="AS363" s="783"/>
    </row>
    <row r="364" spans="1:45" s="784" customFormat="1" x14ac:dyDescent="0.25">
      <c r="A364" s="455">
        <f t="shared" si="5"/>
        <v>23.366666666666667</v>
      </c>
      <c r="B364" s="778">
        <v>41608</v>
      </c>
      <c r="C364" s="779" t="s">
        <v>912</v>
      </c>
      <c r="D364" s="779" t="s">
        <v>462</v>
      </c>
      <c r="E364" s="779" t="s">
        <v>380</v>
      </c>
      <c r="F364" s="435" t="s">
        <v>310</v>
      </c>
      <c r="G364" s="435" t="s">
        <v>336</v>
      </c>
      <c r="H364" s="436"/>
      <c r="I364" s="436"/>
      <c r="J364" s="436"/>
      <c r="K364" s="436"/>
      <c r="L364" s="437"/>
      <c r="M364" s="437"/>
      <c r="N364" s="437"/>
      <c r="O364" s="437"/>
      <c r="P364" s="439"/>
      <c r="Q364" s="439"/>
      <c r="R364" s="436"/>
      <c r="S364" s="436"/>
      <c r="T364" s="436"/>
      <c r="U364" s="436"/>
      <c r="V364" s="436"/>
      <c r="W364" s="436">
        <f>IF(NFI_Expiration=1,IF($A364&lt;VLOOKUP(H$5,NFI,5,0),1,0)*Table_NFI[[#This Row],[Hygiene Kit]],Table_NFI[Hygiene Kit])</f>
        <v>0</v>
      </c>
      <c r="X364" s="436">
        <f>IF(NFI_Expiration=1,IF($A364&lt;VLOOKUP(I$5,NFI,5,0),1,0)*Table_NFI[[#This Row],[NFI Core Kit]],Table_NFI[NFI Core Kit])</f>
        <v>0</v>
      </c>
      <c r="Y364" s="436">
        <f>IF(NFI_Expiration=1,IF($A364&lt;VLOOKUP(J$5,NFI,5,0),1,0)*Table_NFI[[#This Row],[Sanitary Kit]],Table_NFI[Sanitary Kit])</f>
        <v>0</v>
      </c>
      <c r="Z364" s="436">
        <f>IF(NFI_Expiration=1,IF($A364&lt;VLOOKUP(K$5,NFI,5,0),1,0)*Table_NFI[[#This Row],[Mosquito net]],Table_NFI[Mosquito net])</f>
        <v>0</v>
      </c>
      <c r="AA364" s="436">
        <f>IF(NFI_Expiration=1,IF($A364&lt;VLOOKUP(L$5,NFI,5,0),1,0)*Table_NFI[[#This Row],[Tarpaulin]],Table_NFI[[#This Row],[Tarpaulin]])</f>
        <v>0</v>
      </c>
      <c r="AB364" s="436">
        <f>IF(NFI_Expiration=1,IF($A364&lt;VLOOKUP(M$5,NFI,5,0),1,0)*Table_NFI[[#This Row],[Blanket]],Table_NFI[[#This Row],[Blanket]])</f>
        <v>0</v>
      </c>
      <c r="AC364" s="436">
        <f>IF(NFI_Expiration=1,IF($A364&lt;VLOOKUP(N$5,NFI,5,0),1,0)*Table_NFI[[#This Row],[Kitchen Set]],Table_NFI[Kitchen Set])</f>
        <v>0</v>
      </c>
      <c r="AD364" s="436">
        <f>IF(NFI_Expiration=1,IF($A364&lt;VLOOKUP(O$5,NFI,5,0),1,0)*Table_NFI[[#This Row],[Clothes Kit]],Table_NFI[Clothes Kit])</f>
        <v>0</v>
      </c>
      <c r="AE364" s="436">
        <f>IF(NFI_Expiration=1,IF($A364&lt;VLOOKUP(P$5,NFI,5,0),1,0)*Table_NFI[[#This Row],[Plastic Bucket]],Table_NFI[Plastic Bucket])</f>
        <v>0</v>
      </c>
      <c r="AF364" s="436">
        <f>IF(NFI_Expiration=1,IF($A364&lt;VLOOKUP(Q$5,NFI,5,0),1,0)*Table_NFI[[#This Row],[Plastic Mat]],Table_NFI[Plastic Mat])*IF(Table_NFI[[#This Row],[Distribution Date]]&gt;"2014-04-01",1,2.5)</f>
        <v>0</v>
      </c>
      <c r="AG364" s="436">
        <f>IF(NFI_Expiration=1,IF($A364&lt;VLOOKUP(R$5,NFI,5,0),1,0)*Table_NFI[[#This Row],[Winter Clothes Adult]],Table_NFI[Winter Clothes Adult])</f>
        <v>0</v>
      </c>
      <c r="AH364" s="436">
        <f>IF(NFI_Expiration=1,IF($A364&lt;VLOOKUP(S$5,NFI,5,0),1,0)*Table_NFI[[#This Row],[Winter Clothes Children]],Table_NFI[Winter Clothes Children])</f>
        <v>0</v>
      </c>
      <c r="AI364" s="436">
        <f>IF(NFI_Expiration=1,IF($A364&lt;VLOOKUP(T$5,NFI,5,0),1,0)*Table_NFI[[#This Row],[Winter Items Other]],Table_NFI[Winter Items Other])</f>
        <v>0</v>
      </c>
      <c r="AJ364" s="436">
        <f>IF(NFI_Expiration=1,IF($A364&lt;VLOOKUP(M$5,NFI,5,0),1,0)*Table_NFI[[#This Row],[Winter Blanket]],Table_NFI[[#This Row],[Winter Blanket]])</f>
        <v>0</v>
      </c>
      <c r="AK364" s="436">
        <f>IF(Table_NFI[[#This Row],[Winter Clothes Adult]]+Table_NFI[[#This Row],[Winter Clothes Children]]+Table_NFI[[#This Row],[Winter Items Other]]+Table_NFI[[#This Row],[Winter Blanket]]&gt;0,1,0)</f>
        <v>0</v>
      </c>
      <c r="AL364" s="439">
        <f>IF(NFI_Expiration=1,IF($A364&lt;VLOOKUP(V$5,NFI,5,0),1,0)*Table_NFI[[#This Row],[Jerry Can]],Table_NFI[Jerry Can])</f>
        <v>0</v>
      </c>
      <c r="AM364" s="781" t="str">
        <f>IFERROR(VLOOKUP(Table_NFI[[#This Row],[Camp Name]],CL,2,0),"")</f>
        <v>MMR001CMP115</v>
      </c>
      <c r="AN364" s="782">
        <f ca="1">IF(Table_NFI[[#This Row],[Pcode]]="","",IF(OFFSET(CampList[Opening Date],MATCH(Table_NFI[[#This Row],[Pcode]],CampList[CP_Pcode],0)-1,0,1,1)&gt;=NFI_Monitor_Date,1,0))</f>
        <v>0</v>
      </c>
      <c r="AO364" s="781" t="str">
        <f>IFERROR(VLOOKUP(Table_NFI[[#This Row],[Camp Name]],CL,3,0),"")</f>
        <v>Open</v>
      </c>
      <c r="AP364" s="436" t="str">
        <f ca="1">IF(Table_NFI[[#This Row],[Pcode]]="","",OFFSET(CampList[Priority],MATCH(Table_NFI[[#This Row],[Pcode]],CampList[CP_Pcode],0)-1,0,1,1))</f>
        <v>P1</v>
      </c>
      <c r="AQ364" s="438">
        <f>IFERROR(Table_NFI[[#This Row],[Kitchen Set]]/VLOOKUP(Table_NFI[[#This Row],[Camp Name]],CL,4,0),"")</f>
        <v>0</v>
      </c>
      <c r="AR364" s="779" t="s">
        <v>1099</v>
      </c>
      <c r="AS364" s="783"/>
    </row>
    <row r="365" spans="1:45" s="784" customFormat="1" x14ac:dyDescent="0.25">
      <c r="A365" s="455">
        <f t="shared" si="5"/>
        <v>23.366666666666667</v>
      </c>
      <c r="B365" s="778">
        <v>41608</v>
      </c>
      <c r="C365" s="779" t="s">
        <v>912</v>
      </c>
      <c r="D365" s="779" t="s">
        <v>462</v>
      </c>
      <c r="E365" s="779" t="s">
        <v>380</v>
      </c>
      <c r="F365" s="435" t="s">
        <v>185</v>
      </c>
      <c r="G365" s="435" t="s">
        <v>194</v>
      </c>
      <c r="H365" s="779"/>
      <c r="I365" s="779"/>
      <c r="J365" s="779"/>
      <c r="K365" s="779"/>
      <c r="L365" s="789"/>
      <c r="M365" s="789"/>
      <c r="N365" s="789"/>
      <c r="O365" s="789"/>
      <c r="P365" s="437"/>
      <c r="Q365" s="437">
        <v>978</v>
      </c>
      <c r="R365" s="436"/>
      <c r="S365" s="436"/>
      <c r="T365" s="436"/>
      <c r="U365" s="436"/>
      <c r="V365" s="436"/>
      <c r="W365" s="436">
        <f>IF(NFI_Expiration=1,IF($A365&lt;VLOOKUP(H$5,NFI,5,0),1,0)*Table_NFI[[#This Row],[Hygiene Kit]],Table_NFI[Hygiene Kit])</f>
        <v>0</v>
      </c>
      <c r="X365" s="436">
        <f>IF(NFI_Expiration=1,IF($A365&lt;VLOOKUP(I$5,NFI,5,0),1,0)*Table_NFI[[#This Row],[NFI Core Kit]],Table_NFI[NFI Core Kit])</f>
        <v>0</v>
      </c>
      <c r="Y365" s="436">
        <f>IF(NFI_Expiration=1,IF($A365&lt;VLOOKUP(J$5,NFI,5,0),1,0)*Table_NFI[[#This Row],[Sanitary Kit]],Table_NFI[Sanitary Kit])</f>
        <v>0</v>
      </c>
      <c r="Z365" s="436">
        <f>IF(NFI_Expiration=1,IF($A365&lt;VLOOKUP(K$5,NFI,5,0),1,0)*Table_NFI[[#This Row],[Mosquito net]],Table_NFI[Mosquito net])</f>
        <v>0</v>
      </c>
      <c r="AA365" s="436">
        <f>IF(NFI_Expiration=1,IF($A365&lt;VLOOKUP(L$5,NFI,5,0),1,0)*Table_NFI[[#This Row],[Tarpaulin]],Table_NFI[[#This Row],[Tarpaulin]])</f>
        <v>0</v>
      </c>
      <c r="AB365" s="436">
        <f>IF(NFI_Expiration=1,IF($A365&lt;VLOOKUP(M$5,NFI,5,0),1,0)*Table_NFI[[#This Row],[Blanket]],Table_NFI[[#This Row],[Blanket]])</f>
        <v>0</v>
      </c>
      <c r="AC365" s="436">
        <f>IF(NFI_Expiration=1,IF($A365&lt;VLOOKUP(N$5,NFI,5,0),1,0)*Table_NFI[[#This Row],[Kitchen Set]],Table_NFI[Kitchen Set])</f>
        <v>0</v>
      </c>
      <c r="AD365" s="436">
        <f>IF(NFI_Expiration=1,IF($A365&lt;VLOOKUP(O$5,NFI,5,0),1,0)*Table_NFI[[#This Row],[Clothes Kit]],Table_NFI[Clothes Kit])</f>
        <v>0</v>
      </c>
      <c r="AE365" s="436">
        <f>IF(NFI_Expiration=1,IF($A365&lt;VLOOKUP(P$5,NFI,5,0),1,0)*Table_NFI[[#This Row],[Plastic Bucket]],Table_NFI[Plastic Bucket])</f>
        <v>0</v>
      </c>
      <c r="AF365" s="436">
        <f>IF(NFI_Expiration=1,IF($A365&lt;VLOOKUP(Q$5,NFI,5,0),1,0)*Table_NFI[[#This Row],[Plastic Mat]],Table_NFI[Plastic Mat])*IF(Table_NFI[[#This Row],[Distribution Date]]&gt;"2014-04-01",1,2.5)</f>
        <v>0</v>
      </c>
      <c r="AG365" s="436">
        <f>IF(NFI_Expiration=1,IF($A365&lt;VLOOKUP(R$5,NFI,5,0),1,0)*Table_NFI[[#This Row],[Winter Clothes Adult]],Table_NFI[Winter Clothes Adult])</f>
        <v>0</v>
      </c>
      <c r="AH365" s="436">
        <f>IF(NFI_Expiration=1,IF($A365&lt;VLOOKUP(S$5,NFI,5,0),1,0)*Table_NFI[[#This Row],[Winter Clothes Children]],Table_NFI[Winter Clothes Children])</f>
        <v>0</v>
      </c>
      <c r="AI365" s="436">
        <f>IF(NFI_Expiration=1,IF($A365&lt;VLOOKUP(T$5,NFI,5,0),1,0)*Table_NFI[[#This Row],[Winter Items Other]],Table_NFI[Winter Items Other])</f>
        <v>0</v>
      </c>
      <c r="AJ365" s="436">
        <f>IF(NFI_Expiration=1,IF($A365&lt;VLOOKUP(M$5,NFI,5,0),1,0)*Table_NFI[[#This Row],[Winter Blanket]],Table_NFI[[#This Row],[Winter Blanket]])</f>
        <v>0</v>
      </c>
      <c r="AK365" s="436">
        <f>IF(Table_NFI[[#This Row],[Winter Clothes Adult]]+Table_NFI[[#This Row],[Winter Clothes Children]]+Table_NFI[[#This Row],[Winter Items Other]]+Table_NFI[[#This Row],[Winter Blanket]]&gt;0,1,0)</f>
        <v>0</v>
      </c>
      <c r="AL365" s="439">
        <f>IF(NFI_Expiration=1,IF($A365&lt;VLOOKUP(V$5,NFI,5,0),1,0)*Table_NFI[[#This Row],[Jerry Can]],Table_NFI[Jerry Can])</f>
        <v>0</v>
      </c>
      <c r="AM365" s="781" t="str">
        <f>IFERROR(VLOOKUP(Table_NFI[[#This Row],[Camp Name]],CL,2,0),"")</f>
        <v>MMR001CMP122</v>
      </c>
      <c r="AN365" s="782">
        <f ca="1">IF(Table_NFI[[#This Row],[Pcode]]="","",IF(OFFSET(CampList[Opening Date],MATCH(Table_NFI[[#This Row],[Pcode]],CampList[CP_Pcode],0)-1,0,1,1)&gt;=NFI_Monitor_Date,1,0))</f>
        <v>0</v>
      </c>
      <c r="AO365" s="781" t="str">
        <f>IFERROR(VLOOKUP(Table_NFI[[#This Row],[Camp Name]],CL,3,0),"")</f>
        <v>Open</v>
      </c>
      <c r="AP365" s="436" t="str">
        <f ca="1">IF(Table_NFI[[#This Row],[Pcode]]="","",OFFSET(CampList[Priority],MATCH(Table_NFI[[#This Row],[Pcode]],CampList[CP_Pcode],0)-1,0,1,1))</f>
        <v>P2</v>
      </c>
      <c r="AQ365" s="438">
        <f>IFERROR(Table_NFI[[#This Row],[Kitchen Set]]/VLOOKUP(Table_NFI[[#This Row],[Camp Name]],CL,4,0),"")</f>
        <v>0</v>
      </c>
      <c r="AR365" s="779" t="s">
        <v>1099</v>
      </c>
      <c r="AS365" s="783"/>
    </row>
    <row r="366" spans="1:45" s="784" customFormat="1" x14ac:dyDescent="0.25">
      <c r="A366" s="455">
        <f t="shared" si="5"/>
        <v>23.366666666666667</v>
      </c>
      <c r="B366" s="778">
        <v>41608</v>
      </c>
      <c r="C366" s="779" t="s">
        <v>1104</v>
      </c>
      <c r="D366" s="442" t="s">
        <v>951</v>
      </c>
      <c r="E366" s="785" t="s">
        <v>380</v>
      </c>
      <c r="F366" s="435" t="s">
        <v>5</v>
      </c>
      <c r="G366" s="435" t="s">
        <v>14</v>
      </c>
      <c r="H366" s="442"/>
      <c r="I366" s="442"/>
      <c r="J366" s="442"/>
      <c r="K366" s="785"/>
      <c r="L366" s="786"/>
      <c r="M366" s="443">
        <v>105</v>
      </c>
      <c r="N366" s="443"/>
      <c r="O366" s="443"/>
      <c r="P366" s="786"/>
      <c r="Q366" s="443"/>
      <c r="R366" s="442">
        <v>154</v>
      </c>
      <c r="S366" s="442">
        <v>26</v>
      </c>
      <c r="T366" s="442">
        <v>0</v>
      </c>
      <c r="U366" s="442"/>
      <c r="V366" s="442"/>
      <c r="W366" s="436">
        <f>IF(NFI_Expiration=1,IF($A366&lt;VLOOKUP(H$5,NFI,5,0),1,0)*Table_NFI[[#This Row],[Hygiene Kit]],Table_NFI[Hygiene Kit])</f>
        <v>0</v>
      </c>
      <c r="X366" s="436">
        <f>IF(NFI_Expiration=1,IF($A366&lt;VLOOKUP(I$5,NFI,5,0),1,0)*Table_NFI[[#This Row],[NFI Core Kit]],Table_NFI[NFI Core Kit])</f>
        <v>0</v>
      </c>
      <c r="Y366" s="436">
        <f>IF(NFI_Expiration=1,IF($A366&lt;VLOOKUP(J$5,NFI,5,0),1,0)*Table_NFI[[#This Row],[Sanitary Kit]],Table_NFI[Sanitary Kit])</f>
        <v>0</v>
      </c>
      <c r="Z366" s="436">
        <f>IF(NFI_Expiration=1,IF($A366&lt;VLOOKUP(K$5,NFI,5,0),1,0)*Table_NFI[[#This Row],[Mosquito net]],Table_NFI[Mosquito net])</f>
        <v>0</v>
      </c>
      <c r="AA366" s="436">
        <f>IF(NFI_Expiration=1,IF($A366&lt;VLOOKUP(L$5,NFI,5,0),1,0)*Table_NFI[[#This Row],[Tarpaulin]],Table_NFI[[#This Row],[Tarpaulin]])</f>
        <v>0</v>
      </c>
      <c r="AB366" s="436">
        <f>IF(NFI_Expiration=1,IF($A366&lt;VLOOKUP(M$5,NFI,5,0),1,0)*Table_NFI[[#This Row],[Blanket]],Table_NFI[[#This Row],[Blanket]])</f>
        <v>0</v>
      </c>
      <c r="AC366" s="436">
        <f>IF(NFI_Expiration=1,IF($A366&lt;VLOOKUP(N$5,NFI,5,0),1,0)*Table_NFI[[#This Row],[Kitchen Set]],Table_NFI[Kitchen Set])</f>
        <v>0</v>
      </c>
      <c r="AD366" s="436">
        <f>IF(NFI_Expiration=1,IF($A366&lt;VLOOKUP(O$5,NFI,5,0),1,0)*Table_NFI[[#This Row],[Clothes Kit]],Table_NFI[Clothes Kit])</f>
        <v>0</v>
      </c>
      <c r="AE366" s="436">
        <f>IF(NFI_Expiration=1,IF($A366&lt;VLOOKUP(P$5,NFI,5,0),1,0)*Table_NFI[[#This Row],[Plastic Bucket]],Table_NFI[Plastic Bucket])</f>
        <v>0</v>
      </c>
      <c r="AF366" s="436">
        <f>IF(NFI_Expiration=1,IF($A366&lt;VLOOKUP(Q$5,NFI,5,0),1,0)*Table_NFI[[#This Row],[Plastic Mat]],Table_NFI[Plastic Mat])*IF(Table_NFI[[#This Row],[Distribution Date]]&gt;"2014-04-01",1,2.5)</f>
        <v>0</v>
      </c>
      <c r="AG366" s="436">
        <f>IF(NFI_Expiration=1,IF($A366&lt;VLOOKUP(R$5,NFI,5,0),1,0)*Table_NFI[[#This Row],[Winter Clothes Adult]],Table_NFI[Winter Clothes Adult])</f>
        <v>0</v>
      </c>
      <c r="AH366" s="436">
        <f>IF(NFI_Expiration=1,IF($A366&lt;VLOOKUP(S$5,NFI,5,0),1,0)*Table_NFI[[#This Row],[Winter Clothes Children]],Table_NFI[Winter Clothes Children])</f>
        <v>0</v>
      </c>
      <c r="AI366" s="436">
        <f>IF(NFI_Expiration=1,IF($A366&lt;VLOOKUP(T$5,NFI,5,0),1,0)*Table_NFI[[#This Row],[Winter Items Other]],Table_NFI[Winter Items Other])</f>
        <v>0</v>
      </c>
      <c r="AJ366" s="436">
        <f>IF(NFI_Expiration=1,IF($A366&lt;VLOOKUP(M$5,NFI,5,0),1,0)*Table_NFI[[#This Row],[Winter Blanket]],Table_NFI[[#This Row],[Winter Blanket]])</f>
        <v>0</v>
      </c>
      <c r="AK366" s="436">
        <f>IF(Table_NFI[[#This Row],[Winter Clothes Adult]]+Table_NFI[[#This Row],[Winter Clothes Children]]+Table_NFI[[#This Row],[Winter Items Other]]+Table_NFI[[#This Row],[Winter Blanket]]&gt;0,1,0)</f>
        <v>1</v>
      </c>
      <c r="AL366" s="439">
        <f>IF(NFI_Expiration=1,IF($A366&lt;VLOOKUP(V$5,NFI,5,0),1,0)*Table_NFI[[#This Row],[Jerry Can]],Table_NFI[Jerry Can])</f>
        <v>0</v>
      </c>
      <c r="AM366" s="781" t="str">
        <f>IFERROR(VLOOKUP(Table_NFI[[#This Row],[Camp Name]],CL,2,0),"")</f>
        <v>MMR001CMP052</v>
      </c>
      <c r="AN366" s="782">
        <f ca="1">IF(Table_NFI[[#This Row],[Pcode]]="","",IF(OFFSET(CampList[Opening Date],MATCH(Table_NFI[[#This Row],[Pcode]],CampList[CP_Pcode],0)-1,0,1,1)&gt;=NFI_Monitor_Date,1,0))</f>
        <v>0</v>
      </c>
      <c r="AO366" s="781" t="str">
        <f>IFERROR(VLOOKUP(Table_NFI[[#This Row],[Camp Name]],CL,3,0),"")</f>
        <v>Open</v>
      </c>
      <c r="AP366" s="436" t="str">
        <f ca="1">IF(Table_NFI[[#This Row],[Pcode]]="","",OFFSET(CampList[Priority],MATCH(Table_NFI[[#This Row],[Pcode]],CampList[CP_Pcode],0)-1,0,1,1))</f>
        <v>P4</v>
      </c>
      <c r="AQ366" s="438">
        <f>IFERROR(Table_NFI[[#This Row],[Kitchen Set]]/VLOOKUP(Table_NFI[[#This Row],[Camp Name]],CL,4,0),"")</f>
        <v>0</v>
      </c>
      <c r="AR366" s="779" t="s">
        <v>1099</v>
      </c>
      <c r="AS366" s="783"/>
    </row>
    <row r="367" spans="1:45" s="784" customFormat="1" x14ac:dyDescent="0.25">
      <c r="A367" s="455">
        <f t="shared" si="5"/>
        <v>23.366666666666667</v>
      </c>
      <c r="B367" s="778">
        <v>41608</v>
      </c>
      <c r="C367" s="779" t="s">
        <v>912</v>
      </c>
      <c r="D367" s="779"/>
      <c r="E367" s="779" t="s">
        <v>380</v>
      </c>
      <c r="F367" s="435" t="s">
        <v>5</v>
      </c>
      <c r="G367" s="435" t="s">
        <v>14</v>
      </c>
      <c r="H367" s="436"/>
      <c r="I367" s="436"/>
      <c r="J367" s="436"/>
      <c r="K367" s="436"/>
      <c r="L367" s="437"/>
      <c r="M367" s="437"/>
      <c r="N367" s="437"/>
      <c r="O367" s="437"/>
      <c r="P367" s="439"/>
      <c r="Q367" s="439">
        <v>138</v>
      </c>
      <c r="R367" s="436"/>
      <c r="S367" s="436"/>
      <c r="T367" s="436"/>
      <c r="U367" s="436"/>
      <c r="V367" s="436"/>
      <c r="W367" s="436">
        <f>IF(NFI_Expiration=1,IF($A367&lt;VLOOKUP(H$5,NFI,5,0),1,0)*Table_NFI[[#This Row],[Hygiene Kit]],Table_NFI[Hygiene Kit])</f>
        <v>0</v>
      </c>
      <c r="X367" s="436">
        <f>IF(NFI_Expiration=1,IF($A367&lt;VLOOKUP(I$5,NFI,5,0),1,0)*Table_NFI[[#This Row],[NFI Core Kit]],Table_NFI[NFI Core Kit])</f>
        <v>0</v>
      </c>
      <c r="Y367" s="436">
        <f>IF(NFI_Expiration=1,IF($A367&lt;VLOOKUP(J$5,NFI,5,0),1,0)*Table_NFI[[#This Row],[Sanitary Kit]],Table_NFI[Sanitary Kit])</f>
        <v>0</v>
      </c>
      <c r="Z367" s="436">
        <f>IF(NFI_Expiration=1,IF($A367&lt;VLOOKUP(K$5,NFI,5,0),1,0)*Table_NFI[[#This Row],[Mosquito net]],Table_NFI[Mosquito net])</f>
        <v>0</v>
      </c>
      <c r="AA367" s="436">
        <f>IF(NFI_Expiration=1,IF($A367&lt;VLOOKUP(L$5,NFI,5,0),1,0)*Table_NFI[[#This Row],[Tarpaulin]],Table_NFI[[#This Row],[Tarpaulin]])</f>
        <v>0</v>
      </c>
      <c r="AB367" s="436">
        <f>IF(NFI_Expiration=1,IF($A367&lt;VLOOKUP(M$5,NFI,5,0),1,0)*Table_NFI[[#This Row],[Blanket]],Table_NFI[[#This Row],[Blanket]])</f>
        <v>0</v>
      </c>
      <c r="AC367" s="436">
        <f>IF(NFI_Expiration=1,IF($A367&lt;VLOOKUP(N$5,NFI,5,0),1,0)*Table_NFI[[#This Row],[Kitchen Set]],Table_NFI[Kitchen Set])</f>
        <v>0</v>
      </c>
      <c r="AD367" s="436">
        <f>IF(NFI_Expiration=1,IF($A367&lt;VLOOKUP(O$5,NFI,5,0),1,0)*Table_NFI[[#This Row],[Clothes Kit]],Table_NFI[Clothes Kit])</f>
        <v>0</v>
      </c>
      <c r="AE367" s="436">
        <f>IF(NFI_Expiration=1,IF($A367&lt;VLOOKUP(P$5,NFI,5,0),1,0)*Table_NFI[[#This Row],[Plastic Bucket]],Table_NFI[Plastic Bucket])</f>
        <v>0</v>
      </c>
      <c r="AF367" s="436">
        <f>IF(NFI_Expiration=1,IF($A367&lt;VLOOKUP(Q$5,NFI,5,0),1,0)*Table_NFI[[#This Row],[Plastic Mat]],Table_NFI[Plastic Mat])*IF(Table_NFI[[#This Row],[Distribution Date]]&gt;"2014-04-01",1,2.5)</f>
        <v>0</v>
      </c>
      <c r="AG367" s="436">
        <f>IF(NFI_Expiration=1,IF($A367&lt;VLOOKUP(R$5,NFI,5,0),1,0)*Table_NFI[[#This Row],[Winter Clothes Adult]],Table_NFI[Winter Clothes Adult])</f>
        <v>0</v>
      </c>
      <c r="AH367" s="436">
        <f>IF(NFI_Expiration=1,IF($A367&lt;VLOOKUP(S$5,NFI,5,0),1,0)*Table_NFI[[#This Row],[Winter Clothes Children]],Table_NFI[Winter Clothes Children])</f>
        <v>0</v>
      </c>
      <c r="AI367" s="436">
        <f>IF(NFI_Expiration=1,IF($A367&lt;VLOOKUP(T$5,NFI,5,0),1,0)*Table_NFI[[#This Row],[Winter Items Other]],Table_NFI[Winter Items Other])</f>
        <v>0</v>
      </c>
      <c r="AJ367" s="436">
        <f>IF(NFI_Expiration=1,IF($A367&lt;VLOOKUP(M$5,NFI,5,0),1,0)*Table_NFI[[#This Row],[Winter Blanket]],Table_NFI[[#This Row],[Winter Blanket]])</f>
        <v>0</v>
      </c>
      <c r="AK367" s="436">
        <f>IF(Table_NFI[[#This Row],[Winter Clothes Adult]]+Table_NFI[[#This Row],[Winter Clothes Children]]+Table_NFI[[#This Row],[Winter Items Other]]+Table_NFI[[#This Row],[Winter Blanket]]&gt;0,1,0)</f>
        <v>0</v>
      </c>
      <c r="AL367" s="439">
        <f>IF(NFI_Expiration=1,IF($A367&lt;VLOOKUP(V$5,NFI,5,0),1,0)*Table_NFI[[#This Row],[Jerry Can]],Table_NFI[Jerry Can])</f>
        <v>0</v>
      </c>
      <c r="AM367" s="781" t="str">
        <f>IFERROR(VLOOKUP(Table_NFI[[#This Row],[Camp Name]],CL,2,0),"")</f>
        <v>MMR001CMP052</v>
      </c>
      <c r="AN367" s="782">
        <f ca="1">IF(Table_NFI[[#This Row],[Pcode]]="","",IF(OFFSET(CampList[Opening Date],MATCH(Table_NFI[[#This Row],[Pcode]],CampList[CP_Pcode],0)-1,0,1,1)&gt;=NFI_Monitor_Date,1,0))</f>
        <v>0</v>
      </c>
      <c r="AO367" s="781" t="str">
        <f>IFERROR(VLOOKUP(Table_NFI[[#This Row],[Camp Name]],CL,3,0),"")</f>
        <v>Open</v>
      </c>
      <c r="AP367" s="436" t="str">
        <f ca="1">IF(Table_NFI[[#This Row],[Pcode]]="","",OFFSET(CampList[Priority],MATCH(Table_NFI[[#This Row],[Pcode]],CampList[CP_Pcode],0)-1,0,1,1))</f>
        <v>P4</v>
      </c>
      <c r="AQ367" s="438">
        <f>IFERROR(Table_NFI[[#This Row],[Kitchen Set]]/VLOOKUP(Table_NFI[[#This Row],[Camp Name]],CL,4,0),"")</f>
        <v>0</v>
      </c>
      <c r="AR367" s="779" t="s">
        <v>1099</v>
      </c>
      <c r="AS367" s="783"/>
    </row>
    <row r="368" spans="1:45" s="784" customFormat="1" x14ac:dyDescent="0.25">
      <c r="A368" s="455">
        <f t="shared" si="5"/>
        <v>23.366666666666667</v>
      </c>
      <c r="B368" s="778">
        <v>41608</v>
      </c>
      <c r="C368" s="779" t="s">
        <v>912</v>
      </c>
      <c r="D368" s="779" t="s">
        <v>462</v>
      </c>
      <c r="E368" s="779" t="s">
        <v>380</v>
      </c>
      <c r="F368" s="435" t="s">
        <v>185</v>
      </c>
      <c r="G368" s="435" t="s">
        <v>196</v>
      </c>
      <c r="H368" s="779"/>
      <c r="I368" s="779"/>
      <c r="J368" s="779"/>
      <c r="K368" s="779"/>
      <c r="L368" s="789"/>
      <c r="M368" s="789"/>
      <c r="N368" s="789"/>
      <c r="O368" s="789"/>
      <c r="P368" s="439"/>
      <c r="Q368" s="439">
        <v>5268</v>
      </c>
      <c r="R368" s="436"/>
      <c r="S368" s="436"/>
      <c r="T368" s="436"/>
      <c r="U368" s="436"/>
      <c r="V368" s="436"/>
      <c r="W368" s="436">
        <f>IF(NFI_Expiration=1,IF($A368&lt;VLOOKUP(H$5,NFI,5,0),1,0)*Table_NFI[[#This Row],[Hygiene Kit]],Table_NFI[Hygiene Kit])</f>
        <v>0</v>
      </c>
      <c r="X368" s="436">
        <f>IF(NFI_Expiration=1,IF($A368&lt;VLOOKUP(I$5,NFI,5,0),1,0)*Table_NFI[[#This Row],[NFI Core Kit]],Table_NFI[NFI Core Kit])</f>
        <v>0</v>
      </c>
      <c r="Y368" s="436">
        <f>IF(NFI_Expiration=1,IF($A368&lt;VLOOKUP(J$5,NFI,5,0),1,0)*Table_NFI[[#This Row],[Sanitary Kit]],Table_NFI[Sanitary Kit])</f>
        <v>0</v>
      </c>
      <c r="Z368" s="436">
        <f>IF(NFI_Expiration=1,IF($A368&lt;VLOOKUP(K$5,NFI,5,0),1,0)*Table_NFI[[#This Row],[Mosquito net]],Table_NFI[Mosquito net])</f>
        <v>0</v>
      </c>
      <c r="AA368" s="436">
        <f>IF(NFI_Expiration=1,IF($A368&lt;VLOOKUP(L$5,NFI,5,0),1,0)*Table_NFI[[#This Row],[Tarpaulin]],Table_NFI[[#This Row],[Tarpaulin]])</f>
        <v>0</v>
      </c>
      <c r="AB368" s="436">
        <f>IF(NFI_Expiration=1,IF($A368&lt;VLOOKUP(M$5,NFI,5,0),1,0)*Table_NFI[[#This Row],[Blanket]],Table_NFI[[#This Row],[Blanket]])</f>
        <v>0</v>
      </c>
      <c r="AC368" s="436">
        <f>IF(NFI_Expiration=1,IF($A368&lt;VLOOKUP(N$5,NFI,5,0),1,0)*Table_NFI[[#This Row],[Kitchen Set]],Table_NFI[Kitchen Set])</f>
        <v>0</v>
      </c>
      <c r="AD368" s="436">
        <f>IF(NFI_Expiration=1,IF($A368&lt;VLOOKUP(O$5,NFI,5,0),1,0)*Table_NFI[[#This Row],[Clothes Kit]],Table_NFI[Clothes Kit])</f>
        <v>0</v>
      </c>
      <c r="AE368" s="436">
        <f>IF(NFI_Expiration=1,IF($A368&lt;VLOOKUP(P$5,NFI,5,0),1,0)*Table_NFI[[#This Row],[Plastic Bucket]],Table_NFI[Plastic Bucket])</f>
        <v>0</v>
      </c>
      <c r="AF368" s="436">
        <f>IF(NFI_Expiration=1,IF($A368&lt;VLOOKUP(Q$5,NFI,5,0),1,0)*Table_NFI[[#This Row],[Plastic Mat]],Table_NFI[Plastic Mat])*IF(Table_NFI[[#This Row],[Distribution Date]]&gt;"2014-04-01",1,2.5)</f>
        <v>0</v>
      </c>
      <c r="AG368" s="436">
        <f>IF(NFI_Expiration=1,IF($A368&lt;VLOOKUP(R$5,NFI,5,0),1,0)*Table_NFI[[#This Row],[Winter Clothes Adult]],Table_NFI[Winter Clothes Adult])</f>
        <v>0</v>
      </c>
      <c r="AH368" s="436">
        <f>IF(NFI_Expiration=1,IF($A368&lt;VLOOKUP(S$5,NFI,5,0),1,0)*Table_NFI[[#This Row],[Winter Clothes Children]],Table_NFI[Winter Clothes Children])</f>
        <v>0</v>
      </c>
      <c r="AI368" s="436">
        <f>IF(NFI_Expiration=1,IF($A368&lt;VLOOKUP(T$5,NFI,5,0),1,0)*Table_NFI[[#This Row],[Winter Items Other]],Table_NFI[Winter Items Other])</f>
        <v>0</v>
      </c>
      <c r="AJ368" s="436">
        <f>IF(NFI_Expiration=1,IF($A368&lt;VLOOKUP(M$5,NFI,5,0),1,0)*Table_NFI[[#This Row],[Winter Blanket]],Table_NFI[[#This Row],[Winter Blanket]])</f>
        <v>0</v>
      </c>
      <c r="AK368" s="436">
        <f>IF(Table_NFI[[#This Row],[Winter Clothes Adult]]+Table_NFI[[#This Row],[Winter Clothes Children]]+Table_NFI[[#This Row],[Winter Items Other]]+Table_NFI[[#This Row],[Winter Blanket]]&gt;0,1,0)</f>
        <v>0</v>
      </c>
      <c r="AL368" s="439">
        <f>IF(NFI_Expiration=1,IF($A368&lt;VLOOKUP(V$5,NFI,5,0),1,0)*Table_NFI[[#This Row],[Jerry Can]],Table_NFI[Jerry Can])</f>
        <v>0</v>
      </c>
      <c r="AM368" s="781" t="str">
        <f>IFERROR(VLOOKUP(Table_NFI[[#This Row],[Camp Name]],CL,2,0),"")</f>
        <v>MMR001CMP121</v>
      </c>
      <c r="AN368" s="782">
        <f ca="1">IF(Table_NFI[[#This Row],[Pcode]]="","",IF(OFFSET(CampList[Opening Date],MATCH(Table_NFI[[#This Row],[Pcode]],CampList[CP_Pcode],0)-1,0,1,1)&gt;=NFI_Monitor_Date,1,0))</f>
        <v>0</v>
      </c>
      <c r="AO368" s="781" t="str">
        <f>IFERROR(VLOOKUP(Table_NFI[[#This Row],[Camp Name]],CL,3,0),"")</f>
        <v>Open</v>
      </c>
      <c r="AP368" s="436" t="str">
        <f ca="1">IF(Table_NFI[[#This Row],[Pcode]]="","",OFFSET(CampList[Priority],MATCH(Table_NFI[[#This Row],[Pcode]],CampList[CP_Pcode],0)-1,0,1,1))</f>
        <v>P2</v>
      </c>
      <c r="AQ368" s="438">
        <f>IFERROR(Table_NFI[[#This Row],[Kitchen Set]]/VLOOKUP(Table_NFI[[#This Row],[Camp Name]],CL,4,0),"")</f>
        <v>0</v>
      </c>
      <c r="AR368" s="779" t="s">
        <v>1099</v>
      </c>
      <c r="AS368" s="783"/>
    </row>
    <row r="369" spans="1:45" s="784" customFormat="1" x14ac:dyDescent="0.25">
      <c r="A369" s="455">
        <f t="shared" si="5"/>
        <v>23.366666666666667</v>
      </c>
      <c r="B369" s="778">
        <v>41608</v>
      </c>
      <c r="C369" s="779" t="s">
        <v>1104</v>
      </c>
      <c r="D369" s="442" t="s">
        <v>951</v>
      </c>
      <c r="E369" s="785" t="s">
        <v>380</v>
      </c>
      <c r="F369" s="435" t="s">
        <v>151</v>
      </c>
      <c r="G369" s="435" t="s">
        <v>518</v>
      </c>
      <c r="H369" s="442"/>
      <c r="I369" s="442"/>
      <c r="J369" s="442"/>
      <c r="K369" s="785"/>
      <c r="L369" s="786"/>
      <c r="M369" s="443">
        <v>447</v>
      </c>
      <c r="N369" s="443"/>
      <c r="O369" s="443"/>
      <c r="P369" s="786"/>
      <c r="Q369" s="443"/>
      <c r="R369" s="442">
        <v>398</v>
      </c>
      <c r="S369" s="442">
        <v>390</v>
      </c>
      <c r="T369" s="442">
        <v>0</v>
      </c>
      <c r="U369" s="442"/>
      <c r="V369" s="442"/>
      <c r="W369" s="436">
        <f>IF(NFI_Expiration=1,IF($A369&lt;VLOOKUP(H$5,NFI,5,0),1,0)*Table_NFI[[#This Row],[Hygiene Kit]],Table_NFI[Hygiene Kit])</f>
        <v>0</v>
      </c>
      <c r="X369" s="436">
        <f>IF(NFI_Expiration=1,IF($A369&lt;VLOOKUP(I$5,NFI,5,0),1,0)*Table_NFI[[#This Row],[NFI Core Kit]],Table_NFI[NFI Core Kit])</f>
        <v>0</v>
      </c>
      <c r="Y369" s="436">
        <f>IF(NFI_Expiration=1,IF($A369&lt;VLOOKUP(J$5,NFI,5,0),1,0)*Table_NFI[[#This Row],[Sanitary Kit]],Table_NFI[Sanitary Kit])</f>
        <v>0</v>
      </c>
      <c r="Z369" s="436">
        <f>IF(NFI_Expiration=1,IF($A369&lt;VLOOKUP(K$5,NFI,5,0),1,0)*Table_NFI[[#This Row],[Mosquito net]],Table_NFI[Mosquito net])</f>
        <v>0</v>
      </c>
      <c r="AA369" s="436">
        <f>IF(NFI_Expiration=1,IF($A369&lt;VLOOKUP(L$5,NFI,5,0),1,0)*Table_NFI[[#This Row],[Tarpaulin]],Table_NFI[[#This Row],[Tarpaulin]])</f>
        <v>0</v>
      </c>
      <c r="AB369" s="436">
        <f>IF(NFI_Expiration=1,IF($A369&lt;VLOOKUP(M$5,NFI,5,0),1,0)*Table_NFI[[#This Row],[Blanket]],Table_NFI[[#This Row],[Blanket]])</f>
        <v>0</v>
      </c>
      <c r="AC369" s="436">
        <f>IF(NFI_Expiration=1,IF($A369&lt;VLOOKUP(N$5,NFI,5,0),1,0)*Table_NFI[[#This Row],[Kitchen Set]],Table_NFI[Kitchen Set])</f>
        <v>0</v>
      </c>
      <c r="AD369" s="436">
        <f>IF(NFI_Expiration=1,IF($A369&lt;VLOOKUP(O$5,NFI,5,0),1,0)*Table_NFI[[#This Row],[Clothes Kit]],Table_NFI[Clothes Kit])</f>
        <v>0</v>
      </c>
      <c r="AE369" s="436">
        <f>IF(NFI_Expiration=1,IF($A369&lt;VLOOKUP(P$5,NFI,5,0),1,0)*Table_NFI[[#This Row],[Plastic Bucket]],Table_NFI[Plastic Bucket])</f>
        <v>0</v>
      </c>
      <c r="AF369" s="436">
        <f>IF(NFI_Expiration=1,IF($A369&lt;VLOOKUP(Q$5,NFI,5,0),1,0)*Table_NFI[[#This Row],[Plastic Mat]],Table_NFI[Plastic Mat])*IF(Table_NFI[[#This Row],[Distribution Date]]&gt;"2014-04-01",1,2.5)</f>
        <v>0</v>
      </c>
      <c r="AG369" s="436">
        <f>IF(NFI_Expiration=1,IF($A369&lt;VLOOKUP(R$5,NFI,5,0),1,0)*Table_NFI[[#This Row],[Winter Clothes Adult]],Table_NFI[Winter Clothes Adult])</f>
        <v>0</v>
      </c>
      <c r="AH369" s="436">
        <f>IF(NFI_Expiration=1,IF($A369&lt;VLOOKUP(S$5,NFI,5,0),1,0)*Table_NFI[[#This Row],[Winter Clothes Children]],Table_NFI[Winter Clothes Children])</f>
        <v>0</v>
      </c>
      <c r="AI369" s="436">
        <f>IF(NFI_Expiration=1,IF($A369&lt;VLOOKUP(T$5,NFI,5,0),1,0)*Table_NFI[[#This Row],[Winter Items Other]],Table_NFI[Winter Items Other])</f>
        <v>0</v>
      </c>
      <c r="AJ369" s="436">
        <f>IF(NFI_Expiration=1,IF($A369&lt;VLOOKUP(M$5,NFI,5,0),1,0)*Table_NFI[[#This Row],[Winter Blanket]],Table_NFI[[#This Row],[Winter Blanket]])</f>
        <v>0</v>
      </c>
      <c r="AK369" s="436">
        <f>IF(Table_NFI[[#This Row],[Winter Clothes Adult]]+Table_NFI[[#This Row],[Winter Clothes Children]]+Table_NFI[[#This Row],[Winter Items Other]]+Table_NFI[[#This Row],[Winter Blanket]]&gt;0,1,0)</f>
        <v>1</v>
      </c>
      <c r="AL369" s="439">
        <f>IF(NFI_Expiration=1,IF($A369&lt;VLOOKUP(V$5,NFI,5,0),1,0)*Table_NFI[[#This Row],[Jerry Can]],Table_NFI[Jerry Can])</f>
        <v>0</v>
      </c>
      <c r="AM369" s="781" t="str">
        <f>IFERROR(VLOOKUP(Table_NFI[[#This Row],[Camp Name]],CL,2,0),"")</f>
        <v>MMR001CMP202</v>
      </c>
      <c r="AN369" s="782">
        <f ca="1">IF(Table_NFI[[#This Row],[Pcode]]="","",IF(OFFSET(CampList[Opening Date],MATCH(Table_NFI[[#This Row],[Pcode]],CampList[CP_Pcode],0)-1,0,1,1)&gt;=NFI_Monitor_Date,1,0))</f>
        <v>0</v>
      </c>
      <c r="AO369" s="781" t="str">
        <f>IFERROR(VLOOKUP(Table_NFI[[#This Row],[Camp Name]],CL,3,0),"")</f>
        <v>Closed</v>
      </c>
      <c r="AP369" s="436" t="str">
        <f ca="1">IF(Table_NFI[[#This Row],[Pcode]]="","",OFFSET(CampList[Priority],MATCH(Table_NFI[[#This Row],[Pcode]],CampList[CP_Pcode],0)-1,0,1,1))</f>
        <v>P4</v>
      </c>
      <c r="AQ369" s="438" t="str">
        <f>IFERROR(Table_NFI[[#This Row],[Kitchen Set]]/VLOOKUP(Table_NFI[[#This Row],[Camp Name]],CL,4,0),"")</f>
        <v/>
      </c>
      <c r="AR369" s="779" t="s">
        <v>1099</v>
      </c>
      <c r="AS369" s="783"/>
    </row>
    <row r="370" spans="1:45" s="784" customFormat="1" x14ac:dyDescent="0.25">
      <c r="A370" s="455">
        <f t="shared" si="5"/>
        <v>23.366666666666667</v>
      </c>
      <c r="B370" s="778">
        <v>41608</v>
      </c>
      <c r="C370" s="779" t="s">
        <v>912</v>
      </c>
      <c r="D370" s="779"/>
      <c r="E370" s="779" t="s">
        <v>380</v>
      </c>
      <c r="F370" s="435" t="s">
        <v>151</v>
      </c>
      <c r="G370" s="435" t="s">
        <v>518</v>
      </c>
      <c r="H370" s="436"/>
      <c r="I370" s="436"/>
      <c r="J370" s="436"/>
      <c r="K370" s="436"/>
      <c r="L370" s="437"/>
      <c r="M370" s="437"/>
      <c r="N370" s="437"/>
      <c r="O370" s="437"/>
      <c r="P370" s="439"/>
      <c r="Q370" s="439"/>
      <c r="R370" s="436"/>
      <c r="S370" s="436"/>
      <c r="T370" s="436"/>
      <c r="U370" s="436"/>
      <c r="V370" s="436"/>
      <c r="W370" s="436">
        <f>IF(NFI_Expiration=1,IF($A370&lt;VLOOKUP(H$5,NFI,5,0),1,0)*Table_NFI[[#This Row],[Hygiene Kit]],Table_NFI[Hygiene Kit])</f>
        <v>0</v>
      </c>
      <c r="X370" s="436">
        <f>IF(NFI_Expiration=1,IF($A370&lt;VLOOKUP(I$5,NFI,5,0),1,0)*Table_NFI[[#This Row],[NFI Core Kit]],Table_NFI[NFI Core Kit])</f>
        <v>0</v>
      </c>
      <c r="Y370" s="436">
        <f>IF(NFI_Expiration=1,IF($A370&lt;VLOOKUP(J$5,NFI,5,0),1,0)*Table_NFI[[#This Row],[Sanitary Kit]],Table_NFI[Sanitary Kit])</f>
        <v>0</v>
      </c>
      <c r="Z370" s="436">
        <f>IF(NFI_Expiration=1,IF($A370&lt;VLOOKUP(K$5,NFI,5,0),1,0)*Table_NFI[[#This Row],[Mosquito net]],Table_NFI[Mosquito net])</f>
        <v>0</v>
      </c>
      <c r="AA370" s="436">
        <f>IF(NFI_Expiration=1,IF($A370&lt;VLOOKUP(L$5,NFI,5,0),1,0)*Table_NFI[[#This Row],[Tarpaulin]],Table_NFI[[#This Row],[Tarpaulin]])</f>
        <v>0</v>
      </c>
      <c r="AB370" s="436">
        <f>IF(NFI_Expiration=1,IF($A370&lt;VLOOKUP(M$5,NFI,5,0),1,0)*Table_NFI[[#This Row],[Blanket]],Table_NFI[[#This Row],[Blanket]])</f>
        <v>0</v>
      </c>
      <c r="AC370" s="436">
        <f>IF(NFI_Expiration=1,IF($A370&lt;VLOOKUP(N$5,NFI,5,0),1,0)*Table_NFI[[#This Row],[Kitchen Set]],Table_NFI[Kitchen Set])</f>
        <v>0</v>
      </c>
      <c r="AD370" s="436">
        <f>IF(NFI_Expiration=1,IF($A370&lt;VLOOKUP(O$5,NFI,5,0),1,0)*Table_NFI[[#This Row],[Clothes Kit]],Table_NFI[Clothes Kit])</f>
        <v>0</v>
      </c>
      <c r="AE370" s="436">
        <f>IF(NFI_Expiration=1,IF($A370&lt;VLOOKUP(P$5,NFI,5,0),1,0)*Table_NFI[[#This Row],[Plastic Bucket]],Table_NFI[Plastic Bucket])</f>
        <v>0</v>
      </c>
      <c r="AF370" s="436">
        <f>IF(NFI_Expiration=1,IF($A370&lt;VLOOKUP(Q$5,NFI,5,0),1,0)*Table_NFI[[#This Row],[Plastic Mat]],Table_NFI[Plastic Mat])*IF(Table_NFI[[#This Row],[Distribution Date]]&gt;"2014-04-01",1,2.5)</f>
        <v>0</v>
      </c>
      <c r="AG370" s="436">
        <f>IF(NFI_Expiration=1,IF($A370&lt;VLOOKUP(R$5,NFI,5,0),1,0)*Table_NFI[[#This Row],[Winter Clothes Adult]],Table_NFI[Winter Clothes Adult])</f>
        <v>0</v>
      </c>
      <c r="AH370" s="436">
        <f>IF(NFI_Expiration=1,IF($A370&lt;VLOOKUP(S$5,NFI,5,0),1,0)*Table_NFI[[#This Row],[Winter Clothes Children]],Table_NFI[Winter Clothes Children])</f>
        <v>0</v>
      </c>
      <c r="AI370" s="436">
        <f>IF(NFI_Expiration=1,IF($A370&lt;VLOOKUP(T$5,NFI,5,0),1,0)*Table_NFI[[#This Row],[Winter Items Other]],Table_NFI[Winter Items Other])</f>
        <v>0</v>
      </c>
      <c r="AJ370" s="436">
        <f>IF(NFI_Expiration=1,IF($A370&lt;VLOOKUP(M$5,NFI,5,0),1,0)*Table_NFI[[#This Row],[Winter Blanket]],Table_NFI[[#This Row],[Winter Blanket]])</f>
        <v>0</v>
      </c>
      <c r="AK370" s="436">
        <f>IF(Table_NFI[[#This Row],[Winter Clothes Adult]]+Table_NFI[[#This Row],[Winter Clothes Children]]+Table_NFI[[#This Row],[Winter Items Other]]+Table_NFI[[#This Row],[Winter Blanket]]&gt;0,1,0)</f>
        <v>0</v>
      </c>
      <c r="AL370" s="439">
        <f>IF(NFI_Expiration=1,IF($A370&lt;VLOOKUP(V$5,NFI,5,0),1,0)*Table_NFI[[#This Row],[Jerry Can]],Table_NFI[Jerry Can])</f>
        <v>0</v>
      </c>
      <c r="AM370" s="781" t="str">
        <f>IFERROR(VLOOKUP(Table_NFI[[#This Row],[Camp Name]],CL,2,0),"")</f>
        <v>MMR001CMP202</v>
      </c>
      <c r="AN370" s="782">
        <f ca="1">IF(Table_NFI[[#This Row],[Pcode]]="","",IF(OFFSET(CampList[Opening Date],MATCH(Table_NFI[[#This Row],[Pcode]],CampList[CP_Pcode],0)-1,0,1,1)&gt;=NFI_Monitor_Date,1,0))</f>
        <v>0</v>
      </c>
      <c r="AO370" s="781" t="str">
        <f>IFERROR(VLOOKUP(Table_NFI[[#This Row],[Camp Name]],CL,3,0),"")</f>
        <v>Closed</v>
      </c>
      <c r="AP370" s="436" t="str">
        <f ca="1">IF(Table_NFI[[#This Row],[Pcode]]="","",OFFSET(CampList[Priority],MATCH(Table_NFI[[#This Row],[Pcode]],CampList[CP_Pcode],0)-1,0,1,1))</f>
        <v>P4</v>
      </c>
      <c r="AQ370" s="438" t="str">
        <f>IFERROR(Table_NFI[[#This Row],[Kitchen Set]]/VLOOKUP(Table_NFI[[#This Row],[Camp Name]],CL,4,0),"")</f>
        <v/>
      </c>
      <c r="AR370" s="779" t="s">
        <v>1099</v>
      </c>
      <c r="AS370" s="783"/>
    </row>
    <row r="371" spans="1:45" s="784" customFormat="1" x14ac:dyDescent="0.25">
      <c r="A371" s="455">
        <f t="shared" si="5"/>
        <v>23.366666666666667</v>
      </c>
      <c r="B371" s="778">
        <v>41608</v>
      </c>
      <c r="C371" s="779" t="s">
        <v>912</v>
      </c>
      <c r="D371" s="779" t="s">
        <v>462</v>
      </c>
      <c r="E371" s="779" t="s">
        <v>380</v>
      </c>
      <c r="F371" s="435" t="s">
        <v>310</v>
      </c>
      <c r="G371" s="435" t="s">
        <v>1271</v>
      </c>
      <c r="H371" s="436"/>
      <c r="I371" s="436"/>
      <c r="J371" s="436"/>
      <c r="K371" s="436"/>
      <c r="L371" s="437"/>
      <c r="M371" s="437"/>
      <c r="N371" s="437"/>
      <c r="O371" s="437"/>
      <c r="P371" s="439"/>
      <c r="Q371" s="439">
        <v>729</v>
      </c>
      <c r="R371" s="436"/>
      <c r="S371" s="436"/>
      <c r="T371" s="436"/>
      <c r="U371" s="436"/>
      <c r="V371" s="436"/>
      <c r="W371" s="436">
        <f>IF(NFI_Expiration=1,IF($A371&lt;VLOOKUP(H$5,NFI,5,0),1,0)*Table_NFI[[#This Row],[Hygiene Kit]],Table_NFI[Hygiene Kit])</f>
        <v>0</v>
      </c>
      <c r="X371" s="436">
        <f>IF(NFI_Expiration=1,IF($A371&lt;VLOOKUP(I$5,NFI,5,0),1,0)*Table_NFI[[#This Row],[NFI Core Kit]],Table_NFI[NFI Core Kit])</f>
        <v>0</v>
      </c>
      <c r="Y371" s="436">
        <f>IF(NFI_Expiration=1,IF($A371&lt;VLOOKUP(J$5,NFI,5,0),1,0)*Table_NFI[[#This Row],[Sanitary Kit]],Table_NFI[Sanitary Kit])</f>
        <v>0</v>
      </c>
      <c r="Z371" s="436">
        <f>IF(NFI_Expiration=1,IF($A371&lt;VLOOKUP(K$5,NFI,5,0),1,0)*Table_NFI[[#This Row],[Mosquito net]],Table_NFI[Mosquito net])</f>
        <v>0</v>
      </c>
      <c r="AA371" s="436">
        <f>IF(NFI_Expiration=1,IF($A371&lt;VLOOKUP(L$5,NFI,5,0),1,0)*Table_NFI[[#This Row],[Tarpaulin]],Table_NFI[[#This Row],[Tarpaulin]])</f>
        <v>0</v>
      </c>
      <c r="AB371" s="436">
        <f>IF(NFI_Expiration=1,IF($A371&lt;VLOOKUP(M$5,NFI,5,0),1,0)*Table_NFI[[#This Row],[Blanket]],Table_NFI[[#This Row],[Blanket]])</f>
        <v>0</v>
      </c>
      <c r="AC371" s="436">
        <f>IF(NFI_Expiration=1,IF($A371&lt;VLOOKUP(N$5,NFI,5,0),1,0)*Table_NFI[[#This Row],[Kitchen Set]],Table_NFI[Kitchen Set])</f>
        <v>0</v>
      </c>
      <c r="AD371" s="436">
        <f>IF(NFI_Expiration=1,IF($A371&lt;VLOOKUP(O$5,NFI,5,0),1,0)*Table_NFI[[#This Row],[Clothes Kit]],Table_NFI[Clothes Kit])</f>
        <v>0</v>
      </c>
      <c r="AE371" s="436">
        <f>IF(NFI_Expiration=1,IF($A371&lt;VLOOKUP(P$5,NFI,5,0),1,0)*Table_NFI[[#This Row],[Plastic Bucket]],Table_NFI[Plastic Bucket])</f>
        <v>0</v>
      </c>
      <c r="AF371" s="436">
        <f>IF(NFI_Expiration=1,IF($A371&lt;VLOOKUP(Q$5,NFI,5,0),1,0)*Table_NFI[[#This Row],[Plastic Mat]],Table_NFI[Plastic Mat])*IF(Table_NFI[[#This Row],[Distribution Date]]&gt;"2014-04-01",1,2.5)</f>
        <v>0</v>
      </c>
      <c r="AG371" s="436">
        <f>IF(NFI_Expiration=1,IF($A371&lt;VLOOKUP(R$5,NFI,5,0),1,0)*Table_NFI[[#This Row],[Winter Clothes Adult]],Table_NFI[Winter Clothes Adult])</f>
        <v>0</v>
      </c>
      <c r="AH371" s="436">
        <f>IF(NFI_Expiration=1,IF($A371&lt;VLOOKUP(S$5,NFI,5,0),1,0)*Table_NFI[[#This Row],[Winter Clothes Children]],Table_NFI[Winter Clothes Children])</f>
        <v>0</v>
      </c>
      <c r="AI371" s="436">
        <f>IF(NFI_Expiration=1,IF($A371&lt;VLOOKUP(T$5,NFI,5,0),1,0)*Table_NFI[[#This Row],[Winter Items Other]],Table_NFI[Winter Items Other])</f>
        <v>0</v>
      </c>
      <c r="AJ371" s="436">
        <f>IF(NFI_Expiration=1,IF($A371&lt;VLOOKUP(M$5,NFI,5,0),1,0)*Table_NFI[[#This Row],[Winter Blanket]],Table_NFI[[#This Row],[Winter Blanket]])</f>
        <v>0</v>
      </c>
      <c r="AK371" s="436">
        <f>IF(Table_NFI[[#This Row],[Winter Clothes Adult]]+Table_NFI[[#This Row],[Winter Clothes Children]]+Table_NFI[[#This Row],[Winter Items Other]]+Table_NFI[[#This Row],[Winter Blanket]]&gt;0,1,0)</f>
        <v>0</v>
      </c>
      <c r="AL371" s="439">
        <f>IF(NFI_Expiration=1,IF($A371&lt;VLOOKUP(V$5,NFI,5,0),1,0)*Table_NFI[[#This Row],[Jerry Can]],Table_NFI[Jerry Can])</f>
        <v>0</v>
      </c>
      <c r="AM371" s="781" t="str">
        <f>IFERROR(VLOOKUP(Table_NFI[[#This Row],[Camp Name]],CL,2,0),"")</f>
        <v>MMR001CMP117</v>
      </c>
      <c r="AN371" s="782">
        <f ca="1">IF(Table_NFI[[#This Row],[Pcode]]="","",IF(OFFSET(CampList[Opening Date],MATCH(Table_NFI[[#This Row],[Pcode]],CampList[CP_Pcode],0)-1,0,1,1)&gt;=NFI_Monitor_Date,1,0))</f>
        <v>0</v>
      </c>
      <c r="AO371" s="781" t="str">
        <f>IFERROR(VLOOKUP(Table_NFI[[#This Row],[Camp Name]],CL,3,0),"")</f>
        <v>Closed</v>
      </c>
      <c r="AP371" s="436" t="str">
        <f ca="1">IF(Table_NFI[[#This Row],[Pcode]]="","",OFFSET(CampList[Priority],MATCH(Table_NFI[[#This Row],[Pcode]],CampList[CP_Pcode],0)-1,0,1,1))</f>
        <v>P2</v>
      </c>
      <c r="AQ371" s="438" t="str">
        <f>IFERROR(Table_NFI[[#This Row],[Kitchen Set]]/VLOOKUP(Table_NFI[[#This Row],[Camp Name]],CL,4,0),"")</f>
        <v/>
      </c>
      <c r="AR371" s="779" t="s">
        <v>1099</v>
      </c>
      <c r="AS371" s="783"/>
    </row>
    <row r="372" spans="1:45" s="784" customFormat="1" ht="13.9" customHeight="1" x14ac:dyDescent="0.25">
      <c r="A372" s="455">
        <f t="shared" si="5"/>
        <v>23.366666666666667</v>
      </c>
      <c r="B372" s="778">
        <v>41608</v>
      </c>
      <c r="C372" s="779" t="s">
        <v>912</v>
      </c>
      <c r="D372" s="779" t="s">
        <v>1009</v>
      </c>
      <c r="E372" s="779" t="s">
        <v>380</v>
      </c>
      <c r="F372" s="435" t="s">
        <v>151</v>
      </c>
      <c r="G372" s="435" t="s">
        <v>198</v>
      </c>
      <c r="H372" s="436"/>
      <c r="I372" s="436"/>
      <c r="J372" s="436"/>
      <c r="K372" s="436"/>
      <c r="L372" s="437"/>
      <c r="M372" s="437"/>
      <c r="N372" s="437"/>
      <c r="O372" s="437"/>
      <c r="P372" s="439"/>
      <c r="Q372" s="439"/>
      <c r="R372" s="436"/>
      <c r="S372" s="436"/>
      <c r="T372" s="436"/>
      <c r="U372" s="436"/>
      <c r="V372" s="436"/>
      <c r="W372" s="436">
        <f>IF(NFI_Expiration=1,IF($A372&lt;VLOOKUP(H$5,NFI,5,0),1,0)*Table_NFI[[#This Row],[Hygiene Kit]],Table_NFI[Hygiene Kit])</f>
        <v>0</v>
      </c>
      <c r="X372" s="436">
        <f>IF(NFI_Expiration=1,IF($A372&lt;VLOOKUP(I$5,NFI,5,0),1,0)*Table_NFI[[#This Row],[NFI Core Kit]],Table_NFI[NFI Core Kit])</f>
        <v>0</v>
      </c>
      <c r="Y372" s="436">
        <f>IF(NFI_Expiration=1,IF($A372&lt;VLOOKUP(J$5,NFI,5,0),1,0)*Table_NFI[[#This Row],[Sanitary Kit]],Table_NFI[Sanitary Kit])</f>
        <v>0</v>
      </c>
      <c r="Z372" s="436">
        <f>IF(NFI_Expiration=1,IF($A372&lt;VLOOKUP(K$5,NFI,5,0),1,0)*Table_NFI[[#This Row],[Mosquito net]],Table_NFI[Mosquito net])</f>
        <v>0</v>
      </c>
      <c r="AA372" s="436">
        <f>IF(NFI_Expiration=1,IF($A372&lt;VLOOKUP(L$5,NFI,5,0),1,0)*Table_NFI[[#This Row],[Tarpaulin]],Table_NFI[[#This Row],[Tarpaulin]])</f>
        <v>0</v>
      </c>
      <c r="AB372" s="436">
        <f>IF(NFI_Expiration=1,IF($A372&lt;VLOOKUP(M$5,NFI,5,0),1,0)*Table_NFI[[#This Row],[Blanket]],Table_NFI[[#This Row],[Blanket]])</f>
        <v>0</v>
      </c>
      <c r="AC372" s="436">
        <f>IF(NFI_Expiration=1,IF($A372&lt;VLOOKUP(N$5,NFI,5,0),1,0)*Table_NFI[[#This Row],[Kitchen Set]],Table_NFI[Kitchen Set])</f>
        <v>0</v>
      </c>
      <c r="AD372" s="436">
        <f>IF(NFI_Expiration=1,IF($A372&lt;VLOOKUP(O$5,NFI,5,0),1,0)*Table_NFI[[#This Row],[Clothes Kit]],Table_NFI[Clothes Kit])</f>
        <v>0</v>
      </c>
      <c r="AE372" s="436">
        <f>IF(NFI_Expiration=1,IF($A372&lt;VLOOKUP(P$5,NFI,5,0),1,0)*Table_NFI[[#This Row],[Plastic Bucket]],Table_NFI[Plastic Bucket])</f>
        <v>0</v>
      </c>
      <c r="AF372" s="436">
        <f>IF(NFI_Expiration=1,IF($A372&lt;VLOOKUP(Q$5,NFI,5,0),1,0)*Table_NFI[[#This Row],[Plastic Mat]],Table_NFI[Plastic Mat])*IF(Table_NFI[[#This Row],[Distribution Date]]&gt;"2014-04-01",1,2.5)</f>
        <v>0</v>
      </c>
      <c r="AG372" s="436">
        <f>IF(NFI_Expiration=1,IF($A372&lt;VLOOKUP(R$5,NFI,5,0),1,0)*Table_NFI[[#This Row],[Winter Clothes Adult]],Table_NFI[Winter Clothes Adult])</f>
        <v>0</v>
      </c>
      <c r="AH372" s="436">
        <f>IF(NFI_Expiration=1,IF($A372&lt;VLOOKUP(S$5,NFI,5,0),1,0)*Table_NFI[[#This Row],[Winter Clothes Children]],Table_NFI[Winter Clothes Children])</f>
        <v>0</v>
      </c>
      <c r="AI372" s="436">
        <f>IF(NFI_Expiration=1,IF($A372&lt;VLOOKUP(T$5,NFI,5,0),1,0)*Table_NFI[[#This Row],[Winter Items Other]],Table_NFI[Winter Items Other])</f>
        <v>0</v>
      </c>
      <c r="AJ372" s="436">
        <f>IF(NFI_Expiration=1,IF($A372&lt;VLOOKUP(M$5,NFI,5,0),1,0)*Table_NFI[[#This Row],[Winter Blanket]],Table_NFI[[#This Row],[Winter Blanket]])</f>
        <v>0</v>
      </c>
      <c r="AK372" s="436">
        <f>IF(Table_NFI[[#This Row],[Winter Clothes Adult]]+Table_NFI[[#This Row],[Winter Clothes Children]]+Table_NFI[[#This Row],[Winter Items Other]]+Table_NFI[[#This Row],[Winter Blanket]]&gt;0,1,0)</f>
        <v>0</v>
      </c>
      <c r="AL372" s="439">
        <f>IF(NFI_Expiration=1,IF($A372&lt;VLOOKUP(V$5,NFI,5,0),1,0)*Table_NFI[[#This Row],[Jerry Can]],Table_NFI[Jerry Can])</f>
        <v>0</v>
      </c>
      <c r="AM372" s="781" t="str">
        <f>IFERROR(VLOOKUP(Table_NFI[[#This Row],[Camp Name]],CL,2,0),"")</f>
        <v>MMR001CMP128</v>
      </c>
      <c r="AN372" s="782">
        <f ca="1">IF(Table_NFI[[#This Row],[Pcode]]="","",IF(OFFSET(CampList[Opening Date],MATCH(Table_NFI[[#This Row],[Pcode]],CampList[CP_Pcode],0)-1,0,1,1)&gt;=NFI_Monitor_Date,1,0))</f>
        <v>0</v>
      </c>
      <c r="AO372" s="781" t="str">
        <f>IFERROR(VLOOKUP(Table_NFI[[#This Row],[Camp Name]],CL,3,0),"")</f>
        <v>Open</v>
      </c>
      <c r="AP372" s="436" t="str">
        <f ca="1">IF(Table_NFI[[#This Row],[Pcode]]="","",OFFSET(CampList[Priority],MATCH(Table_NFI[[#This Row],[Pcode]],CampList[CP_Pcode],0)-1,0,1,1))</f>
        <v>P2</v>
      </c>
      <c r="AQ372" s="438">
        <f>IFERROR(Table_NFI[[#This Row],[Kitchen Set]]/VLOOKUP(Table_NFI[[#This Row],[Camp Name]],CL,4,0),"")</f>
        <v>0</v>
      </c>
      <c r="AR372" s="779" t="s">
        <v>1099</v>
      </c>
      <c r="AS372" s="783"/>
    </row>
    <row r="373" spans="1:45" s="784" customFormat="1" x14ac:dyDescent="0.25">
      <c r="A373" s="455">
        <f t="shared" si="5"/>
        <v>23.366666666666667</v>
      </c>
      <c r="B373" s="778">
        <v>41608</v>
      </c>
      <c r="C373" s="779" t="s">
        <v>454</v>
      </c>
      <c r="D373" s="442" t="s">
        <v>454</v>
      </c>
      <c r="E373" s="785" t="s">
        <v>380</v>
      </c>
      <c r="F373" s="435" t="s">
        <v>151</v>
      </c>
      <c r="G373" s="435" t="s">
        <v>198</v>
      </c>
      <c r="H373" s="442"/>
      <c r="I373" s="442"/>
      <c r="J373" s="442"/>
      <c r="K373" s="785"/>
      <c r="L373" s="786"/>
      <c r="M373" s="443"/>
      <c r="N373" s="443"/>
      <c r="O373" s="443"/>
      <c r="P373" s="786"/>
      <c r="Q373" s="443"/>
      <c r="R373" s="442"/>
      <c r="S373" s="442"/>
      <c r="T373" s="442"/>
      <c r="U373" s="442"/>
      <c r="V373" s="442"/>
      <c r="W373" s="436">
        <f>IF(NFI_Expiration=1,IF($A373&lt;VLOOKUP(H$5,NFI,5,0),1,0)*Table_NFI[[#This Row],[Hygiene Kit]],Table_NFI[Hygiene Kit])</f>
        <v>0</v>
      </c>
      <c r="X373" s="436">
        <f>IF(NFI_Expiration=1,IF($A373&lt;VLOOKUP(I$5,NFI,5,0),1,0)*Table_NFI[[#This Row],[NFI Core Kit]],Table_NFI[NFI Core Kit])</f>
        <v>0</v>
      </c>
      <c r="Y373" s="436">
        <f>IF(NFI_Expiration=1,IF($A373&lt;VLOOKUP(J$5,NFI,5,0),1,0)*Table_NFI[[#This Row],[Sanitary Kit]],Table_NFI[Sanitary Kit])</f>
        <v>0</v>
      </c>
      <c r="Z373" s="436">
        <f>IF(NFI_Expiration=1,IF($A373&lt;VLOOKUP(K$5,NFI,5,0),1,0)*Table_NFI[[#This Row],[Mosquito net]],Table_NFI[Mosquito net])</f>
        <v>0</v>
      </c>
      <c r="AA373" s="436">
        <f>IF(NFI_Expiration=1,IF($A373&lt;VLOOKUP(L$5,NFI,5,0),1,0)*Table_NFI[[#This Row],[Tarpaulin]],Table_NFI[[#This Row],[Tarpaulin]])</f>
        <v>0</v>
      </c>
      <c r="AB373" s="436">
        <f>IF(NFI_Expiration=1,IF($A373&lt;VLOOKUP(M$5,NFI,5,0),1,0)*Table_NFI[[#This Row],[Blanket]],Table_NFI[[#This Row],[Blanket]])</f>
        <v>0</v>
      </c>
      <c r="AC373" s="436">
        <f>IF(NFI_Expiration=1,IF($A373&lt;VLOOKUP(N$5,NFI,5,0),1,0)*Table_NFI[[#This Row],[Kitchen Set]],Table_NFI[Kitchen Set])</f>
        <v>0</v>
      </c>
      <c r="AD373" s="436">
        <f>IF(NFI_Expiration=1,IF($A373&lt;VLOOKUP(O$5,NFI,5,0),1,0)*Table_NFI[[#This Row],[Clothes Kit]],Table_NFI[Clothes Kit])</f>
        <v>0</v>
      </c>
      <c r="AE373" s="436">
        <f>IF(NFI_Expiration=1,IF($A373&lt;VLOOKUP(P$5,NFI,5,0),1,0)*Table_NFI[[#This Row],[Plastic Bucket]],Table_NFI[Plastic Bucket])</f>
        <v>0</v>
      </c>
      <c r="AF373" s="436">
        <f>IF(NFI_Expiration=1,IF($A373&lt;VLOOKUP(Q$5,NFI,5,0),1,0)*Table_NFI[[#This Row],[Plastic Mat]],Table_NFI[Plastic Mat])*IF(Table_NFI[[#This Row],[Distribution Date]]&gt;"2014-04-01",1,2.5)</f>
        <v>0</v>
      </c>
      <c r="AG373" s="436">
        <f>IF(NFI_Expiration=1,IF($A373&lt;VLOOKUP(R$5,NFI,5,0),1,0)*Table_NFI[[#This Row],[Winter Clothes Adult]],Table_NFI[Winter Clothes Adult])</f>
        <v>0</v>
      </c>
      <c r="AH373" s="436">
        <f>IF(NFI_Expiration=1,IF($A373&lt;VLOOKUP(S$5,NFI,5,0),1,0)*Table_NFI[[#This Row],[Winter Clothes Children]],Table_NFI[Winter Clothes Children])</f>
        <v>0</v>
      </c>
      <c r="AI373" s="436">
        <f>IF(NFI_Expiration=1,IF($A373&lt;VLOOKUP(T$5,NFI,5,0),1,0)*Table_NFI[[#This Row],[Winter Items Other]],Table_NFI[Winter Items Other])</f>
        <v>0</v>
      </c>
      <c r="AJ373" s="436">
        <f>IF(NFI_Expiration=1,IF($A373&lt;VLOOKUP(M$5,NFI,5,0),1,0)*Table_NFI[[#This Row],[Winter Blanket]],Table_NFI[[#This Row],[Winter Blanket]])</f>
        <v>0</v>
      </c>
      <c r="AK373" s="436">
        <f>IF(Table_NFI[[#This Row],[Winter Clothes Adult]]+Table_NFI[[#This Row],[Winter Clothes Children]]+Table_NFI[[#This Row],[Winter Items Other]]+Table_NFI[[#This Row],[Winter Blanket]]&gt;0,1,0)</f>
        <v>0</v>
      </c>
      <c r="AL373" s="439">
        <f>IF(NFI_Expiration=1,IF($A373&lt;VLOOKUP(V$5,NFI,5,0),1,0)*Table_NFI[[#This Row],[Jerry Can]],Table_NFI[Jerry Can])</f>
        <v>0</v>
      </c>
      <c r="AM373" s="781" t="str">
        <f>IFERROR(VLOOKUP(Table_NFI[[#This Row],[Camp Name]],CL,2,0),"")</f>
        <v>MMR001CMP128</v>
      </c>
      <c r="AN373" s="782">
        <f ca="1">IF(Table_NFI[[#This Row],[Pcode]]="","",IF(OFFSET(CampList[Opening Date],MATCH(Table_NFI[[#This Row],[Pcode]],CampList[CP_Pcode],0)-1,0,1,1)&gt;=NFI_Monitor_Date,1,0))</f>
        <v>0</v>
      </c>
      <c r="AO373" s="781" t="str">
        <f>IFERROR(VLOOKUP(Table_NFI[[#This Row],[Camp Name]],CL,3,0),"")</f>
        <v>Open</v>
      </c>
      <c r="AP373" s="436" t="str">
        <f ca="1">IF(Table_NFI[[#This Row],[Pcode]]="","",OFFSET(CampList[Priority],MATCH(Table_NFI[[#This Row],[Pcode]],CampList[CP_Pcode],0)-1,0,1,1))</f>
        <v>P2</v>
      </c>
      <c r="AQ373" s="438">
        <f>IFERROR(Table_NFI[[#This Row],[Kitchen Set]]/VLOOKUP(Table_NFI[[#This Row],[Camp Name]],CL,4,0),"")</f>
        <v>0</v>
      </c>
      <c r="AR373" s="779" t="s">
        <v>1099</v>
      </c>
      <c r="AS373" s="783"/>
    </row>
    <row r="374" spans="1:45" s="784" customFormat="1" x14ac:dyDescent="0.25">
      <c r="A374" s="455">
        <f t="shared" si="5"/>
        <v>23.366666666666667</v>
      </c>
      <c r="B374" s="778">
        <v>41608</v>
      </c>
      <c r="C374" s="779" t="s">
        <v>912</v>
      </c>
      <c r="D374" s="779" t="s">
        <v>462</v>
      </c>
      <c r="E374" s="779" t="s">
        <v>380</v>
      </c>
      <c r="F374" s="435" t="s">
        <v>27</v>
      </c>
      <c r="G374" s="435" t="s">
        <v>365</v>
      </c>
      <c r="H374" s="436"/>
      <c r="I374" s="436"/>
      <c r="J374" s="436"/>
      <c r="K374" s="436"/>
      <c r="L374" s="437"/>
      <c r="M374" s="437"/>
      <c r="N374" s="437"/>
      <c r="O374" s="437"/>
      <c r="P374" s="439"/>
      <c r="Q374" s="439"/>
      <c r="R374" s="436"/>
      <c r="S374" s="436"/>
      <c r="T374" s="436"/>
      <c r="U374" s="436"/>
      <c r="V374" s="436"/>
      <c r="W374" s="436">
        <f>IF(NFI_Expiration=1,IF($A374&lt;VLOOKUP(H$5,NFI,5,0),1,0)*Table_NFI[[#This Row],[Hygiene Kit]],Table_NFI[Hygiene Kit])</f>
        <v>0</v>
      </c>
      <c r="X374" s="436">
        <f>IF(NFI_Expiration=1,IF($A374&lt;VLOOKUP(I$5,NFI,5,0),1,0)*Table_NFI[[#This Row],[NFI Core Kit]],Table_NFI[NFI Core Kit])</f>
        <v>0</v>
      </c>
      <c r="Y374" s="436">
        <f>IF(NFI_Expiration=1,IF($A374&lt;VLOOKUP(J$5,NFI,5,0),1,0)*Table_NFI[[#This Row],[Sanitary Kit]],Table_NFI[Sanitary Kit])</f>
        <v>0</v>
      </c>
      <c r="Z374" s="436">
        <f>IF(NFI_Expiration=1,IF($A374&lt;VLOOKUP(K$5,NFI,5,0),1,0)*Table_NFI[[#This Row],[Mosquito net]],Table_NFI[Mosquito net])</f>
        <v>0</v>
      </c>
      <c r="AA374" s="436">
        <f>IF(NFI_Expiration=1,IF($A374&lt;VLOOKUP(L$5,NFI,5,0),1,0)*Table_NFI[[#This Row],[Tarpaulin]],Table_NFI[[#This Row],[Tarpaulin]])</f>
        <v>0</v>
      </c>
      <c r="AB374" s="436">
        <f>IF(NFI_Expiration=1,IF($A374&lt;VLOOKUP(M$5,NFI,5,0),1,0)*Table_NFI[[#This Row],[Blanket]],Table_NFI[[#This Row],[Blanket]])</f>
        <v>0</v>
      </c>
      <c r="AC374" s="436">
        <f>IF(NFI_Expiration=1,IF($A374&lt;VLOOKUP(N$5,NFI,5,0),1,0)*Table_NFI[[#This Row],[Kitchen Set]],Table_NFI[Kitchen Set])</f>
        <v>0</v>
      </c>
      <c r="AD374" s="436">
        <f>IF(NFI_Expiration=1,IF($A374&lt;VLOOKUP(O$5,NFI,5,0),1,0)*Table_NFI[[#This Row],[Clothes Kit]],Table_NFI[Clothes Kit])</f>
        <v>0</v>
      </c>
      <c r="AE374" s="436">
        <f>IF(NFI_Expiration=1,IF($A374&lt;VLOOKUP(P$5,NFI,5,0),1,0)*Table_NFI[[#This Row],[Plastic Bucket]],Table_NFI[Plastic Bucket])</f>
        <v>0</v>
      </c>
      <c r="AF374" s="436">
        <f>IF(NFI_Expiration=1,IF($A374&lt;VLOOKUP(Q$5,NFI,5,0),1,0)*Table_NFI[[#This Row],[Plastic Mat]],Table_NFI[Plastic Mat])*IF(Table_NFI[[#This Row],[Distribution Date]]&gt;"2014-04-01",1,2.5)</f>
        <v>0</v>
      </c>
      <c r="AG374" s="436">
        <f>IF(NFI_Expiration=1,IF($A374&lt;VLOOKUP(R$5,NFI,5,0),1,0)*Table_NFI[[#This Row],[Winter Clothes Adult]],Table_NFI[Winter Clothes Adult])</f>
        <v>0</v>
      </c>
      <c r="AH374" s="436">
        <f>IF(NFI_Expiration=1,IF($A374&lt;VLOOKUP(S$5,NFI,5,0),1,0)*Table_NFI[[#This Row],[Winter Clothes Children]],Table_NFI[Winter Clothes Children])</f>
        <v>0</v>
      </c>
      <c r="AI374" s="436">
        <f>IF(NFI_Expiration=1,IF($A374&lt;VLOOKUP(T$5,NFI,5,0),1,0)*Table_NFI[[#This Row],[Winter Items Other]],Table_NFI[Winter Items Other])</f>
        <v>0</v>
      </c>
      <c r="AJ374" s="436">
        <f>IF(NFI_Expiration=1,IF($A374&lt;VLOOKUP(M$5,NFI,5,0),1,0)*Table_NFI[[#This Row],[Winter Blanket]],Table_NFI[[#This Row],[Winter Blanket]])</f>
        <v>0</v>
      </c>
      <c r="AK374" s="436">
        <f>IF(Table_NFI[[#This Row],[Winter Clothes Adult]]+Table_NFI[[#This Row],[Winter Clothes Children]]+Table_NFI[[#This Row],[Winter Items Other]]+Table_NFI[[#This Row],[Winter Blanket]]&gt;0,1,0)</f>
        <v>0</v>
      </c>
      <c r="AL374" s="439">
        <f>IF(NFI_Expiration=1,IF($A374&lt;VLOOKUP(V$5,NFI,5,0),1,0)*Table_NFI[[#This Row],[Jerry Can]],Table_NFI[Jerry Can])</f>
        <v>0</v>
      </c>
      <c r="AM374" s="781" t="str">
        <f>IFERROR(VLOOKUP(Table_NFI[[#This Row],[Camp Name]],CL,2,0),"")</f>
        <v>MMR001CMP195</v>
      </c>
      <c r="AN374" s="782">
        <f ca="1">IF(Table_NFI[[#This Row],[Pcode]]="","",IF(OFFSET(CampList[Opening Date],MATCH(Table_NFI[[#This Row],[Pcode]],CampList[CP_Pcode],0)-1,0,1,1)&gt;=NFI_Monitor_Date,1,0))</f>
        <v>0</v>
      </c>
      <c r="AO374" s="781" t="str">
        <f>IFERROR(VLOOKUP(Table_NFI[[#This Row],[Camp Name]],CL,3,0),"")</f>
        <v>Open</v>
      </c>
      <c r="AP374" s="436" t="str">
        <f ca="1">IF(Table_NFI[[#This Row],[Pcode]]="","",OFFSET(CampList[Priority],MATCH(Table_NFI[[#This Row],[Pcode]],CampList[CP_Pcode],0)-1,0,1,1))</f>
        <v>P1</v>
      </c>
      <c r="AQ374" s="438">
        <f>IFERROR(Table_NFI[[#This Row],[Kitchen Set]]/VLOOKUP(Table_NFI[[#This Row],[Camp Name]],CL,4,0),"")</f>
        <v>0</v>
      </c>
      <c r="AR374" s="779" t="s">
        <v>1099</v>
      </c>
      <c r="AS374" s="783"/>
    </row>
    <row r="375" spans="1:45" s="784" customFormat="1" x14ac:dyDescent="0.25">
      <c r="A375" s="455">
        <f t="shared" si="5"/>
        <v>23.366666666666667</v>
      </c>
      <c r="B375" s="778">
        <v>41608</v>
      </c>
      <c r="C375" s="779" t="s">
        <v>1104</v>
      </c>
      <c r="D375" s="442" t="s">
        <v>951</v>
      </c>
      <c r="E375" s="785" t="s">
        <v>380</v>
      </c>
      <c r="F375" s="435" t="s">
        <v>5</v>
      </c>
      <c r="G375" s="435" t="s">
        <v>18</v>
      </c>
      <c r="H375" s="442"/>
      <c r="I375" s="442"/>
      <c r="J375" s="442"/>
      <c r="K375" s="785"/>
      <c r="L375" s="786"/>
      <c r="M375" s="443">
        <v>206</v>
      </c>
      <c r="N375" s="443"/>
      <c r="O375" s="443"/>
      <c r="P375" s="786"/>
      <c r="Q375" s="443"/>
      <c r="R375" s="442">
        <v>242</v>
      </c>
      <c r="S375" s="442">
        <v>156</v>
      </c>
      <c r="T375" s="442">
        <v>0</v>
      </c>
      <c r="U375" s="442"/>
      <c r="V375" s="442"/>
      <c r="W375" s="436">
        <f>IF(NFI_Expiration=1,IF($A375&lt;VLOOKUP(H$5,NFI,5,0),1,0)*Table_NFI[[#This Row],[Hygiene Kit]],Table_NFI[Hygiene Kit])</f>
        <v>0</v>
      </c>
      <c r="X375" s="436">
        <f>IF(NFI_Expiration=1,IF($A375&lt;VLOOKUP(I$5,NFI,5,0),1,0)*Table_NFI[[#This Row],[NFI Core Kit]],Table_NFI[NFI Core Kit])</f>
        <v>0</v>
      </c>
      <c r="Y375" s="436">
        <f>IF(NFI_Expiration=1,IF($A375&lt;VLOOKUP(J$5,NFI,5,0),1,0)*Table_NFI[[#This Row],[Sanitary Kit]],Table_NFI[Sanitary Kit])</f>
        <v>0</v>
      </c>
      <c r="Z375" s="436">
        <f>IF(NFI_Expiration=1,IF($A375&lt;VLOOKUP(K$5,NFI,5,0),1,0)*Table_NFI[[#This Row],[Mosquito net]],Table_NFI[Mosquito net])</f>
        <v>0</v>
      </c>
      <c r="AA375" s="436">
        <f>IF(NFI_Expiration=1,IF($A375&lt;VLOOKUP(L$5,NFI,5,0),1,0)*Table_NFI[[#This Row],[Tarpaulin]],Table_NFI[[#This Row],[Tarpaulin]])</f>
        <v>0</v>
      </c>
      <c r="AB375" s="436">
        <f>IF(NFI_Expiration=1,IF($A375&lt;VLOOKUP(M$5,NFI,5,0),1,0)*Table_NFI[[#This Row],[Blanket]],Table_NFI[[#This Row],[Blanket]])</f>
        <v>0</v>
      </c>
      <c r="AC375" s="436">
        <f>IF(NFI_Expiration=1,IF($A375&lt;VLOOKUP(N$5,NFI,5,0),1,0)*Table_NFI[[#This Row],[Kitchen Set]],Table_NFI[Kitchen Set])</f>
        <v>0</v>
      </c>
      <c r="AD375" s="436">
        <f>IF(NFI_Expiration=1,IF($A375&lt;VLOOKUP(O$5,NFI,5,0),1,0)*Table_NFI[[#This Row],[Clothes Kit]],Table_NFI[Clothes Kit])</f>
        <v>0</v>
      </c>
      <c r="AE375" s="436">
        <f>IF(NFI_Expiration=1,IF($A375&lt;VLOOKUP(P$5,NFI,5,0),1,0)*Table_NFI[[#This Row],[Plastic Bucket]],Table_NFI[Plastic Bucket])</f>
        <v>0</v>
      </c>
      <c r="AF375" s="436">
        <f>IF(NFI_Expiration=1,IF($A375&lt;VLOOKUP(Q$5,NFI,5,0),1,0)*Table_NFI[[#This Row],[Plastic Mat]],Table_NFI[Plastic Mat])*IF(Table_NFI[[#This Row],[Distribution Date]]&gt;"2014-04-01",1,2.5)</f>
        <v>0</v>
      </c>
      <c r="AG375" s="436">
        <f>IF(NFI_Expiration=1,IF($A375&lt;VLOOKUP(R$5,NFI,5,0),1,0)*Table_NFI[[#This Row],[Winter Clothes Adult]],Table_NFI[Winter Clothes Adult])</f>
        <v>0</v>
      </c>
      <c r="AH375" s="436">
        <f>IF(NFI_Expiration=1,IF($A375&lt;VLOOKUP(S$5,NFI,5,0),1,0)*Table_NFI[[#This Row],[Winter Clothes Children]],Table_NFI[Winter Clothes Children])</f>
        <v>0</v>
      </c>
      <c r="AI375" s="436">
        <f>IF(NFI_Expiration=1,IF($A375&lt;VLOOKUP(T$5,NFI,5,0),1,0)*Table_NFI[[#This Row],[Winter Items Other]],Table_NFI[Winter Items Other])</f>
        <v>0</v>
      </c>
      <c r="AJ375" s="436">
        <f>IF(NFI_Expiration=1,IF($A375&lt;VLOOKUP(M$5,NFI,5,0),1,0)*Table_NFI[[#This Row],[Winter Blanket]],Table_NFI[[#This Row],[Winter Blanket]])</f>
        <v>0</v>
      </c>
      <c r="AK375" s="436">
        <f>IF(Table_NFI[[#This Row],[Winter Clothes Adult]]+Table_NFI[[#This Row],[Winter Clothes Children]]+Table_NFI[[#This Row],[Winter Items Other]]+Table_NFI[[#This Row],[Winter Blanket]]&gt;0,1,0)</f>
        <v>1</v>
      </c>
      <c r="AL375" s="439">
        <f>IF(NFI_Expiration=1,IF($A375&lt;VLOOKUP(V$5,NFI,5,0),1,0)*Table_NFI[[#This Row],[Jerry Can]],Table_NFI[Jerry Can])</f>
        <v>0</v>
      </c>
      <c r="AM375" s="781" t="str">
        <f>IFERROR(VLOOKUP(Table_NFI[[#This Row],[Camp Name]],CL,2,0),"")</f>
        <v>MMR001CMP049</v>
      </c>
      <c r="AN375" s="782">
        <f ca="1">IF(Table_NFI[[#This Row],[Pcode]]="","",IF(OFFSET(CampList[Opening Date],MATCH(Table_NFI[[#This Row],[Pcode]],CampList[CP_Pcode],0)-1,0,1,1)&gt;=NFI_Monitor_Date,1,0))</f>
        <v>0</v>
      </c>
      <c r="AO375" s="781" t="str">
        <f>IFERROR(VLOOKUP(Table_NFI[[#This Row],[Camp Name]],CL,3,0),"")</f>
        <v>Open</v>
      </c>
      <c r="AP375" s="436" t="str">
        <f ca="1">IF(Table_NFI[[#This Row],[Pcode]]="","",OFFSET(CampList[Priority],MATCH(Table_NFI[[#This Row],[Pcode]],CampList[CP_Pcode],0)-1,0,1,1))</f>
        <v>P4</v>
      </c>
      <c r="AQ375" s="438">
        <f>IFERROR(Table_NFI[[#This Row],[Kitchen Set]]/VLOOKUP(Table_NFI[[#This Row],[Camp Name]],CL,4,0),"")</f>
        <v>0</v>
      </c>
      <c r="AR375" s="779" t="s">
        <v>1099</v>
      </c>
      <c r="AS375" s="783"/>
    </row>
    <row r="376" spans="1:45" s="784" customFormat="1" x14ac:dyDescent="0.25">
      <c r="A376" s="455">
        <f t="shared" si="5"/>
        <v>23.366666666666667</v>
      </c>
      <c r="B376" s="778">
        <v>41608</v>
      </c>
      <c r="C376" s="779" t="s">
        <v>912</v>
      </c>
      <c r="D376" s="779"/>
      <c r="E376" s="779" t="s">
        <v>380</v>
      </c>
      <c r="F376" s="435" t="s">
        <v>5</v>
      </c>
      <c r="G376" s="435" t="s">
        <v>18</v>
      </c>
      <c r="H376" s="436"/>
      <c r="I376" s="436"/>
      <c r="J376" s="436"/>
      <c r="K376" s="436"/>
      <c r="L376" s="437"/>
      <c r="M376" s="437"/>
      <c r="N376" s="437"/>
      <c r="O376" s="437"/>
      <c r="P376" s="439"/>
      <c r="Q376" s="439">
        <v>120</v>
      </c>
      <c r="R376" s="436"/>
      <c r="S376" s="436"/>
      <c r="T376" s="436"/>
      <c r="U376" s="436"/>
      <c r="V376" s="436"/>
      <c r="W376" s="436">
        <f>IF(NFI_Expiration=1,IF($A376&lt;VLOOKUP(H$5,NFI,5,0),1,0)*Table_NFI[[#This Row],[Hygiene Kit]],Table_NFI[Hygiene Kit])</f>
        <v>0</v>
      </c>
      <c r="X376" s="436">
        <f>IF(NFI_Expiration=1,IF($A376&lt;VLOOKUP(I$5,NFI,5,0),1,0)*Table_NFI[[#This Row],[NFI Core Kit]],Table_NFI[NFI Core Kit])</f>
        <v>0</v>
      </c>
      <c r="Y376" s="436">
        <f>IF(NFI_Expiration=1,IF($A376&lt;VLOOKUP(J$5,NFI,5,0),1,0)*Table_NFI[[#This Row],[Sanitary Kit]],Table_NFI[Sanitary Kit])</f>
        <v>0</v>
      </c>
      <c r="Z376" s="436">
        <f>IF(NFI_Expiration=1,IF($A376&lt;VLOOKUP(K$5,NFI,5,0),1,0)*Table_NFI[[#This Row],[Mosquito net]],Table_NFI[Mosquito net])</f>
        <v>0</v>
      </c>
      <c r="AA376" s="436">
        <f>IF(NFI_Expiration=1,IF($A376&lt;VLOOKUP(L$5,NFI,5,0),1,0)*Table_NFI[[#This Row],[Tarpaulin]],Table_NFI[[#This Row],[Tarpaulin]])</f>
        <v>0</v>
      </c>
      <c r="AB376" s="436">
        <f>IF(NFI_Expiration=1,IF($A376&lt;VLOOKUP(M$5,NFI,5,0),1,0)*Table_NFI[[#This Row],[Blanket]],Table_NFI[[#This Row],[Blanket]])</f>
        <v>0</v>
      </c>
      <c r="AC376" s="436">
        <f>IF(NFI_Expiration=1,IF($A376&lt;VLOOKUP(N$5,NFI,5,0),1,0)*Table_NFI[[#This Row],[Kitchen Set]],Table_NFI[Kitchen Set])</f>
        <v>0</v>
      </c>
      <c r="AD376" s="436">
        <f>IF(NFI_Expiration=1,IF($A376&lt;VLOOKUP(O$5,NFI,5,0),1,0)*Table_NFI[[#This Row],[Clothes Kit]],Table_NFI[Clothes Kit])</f>
        <v>0</v>
      </c>
      <c r="AE376" s="436">
        <f>IF(NFI_Expiration=1,IF($A376&lt;VLOOKUP(P$5,NFI,5,0),1,0)*Table_NFI[[#This Row],[Plastic Bucket]],Table_NFI[Plastic Bucket])</f>
        <v>0</v>
      </c>
      <c r="AF376" s="436">
        <f>IF(NFI_Expiration=1,IF($A376&lt;VLOOKUP(Q$5,NFI,5,0),1,0)*Table_NFI[[#This Row],[Plastic Mat]],Table_NFI[Plastic Mat])*IF(Table_NFI[[#This Row],[Distribution Date]]&gt;"2014-04-01",1,2.5)</f>
        <v>0</v>
      </c>
      <c r="AG376" s="436">
        <f>IF(NFI_Expiration=1,IF($A376&lt;VLOOKUP(R$5,NFI,5,0),1,0)*Table_NFI[[#This Row],[Winter Clothes Adult]],Table_NFI[Winter Clothes Adult])</f>
        <v>0</v>
      </c>
      <c r="AH376" s="436">
        <f>IF(NFI_Expiration=1,IF($A376&lt;VLOOKUP(S$5,NFI,5,0),1,0)*Table_NFI[[#This Row],[Winter Clothes Children]],Table_NFI[Winter Clothes Children])</f>
        <v>0</v>
      </c>
      <c r="AI376" s="436">
        <f>IF(NFI_Expiration=1,IF($A376&lt;VLOOKUP(T$5,NFI,5,0),1,0)*Table_NFI[[#This Row],[Winter Items Other]],Table_NFI[Winter Items Other])</f>
        <v>0</v>
      </c>
      <c r="AJ376" s="436">
        <f>IF(NFI_Expiration=1,IF($A376&lt;VLOOKUP(M$5,NFI,5,0),1,0)*Table_NFI[[#This Row],[Winter Blanket]],Table_NFI[[#This Row],[Winter Blanket]])</f>
        <v>0</v>
      </c>
      <c r="AK376" s="436">
        <f>IF(Table_NFI[[#This Row],[Winter Clothes Adult]]+Table_NFI[[#This Row],[Winter Clothes Children]]+Table_NFI[[#This Row],[Winter Items Other]]+Table_NFI[[#This Row],[Winter Blanket]]&gt;0,1,0)</f>
        <v>0</v>
      </c>
      <c r="AL376" s="439">
        <f>IF(NFI_Expiration=1,IF($A376&lt;VLOOKUP(V$5,NFI,5,0),1,0)*Table_NFI[[#This Row],[Jerry Can]],Table_NFI[Jerry Can])</f>
        <v>0</v>
      </c>
      <c r="AM376" s="781" t="str">
        <f>IFERROR(VLOOKUP(Table_NFI[[#This Row],[Camp Name]],CL,2,0),"")</f>
        <v>MMR001CMP049</v>
      </c>
      <c r="AN376" s="782">
        <f ca="1">IF(Table_NFI[[#This Row],[Pcode]]="","",IF(OFFSET(CampList[Opening Date],MATCH(Table_NFI[[#This Row],[Pcode]],CampList[CP_Pcode],0)-1,0,1,1)&gt;=NFI_Monitor_Date,1,0))</f>
        <v>0</v>
      </c>
      <c r="AO376" s="781" t="str">
        <f>IFERROR(VLOOKUP(Table_NFI[[#This Row],[Camp Name]],CL,3,0),"")</f>
        <v>Open</v>
      </c>
      <c r="AP376" s="436" t="str">
        <f ca="1">IF(Table_NFI[[#This Row],[Pcode]]="","",OFFSET(CampList[Priority],MATCH(Table_NFI[[#This Row],[Pcode]],CampList[CP_Pcode],0)-1,0,1,1))</f>
        <v>P4</v>
      </c>
      <c r="AQ376" s="438">
        <f>IFERROR(Table_NFI[[#This Row],[Kitchen Set]]/VLOOKUP(Table_NFI[[#This Row],[Camp Name]],CL,4,0),"")</f>
        <v>0</v>
      </c>
      <c r="AR376" s="779" t="s">
        <v>1099</v>
      </c>
      <c r="AS376" s="783"/>
    </row>
    <row r="377" spans="1:45" s="784" customFormat="1" x14ac:dyDescent="0.25">
      <c r="A377" s="455">
        <f t="shared" si="5"/>
        <v>23.366666666666667</v>
      </c>
      <c r="B377" s="778">
        <v>41608</v>
      </c>
      <c r="C377" s="779" t="s">
        <v>912</v>
      </c>
      <c r="D377" s="779"/>
      <c r="E377" s="779" t="s">
        <v>380</v>
      </c>
      <c r="F377" s="435" t="s">
        <v>185</v>
      </c>
      <c r="G377" s="435" t="s">
        <v>186</v>
      </c>
      <c r="H377" s="436"/>
      <c r="I377" s="436"/>
      <c r="J377" s="436"/>
      <c r="K377" s="436"/>
      <c r="L377" s="437"/>
      <c r="M377" s="437"/>
      <c r="N377" s="437"/>
      <c r="O377" s="437"/>
      <c r="P377" s="439"/>
      <c r="Q377" s="439">
        <v>105</v>
      </c>
      <c r="R377" s="436"/>
      <c r="S377" s="436"/>
      <c r="T377" s="436"/>
      <c r="U377" s="436"/>
      <c r="V377" s="436"/>
      <c r="W377" s="436">
        <f>IF(NFI_Expiration=1,IF($A377&lt;VLOOKUP(H$5,NFI,5,0),1,0)*Table_NFI[[#This Row],[Hygiene Kit]],Table_NFI[Hygiene Kit])</f>
        <v>0</v>
      </c>
      <c r="X377" s="436">
        <f>IF(NFI_Expiration=1,IF($A377&lt;VLOOKUP(I$5,NFI,5,0),1,0)*Table_NFI[[#This Row],[NFI Core Kit]],Table_NFI[NFI Core Kit])</f>
        <v>0</v>
      </c>
      <c r="Y377" s="436">
        <f>IF(NFI_Expiration=1,IF($A377&lt;VLOOKUP(J$5,NFI,5,0),1,0)*Table_NFI[[#This Row],[Sanitary Kit]],Table_NFI[Sanitary Kit])</f>
        <v>0</v>
      </c>
      <c r="Z377" s="436">
        <f>IF(NFI_Expiration=1,IF($A377&lt;VLOOKUP(K$5,NFI,5,0),1,0)*Table_NFI[[#This Row],[Mosquito net]],Table_NFI[Mosquito net])</f>
        <v>0</v>
      </c>
      <c r="AA377" s="436">
        <f>IF(NFI_Expiration=1,IF($A377&lt;VLOOKUP(L$5,NFI,5,0),1,0)*Table_NFI[[#This Row],[Tarpaulin]],Table_NFI[[#This Row],[Tarpaulin]])</f>
        <v>0</v>
      </c>
      <c r="AB377" s="436">
        <f>IF(NFI_Expiration=1,IF($A377&lt;VLOOKUP(M$5,NFI,5,0),1,0)*Table_NFI[[#This Row],[Blanket]],Table_NFI[[#This Row],[Blanket]])</f>
        <v>0</v>
      </c>
      <c r="AC377" s="436">
        <f>IF(NFI_Expiration=1,IF($A377&lt;VLOOKUP(N$5,NFI,5,0),1,0)*Table_NFI[[#This Row],[Kitchen Set]],Table_NFI[Kitchen Set])</f>
        <v>0</v>
      </c>
      <c r="AD377" s="436">
        <f>IF(NFI_Expiration=1,IF($A377&lt;VLOOKUP(O$5,NFI,5,0),1,0)*Table_NFI[[#This Row],[Clothes Kit]],Table_NFI[Clothes Kit])</f>
        <v>0</v>
      </c>
      <c r="AE377" s="436">
        <f>IF(NFI_Expiration=1,IF($A377&lt;VLOOKUP(P$5,NFI,5,0),1,0)*Table_NFI[[#This Row],[Plastic Bucket]],Table_NFI[Plastic Bucket])</f>
        <v>0</v>
      </c>
      <c r="AF377" s="436">
        <f>IF(NFI_Expiration=1,IF($A377&lt;VLOOKUP(Q$5,NFI,5,0),1,0)*Table_NFI[[#This Row],[Plastic Mat]],Table_NFI[Plastic Mat])*IF(Table_NFI[[#This Row],[Distribution Date]]&gt;"2014-04-01",1,2.5)</f>
        <v>0</v>
      </c>
      <c r="AG377" s="436">
        <f>IF(NFI_Expiration=1,IF($A377&lt;VLOOKUP(R$5,NFI,5,0),1,0)*Table_NFI[[#This Row],[Winter Clothes Adult]],Table_NFI[Winter Clothes Adult])</f>
        <v>0</v>
      </c>
      <c r="AH377" s="436">
        <f>IF(NFI_Expiration=1,IF($A377&lt;VLOOKUP(S$5,NFI,5,0),1,0)*Table_NFI[[#This Row],[Winter Clothes Children]],Table_NFI[Winter Clothes Children])</f>
        <v>0</v>
      </c>
      <c r="AI377" s="436">
        <f>IF(NFI_Expiration=1,IF($A377&lt;VLOOKUP(T$5,NFI,5,0),1,0)*Table_NFI[[#This Row],[Winter Items Other]],Table_NFI[Winter Items Other])</f>
        <v>0</v>
      </c>
      <c r="AJ377" s="436">
        <f>IF(NFI_Expiration=1,IF($A377&lt;VLOOKUP(M$5,NFI,5,0),1,0)*Table_NFI[[#This Row],[Winter Blanket]],Table_NFI[[#This Row],[Winter Blanket]])</f>
        <v>0</v>
      </c>
      <c r="AK377" s="436">
        <f>IF(Table_NFI[[#This Row],[Winter Clothes Adult]]+Table_NFI[[#This Row],[Winter Clothes Children]]+Table_NFI[[#This Row],[Winter Items Other]]+Table_NFI[[#This Row],[Winter Blanket]]&gt;0,1,0)</f>
        <v>0</v>
      </c>
      <c r="AL377" s="439">
        <f>IF(NFI_Expiration=1,IF($A377&lt;VLOOKUP(V$5,NFI,5,0),1,0)*Table_NFI[[#This Row],[Jerry Can]],Table_NFI[Jerry Can])</f>
        <v>0</v>
      </c>
      <c r="AM377" s="781" t="str">
        <f>IFERROR(VLOOKUP(Table_NFI[[#This Row],[Camp Name]],CL,2,0),"")</f>
        <v>MMR001CMP071</v>
      </c>
      <c r="AN377" s="782">
        <f ca="1">IF(Table_NFI[[#This Row],[Pcode]]="","",IF(OFFSET(CampList[Opening Date],MATCH(Table_NFI[[#This Row],[Pcode]],CampList[CP_Pcode],0)-1,0,1,1)&gt;=NFI_Monitor_Date,1,0))</f>
        <v>0</v>
      </c>
      <c r="AO377" s="781" t="str">
        <f>IFERROR(VLOOKUP(Table_NFI[[#This Row],[Camp Name]],CL,3,0),"")</f>
        <v>Open</v>
      </c>
      <c r="AP377" s="436" t="str">
        <f ca="1">IF(Table_NFI[[#This Row],[Pcode]]="","",OFFSET(CampList[Priority],MATCH(Table_NFI[[#This Row],[Pcode]],CampList[CP_Pcode],0)-1,0,1,1))</f>
        <v>P3</v>
      </c>
      <c r="AQ377" s="438">
        <f>IFERROR(Table_NFI[[#This Row],[Kitchen Set]]/VLOOKUP(Table_NFI[[#This Row],[Camp Name]],CL,4,0),"")</f>
        <v>0</v>
      </c>
      <c r="AR377" s="779" t="s">
        <v>1099</v>
      </c>
      <c r="AS377" s="783"/>
    </row>
    <row r="378" spans="1:45" s="784" customFormat="1" x14ac:dyDescent="0.25">
      <c r="A378" s="455">
        <f t="shared" si="5"/>
        <v>23.366666666666667</v>
      </c>
      <c r="B378" s="778">
        <v>41608</v>
      </c>
      <c r="C378" s="779" t="s">
        <v>912</v>
      </c>
      <c r="D378" s="779"/>
      <c r="E378" s="779" t="s">
        <v>380</v>
      </c>
      <c r="F378" s="435" t="s">
        <v>185</v>
      </c>
      <c r="G378" s="435" t="s">
        <v>223</v>
      </c>
      <c r="H378" s="436"/>
      <c r="I378" s="436"/>
      <c r="J378" s="436"/>
      <c r="K378" s="436"/>
      <c r="L378" s="437"/>
      <c r="M378" s="437"/>
      <c r="N378" s="437"/>
      <c r="O378" s="437"/>
      <c r="P378" s="439"/>
      <c r="Q378" s="439">
        <v>246</v>
      </c>
      <c r="R378" s="436"/>
      <c r="S378" s="436"/>
      <c r="T378" s="436"/>
      <c r="U378" s="436"/>
      <c r="V378" s="436"/>
      <c r="W378" s="436">
        <f>IF(NFI_Expiration=1,IF($A378&lt;VLOOKUP(H$5,NFI,5,0),1,0)*Table_NFI[[#This Row],[Hygiene Kit]],Table_NFI[Hygiene Kit])</f>
        <v>0</v>
      </c>
      <c r="X378" s="436">
        <f>IF(NFI_Expiration=1,IF($A378&lt;VLOOKUP(I$5,NFI,5,0),1,0)*Table_NFI[[#This Row],[NFI Core Kit]],Table_NFI[NFI Core Kit])</f>
        <v>0</v>
      </c>
      <c r="Y378" s="436">
        <f>IF(NFI_Expiration=1,IF($A378&lt;VLOOKUP(J$5,NFI,5,0),1,0)*Table_NFI[[#This Row],[Sanitary Kit]],Table_NFI[Sanitary Kit])</f>
        <v>0</v>
      </c>
      <c r="Z378" s="436">
        <f>IF(NFI_Expiration=1,IF($A378&lt;VLOOKUP(K$5,NFI,5,0),1,0)*Table_NFI[[#This Row],[Mosquito net]],Table_NFI[Mosquito net])</f>
        <v>0</v>
      </c>
      <c r="AA378" s="436">
        <f>IF(NFI_Expiration=1,IF($A378&lt;VLOOKUP(L$5,NFI,5,0),1,0)*Table_NFI[[#This Row],[Tarpaulin]],Table_NFI[[#This Row],[Tarpaulin]])</f>
        <v>0</v>
      </c>
      <c r="AB378" s="436">
        <f>IF(NFI_Expiration=1,IF($A378&lt;VLOOKUP(M$5,NFI,5,0),1,0)*Table_NFI[[#This Row],[Blanket]],Table_NFI[[#This Row],[Blanket]])</f>
        <v>0</v>
      </c>
      <c r="AC378" s="436">
        <f>IF(NFI_Expiration=1,IF($A378&lt;VLOOKUP(N$5,NFI,5,0),1,0)*Table_NFI[[#This Row],[Kitchen Set]],Table_NFI[Kitchen Set])</f>
        <v>0</v>
      </c>
      <c r="AD378" s="436">
        <f>IF(NFI_Expiration=1,IF($A378&lt;VLOOKUP(O$5,NFI,5,0),1,0)*Table_NFI[[#This Row],[Clothes Kit]],Table_NFI[Clothes Kit])</f>
        <v>0</v>
      </c>
      <c r="AE378" s="436">
        <f>IF(NFI_Expiration=1,IF($A378&lt;VLOOKUP(P$5,NFI,5,0),1,0)*Table_NFI[[#This Row],[Plastic Bucket]],Table_NFI[Plastic Bucket])</f>
        <v>0</v>
      </c>
      <c r="AF378" s="436">
        <f>IF(NFI_Expiration=1,IF($A378&lt;VLOOKUP(Q$5,NFI,5,0),1,0)*Table_NFI[[#This Row],[Plastic Mat]],Table_NFI[Plastic Mat])*IF(Table_NFI[[#This Row],[Distribution Date]]&gt;"2014-04-01",1,2.5)</f>
        <v>0</v>
      </c>
      <c r="AG378" s="436">
        <f>IF(NFI_Expiration=1,IF($A378&lt;VLOOKUP(R$5,NFI,5,0),1,0)*Table_NFI[[#This Row],[Winter Clothes Adult]],Table_NFI[Winter Clothes Adult])</f>
        <v>0</v>
      </c>
      <c r="AH378" s="436">
        <f>IF(NFI_Expiration=1,IF($A378&lt;VLOOKUP(S$5,NFI,5,0),1,0)*Table_NFI[[#This Row],[Winter Clothes Children]],Table_NFI[Winter Clothes Children])</f>
        <v>0</v>
      </c>
      <c r="AI378" s="436">
        <f>IF(NFI_Expiration=1,IF($A378&lt;VLOOKUP(T$5,NFI,5,0),1,0)*Table_NFI[[#This Row],[Winter Items Other]],Table_NFI[Winter Items Other])</f>
        <v>0</v>
      </c>
      <c r="AJ378" s="436">
        <f>IF(NFI_Expiration=1,IF($A378&lt;VLOOKUP(M$5,NFI,5,0),1,0)*Table_NFI[[#This Row],[Winter Blanket]],Table_NFI[[#This Row],[Winter Blanket]])</f>
        <v>0</v>
      </c>
      <c r="AK378" s="436">
        <f>IF(Table_NFI[[#This Row],[Winter Clothes Adult]]+Table_NFI[[#This Row],[Winter Clothes Children]]+Table_NFI[[#This Row],[Winter Items Other]]+Table_NFI[[#This Row],[Winter Blanket]]&gt;0,1,0)</f>
        <v>0</v>
      </c>
      <c r="AL378" s="439">
        <f>IF(NFI_Expiration=1,IF($A378&lt;VLOOKUP(V$5,NFI,5,0),1,0)*Table_NFI[[#This Row],[Jerry Can]],Table_NFI[Jerry Can])</f>
        <v>0</v>
      </c>
      <c r="AM378" s="781" t="str">
        <f>IFERROR(VLOOKUP(Table_NFI[[#This Row],[Camp Name]],CL,2,0),"")</f>
        <v>MMR001CMP069</v>
      </c>
      <c r="AN378" s="782">
        <f ca="1">IF(Table_NFI[[#This Row],[Pcode]]="","",IF(OFFSET(CampList[Opening Date],MATCH(Table_NFI[[#This Row],[Pcode]],CampList[CP_Pcode],0)-1,0,1,1)&gt;=NFI_Monitor_Date,1,0))</f>
        <v>0</v>
      </c>
      <c r="AO378" s="781" t="str">
        <f>IFERROR(VLOOKUP(Table_NFI[[#This Row],[Camp Name]],CL,3,0),"")</f>
        <v>Open</v>
      </c>
      <c r="AP378" s="436" t="str">
        <f ca="1">IF(Table_NFI[[#This Row],[Pcode]]="","",OFFSET(CampList[Priority],MATCH(Table_NFI[[#This Row],[Pcode]],CampList[CP_Pcode],0)-1,0,1,1))</f>
        <v>P3</v>
      </c>
      <c r="AQ378" s="438">
        <f>IFERROR(Table_NFI[[#This Row],[Kitchen Set]]/VLOOKUP(Table_NFI[[#This Row],[Camp Name]],CL,4,0),"")</f>
        <v>0</v>
      </c>
      <c r="AR378" s="779" t="s">
        <v>1099</v>
      </c>
      <c r="AS378" s="783"/>
    </row>
    <row r="379" spans="1:45" s="784" customFormat="1" x14ac:dyDescent="0.25">
      <c r="A379" s="455">
        <f t="shared" si="5"/>
        <v>23.366666666666667</v>
      </c>
      <c r="B379" s="778">
        <v>41608</v>
      </c>
      <c r="C379" s="779" t="s">
        <v>912</v>
      </c>
      <c r="D379" s="779"/>
      <c r="E379" s="779" t="s">
        <v>380</v>
      </c>
      <c r="F379" s="435" t="s">
        <v>185</v>
      </c>
      <c r="G379" s="435" t="s">
        <v>190</v>
      </c>
      <c r="H379" s="436"/>
      <c r="I379" s="436"/>
      <c r="J379" s="436"/>
      <c r="K379" s="436"/>
      <c r="L379" s="437"/>
      <c r="M379" s="437"/>
      <c r="N379" s="437"/>
      <c r="O379" s="437"/>
      <c r="P379" s="439"/>
      <c r="Q379" s="439">
        <v>369</v>
      </c>
      <c r="R379" s="436"/>
      <c r="S379" s="436"/>
      <c r="T379" s="436"/>
      <c r="U379" s="436"/>
      <c r="V379" s="436"/>
      <c r="W379" s="436">
        <f>IF(NFI_Expiration=1,IF($A379&lt;VLOOKUP(H$5,NFI,5,0),1,0)*Table_NFI[[#This Row],[Hygiene Kit]],Table_NFI[Hygiene Kit])</f>
        <v>0</v>
      </c>
      <c r="X379" s="436">
        <f>IF(NFI_Expiration=1,IF($A379&lt;VLOOKUP(I$5,NFI,5,0),1,0)*Table_NFI[[#This Row],[NFI Core Kit]],Table_NFI[NFI Core Kit])</f>
        <v>0</v>
      </c>
      <c r="Y379" s="436">
        <f>IF(NFI_Expiration=1,IF($A379&lt;VLOOKUP(J$5,NFI,5,0),1,0)*Table_NFI[[#This Row],[Sanitary Kit]],Table_NFI[Sanitary Kit])</f>
        <v>0</v>
      </c>
      <c r="Z379" s="436">
        <f>IF(NFI_Expiration=1,IF($A379&lt;VLOOKUP(K$5,NFI,5,0),1,0)*Table_NFI[[#This Row],[Mosquito net]],Table_NFI[Mosquito net])</f>
        <v>0</v>
      </c>
      <c r="AA379" s="436">
        <f>IF(NFI_Expiration=1,IF($A379&lt;VLOOKUP(L$5,NFI,5,0),1,0)*Table_NFI[[#This Row],[Tarpaulin]],Table_NFI[[#This Row],[Tarpaulin]])</f>
        <v>0</v>
      </c>
      <c r="AB379" s="436">
        <f>IF(NFI_Expiration=1,IF($A379&lt;VLOOKUP(M$5,NFI,5,0),1,0)*Table_NFI[[#This Row],[Blanket]],Table_NFI[[#This Row],[Blanket]])</f>
        <v>0</v>
      </c>
      <c r="AC379" s="436">
        <f>IF(NFI_Expiration=1,IF($A379&lt;VLOOKUP(N$5,NFI,5,0),1,0)*Table_NFI[[#This Row],[Kitchen Set]],Table_NFI[Kitchen Set])</f>
        <v>0</v>
      </c>
      <c r="AD379" s="436">
        <f>IF(NFI_Expiration=1,IF($A379&lt;VLOOKUP(O$5,NFI,5,0),1,0)*Table_NFI[[#This Row],[Clothes Kit]],Table_NFI[Clothes Kit])</f>
        <v>0</v>
      </c>
      <c r="AE379" s="436">
        <f>IF(NFI_Expiration=1,IF($A379&lt;VLOOKUP(P$5,NFI,5,0),1,0)*Table_NFI[[#This Row],[Plastic Bucket]],Table_NFI[Plastic Bucket])</f>
        <v>0</v>
      </c>
      <c r="AF379" s="436">
        <f>IF(NFI_Expiration=1,IF($A379&lt;VLOOKUP(Q$5,NFI,5,0),1,0)*Table_NFI[[#This Row],[Plastic Mat]],Table_NFI[Plastic Mat])*IF(Table_NFI[[#This Row],[Distribution Date]]&gt;"2014-04-01",1,2.5)</f>
        <v>0</v>
      </c>
      <c r="AG379" s="436">
        <f>IF(NFI_Expiration=1,IF($A379&lt;VLOOKUP(R$5,NFI,5,0),1,0)*Table_NFI[[#This Row],[Winter Clothes Adult]],Table_NFI[Winter Clothes Adult])</f>
        <v>0</v>
      </c>
      <c r="AH379" s="436">
        <f>IF(NFI_Expiration=1,IF($A379&lt;VLOOKUP(S$5,NFI,5,0),1,0)*Table_NFI[[#This Row],[Winter Clothes Children]],Table_NFI[Winter Clothes Children])</f>
        <v>0</v>
      </c>
      <c r="AI379" s="436">
        <f>IF(NFI_Expiration=1,IF($A379&lt;VLOOKUP(T$5,NFI,5,0),1,0)*Table_NFI[[#This Row],[Winter Items Other]],Table_NFI[Winter Items Other])</f>
        <v>0</v>
      </c>
      <c r="AJ379" s="436">
        <f>IF(NFI_Expiration=1,IF($A379&lt;VLOOKUP(M$5,NFI,5,0),1,0)*Table_NFI[[#This Row],[Winter Blanket]],Table_NFI[[#This Row],[Winter Blanket]])</f>
        <v>0</v>
      </c>
      <c r="AK379" s="436">
        <f>IF(Table_NFI[[#This Row],[Winter Clothes Adult]]+Table_NFI[[#This Row],[Winter Clothes Children]]+Table_NFI[[#This Row],[Winter Items Other]]+Table_NFI[[#This Row],[Winter Blanket]]&gt;0,1,0)</f>
        <v>0</v>
      </c>
      <c r="AL379" s="439">
        <f>IF(NFI_Expiration=1,IF($A379&lt;VLOOKUP(V$5,NFI,5,0),1,0)*Table_NFI[[#This Row],[Jerry Can]],Table_NFI[Jerry Can])</f>
        <v>0</v>
      </c>
      <c r="AM379" s="781" t="str">
        <f>IFERROR(VLOOKUP(Table_NFI[[#This Row],[Camp Name]],CL,2,0),"")</f>
        <v>MMR001CMP070</v>
      </c>
      <c r="AN379" s="782">
        <f ca="1">IF(Table_NFI[[#This Row],[Pcode]]="","",IF(OFFSET(CampList[Opening Date],MATCH(Table_NFI[[#This Row],[Pcode]],CampList[CP_Pcode],0)-1,0,1,1)&gt;=NFI_Monitor_Date,1,0))</f>
        <v>0</v>
      </c>
      <c r="AO379" s="781" t="str">
        <f>IFERROR(VLOOKUP(Table_NFI[[#This Row],[Camp Name]],CL,3,0),"")</f>
        <v>Open</v>
      </c>
      <c r="AP379" s="436" t="str">
        <f ca="1">IF(Table_NFI[[#This Row],[Pcode]]="","",OFFSET(CampList[Priority],MATCH(Table_NFI[[#This Row],[Pcode]],CampList[CP_Pcode],0)-1,0,1,1))</f>
        <v>P3</v>
      </c>
      <c r="AQ379" s="438">
        <f>IFERROR(Table_NFI[[#This Row],[Kitchen Set]]/VLOOKUP(Table_NFI[[#This Row],[Camp Name]],CL,4,0),"")</f>
        <v>0</v>
      </c>
      <c r="AR379" s="779" t="s">
        <v>1099</v>
      </c>
      <c r="AS379" s="783"/>
    </row>
    <row r="380" spans="1:45" s="784" customFormat="1" x14ac:dyDescent="0.25">
      <c r="A380" s="455">
        <f t="shared" si="5"/>
        <v>23.366666666666667</v>
      </c>
      <c r="B380" s="778">
        <v>41608</v>
      </c>
      <c r="C380" s="779" t="s">
        <v>912</v>
      </c>
      <c r="D380" s="779" t="s">
        <v>1009</v>
      </c>
      <c r="E380" s="779" t="s">
        <v>380</v>
      </c>
      <c r="F380" s="435" t="s">
        <v>151</v>
      </c>
      <c r="G380" s="435" t="s">
        <v>158</v>
      </c>
      <c r="H380" s="436"/>
      <c r="I380" s="436"/>
      <c r="J380" s="436"/>
      <c r="K380" s="436"/>
      <c r="L380" s="437"/>
      <c r="M380" s="437"/>
      <c r="N380" s="437"/>
      <c r="O380" s="437"/>
      <c r="P380" s="439"/>
      <c r="Q380" s="439"/>
      <c r="R380" s="436"/>
      <c r="S380" s="436"/>
      <c r="T380" s="436"/>
      <c r="U380" s="436"/>
      <c r="V380" s="436"/>
      <c r="W380" s="436">
        <f>IF(NFI_Expiration=1,IF($A380&lt;VLOOKUP(H$5,NFI,5,0),1,0)*Table_NFI[[#This Row],[Hygiene Kit]],Table_NFI[Hygiene Kit])</f>
        <v>0</v>
      </c>
      <c r="X380" s="436">
        <f>IF(NFI_Expiration=1,IF($A380&lt;VLOOKUP(I$5,NFI,5,0),1,0)*Table_NFI[[#This Row],[NFI Core Kit]],Table_NFI[NFI Core Kit])</f>
        <v>0</v>
      </c>
      <c r="Y380" s="436">
        <f>IF(NFI_Expiration=1,IF($A380&lt;VLOOKUP(J$5,NFI,5,0),1,0)*Table_NFI[[#This Row],[Sanitary Kit]],Table_NFI[Sanitary Kit])</f>
        <v>0</v>
      </c>
      <c r="Z380" s="436">
        <f>IF(NFI_Expiration=1,IF($A380&lt;VLOOKUP(K$5,NFI,5,0),1,0)*Table_NFI[[#This Row],[Mosquito net]],Table_NFI[Mosquito net])</f>
        <v>0</v>
      </c>
      <c r="AA380" s="436">
        <f>IF(NFI_Expiration=1,IF($A380&lt;VLOOKUP(L$5,NFI,5,0),1,0)*Table_NFI[[#This Row],[Tarpaulin]],Table_NFI[[#This Row],[Tarpaulin]])</f>
        <v>0</v>
      </c>
      <c r="AB380" s="436">
        <f>IF(NFI_Expiration=1,IF($A380&lt;VLOOKUP(M$5,NFI,5,0),1,0)*Table_NFI[[#This Row],[Blanket]],Table_NFI[[#This Row],[Blanket]])</f>
        <v>0</v>
      </c>
      <c r="AC380" s="436">
        <f>IF(NFI_Expiration=1,IF($A380&lt;VLOOKUP(N$5,NFI,5,0),1,0)*Table_NFI[[#This Row],[Kitchen Set]],Table_NFI[Kitchen Set])</f>
        <v>0</v>
      </c>
      <c r="AD380" s="436">
        <f>IF(NFI_Expiration=1,IF($A380&lt;VLOOKUP(O$5,NFI,5,0),1,0)*Table_NFI[[#This Row],[Clothes Kit]],Table_NFI[Clothes Kit])</f>
        <v>0</v>
      </c>
      <c r="AE380" s="436">
        <f>IF(NFI_Expiration=1,IF($A380&lt;VLOOKUP(P$5,NFI,5,0),1,0)*Table_NFI[[#This Row],[Plastic Bucket]],Table_NFI[Plastic Bucket])</f>
        <v>0</v>
      </c>
      <c r="AF380" s="436">
        <f>IF(NFI_Expiration=1,IF($A380&lt;VLOOKUP(Q$5,NFI,5,0),1,0)*Table_NFI[[#This Row],[Plastic Mat]],Table_NFI[Plastic Mat])*IF(Table_NFI[[#This Row],[Distribution Date]]&gt;"2014-04-01",1,2.5)</f>
        <v>0</v>
      </c>
      <c r="AG380" s="436">
        <f>IF(NFI_Expiration=1,IF($A380&lt;VLOOKUP(R$5,NFI,5,0),1,0)*Table_NFI[[#This Row],[Winter Clothes Adult]],Table_NFI[Winter Clothes Adult])</f>
        <v>0</v>
      </c>
      <c r="AH380" s="436">
        <f>IF(NFI_Expiration=1,IF($A380&lt;VLOOKUP(S$5,NFI,5,0),1,0)*Table_NFI[[#This Row],[Winter Clothes Children]],Table_NFI[Winter Clothes Children])</f>
        <v>0</v>
      </c>
      <c r="AI380" s="436">
        <f>IF(NFI_Expiration=1,IF($A380&lt;VLOOKUP(T$5,NFI,5,0),1,0)*Table_NFI[[#This Row],[Winter Items Other]],Table_NFI[Winter Items Other])</f>
        <v>0</v>
      </c>
      <c r="AJ380" s="436">
        <f>IF(NFI_Expiration=1,IF($A380&lt;VLOOKUP(M$5,NFI,5,0),1,0)*Table_NFI[[#This Row],[Winter Blanket]],Table_NFI[[#This Row],[Winter Blanket]])</f>
        <v>0</v>
      </c>
      <c r="AK380" s="436">
        <f>IF(Table_NFI[[#This Row],[Winter Clothes Adult]]+Table_NFI[[#This Row],[Winter Clothes Children]]+Table_NFI[[#This Row],[Winter Items Other]]+Table_NFI[[#This Row],[Winter Blanket]]&gt;0,1,0)</f>
        <v>0</v>
      </c>
      <c r="AL380" s="439">
        <f>IF(NFI_Expiration=1,IF($A380&lt;VLOOKUP(V$5,NFI,5,0),1,0)*Table_NFI[[#This Row],[Jerry Can]],Table_NFI[Jerry Can])</f>
        <v>0</v>
      </c>
      <c r="AM380" s="781" t="str">
        <f>IFERROR(VLOOKUP(Table_NFI[[#This Row],[Camp Name]],CL,2,0),"")</f>
        <v>MMR001CMP135</v>
      </c>
      <c r="AN380" s="782">
        <f ca="1">IF(Table_NFI[[#This Row],[Pcode]]="","",IF(OFFSET(CampList[Opening Date],MATCH(Table_NFI[[#This Row],[Pcode]],CampList[CP_Pcode],0)-1,0,1,1)&gt;=NFI_Monitor_Date,1,0))</f>
        <v>0</v>
      </c>
      <c r="AO380" s="781" t="str">
        <f>IFERROR(VLOOKUP(Table_NFI[[#This Row],[Camp Name]],CL,3,0),"")</f>
        <v>Closed</v>
      </c>
      <c r="AP380" s="436" t="str">
        <f ca="1">IF(Table_NFI[[#This Row],[Pcode]]="","",OFFSET(CampList[Priority],MATCH(Table_NFI[[#This Row],[Pcode]],CampList[CP_Pcode],0)-1,0,1,1))</f>
        <v>P2</v>
      </c>
      <c r="AQ380" s="438" t="str">
        <f>IFERROR(Table_NFI[[#This Row],[Kitchen Set]]/VLOOKUP(Table_NFI[[#This Row],[Camp Name]],CL,4,0),"")</f>
        <v/>
      </c>
      <c r="AR380" s="779" t="s">
        <v>1099</v>
      </c>
      <c r="AS380" s="783"/>
    </row>
    <row r="381" spans="1:45" s="784" customFormat="1" x14ac:dyDescent="0.25">
      <c r="A381" s="455">
        <f t="shared" si="5"/>
        <v>23.366666666666667</v>
      </c>
      <c r="B381" s="778">
        <v>41608</v>
      </c>
      <c r="C381" s="779" t="s">
        <v>912</v>
      </c>
      <c r="D381" s="779" t="s">
        <v>462</v>
      </c>
      <c r="E381" s="779" t="s">
        <v>380</v>
      </c>
      <c r="F381" s="435" t="s">
        <v>310</v>
      </c>
      <c r="G381" s="435" t="s">
        <v>320</v>
      </c>
      <c r="H381" s="436"/>
      <c r="I381" s="436"/>
      <c r="J381" s="436"/>
      <c r="K381" s="436"/>
      <c r="L381" s="437"/>
      <c r="M381" s="437"/>
      <c r="N381" s="437"/>
      <c r="O381" s="437"/>
      <c r="P381" s="439"/>
      <c r="Q381" s="439"/>
      <c r="R381" s="436"/>
      <c r="S381" s="436"/>
      <c r="T381" s="436"/>
      <c r="U381" s="436"/>
      <c r="V381" s="436"/>
      <c r="W381" s="436">
        <f>IF(NFI_Expiration=1,IF($A381&lt;VLOOKUP(H$5,NFI,5,0),1,0)*Table_NFI[[#This Row],[Hygiene Kit]],Table_NFI[Hygiene Kit])</f>
        <v>0</v>
      </c>
      <c r="X381" s="436">
        <f>IF(NFI_Expiration=1,IF($A381&lt;VLOOKUP(I$5,NFI,5,0),1,0)*Table_NFI[[#This Row],[NFI Core Kit]],Table_NFI[NFI Core Kit])</f>
        <v>0</v>
      </c>
      <c r="Y381" s="436">
        <f>IF(NFI_Expiration=1,IF($A381&lt;VLOOKUP(J$5,NFI,5,0),1,0)*Table_NFI[[#This Row],[Sanitary Kit]],Table_NFI[Sanitary Kit])</f>
        <v>0</v>
      </c>
      <c r="Z381" s="436">
        <f>IF(NFI_Expiration=1,IF($A381&lt;VLOOKUP(K$5,NFI,5,0),1,0)*Table_NFI[[#This Row],[Mosquito net]],Table_NFI[Mosquito net])</f>
        <v>0</v>
      </c>
      <c r="AA381" s="436">
        <f>IF(NFI_Expiration=1,IF($A381&lt;VLOOKUP(L$5,NFI,5,0),1,0)*Table_NFI[[#This Row],[Tarpaulin]],Table_NFI[[#This Row],[Tarpaulin]])</f>
        <v>0</v>
      </c>
      <c r="AB381" s="436">
        <f>IF(NFI_Expiration=1,IF($A381&lt;VLOOKUP(M$5,NFI,5,0),1,0)*Table_NFI[[#This Row],[Blanket]],Table_NFI[[#This Row],[Blanket]])</f>
        <v>0</v>
      </c>
      <c r="AC381" s="436">
        <f>IF(NFI_Expiration=1,IF($A381&lt;VLOOKUP(N$5,NFI,5,0),1,0)*Table_NFI[[#This Row],[Kitchen Set]],Table_NFI[Kitchen Set])</f>
        <v>0</v>
      </c>
      <c r="AD381" s="436">
        <f>IF(NFI_Expiration=1,IF($A381&lt;VLOOKUP(O$5,NFI,5,0),1,0)*Table_NFI[[#This Row],[Clothes Kit]],Table_NFI[Clothes Kit])</f>
        <v>0</v>
      </c>
      <c r="AE381" s="436">
        <f>IF(NFI_Expiration=1,IF($A381&lt;VLOOKUP(P$5,NFI,5,0),1,0)*Table_NFI[[#This Row],[Plastic Bucket]],Table_NFI[Plastic Bucket])</f>
        <v>0</v>
      </c>
      <c r="AF381" s="436">
        <f>IF(NFI_Expiration=1,IF($A381&lt;VLOOKUP(Q$5,NFI,5,0),1,0)*Table_NFI[[#This Row],[Plastic Mat]],Table_NFI[Plastic Mat])*IF(Table_NFI[[#This Row],[Distribution Date]]&gt;"2014-04-01",1,2.5)</f>
        <v>0</v>
      </c>
      <c r="AG381" s="436">
        <f>IF(NFI_Expiration=1,IF($A381&lt;VLOOKUP(R$5,NFI,5,0),1,0)*Table_NFI[[#This Row],[Winter Clothes Adult]],Table_NFI[Winter Clothes Adult])</f>
        <v>0</v>
      </c>
      <c r="AH381" s="436">
        <f>IF(NFI_Expiration=1,IF($A381&lt;VLOOKUP(S$5,NFI,5,0),1,0)*Table_NFI[[#This Row],[Winter Clothes Children]],Table_NFI[Winter Clothes Children])</f>
        <v>0</v>
      </c>
      <c r="AI381" s="436">
        <f>IF(NFI_Expiration=1,IF($A381&lt;VLOOKUP(T$5,NFI,5,0),1,0)*Table_NFI[[#This Row],[Winter Items Other]],Table_NFI[Winter Items Other])</f>
        <v>0</v>
      </c>
      <c r="AJ381" s="436">
        <f>IF(NFI_Expiration=1,IF($A381&lt;VLOOKUP(M$5,NFI,5,0),1,0)*Table_NFI[[#This Row],[Winter Blanket]],Table_NFI[[#This Row],[Winter Blanket]])</f>
        <v>0</v>
      </c>
      <c r="AK381" s="436">
        <f>IF(Table_NFI[[#This Row],[Winter Clothes Adult]]+Table_NFI[[#This Row],[Winter Clothes Children]]+Table_NFI[[#This Row],[Winter Items Other]]+Table_NFI[[#This Row],[Winter Blanket]]&gt;0,1,0)</f>
        <v>0</v>
      </c>
      <c r="AL381" s="439">
        <f>IF(NFI_Expiration=1,IF($A381&lt;VLOOKUP(V$5,NFI,5,0),1,0)*Table_NFI[[#This Row],[Jerry Can]],Table_NFI[Jerry Can])</f>
        <v>0</v>
      </c>
      <c r="AM381" s="781" t="str">
        <f>IFERROR(VLOOKUP(Table_NFI[[#This Row],[Camp Name]],CL,2,0),"")</f>
        <v>MMR001CMP027</v>
      </c>
      <c r="AN381" s="782">
        <f ca="1">IF(Table_NFI[[#This Row],[Pcode]]="","",IF(OFFSET(CampList[Opening Date],MATCH(Table_NFI[[#This Row],[Pcode]],CampList[CP_Pcode],0)-1,0,1,1)&gt;=NFI_Monitor_Date,1,0))</f>
        <v>0</v>
      </c>
      <c r="AO381" s="781" t="str">
        <f>IFERROR(VLOOKUP(Table_NFI[[#This Row],[Camp Name]],CL,3,0),"")</f>
        <v>Open</v>
      </c>
      <c r="AP381" s="436" t="str">
        <f ca="1">IF(Table_NFI[[#This Row],[Pcode]]="","",OFFSET(CampList[Priority],MATCH(Table_NFI[[#This Row],[Pcode]],CampList[CP_Pcode],0)-1,0,1,1))</f>
        <v>P4</v>
      </c>
      <c r="AQ381" s="438">
        <f>IFERROR(Table_NFI[[#This Row],[Kitchen Set]]/VLOOKUP(Table_NFI[[#This Row],[Camp Name]],CL,4,0),"")</f>
        <v>0</v>
      </c>
      <c r="AR381" s="779" t="s">
        <v>1099</v>
      </c>
      <c r="AS381" s="783"/>
    </row>
    <row r="382" spans="1:45" s="784" customFormat="1" x14ac:dyDescent="0.25">
      <c r="A382" s="455">
        <f t="shared" si="5"/>
        <v>23.366666666666667</v>
      </c>
      <c r="B382" s="778">
        <v>41608</v>
      </c>
      <c r="C382" s="779" t="s">
        <v>912</v>
      </c>
      <c r="D382" s="779" t="s">
        <v>462</v>
      </c>
      <c r="E382" s="779" t="s">
        <v>380</v>
      </c>
      <c r="F382" s="435" t="s">
        <v>310</v>
      </c>
      <c r="G382" s="435" t="s">
        <v>322</v>
      </c>
      <c r="H382" s="436"/>
      <c r="I382" s="436"/>
      <c r="J382" s="436"/>
      <c r="K382" s="436"/>
      <c r="L382" s="437"/>
      <c r="M382" s="437"/>
      <c r="N382" s="437"/>
      <c r="O382" s="437"/>
      <c r="P382" s="439"/>
      <c r="Q382" s="439"/>
      <c r="R382" s="436"/>
      <c r="S382" s="436"/>
      <c r="T382" s="436"/>
      <c r="U382" s="436"/>
      <c r="V382" s="436"/>
      <c r="W382" s="436">
        <f>IF(NFI_Expiration=1,IF($A382&lt;VLOOKUP(H$5,NFI,5,0),1,0)*Table_NFI[[#This Row],[Hygiene Kit]],Table_NFI[Hygiene Kit])</f>
        <v>0</v>
      </c>
      <c r="X382" s="436">
        <f>IF(NFI_Expiration=1,IF($A382&lt;VLOOKUP(I$5,NFI,5,0),1,0)*Table_NFI[[#This Row],[NFI Core Kit]],Table_NFI[NFI Core Kit])</f>
        <v>0</v>
      </c>
      <c r="Y382" s="436">
        <f>IF(NFI_Expiration=1,IF($A382&lt;VLOOKUP(J$5,NFI,5,0),1,0)*Table_NFI[[#This Row],[Sanitary Kit]],Table_NFI[Sanitary Kit])</f>
        <v>0</v>
      </c>
      <c r="Z382" s="436">
        <f>IF(NFI_Expiration=1,IF($A382&lt;VLOOKUP(K$5,NFI,5,0),1,0)*Table_NFI[[#This Row],[Mosquito net]],Table_NFI[Mosquito net])</f>
        <v>0</v>
      </c>
      <c r="AA382" s="436">
        <f>IF(NFI_Expiration=1,IF($A382&lt;VLOOKUP(L$5,NFI,5,0),1,0)*Table_NFI[[#This Row],[Tarpaulin]],Table_NFI[[#This Row],[Tarpaulin]])</f>
        <v>0</v>
      </c>
      <c r="AB382" s="436">
        <f>IF(NFI_Expiration=1,IF($A382&lt;VLOOKUP(M$5,NFI,5,0),1,0)*Table_NFI[[#This Row],[Blanket]],Table_NFI[[#This Row],[Blanket]])</f>
        <v>0</v>
      </c>
      <c r="AC382" s="436">
        <f>IF(NFI_Expiration=1,IF($A382&lt;VLOOKUP(N$5,NFI,5,0),1,0)*Table_NFI[[#This Row],[Kitchen Set]],Table_NFI[Kitchen Set])</f>
        <v>0</v>
      </c>
      <c r="AD382" s="436">
        <f>IF(NFI_Expiration=1,IF($A382&lt;VLOOKUP(O$5,NFI,5,0),1,0)*Table_NFI[[#This Row],[Clothes Kit]],Table_NFI[Clothes Kit])</f>
        <v>0</v>
      </c>
      <c r="AE382" s="436">
        <f>IF(NFI_Expiration=1,IF($A382&lt;VLOOKUP(P$5,NFI,5,0),1,0)*Table_NFI[[#This Row],[Plastic Bucket]],Table_NFI[Plastic Bucket])</f>
        <v>0</v>
      </c>
      <c r="AF382" s="436">
        <f>IF(NFI_Expiration=1,IF($A382&lt;VLOOKUP(Q$5,NFI,5,0),1,0)*Table_NFI[[#This Row],[Plastic Mat]],Table_NFI[Plastic Mat])*IF(Table_NFI[[#This Row],[Distribution Date]]&gt;"2014-04-01",1,2.5)</f>
        <v>0</v>
      </c>
      <c r="AG382" s="436">
        <f>IF(NFI_Expiration=1,IF($A382&lt;VLOOKUP(R$5,NFI,5,0),1,0)*Table_NFI[[#This Row],[Winter Clothes Adult]],Table_NFI[Winter Clothes Adult])</f>
        <v>0</v>
      </c>
      <c r="AH382" s="436">
        <f>IF(NFI_Expiration=1,IF($A382&lt;VLOOKUP(S$5,NFI,5,0),1,0)*Table_NFI[[#This Row],[Winter Clothes Children]],Table_NFI[Winter Clothes Children])</f>
        <v>0</v>
      </c>
      <c r="AI382" s="436">
        <f>IF(NFI_Expiration=1,IF($A382&lt;VLOOKUP(T$5,NFI,5,0),1,0)*Table_NFI[[#This Row],[Winter Items Other]],Table_NFI[Winter Items Other])</f>
        <v>0</v>
      </c>
      <c r="AJ382" s="436">
        <f>IF(NFI_Expiration=1,IF($A382&lt;VLOOKUP(M$5,NFI,5,0),1,0)*Table_NFI[[#This Row],[Winter Blanket]],Table_NFI[[#This Row],[Winter Blanket]])</f>
        <v>0</v>
      </c>
      <c r="AK382" s="436">
        <f>IF(Table_NFI[[#This Row],[Winter Clothes Adult]]+Table_NFI[[#This Row],[Winter Clothes Children]]+Table_NFI[[#This Row],[Winter Items Other]]+Table_NFI[[#This Row],[Winter Blanket]]&gt;0,1,0)</f>
        <v>0</v>
      </c>
      <c r="AL382" s="439">
        <f>IF(NFI_Expiration=1,IF($A382&lt;VLOOKUP(V$5,NFI,5,0),1,0)*Table_NFI[[#This Row],[Jerry Can]],Table_NFI[Jerry Can])</f>
        <v>0</v>
      </c>
      <c r="AM382" s="781" t="str">
        <f>IFERROR(VLOOKUP(Table_NFI[[#This Row],[Camp Name]],CL,2,0),"")</f>
        <v>MMR001CMP119</v>
      </c>
      <c r="AN382" s="782">
        <f ca="1">IF(Table_NFI[[#This Row],[Pcode]]="","",IF(OFFSET(CampList[Opening Date],MATCH(Table_NFI[[#This Row],[Pcode]],CampList[CP_Pcode],0)-1,0,1,1)&gt;=NFI_Monitor_Date,1,0))</f>
        <v>0</v>
      </c>
      <c r="AO382" s="781" t="str">
        <f>IFERROR(VLOOKUP(Table_NFI[[#This Row],[Camp Name]],CL,3,0),"")</f>
        <v>Open</v>
      </c>
      <c r="AP382" s="436" t="str">
        <f ca="1">IF(Table_NFI[[#This Row],[Pcode]]="","",OFFSET(CampList[Priority],MATCH(Table_NFI[[#This Row],[Pcode]],CampList[CP_Pcode],0)-1,0,1,1))</f>
        <v>P2</v>
      </c>
      <c r="AQ382" s="438">
        <f>IFERROR(Table_NFI[[#This Row],[Kitchen Set]]/VLOOKUP(Table_NFI[[#This Row],[Camp Name]],CL,4,0),"")</f>
        <v>0</v>
      </c>
      <c r="AR382" s="779" t="s">
        <v>1099</v>
      </c>
      <c r="AS382" s="783"/>
    </row>
    <row r="383" spans="1:45" s="784" customFormat="1" x14ac:dyDescent="0.25">
      <c r="A383" s="455">
        <f t="shared" si="5"/>
        <v>23.366666666666667</v>
      </c>
      <c r="B383" s="778">
        <v>41608</v>
      </c>
      <c r="C383" s="779" t="s">
        <v>912</v>
      </c>
      <c r="D383" s="442" t="s">
        <v>462</v>
      </c>
      <c r="E383" s="785" t="s">
        <v>380</v>
      </c>
      <c r="F383" s="779" t="s">
        <v>310</v>
      </c>
      <c r="G383" s="435" t="s">
        <v>328</v>
      </c>
      <c r="H383" s="442"/>
      <c r="I383" s="442"/>
      <c r="J383" s="442"/>
      <c r="K383" s="785"/>
      <c r="L383" s="786"/>
      <c r="M383" s="443"/>
      <c r="N383" s="443"/>
      <c r="O383" s="443"/>
      <c r="P383" s="786"/>
      <c r="Q383" s="443"/>
      <c r="R383" s="442"/>
      <c r="S383" s="442"/>
      <c r="T383" s="442"/>
      <c r="U383" s="442"/>
      <c r="V383" s="442"/>
      <c r="W383" s="436">
        <f>IF(NFI_Expiration=1,IF($A383&lt;VLOOKUP(H$5,NFI,5,0),1,0)*Table_NFI[[#This Row],[Hygiene Kit]],Table_NFI[Hygiene Kit])</f>
        <v>0</v>
      </c>
      <c r="X383" s="436">
        <f>IF(NFI_Expiration=1,IF($A383&lt;VLOOKUP(I$5,NFI,5,0),1,0)*Table_NFI[[#This Row],[NFI Core Kit]],Table_NFI[NFI Core Kit])</f>
        <v>0</v>
      </c>
      <c r="Y383" s="436">
        <f>IF(NFI_Expiration=1,IF($A383&lt;VLOOKUP(J$5,NFI,5,0),1,0)*Table_NFI[[#This Row],[Sanitary Kit]],Table_NFI[Sanitary Kit])</f>
        <v>0</v>
      </c>
      <c r="Z383" s="436">
        <f>IF(NFI_Expiration=1,IF($A383&lt;VLOOKUP(K$5,NFI,5,0),1,0)*Table_NFI[[#This Row],[Mosquito net]],Table_NFI[Mosquito net])</f>
        <v>0</v>
      </c>
      <c r="AA383" s="436">
        <f>IF(NFI_Expiration=1,IF($A383&lt;VLOOKUP(L$5,NFI,5,0),1,0)*Table_NFI[[#This Row],[Tarpaulin]],Table_NFI[[#This Row],[Tarpaulin]])</f>
        <v>0</v>
      </c>
      <c r="AB383" s="436">
        <f>IF(NFI_Expiration=1,IF($A383&lt;VLOOKUP(M$5,NFI,5,0),1,0)*Table_NFI[[#This Row],[Blanket]],Table_NFI[[#This Row],[Blanket]])</f>
        <v>0</v>
      </c>
      <c r="AC383" s="436">
        <f>IF(NFI_Expiration=1,IF($A383&lt;VLOOKUP(N$5,NFI,5,0),1,0)*Table_NFI[[#This Row],[Kitchen Set]],Table_NFI[Kitchen Set])</f>
        <v>0</v>
      </c>
      <c r="AD383" s="436">
        <f>IF(NFI_Expiration=1,IF($A383&lt;VLOOKUP(O$5,NFI,5,0),1,0)*Table_NFI[[#This Row],[Clothes Kit]],Table_NFI[Clothes Kit])</f>
        <v>0</v>
      </c>
      <c r="AE383" s="436">
        <f>IF(NFI_Expiration=1,IF($A383&lt;VLOOKUP(P$5,NFI,5,0),1,0)*Table_NFI[[#This Row],[Plastic Bucket]],Table_NFI[Plastic Bucket])</f>
        <v>0</v>
      </c>
      <c r="AF383" s="436">
        <f>IF(NFI_Expiration=1,IF($A383&lt;VLOOKUP(Q$5,NFI,5,0),1,0)*Table_NFI[[#This Row],[Plastic Mat]],Table_NFI[Plastic Mat])*IF(Table_NFI[[#This Row],[Distribution Date]]&gt;"2014-04-01",1,2.5)</f>
        <v>0</v>
      </c>
      <c r="AG383" s="436">
        <f>IF(NFI_Expiration=1,IF($A383&lt;VLOOKUP(R$5,NFI,5,0),1,0)*Table_NFI[[#This Row],[Winter Clothes Adult]],Table_NFI[Winter Clothes Adult])</f>
        <v>0</v>
      </c>
      <c r="AH383" s="436">
        <f>IF(NFI_Expiration=1,IF($A383&lt;VLOOKUP(S$5,NFI,5,0),1,0)*Table_NFI[[#This Row],[Winter Clothes Children]],Table_NFI[Winter Clothes Children])</f>
        <v>0</v>
      </c>
      <c r="AI383" s="436">
        <f>IF(NFI_Expiration=1,IF($A383&lt;VLOOKUP(T$5,NFI,5,0),1,0)*Table_NFI[[#This Row],[Winter Items Other]],Table_NFI[Winter Items Other])</f>
        <v>0</v>
      </c>
      <c r="AJ383" s="436">
        <f>IF(NFI_Expiration=1,IF($A383&lt;VLOOKUP(M$5,NFI,5,0),1,0)*Table_NFI[[#This Row],[Winter Blanket]],Table_NFI[[#This Row],[Winter Blanket]])</f>
        <v>0</v>
      </c>
      <c r="AK383" s="436">
        <f>IF(Table_NFI[[#This Row],[Winter Clothes Adult]]+Table_NFI[[#This Row],[Winter Clothes Children]]+Table_NFI[[#This Row],[Winter Items Other]]+Table_NFI[[#This Row],[Winter Blanket]]&gt;0,1,0)</f>
        <v>0</v>
      </c>
      <c r="AL383" s="439">
        <f>IF(NFI_Expiration=1,IF($A383&lt;VLOOKUP(V$5,NFI,5,0),1,0)*Table_NFI[[#This Row],[Jerry Can]],Table_NFI[Jerry Can])</f>
        <v>0</v>
      </c>
      <c r="AM383" s="781" t="str">
        <f>IFERROR(VLOOKUP(Table_NFI[[#This Row],[Camp Name]],CL,2,0),"")</f>
        <v>MMR001CMP031</v>
      </c>
      <c r="AN383" s="782">
        <f ca="1">IF(Table_NFI[[#This Row],[Pcode]]="","",IF(OFFSET(CampList[Opening Date],MATCH(Table_NFI[[#This Row],[Pcode]],CampList[CP_Pcode],0)-1,0,1,1)&gt;=NFI_Monitor_Date,1,0))</f>
        <v>0</v>
      </c>
      <c r="AO383" s="781" t="str">
        <f>IFERROR(VLOOKUP(Table_NFI[[#This Row],[Camp Name]],CL,3,0),"")</f>
        <v>Open</v>
      </c>
      <c r="AP383" s="436" t="str">
        <f ca="1">IF(Table_NFI[[#This Row],[Pcode]]="","",OFFSET(CampList[Priority],MATCH(Table_NFI[[#This Row],[Pcode]],CampList[CP_Pcode],0)-1,0,1,1))</f>
        <v>P4</v>
      </c>
      <c r="AQ383" s="438">
        <f>IFERROR(Table_NFI[[#This Row],[Kitchen Set]]/VLOOKUP(Table_NFI[[#This Row],[Camp Name]],CL,4,0),"")</f>
        <v>0</v>
      </c>
      <c r="AR383" s="779" t="s">
        <v>1099</v>
      </c>
      <c r="AS383" s="783"/>
    </row>
    <row r="384" spans="1:45" s="784" customFormat="1" x14ac:dyDescent="0.25">
      <c r="A384" s="455">
        <f t="shared" si="5"/>
        <v>23.366666666666667</v>
      </c>
      <c r="B384" s="778">
        <v>41608</v>
      </c>
      <c r="C384" s="779" t="s">
        <v>912</v>
      </c>
      <c r="D384" s="442" t="s">
        <v>462</v>
      </c>
      <c r="E384" s="785" t="s">
        <v>380</v>
      </c>
      <c r="F384" s="435" t="s">
        <v>310</v>
      </c>
      <c r="G384" s="435" t="s">
        <v>324</v>
      </c>
      <c r="H384" s="442"/>
      <c r="I384" s="442"/>
      <c r="J384" s="442"/>
      <c r="K384" s="785"/>
      <c r="L384" s="786"/>
      <c r="M384" s="443"/>
      <c r="N384" s="443"/>
      <c r="O384" s="443"/>
      <c r="P384" s="786"/>
      <c r="Q384" s="443"/>
      <c r="R384" s="442"/>
      <c r="S384" s="442"/>
      <c r="T384" s="442"/>
      <c r="U384" s="442"/>
      <c r="V384" s="442"/>
      <c r="W384" s="436">
        <f>IF(NFI_Expiration=1,IF($A384&lt;VLOOKUP(H$5,NFI,5,0),1,0)*Table_NFI[[#This Row],[Hygiene Kit]],Table_NFI[Hygiene Kit])</f>
        <v>0</v>
      </c>
      <c r="X384" s="436">
        <f>IF(NFI_Expiration=1,IF($A384&lt;VLOOKUP(I$5,NFI,5,0),1,0)*Table_NFI[[#This Row],[NFI Core Kit]],Table_NFI[NFI Core Kit])</f>
        <v>0</v>
      </c>
      <c r="Y384" s="436">
        <f>IF(NFI_Expiration=1,IF($A384&lt;VLOOKUP(J$5,NFI,5,0),1,0)*Table_NFI[[#This Row],[Sanitary Kit]],Table_NFI[Sanitary Kit])</f>
        <v>0</v>
      </c>
      <c r="Z384" s="436">
        <f>IF(NFI_Expiration=1,IF($A384&lt;VLOOKUP(K$5,NFI,5,0),1,0)*Table_NFI[[#This Row],[Mosquito net]],Table_NFI[Mosquito net])</f>
        <v>0</v>
      </c>
      <c r="AA384" s="436">
        <f>IF(NFI_Expiration=1,IF($A384&lt;VLOOKUP(L$5,NFI,5,0),1,0)*Table_NFI[[#This Row],[Tarpaulin]],Table_NFI[[#This Row],[Tarpaulin]])</f>
        <v>0</v>
      </c>
      <c r="AB384" s="436">
        <f>IF(NFI_Expiration=1,IF($A384&lt;VLOOKUP(M$5,NFI,5,0),1,0)*Table_NFI[[#This Row],[Blanket]],Table_NFI[[#This Row],[Blanket]])</f>
        <v>0</v>
      </c>
      <c r="AC384" s="436">
        <f>IF(NFI_Expiration=1,IF($A384&lt;VLOOKUP(N$5,NFI,5,0),1,0)*Table_NFI[[#This Row],[Kitchen Set]],Table_NFI[Kitchen Set])</f>
        <v>0</v>
      </c>
      <c r="AD384" s="436">
        <f>IF(NFI_Expiration=1,IF($A384&lt;VLOOKUP(O$5,NFI,5,0),1,0)*Table_NFI[[#This Row],[Clothes Kit]],Table_NFI[Clothes Kit])</f>
        <v>0</v>
      </c>
      <c r="AE384" s="436">
        <f>IF(NFI_Expiration=1,IF($A384&lt;VLOOKUP(P$5,NFI,5,0),1,0)*Table_NFI[[#This Row],[Plastic Bucket]],Table_NFI[Plastic Bucket])</f>
        <v>0</v>
      </c>
      <c r="AF384" s="436">
        <f>IF(NFI_Expiration=1,IF($A384&lt;VLOOKUP(Q$5,NFI,5,0),1,0)*Table_NFI[[#This Row],[Plastic Mat]],Table_NFI[Plastic Mat])*IF(Table_NFI[[#This Row],[Distribution Date]]&gt;"2014-04-01",1,2.5)</f>
        <v>0</v>
      </c>
      <c r="AG384" s="436">
        <f>IF(NFI_Expiration=1,IF($A384&lt;VLOOKUP(R$5,NFI,5,0),1,0)*Table_NFI[[#This Row],[Winter Clothes Adult]],Table_NFI[Winter Clothes Adult])</f>
        <v>0</v>
      </c>
      <c r="AH384" s="436">
        <f>IF(NFI_Expiration=1,IF($A384&lt;VLOOKUP(S$5,NFI,5,0),1,0)*Table_NFI[[#This Row],[Winter Clothes Children]],Table_NFI[Winter Clothes Children])</f>
        <v>0</v>
      </c>
      <c r="AI384" s="436">
        <f>IF(NFI_Expiration=1,IF($A384&lt;VLOOKUP(T$5,NFI,5,0),1,0)*Table_NFI[[#This Row],[Winter Items Other]],Table_NFI[Winter Items Other])</f>
        <v>0</v>
      </c>
      <c r="AJ384" s="436">
        <f>IF(NFI_Expiration=1,IF($A384&lt;VLOOKUP(M$5,NFI,5,0),1,0)*Table_NFI[[#This Row],[Winter Blanket]],Table_NFI[[#This Row],[Winter Blanket]])</f>
        <v>0</v>
      </c>
      <c r="AK384" s="436">
        <f>IF(Table_NFI[[#This Row],[Winter Clothes Adult]]+Table_NFI[[#This Row],[Winter Clothes Children]]+Table_NFI[[#This Row],[Winter Items Other]]+Table_NFI[[#This Row],[Winter Blanket]]&gt;0,1,0)</f>
        <v>0</v>
      </c>
      <c r="AL384" s="439">
        <f>IF(NFI_Expiration=1,IF($A384&lt;VLOOKUP(V$5,NFI,5,0),1,0)*Table_NFI[[#This Row],[Jerry Can]],Table_NFI[Jerry Can])</f>
        <v>0</v>
      </c>
      <c r="AM384" s="781" t="str">
        <f>IFERROR(VLOOKUP(Table_NFI[[#This Row],[Camp Name]],CL,2,0),"")</f>
        <v>MMR001CMP040</v>
      </c>
      <c r="AN384" s="782">
        <f ca="1">IF(Table_NFI[[#This Row],[Pcode]]="","",IF(OFFSET(CampList[Opening Date],MATCH(Table_NFI[[#This Row],[Pcode]],CampList[CP_Pcode],0)-1,0,1,1)&gt;=NFI_Monitor_Date,1,0))</f>
        <v>0</v>
      </c>
      <c r="AO384" s="781" t="str">
        <f>IFERROR(VLOOKUP(Table_NFI[[#This Row],[Camp Name]],CL,3,0),"")</f>
        <v>Open</v>
      </c>
      <c r="AP384" s="436" t="str">
        <f ca="1">IF(Table_NFI[[#This Row],[Pcode]]="","",OFFSET(CampList[Priority],MATCH(Table_NFI[[#This Row],[Pcode]],CampList[CP_Pcode],0)-1,0,1,1))</f>
        <v>P4</v>
      </c>
      <c r="AQ384" s="438">
        <f>IFERROR(Table_NFI[[#This Row],[Kitchen Set]]/VLOOKUP(Table_NFI[[#This Row],[Camp Name]],CL,4,0),"")</f>
        <v>0</v>
      </c>
      <c r="AR384" s="779" t="s">
        <v>1099</v>
      </c>
      <c r="AS384" s="783"/>
    </row>
    <row r="385" spans="1:45" s="784" customFormat="1" x14ac:dyDescent="0.25">
      <c r="A385" s="455">
        <f t="shared" si="5"/>
        <v>23.366666666666667</v>
      </c>
      <c r="B385" s="778">
        <v>41608</v>
      </c>
      <c r="C385" s="779" t="s">
        <v>912</v>
      </c>
      <c r="D385" s="442" t="s">
        <v>462</v>
      </c>
      <c r="E385" s="785" t="s">
        <v>380</v>
      </c>
      <c r="F385" s="435" t="s">
        <v>310</v>
      </c>
      <c r="G385" s="435" t="s">
        <v>326</v>
      </c>
      <c r="H385" s="442"/>
      <c r="I385" s="442"/>
      <c r="J385" s="442"/>
      <c r="K385" s="785"/>
      <c r="L385" s="786"/>
      <c r="M385" s="443"/>
      <c r="N385" s="443"/>
      <c r="O385" s="443"/>
      <c r="P385" s="786"/>
      <c r="Q385" s="443"/>
      <c r="R385" s="442"/>
      <c r="S385" s="442"/>
      <c r="T385" s="442"/>
      <c r="U385" s="442"/>
      <c r="V385" s="442"/>
      <c r="W385" s="436">
        <f>IF(NFI_Expiration=1,IF($A385&lt;VLOOKUP(H$5,NFI,5,0),1,0)*Table_NFI[[#This Row],[Hygiene Kit]],Table_NFI[Hygiene Kit])</f>
        <v>0</v>
      </c>
      <c r="X385" s="436">
        <f>IF(NFI_Expiration=1,IF($A385&lt;VLOOKUP(I$5,NFI,5,0),1,0)*Table_NFI[[#This Row],[NFI Core Kit]],Table_NFI[NFI Core Kit])</f>
        <v>0</v>
      </c>
      <c r="Y385" s="436">
        <f>IF(NFI_Expiration=1,IF($A385&lt;VLOOKUP(J$5,NFI,5,0),1,0)*Table_NFI[[#This Row],[Sanitary Kit]],Table_NFI[Sanitary Kit])</f>
        <v>0</v>
      </c>
      <c r="Z385" s="436">
        <f>IF(NFI_Expiration=1,IF($A385&lt;VLOOKUP(K$5,NFI,5,0),1,0)*Table_NFI[[#This Row],[Mosquito net]],Table_NFI[Mosquito net])</f>
        <v>0</v>
      </c>
      <c r="AA385" s="436">
        <f>IF(NFI_Expiration=1,IF($A385&lt;VLOOKUP(L$5,NFI,5,0),1,0)*Table_NFI[[#This Row],[Tarpaulin]],Table_NFI[[#This Row],[Tarpaulin]])</f>
        <v>0</v>
      </c>
      <c r="AB385" s="436">
        <f>IF(NFI_Expiration=1,IF($A385&lt;VLOOKUP(M$5,NFI,5,0),1,0)*Table_NFI[[#This Row],[Blanket]],Table_NFI[[#This Row],[Blanket]])</f>
        <v>0</v>
      </c>
      <c r="AC385" s="436">
        <f>IF(NFI_Expiration=1,IF($A385&lt;VLOOKUP(N$5,NFI,5,0),1,0)*Table_NFI[[#This Row],[Kitchen Set]],Table_NFI[Kitchen Set])</f>
        <v>0</v>
      </c>
      <c r="AD385" s="436">
        <f>IF(NFI_Expiration=1,IF($A385&lt;VLOOKUP(O$5,NFI,5,0),1,0)*Table_NFI[[#This Row],[Clothes Kit]],Table_NFI[Clothes Kit])</f>
        <v>0</v>
      </c>
      <c r="AE385" s="436">
        <f>IF(NFI_Expiration=1,IF($A385&lt;VLOOKUP(P$5,NFI,5,0),1,0)*Table_NFI[[#This Row],[Plastic Bucket]],Table_NFI[Plastic Bucket])</f>
        <v>0</v>
      </c>
      <c r="AF385" s="436">
        <f>IF(NFI_Expiration=1,IF($A385&lt;VLOOKUP(Q$5,NFI,5,0),1,0)*Table_NFI[[#This Row],[Plastic Mat]],Table_NFI[Plastic Mat])*IF(Table_NFI[[#This Row],[Distribution Date]]&gt;"2014-04-01",1,2.5)</f>
        <v>0</v>
      </c>
      <c r="AG385" s="436">
        <f>IF(NFI_Expiration=1,IF($A385&lt;VLOOKUP(R$5,NFI,5,0),1,0)*Table_NFI[[#This Row],[Winter Clothes Adult]],Table_NFI[Winter Clothes Adult])</f>
        <v>0</v>
      </c>
      <c r="AH385" s="436">
        <f>IF(NFI_Expiration=1,IF($A385&lt;VLOOKUP(S$5,NFI,5,0),1,0)*Table_NFI[[#This Row],[Winter Clothes Children]],Table_NFI[Winter Clothes Children])</f>
        <v>0</v>
      </c>
      <c r="AI385" s="436">
        <f>IF(NFI_Expiration=1,IF($A385&lt;VLOOKUP(T$5,NFI,5,0),1,0)*Table_NFI[[#This Row],[Winter Items Other]],Table_NFI[Winter Items Other])</f>
        <v>0</v>
      </c>
      <c r="AJ385" s="436">
        <f>IF(NFI_Expiration=1,IF($A385&lt;VLOOKUP(M$5,NFI,5,0),1,0)*Table_NFI[[#This Row],[Winter Blanket]],Table_NFI[[#This Row],[Winter Blanket]])</f>
        <v>0</v>
      </c>
      <c r="AK385" s="436">
        <f>IF(Table_NFI[[#This Row],[Winter Clothes Adult]]+Table_NFI[[#This Row],[Winter Clothes Children]]+Table_NFI[[#This Row],[Winter Items Other]]+Table_NFI[[#This Row],[Winter Blanket]]&gt;0,1,0)</f>
        <v>0</v>
      </c>
      <c r="AL385" s="439">
        <f>IF(NFI_Expiration=1,IF($A385&lt;VLOOKUP(V$5,NFI,5,0),1,0)*Table_NFI[[#This Row],[Jerry Can]],Table_NFI[Jerry Can])</f>
        <v>0</v>
      </c>
      <c r="AM385" s="781" t="str">
        <f>IFERROR(VLOOKUP(Table_NFI[[#This Row],[Camp Name]],CL,2,0),"")</f>
        <v>MMR001CMP039</v>
      </c>
      <c r="AN385" s="782">
        <f ca="1">IF(Table_NFI[[#This Row],[Pcode]]="","",IF(OFFSET(CampList[Opening Date],MATCH(Table_NFI[[#This Row],[Pcode]],CampList[CP_Pcode],0)-1,0,1,1)&gt;=NFI_Monitor_Date,1,0))</f>
        <v>0</v>
      </c>
      <c r="AO385" s="781" t="str">
        <f>IFERROR(VLOOKUP(Table_NFI[[#This Row],[Camp Name]],CL,3,0),"")</f>
        <v>Open</v>
      </c>
      <c r="AP385" s="436" t="str">
        <f ca="1">IF(Table_NFI[[#This Row],[Pcode]]="","",OFFSET(CampList[Priority],MATCH(Table_NFI[[#This Row],[Pcode]],CampList[CP_Pcode],0)-1,0,1,1))</f>
        <v>P4</v>
      </c>
      <c r="AQ385" s="438">
        <f>IFERROR(Table_NFI[[#This Row],[Kitchen Set]]/VLOOKUP(Table_NFI[[#This Row],[Camp Name]],CL,4,0),"")</f>
        <v>0</v>
      </c>
      <c r="AR385" s="779" t="s">
        <v>1099</v>
      </c>
      <c r="AS385" s="783"/>
    </row>
    <row r="386" spans="1:45" s="784" customFormat="1" x14ac:dyDescent="0.25">
      <c r="A386" s="455">
        <f t="shared" si="5"/>
        <v>23.366666666666667</v>
      </c>
      <c r="B386" s="778">
        <v>41608</v>
      </c>
      <c r="C386" s="779" t="s">
        <v>912</v>
      </c>
      <c r="D386" s="779"/>
      <c r="E386" s="779" t="s">
        <v>380</v>
      </c>
      <c r="F386" s="435" t="s">
        <v>185</v>
      </c>
      <c r="G386" s="435" t="s">
        <v>202</v>
      </c>
      <c r="H386" s="436"/>
      <c r="I386" s="436"/>
      <c r="J386" s="436"/>
      <c r="K386" s="436"/>
      <c r="L386" s="437"/>
      <c r="M386" s="437"/>
      <c r="N386" s="437"/>
      <c r="O386" s="437"/>
      <c r="P386" s="439"/>
      <c r="Q386" s="439">
        <v>141</v>
      </c>
      <c r="R386" s="436"/>
      <c r="S386" s="436"/>
      <c r="T386" s="436"/>
      <c r="U386" s="436"/>
      <c r="V386" s="436"/>
      <c r="W386" s="436">
        <f>IF(NFI_Expiration=1,IF($A386&lt;VLOOKUP(H$5,NFI,5,0),1,0)*Table_NFI[[#This Row],[Hygiene Kit]],Table_NFI[Hygiene Kit])</f>
        <v>0</v>
      </c>
      <c r="X386" s="436">
        <f>IF(NFI_Expiration=1,IF($A386&lt;VLOOKUP(I$5,NFI,5,0),1,0)*Table_NFI[[#This Row],[NFI Core Kit]],Table_NFI[NFI Core Kit])</f>
        <v>0</v>
      </c>
      <c r="Y386" s="436">
        <f>IF(NFI_Expiration=1,IF($A386&lt;VLOOKUP(J$5,NFI,5,0),1,0)*Table_NFI[[#This Row],[Sanitary Kit]],Table_NFI[Sanitary Kit])</f>
        <v>0</v>
      </c>
      <c r="Z386" s="436">
        <f>IF(NFI_Expiration=1,IF($A386&lt;VLOOKUP(K$5,NFI,5,0),1,0)*Table_NFI[[#This Row],[Mosquito net]],Table_NFI[Mosquito net])</f>
        <v>0</v>
      </c>
      <c r="AA386" s="436">
        <f>IF(NFI_Expiration=1,IF($A386&lt;VLOOKUP(L$5,NFI,5,0),1,0)*Table_NFI[[#This Row],[Tarpaulin]],Table_NFI[[#This Row],[Tarpaulin]])</f>
        <v>0</v>
      </c>
      <c r="AB386" s="436">
        <f>IF(NFI_Expiration=1,IF($A386&lt;VLOOKUP(M$5,NFI,5,0),1,0)*Table_NFI[[#This Row],[Blanket]],Table_NFI[[#This Row],[Blanket]])</f>
        <v>0</v>
      </c>
      <c r="AC386" s="436">
        <f>IF(NFI_Expiration=1,IF($A386&lt;VLOOKUP(N$5,NFI,5,0),1,0)*Table_NFI[[#This Row],[Kitchen Set]],Table_NFI[Kitchen Set])</f>
        <v>0</v>
      </c>
      <c r="AD386" s="436">
        <f>IF(NFI_Expiration=1,IF($A386&lt;VLOOKUP(O$5,NFI,5,0),1,0)*Table_NFI[[#This Row],[Clothes Kit]],Table_NFI[Clothes Kit])</f>
        <v>0</v>
      </c>
      <c r="AE386" s="436">
        <f>IF(NFI_Expiration=1,IF($A386&lt;VLOOKUP(P$5,NFI,5,0),1,0)*Table_NFI[[#This Row],[Plastic Bucket]],Table_NFI[Plastic Bucket])</f>
        <v>0</v>
      </c>
      <c r="AF386" s="436">
        <f>IF(NFI_Expiration=1,IF($A386&lt;VLOOKUP(Q$5,NFI,5,0),1,0)*Table_NFI[[#This Row],[Plastic Mat]],Table_NFI[Plastic Mat])*IF(Table_NFI[[#This Row],[Distribution Date]]&gt;"2014-04-01",1,2.5)</f>
        <v>0</v>
      </c>
      <c r="AG386" s="436">
        <f>IF(NFI_Expiration=1,IF($A386&lt;VLOOKUP(R$5,NFI,5,0),1,0)*Table_NFI[[#This Row],[Winter Clothes Adult]],Table_NFI[Winter Clothes Adult])</f>
        <v>0</v>
      </c>
      <c r="AH386" s="436">
        <f>IF(NFI_Expiration=1,IF($A386&lt;VLOOKUP(S$5,NFI,5,0),1,0)*Table_NFI[[#This Row],[Winter Clothes Children]],Table_NFI[Winter Clothes Children])</f>
        <v>0</v>
      </c>
      <c r="AI386" s="436">
        <f>IF(NFI_Expiration=1,IF($A386&lt;VLOOKUP(T$5,NFI,5,0),1,0)*Table_NFI[[#This Row],[Winter Items Other]],Table_NFI[Winter Items Other])</f>
        <v>0</v>
      </c>
      <c r="AJ386" s="436">
        <f>IF(NFI_Expiration=1,IF($A386&lt;VLOOKUP(M$5,NFI,5,0),1,0)*Table_NFI[[#This Row],[Winter Blanket]],Table_NFI[[#This Row],[Winter Blanket]])</f>
        <v>0</v>
      </c>
      <c r="AK386" s="436">
        <f>IF(Table_NFI[[#This Row],[Winter Clothes Adult]]+Table_NFI[[#This Row],[Winter Clothes Children]]+Table_NFI[[#This Row],[Winter Items Other]]+Table_NFI[[#This Row],[Winter Blanket]]&gt;0,1,0)</f>
        <v>0</v>
      </c>
      <c r="AL386" s="439">
        <f>IF(NFI_Expiration=1,IF($A386&lt;VLOOKUP(V$5,NFI,5,0),1,0)*Table_NFI[[#This Row],[Jerry Can]],Table_NFI[Jerry Can])</f>
        <v>0</v>
      </c>
      <c r="AM386" s="781" t="str">
        <f>IFERROR(VLOOKUP(Table_NFI[[#This Row],[Camp Name]],CL,2,0),"")</f>
        <v>MMR001CMP062</v>
      </c>
      <c r="AN386" s="782">
        <f ca="1">IF(Table_NFI[[#This Row],[Pcode]]="","",IF(OFFSET(CampList[Opening Date],MATCH(Table_NFI[[#This Row],[Pcode]],CampList[CP_Pcode],0)-1,0,1,1)&gt;=NFI_Monitor_Date,1,0))</f>
        <v>0</v>
      </c>
      <c r="AO386" s="781" t="str">
        <f>IFERROR(VLOOKUP(Table_NFI[[#This Row],[Camp Name]],CL,3,0),"")</f>
        <v>Open</v>
      </c>
      <c r="AP386" s="436" t="str">
        <f ca="1">IF(Table_NFI[[#This Row],[Pcode]]="","",OFFSET(CampList[Priority],MATCH(Table_NFI[[#This Row],[Pcode]],CampList[CP_Pcode],0)-1,0,1,1))</f>
        <v>P4</v>
      </c>
      <c r="AQ386" s="438">
        <f>IFERROR(Table_NFI[[#This Row],[Kitchen Set]]/VLOOKUP(Table_NFI[[#This Row],[Camp Name]],CL,4,0),"")</f>
        <v>0</v>
      </c>
      <c r="AR386" s="779" t="s">
        <v>1099</v>
      </c>
      <c r="AS386" s="783"/>
    </row>
    <row r="387" spans="1:45" s="784" customFormat="1" x14ac:dyDescent="0.25">
      <c r="A387" s="455">
        <f t="shared" si="5"/>
        <v>23.366666666666667</v>
      </c>
      <c r="B387" s="778">
        <v>41608</v>
      </c>
      <c r="C387" s="779" t="s">
        <v>1104</v>
      </c>
      <c r="D387" s="442" t="s">
        <v>951</v>
      </c>
      <c r="E387" s="785" t="s">
        <v>380</v>
      </c>
      <c r="F387" s="779" t="s">
        <v>151</v>
      </c>
      <c r="G387" s="435" t="s">
        <v>160</v>
      </c>
      <c r="H387" s="442"/>
      <c r="I387" s="442"/>
      <c r="J387" s="442"/>
      <c r="K387" s="785"/>
      <c r="L387" s="786"/>
      <c r="M387" s="443">
        <v>347</v>
      </c>
      <c r="N387" s="443"/>
      <c r="O387" s="443"/>
      <c r="P387" s="786"/>
      <c r="Q387" s="443"/>
      <c r="R387" s="442">
        <v>386</v>
      </c>
      <c r="S387" s="442">
        <v>234</v>
      </c>
      <c r="T387" s="442">
        <v>0</v>
      </c>
      <c r="U387" s="442"/>
      <c r="V387" s="442"/>
      <c r="W387" s="436">
        <f>IF(NFI_Expiration=1,IF($A387&lt;VLOOKUP(H$5,NFI,5,0),1,0)*Table_NFI[[#This Row],[Hygiene Kit]],Table_NFI[Hygiene Kit])</f>
        <v>0</v>
      </c>
      <c r="X387" s="436">
        <f>IF(NFI_Expiration=1,IF($A387&lt;VLOOKUP(I$5,NFI,5,0),1,0)*Table_NFI[[#This Row],[NFI Core Kit]],Table_NFI[NFI Core Kit])</f>
        <v>0</v>
      </c>
      <c r="Y387" s="436">
        <f>IF(NFI_Expiration=1,IF($A387&lt;VLOOKUP(J$5,NFI,5,0),1,0)*Table_NFI[[#This Row],[Sanitary Kit]],Table_NFI[Sanitary Kit])</f>
        <v>0</v>
      </c>
      <c r="Z387" s="436">
        <f>IF(NFI_Expiration=1,IF($A387&lt;VLOOKUP(K$5,NFI,5,0),1,0)*Table_NFI[[#This Row],[Mosquito net]],Table_NFI[Mosquito net])</f>
        <v>0</v>
      </c>
      <c r="AA387" s="436">
        <f>IF(NFI_Expiration=1,IF($A387&lt;VLOOKUP(L$5,NFI,5,0),1,0)*Table_NFI[[#This Row],[Tarpaulin]],Table_NFI[[#This Row],[Tarpaulin]])</f>
        <v>0</v>
      </c>
      <c r="AB387" s="436">
        <f>IF(NFI_Expiration=1,IF($A387&lt;VLOOKUP(M$5,NFI,5,0),1,0)*Table_NFI[[#This Row],[Blanket]],Table_NFI[[#This Row],[Blanket]])</f>
        <v>0</v>
      </c>
      <c r="AC387" s="436">
        <f>IF(NFI_Expiration=1,IF($A387&lt;VLOOKUP(N$5,NFI,5,0),1,0)*Table_NFI[[#This Row],[Kitchen Set]],Table_NFI[Kitchen Set])</f>
        <v>0</v>
      </c>
      <c r="AD387" s="436">
        <f>IF(NFI_Expiration=1,IF($A387&lt;VLOOKUP(O$5,NFI,5,0),1,0)*Table_NFI[[#This Row],[Clothes Kit]],Table_NFI[Clothes Kit])</f>
        <v>0</v>
      </c>
      <c r="AE387" s="436">
        <f>IF(NFI_Expiration=1,IF($A387&lt;VLOOKUP(P$5,NFI,5,0),1,0)*Table_NFI[[#This Row],[Plastic Bucket]],Table_NFI[Plastic Bucket])</f>
        <v>0</v>
      </c>
      <c r="AF387" s="436">
        <f>IF(NFI_Expiration=1,IF($A387&lt;VLOOKUP(Q$5,NFI,5,0),1,0)*Table_NFI[[#This Row],[Plastic Mat]],Table_NFI[Plastic Mat])*IF(Table_NFI[[#This Row],[Distribution Date]]&gt;"2014-04-01",1,2.5)</f>
        <v>0</v>
      </c>
      <c r="AG387" s="436">
        <f>IF(NFI_Expiration=1,IF($A387&lt;VLOOKUP(R$5,NFI,5,0),1,0)*Table_NFI[[#This Row],[Winter Clothes Adult]],Table_NFI[Winter Clothes Adult])</f>
        <v>0</v>
      </c>
      <c r="AH387" s="436">
        <f>IF(NFI_Expiration=1,IF($A387&lt;VLOOKUP(S$5,NFI,5,0),1,0)*Table_NFI[[#This Row],[Winter Clothes Children]],Table_NFI[Winter Clothes Children])</f>
        <v>0</v>
      </c>
      <c r="AI387" s="436">
        <f>IF(NFI_Expiration=1,IF($A387&lt;VLOOKUP(T$5,NFI,5,0),1,0)*Table_NFI[[#This Row],[Winter Items Other]],Table_NFI[Winter Items Other])</f>
        <v>0</v>
      </c>
      <c r="AJ387" s="436">
        <f>IF(NFI_Expiration=1,IF($A387&lt;VLOOKUP(M$5,NFI,5,0),1,0)*Table_NFI[[#This Row],[Winter Blanket]],Table_NFI[[#This Row],[Winter Blanket]])</f>
        <v>0</v>
      </c>
      <c r="AK387" s="436">
        <f>IF(Table_NFI[[#This Row],[Winter Clothes Adult]]+Table_NFI[[#This Row],[Winter Clothes Children]]+Table_NFI[[#This Row],[Winter Items Other]]+Table_NFI[[#This Row],[Winter Blanket]]&gt;0,1,0)</f>
        <v>1</v>
      </c>
      <c r="AL387" s="439">
        <f>IF(NFI_Expiration=1,IF($A387&lt;VLOOKUP(V$5,NFI,5,0),1,0)*Table_NFI[[#This Row],[Jerry Can]],Table_NFI[Jerry Can])</f>
        <v>0</v>
      </c>
      <c r="AM387" s="781" t="str">
        <f>IFERROR(VLOOKUP(Table_NFI[[#This Row],[Camp Name]],CL,2,0),"")</f>
        <v>MMR001CMP133</v>
      </c>
      <c r="AN387" s="782">
        <f ca="1">IF(Table_NFI[[#This Row],[Pcode]]="","",IF(OFFSET(CampList[Opening Date],MATCH(Table_NFI[[#This Row],[Pcode]],CampList[CP_Pcode],0)-1,0,1,1)&gt;=NFI_Monitor_Date,1,0))</f>
        <v>0</v>
      </c>
      <c r="AO387" s="781" t="str">
        <f>IFERROR(VLOOKUP(Table_NFI[[#This Row],[Camp Name]],CL,3,0),"")</f>
        <v>Open</v>
      </c>
      <c r="AP387" s="436" t="str">
        <f ca="1">IF(Table_NFI[[#This Row],[Pcode]]="","",OFFSET(CampList[Priority],MATCH(Table_NFI[[#This Row],[Pcode]],CampList[CP_Pcode],0)-1,0,1,1))</f>
        <v>P4</v>
      </c>
      <c r="AQ387" s="438">
        <f>IFERROR(Table_NFI[[#This Row],[Kitchen Set]]/VLOOKUP(Table_NFI[[#This Row],[Camp Name]],CL,4,0),"")</f>
        <v>0</v>
      </c>
      <c r="AR387" s="779" t="s">
        <v>1099</v>
      </c>
      <c r="AS387" s="783"/>
    </row>
    <row r="388" spans="1:45" s="784" customFormat="1" ht="14.45" customHeight="1" x14ac:dyDescent="0.25">
      <c r="A388" s="455">
        <f t="shared" si="5"/>
        <v>23.366666666666667</v>
      </c>
      <c r="B388" s="778">
        <v>41608</v>
      </c>
      <c r="C388" s="779" t="s">
        <v>912</v>
      </c>
      <c r="D388" s="779"/>
      <c r="E388" s="779" t="s">
        <v>380</v>
      </c>
      <c r="F388" s="435" t="s">
        <v>151</v>
      </c>
      <c r="G388" s="435" t="s">
        <v>160</v>
      </c>
      <c r="H388" s="436"/>
      <c r="I388" s="436"/>
      <c r="J388" s="436"/>
      <c r="K388" s="436"/>
      <c r="L388" s="437"/>
      <c r="M388" s="437"/>
      <c r="N388" s="437"/>
      <c r="O388" s="437"/>
      <c r="P388" s="439"/>
      <c r="Q388" s="439">
        <v>444</v>
      </c>
      <c r="R388" s="436"/>
      <c r="S388" s="436"/>
      <c r="T388" s="436"/>
      <c r="U388" s="436"/>
      <c r="V388" s="436"/>
      <c r="W388" s="436">
        <f>IF(NFI_Expiration=1,IF($A388&lt;VLOOKUP(H$5,NFI,5,0),1,0)*Table_NFI[[#This Row],[Hygiene Kit]],Table_NFI[Hygiene Kit])</f>
        <v>0</v>
      </c>
      <c r="X388" s="436">
        <f>IF(NFI_Expiration=1,IF($A388&lt;VLOOKUP(I$5,NFI,5,0),1,0)*Table_NFI[[#This Row],[NFI Core Kit]],Table_NFI[NFI Core Kit])</f>
        <v>0</v>
      </c>
      <c r="Y388" s="436">
        <f>IF(NFI_Expiration=1,IF($A388&lt;VLOOKUP(J$5,NFI,5,0),1,0)*Table_NFI[[#This Row],[Sanitary Kit]],Table_NFI[Sanitary Kit])</f>
        <v>0</v>
      </c>
      <c r="Z388" s="436">
        <f>IF(NFI_Expiration=1,IF($A388&lt;VLOOKUP(K$5,NFI,5,0),1,0)*Table_NFI[[#This Row],[Mosquito net]],Table_NFI[Mosquito net])</f>
        <v>0</v>
      </c>
      <c r="AA388" s="436">
        <f>IF(NFI_Expiration=1,IF($A388&lt;VLOOKUP(L$5,NFI,5,0),1,0)*Table_NFI[[#This Row],[Tarpaulin]],Table_NFI[[#This Row],[Tarpaulin]])</f>
        <v>0</v>
      </c>
      <c r="AB388" s="436">
        <f>IF(NFI_Expiration=1,IF($A388&lt;VLOOKUP(M$5,NFI,5,0),1,0)*Table_NFI[[#This Row],[Blanket]],Table_NFI[[#This Row],[Blanket]])</f>
        <v>0</v>
      </c>
      <c r="AC388" s="436">
        <f>IF(NFI_Expiration=1,IF($A388&lt;VLOOKUP(N$5,NFI,5,0),1,0)*Table_NFI[[#This Row],[Kitchen Set]],Table_NFI[Kitchen Set])</f>
        <v>0</v>
      </c>
      <c r="AD388" s="436">
        <f>IF(NFI_Expiration=1,IF($A388&lt;VLOOKUP(O$5,NFI,5,0),1,0)*Table_NFI[[#This Row],[Clothes Kit]],Table_NFI[Clothes Kit])</f>
        <v>0</v>
      </c>
      <c r="AE388" s="436">
        <f>IF(NFI_Expiration=1,IF($A388&lt;VLOOKUP(P$5,NFI,5,0),1,0)*Table_NFI[[#This Row],[Plastic Bucket]],Table_NFI[Plastic Bucket])</f>
        <v>0</v>
      </c>
      <c r="AF388" s="436">
        <f>IF(NFI_Expiration=1,IF($A388&lt;VLOOKUP(Q$5,NFI,5,0),1,0)*Table_NFI[[#This Row],[Plastic Mat]],Table_NFI[Plastic Mat])*IF(Table_NFI[[#This Row],[Distribution Date]]&gt;"2014-04-01",1,2.5)</f>
        <v>0</v>
      </c>
      <c r="AG388" s="436">
        <f>IF(NFI_Expiration=1,IF($A388&lt;VLOOKUP(R$5,NFI,5,0),1,0)*Table_NFI[[#This Row],[Winter Clothes Adult]],Table_NFI[Winter Clothes Adult])</f>
        <v>0</v>
      </c>
      <c r="AH388" s="436">
        <f>IF(NFI_Expiration=1,IF($A388&lt;VLOOKUP(S$5,NFI,5,0),1,0)*Table_NFI[[#This Row],[Winter Clothes Children]],Table_NFI[Winter Clothes Children])</f>
        <v>0</v>
      </c>
      <c r="AI388" s="436">
        <f>IF(NFI_Expiration=1,IF($A388&lt;VLOOKUP(T$5,NFI,5,0),1,0)*Table_NFI[[#This Row],[Winter Items Other]],Table_NFI[Winter Items Other])</f>
        <v>0</v>
      </c>
      <c r="AJ388" s="436">
        <f>IF(NFI_Expiration=1,IF($A388&lt;VLOOKUP(M$5,NFI,5,0),1,0)*Table_NFI[[#This Row],[Winter Blanket]],Table_NFI[[#This Row],[Winter Blanket]])</f>
        <v>0</v>
      </c>
      <c r="AK388" s="436">
        <f>IF(Table_NFI[[#This Row],[Winter Clothes Adult]]+Table_NFI[[#This Row],[Winter Clothes Children]]+Table_NFI[[#This Row],[Winter Items Other]]+Table_NFI[[#This Row],[Winter Blanket]]&gt;0,1,0)</f>
        <v>0</v>
      </c>
      <c r="AL388" s="439">
        <f>IF(NFI_Expiration=1,IF($A388&lt;VLOOKUP(V$5,NFI,5,0),1,0)*Table_NFI[[#This Row],[Jerry Can]],Table_NFI[Jerry Can])</f>
        <v>0</v>
      </c>
      <c r="AM388" s="781" t="str">
        <f>IFERROR(VLOOKUP(Table_NFI[[#This Row],[Camp Name]],CL,2,0),"")</f>
        <v>MMR001CMP133</v>
      </c>
      <c r="AN388" s="782">
        <f ca="1">IF(Table_NFI[[#This Row],[Pcode]]="","",IF(OFFSET(CampList[Opening Date],MATCH(Table_NFI[[#This Row],[Pcode]],CampList[CP_Pcode],0)-1,0,1,1)&gt;=NFI_Monitor_Date,1,0))</f>
        <v>0</v>
      </c>
      <c r="AO388" s="781" t="str">
        <f>IFERROR(VLOOKUP(Table_NFI[[#This Row],[Camp Name]],CL,3,0),"")</f>
        <v>Open</v>
      </c>
      <c r="AP388" s="436" t="str">
        <f ca="1">IF(Table_NFI[[#This Row],[Pcode]]="","",OFFSET(CampList[Priority],MATCH(Table_NFI[[#This Row],[Pcode]],CampList[CP_Pcode],0)-1,0,1,1))</f>
        <v>P4</v>
      </c>
      <c r="AQ388" s="438">
        <f>IFERROR(Table_NFI[[#This Row],[Kitchen Set]]/VLOOKUP(Table_NFI[[#This Row],[Camp Name]],CL,4,0),"")</f>
        <v>0</v>
      </c>
      <c r="AR388" s="779" t="s">
        <v>1099</v>
      </c>
      <c r="AS388" s="783"/>
    </row>
    <row r="389" spans="1:45" s="784" customFormat="1" x14ac:dyDescent="0.25">
      <c r="A389" s="455">
        <f t="shared" si="5"/>
        <v>23.366666666666667</v>
      </c>
      <c r="B389" s="778">
        <v>41608</v>
      </c>
      <c r="C389" s="779" t="s">
        <v>1104</v>
      </c>
      <c r="D389" s="442" t="s">
        <v>951</v>
      </c>
      <c r="E389" s="785" t="s">
        <v>380</v>
      </c>
      <c r="F389" s="779" t="s">
        <v>151</v>
      </c>
      <c r="G389" s="435" t="s">
        <v>154</v>
      </c>
      <c r="H389" s="442"/>
      <c r="I389" s="442"/>
      <c r="J389" s="442"/>
      <c r="K389" s="785"/>
      <c r="L389" s="786"/>
      <c r="M389" s="443">
        <v>770</v>
      </c>
      <c r="N389" s="443"/>
      <c r="O389" s="443"/>
      <c r="P389" s="786"/>
      <c r="Q389" s="443"/>
      <c r="R389" s="442">
        <v>889</v>
      </c>
      <c r="S389" s="442">
        <v>492</v>
      </c>
      <c r="T389" s="442">
        <v>0</v>
      </c>
      <c r="U389" s="442"/>
      <c r="V389" s="442"/>
      <c r="W389" s="436">
        <f>IF(NFI_Expiration=1,IF($A389&lt;VLOOKUP(H$5,NFI,5,0),1,0)*Table_NFI[[#This Row],[Hygiene Kit]],Table_NFI[Hygiene Kit])</f>
        <v>0</v>
      </c>
      <c r="X389" s="436">
        <f>IF(NFI_Expiration=1,IF($A389&lt;VLOOKUP(I$5,NFI,5,0),1,0)*Table_NFI[[#This Row],[NFI Core Kit]],Table_NFI[NFI Core Kit])</f>
        <v>0</v>
      </c>
      <c r="Y389" s="436">
        <f>IF(NFI_Expiration=1,IF($A389&lt;VLOOKUP(J$5,NFI,5,0),1,0)*Table_NFI[[#This Row],[Sanitary Kit]],Table_NFI[Sanitary Kit])</f>
        <v>0</v>
      </c>
      <c r="Z389" s="436">
        <f>IF(NFI_Expiration=1,IF($A389&lt;VLOOKUP(K$5,NFI,5,0),1,0)*Table_NFI[[#This Row],[Mosquito net]],Table_NFI[Mosquito net])</f>
        <v>0</v>
      </c>
      <c r="AA389" s="436">
        <f>IF(NFI_Expiration=1,IF($A389&lt;VLOOKUP(L$5,NFI,5,0),1,0)*Table_NFI[[#This Row],[Tarpaulin]],Table_NFI[[#This Row],[Tarpaulin]])</f>
        <v>0</v>
      </c>
      <c r="AB389" s="436">
        <f>IF(NFI_Expiration=1,IF($A389&lt;VLOOKUP(M$5,NFI,5,0),1,0)*Table_NFI[[#This Row],[Blanket]],Table_NFI[[#This Row],[Blanket]])</f>
        <v>0</v>
      </c>
      <c r="AC389" s="436">
        <f>IF(NFI_Expiration=1,IF($A389&lt;VLOOKUP(N$5,NFI,5,0),1,0)*Table_NFI[[#This Row],[Kitchen Set]],Table_NFI[Kitchen Set])</f>
        <v>0</v>
      </c>
      <c r="AD389" s="436">
        <f>IF(NFI_Expiration=1,IF($A389&lt;VLOOKUP(O$5,NFI,5,0),1,0)*Table_NFI[[#This Row],[Clothes Kit]],Table_NFI[Clothes Kit])</f>
        <v>0</v>
      </c>
      <c r="AE389" s="436">
        <f>IF(NFI_Expiration=1,IF($A389&lt;VLOOKUP(P$5,NFI,5,0),1,0)*Table_NFI[[#This Row],[Plastic Bucket]],Table_NFI[Plastic Bucket])</f>
        <v>0</v>
      </c>
      <c r="AF389" s="436">
        <f>IF(NFI_Expiration=1,IF($A389&lt;VLOOKUP(Q$5,NFI,5,0),1,0)*Table_NFI[[#This Row],[Plastic Mat]],Table_NFI[Plastic Mat])*IF(Table_NFI[[#This Row],[Distribution Date]]&gt;"2014-04-01",1,2.5)</f>
        <v>0</v>
      </c>
      <c r="AG389" s="436">
        <f>IF(NFI_Expiration=1,IF($A389&lt;VLOOKUP(R$5,NFI,5,0),1,0)*Table_NFI[[#This Row],[Winter Clothes Adult]],Table_NFI[Winter Clothes Adult])</f>
        <v>0</v>
      </c>
      <c r="AH389" s="436">
        <f>IF(NFI_Expiration=1,IF($A389&lt;VLOOKUP(S$5,NFI,5,0),1,0)*Table_NFI[[#This Row],[Winter Clothes Children]],Table_NFI[Winter Clothes Children])</f>
        <v>0</v>
      </c>
      <c r="AI389" s="436">
        <f>IF(NFI_Expiration=1,IF($A389&lt;VLOOKUP(T$5,NFI,5,0),1,0)*Table_NFI[[#This Row],[Winter Items Other]],Table_NFI[Winter Items Other])</f>
        <v>0</v>
      </c>
      <c r="AJ389" s="436">
        <f>IF(NFI_Expiration=1,IF($A389&lt;VLOOKUP(M$5,NFI,5,0),1,0)*Table_NFI[[#This Row],[Winter Blanket]],Table_NFI[[#This Row],[Winter Blanket]])</f>
        <v>0</v>
      </c>
      <c r="AK389" s="436">
        <f>IF(Table_NFI[[#This Row],[Winter Clothes Adult]]+Table_NFI[[#This Row],[Winter Clothes Children]]+Table_NFI[[#This Row],[Winter Items Other]]+Table_NFI[[#This Row],[Winter Blanket]]&gt;0,1,0)</f>
        <v>1</v>
      </c>
      <c r="AL389" s="439">
        <f>IF(NFI_Expiration=1,IF($A389&lt;VLOOKUP(V$5,NFI,5,0),1,0)*Table_NFI[[#This Row],[Jerry Can]],Table_NFI[Jerry Can])</f>
        <v>0</v>
      </c>
      <c r="AM389" s="781" t="str">
        <f>IFERROR(VLOOKUP(Table_NFI[[#This Row],[Camp Name]],CL,2,0),"")</f>
        <v>MMR001CMP132</v>
      </c>
      <c r="AN389" s="782">
        <f ca="1">IF(Table_NFI[[#This Row],[Pcode]]="","",IF(OFFSET(CampList[Opening Date],MATCH(Table_NFI[[#This Row],[Pcode]],CampList[CP_Pcode],0)-1,0,1,1)&gt;=NFI_Monitor_Date,1,0))</f>
        <v>0</v>
      </c>
      <c r="AO389" s="781" t="str">
        <f>IFERROR(VLOOKUP(Table_NFI[[#This Row],[Camp Name]],CL,3,0),"")</f>
        <v>Open</v>
      </c>
      <c r="AP389" s="436" t="str">
        <f ca="1">IF(Table_NFI[[#This Row],[Pcode]]="","",OFFSET(CampList[Priority],MATCH(Table_NFI[[#This Row],[Pcode]],CampList[CP_Pcode],0)-1,0,1,1))</f>
        <v>P4</v>
      </c>
      <c r="AQ389" s="438">
        <f>IFERROR(Table_NFI[[#This Row],[Kitchen Set]]/VLOOKUP(Table_NFI[[#This Row],[Camp Name]],CL,4,0),"")</f>
        <v>0</v>
      </c>
      <c r="AR389" s="779" t="s">
        <v>1099</v>
      </c>
      <c r="AS389" s="783"/>
    </row>
    <row r="390" spans="1:45" s="784" customFormat="1" x14ac:dyDescent="0.25">
      <c r="A390" s="455">
        <f t="shared" ref="A390:A453" si="6">IF(ISBLANK(B390),"",(Report_Date-B390)/30)</f>
        <v>23.366666666666667</v>
      </c>
      <c r="B390" s="778">
        <v>41608</v>
      </c>
      <c r="C390" s="779" t="s">
        <v>912</v>
      </c>
      <c r="D390" s="779"/>
      <c r="E390" s="779" t="s">
        <v>380</v>
      </c>
      <c r="F390" s="435" t="s">
        <v>151</v>
      </c>
      <c r="G390" s="435" t="s">
        <v>154</v>
      </c>
      <c r="H390" s="436"/>
      <c r="I390" s="436"/>
      <c r="J390" s="436"/>
      <c r="K390" s="436"/>
      <c r="L390" s="437"/>
      <c r="M390" s="437"/>
      <c r="N390" s="437"/>
      <c r="O390" s="437"/>
      <c r="P390" s="439"/>
      <c r="Q390" s="439">
        <v>1080</v>
      </c>
      <c r="R390" s="436"/>
      <c r="S390" s="436"/>
      <c r="T390" s="436"/>
      <c r="U390" s="436"/>
      <c r="V390" s="436"/>
      <c r="W390" s="436">
        <f>IF(NFI_Expiration=1,IF($A390&lt;VLOOKUP(H$5,NFI,5,0),1,0)*Table_NFI[[#This Row],[Hygiene Kit]],Table_NFI[Hygiene Kit])</f>
        <v>0</v>
      </c>
      <c r="X390" s="436">
        <f>IF(NFI_Expiration=1,IF($A390&lt;VLOOKUP(I$5,NFI,5,0),1,0)*Table_NFI[[#This Row],[NFI Core Kit]],Table_NFI[NFI Core Kit])</f>
        <v>0</v>
      </c>
      <c r="Y390" s="436">
        <f>IF(NFI_Expiration=1,IF($A390&lt;VLOOKUP(J$5,NFI,5,0),1,0)*Table_NFI[[#This Row],[Sanitary Kit]],Table_NFI[Sanitary Kit])</f>
        <v>0</v>
      </c>
      <c r="Z390" s="436">
        <f>IF(NFI_Expiration=1,IF($A390&lt;VLOOKUP(K$5,NFI,5,0),1,0)*Table_NFI[[#This Row],[Mosquito net]],Table_NFI[Mosquito net])</f>
        <v>0</v>
      </c>
      <c r="AA390" s="436">
        <f>IF(NFI_Expiration=1,IF($A390&lt;VLOOKUP(L$5,NFI,5,0),1,0)*Table_NFI[[#This Row],[Tarpaulin]],Table_NFI[[#This Row],[Tarpaulin]])</f>
        <v>0</v>
      </c>
      <c r="AB390" s="436">
        <f>IF(NFI_Expiration=1,IF($A390&lt;VLOOKUP(M$5,NFI,5,0),1,0)*Table_NFI[[#This Row],[Blanket]],Table_NFI[[#This Row],[Blanket]])</f>
        <v>0</v>
      </c>
      <c r="AC390" s="436">
        <f>IF(NFI_Expiration=1,IF($A390&lt;VLOOKUP(N$5,NFI,5,0),1,0)*Table_NFI[[#This Row],[Kitchen Set]],Table_NFI[Kitchen Set])</f>
        <v>0</v>
      </c>
      <c r="AD390" s="436">
        <f>IF(NFI_Expiration=1,IF($A390&lt;VLOOKUP(O$5,NFI,5,0),1,0)*Table_NFI[[#This Row],[Clothes Kit]],Table_NFI[Clothes Kit])</f>
        <v>0</v>
      </c>
      <c r="AE390" s="436">
        <f>IF(NFI_Expiration=1,IF($A390&lt;VLOOKUP(P$5,NFI,5,0),1,0)*Table_NFI[[#This Row],[Plastic Bucket]],Table_NFI[Plastic Bucket])</f>
        <v>0</v>
      </c>
      <c r="AF390" s="436">
        <f>IF(NFI_Expiration=1,IF($A390&lt;VLOOKUP(Q$5,NFI,5,0),1,0)*Table_NFI[[#This Row],[Plastic Mat]],Table_NFI[Plastic Mat])*IF(Table_NFI[[#This Row],[Distribution Date]]&gt;"2014-04-01",1,2.5)</f>
        <v>0</v>
      </c>
      <c r="AG390" s="436">
        <f>IF(NFI_Expiration=1,IF($A390&lt;VLOOKUP(R$5,NFI,5,0),1,0)*Table_NFI[[#This Row],[Winter Clothes Adult]],Table_NFI[Winter Clothes Adult])</f>
        <v>0</v>
      </c>
      <c r="AH390" s="436">
        <f>IF(NFI_Expiration=1,IF($A390&lt;VLOOKUP(S$5,NFI,5,0),1,0)*Table_NFI[[#This Row],[Winter Clothes Children]],Table_NFI[Winter Clothes Children])</f>
        <v>0</v>
      </c>
      <c r="AI390" s="436">
        <f>IF(NFI_Expiration=1,IF($A390&lt;VLOOKUP(T$5,NFI,5,0),1,0)*Table_NFI[[#This Row],[Winter Items Other]],Table_NFI[Winter Items Other])</f>
        <v>0</v>
      </c>
      <c r="AJ390" s="436">
        <f>IF(NFI_Expiration=1,IF($A390&lt;VLOOKUP(M$5,NFI,5,0),1,0)*Table_NFI[[#This Row],[Winter Blanket]],Table_NFI[[#This Row],[Winter Blanket]])</f>
        <v>0</v>
      </c>
      <c r="AK390" s="436">
        <f>IF(Table_NFI[[#This Row],[Winter Clothes Adult]]+Table_NFI[[#This Row],[Winter Clothes Children]]+Table_NFI[[#This Row],[Winter Items Other]]+Table_NFI[[#This Row],[Winter Blanket]]&gt;0,1,0)</f>
        <v>0</v>
      </c>
      <c r="AL390" s="439">
        <f>IF(NFI_Expiration=1,IF($A390&lt;VLOOKUP(V$5,NFI,5,0),1,0)*Table_NFI[[#This Row],[Jerry Can]],Table_NFI[Jerry Can])</f>
        <v>0</v>
      </c>
      <c r="AM390" s="781" t="str">
        <f>IFERROR(VLOOKUP(Table_NFI[[#This Row],[Camp Name]],CL,2,0),"")</f>
        <v>MMR001CMP132</v>
      </c>
      <c r="AN390" s="782">
        <f ca="1">IF(Table_NFI[[#This Row],[Pcode]]="","",IF(OFFSET(CampList[Opening Date],MATCH(Table_NFI[[#This Row],[Pcode]],CampList[CP_Pcode],0)-1,0,1,1)&gt;=NFI_Monitor_Date,1,0))</f>
        <v>0</v>
      </c>
      <c r="AO390" s="781" t="str">
        <f>IFERROR(VLOOKUP(Table_NFI[[#This Row],[Camp Name]],CL,3,0),"")</f>
        <v>Open</v>
      </c>
      <c r="AP390" s="436" t="str">
        <f ca="1">IF(Table_NFI[[#This Row],[Pcode]]="","",OFFSET(CampList[Priority],MATCH(Table_NFI[[#This Row],[Pcode]],CampList[CP_Pcode],0)-1,0,1,1))</f>
        <v>P4</v>
      </c>
      <c r="AQ390" s="438">
        <f>IFERROR(Table_NFI[[#This Row],[Kitchen Set]]/VLOOKUP(Table_NFI[[#This Row],[Camp Name]],CL,4,0),"")</f>
        <v>0</v>
      </c>
      <c r="AR390" s="779" t="s">
        <v>1099</v>
      </c>
      <c r="AS390" s="783"/>
    </row>
    <row r="391" spans="1:45" s="784" customFormat="1" x14ac:dyDescent="0.25">
      <c r="A391" s="455">
        <f t="shared" si="6"/>
        <v>23.366666666666667</v>
      </c>
      <c r="B391" s="778">
        <v>41608</v>
      </c>
      <c r="C391" s="779" t="s">
        <v>912</v>
      </c>
      <c r="D391" s="779"/>
      <c r="E391" s="779" t="s">
        <v>380</v>
      </c>
      <c r="F391" s="435" t="s">
        <v>151</v>
      </c>
      <c r="G391" s="435" t="s">
        <v>152</v>
      </c>
      <c r="H391" s="436"/>
      <c r="I391" s="436"/>
      <c r="J391" s="436"/>
      <c r="K391" s="436"/>
      <c r="L391" s="437"/>
      <c r="M391" s="437"/>
      <c r="N391" s="437"/>
      <c r="O391" s="437"/>
      <c r="P391" s="439"/>
      <c r="Q391" s="439">
        <v>225</v>
      </c>
      <c r="R391" s="436"/>
      <c r="S391" s="436"/>
      <c r="T391" s="436"/>
      <c r="U391" s="436"/>
      <c r="V391" s="436"/>
      <c r="W391" s="436">
        <f>IF(NFI_Expiration=1,IF($A391&lt;VLOOKUP(H$5,NFI,5,0),1,0)*Table_NFI[[#This Row],[Hygiene Kit]],Table_NFI[Hygiene Kit])</f>
        <v>0</v>
      </c>
      <c r="X391" s="436">
        <f>IF(NFI_Expiration=1,IF($A391&lt;VLOOKUP(I$5,NFI,5,0),1,0)*Table_NFI[[#This Row],[NFI Core Kit]],Table_NFI[NFI Core Kit])</f>
        <v>0</v>
      </c>
      <c r="Y391" s="436">
        <f>IF(NFI_Expiration=1,IF($A391&lt;VLOOKUP(J$5,NFI,5,0),1,0)*Table_NFI[[#This Row],[Sanitary Kit]],Table_NFI[Sanitary Kit])</f>
        <v>0</v>
      </c>
      <c r="Z391" s="436">
        <f>IF(NFI_Expiration=1,IF($A391&lt;VLOOKUP(K$5,NFI,5,0),1,0)*Table_NFI[[#This Row],[Mosquito net]],Table_NFI[Mosquito net])</f>
        <v>0</v>
      </c>
      <c r="AA391" s="436">
        <f>IF(NFI_Expiration=1,IF($A391&lt;VLOOKUP(L$5,NFI,5,0),1,0)*Table_NFI[[#This Row],[Tarpaulin]],Table_NFI[[#This Row],[Tarpaulin]])</f>
        <v>0</v>
      </c>
      <c r="AB391" s="436">
        <f>IF(NFI_Expiration=1,IF($A391&lt;VLOOKUP(M$5,NFI,5,0),1,0)*Table_NFI[[#This Row],[Blanket]],Table_NFI[[#This Row],[Blanket]])</f>
        <v>0</v>
      </c>
      <c r="AC391" s="436">
        <f>IF(NFI_Expiration=1,IF($A391&lt;VLOOKUP(N$5,NFI,5,0),1,0)*Table_NFI[[#This Row],[Kitchen Set]],Table_NFI[Kitchen Set])</f>
        <v>0</v>
      </c>
      <c r="AD391" s="436">
        <f>IF(NFI_Expiration=1,IF($A391&lt;VLOOKUP(O$5,NFI,5,0),1,0)*Table_NFI[[#This Row],[Clothes Kit]],Table_NFI[Clothes Kit])</f>
        <v>0</v>
      </c>
      <c r="AE391" s="436">
        <f>IF(NFI_Expiration=1,IF($A391&lt;VLOOKUP(P$5,NFI,5,0),1,0)*Table_NFI[[#This Row],[Plastic Bucket]],Table_NFI[Plastic Bucket])</f>
        <v>0</v>
      </c>
      <c r="AF391" s="436">
        <f>IF(NFI_Expiration=1,IF($A391&lt;VLOOKUP(Q$5,NFI,5,0),1,0)*Table_NFI[[#This Row],[Plastic Mat]],Table_NFI[Plastic Mat])*IF(Table_NFI[[#This Row],[Distribution Date]]&gt;"2014-04-01",1,2.5)</f>
        <v>0</v>
      </c>
      <c r="AG391" s="436">
        <f>IF(NFI_Expiration=1,IF($A391&lt;VLOOKUP(R$5,NFI,5,0),1,0)*Table_NFI[[#This Row],[Winter Clothes Adult]],Table_NFI[Winter Clothes Adult])</f>
        <v>0</v>
      </c>
      <c r="AH391" s="436">
        <f>IF(NFI_Expiration=1,IF($A391&lt;VLOOKUP(S$5,NFI,5,0),1,0)*Table_NFI[[#This Row],[Winter Clothes Children]],Table_NFI[Winter Clothes Children])</f>
        <v>0</v>
      </c>
      <c r="AI391" s="436">
        <f>IF(NFI_Expiration=1,IF($A391&lt;VLOOKUP(T$5,NFI,5,0),1,0)*Table_NFI[[#This Row],[Winter Items Other]],Table_NFI[Winter Items Other])</f>
        <v>0</v>
      </c>
      <c r="AJ391" s="436">
        <f>IF(NFI_Expiration=1,IF($A391&lt;VLOOKUP(M$5,NFI,5,0),1,0)*Table_NFI[[#This Row],[Winter Blanket]],Table_NFI[[#This Row],[Winter Blanket]])</f>
        <v>0</v>
      </c>
      <c r="AK391" s="436">
        <f>IF(Table_NFI[[#This Row],[Winter Clothes Adult]]+Table_NFI[[#This Row],[Winter Clothes Children]]+Table_NFI[[#This Row],[Winter Items Other]]+Table_NFI[[#This Row],[Winter Blanket]]&gt;0,1,0)</f>
        <v>0</v>
      </c>
      <c r="AL391" s="439">
        <f>IF(NFI_Expiration=1,IF($A391&lt;VLOOKUP(V$5,NFI,5,0),1,0)*Table_NFI[[#This Row],[Jerry Can]],Table_NFI[Jerry Can])</f>
        <v>0</v>
      </c>
      <c r="AM391" s="781" t="str">
        <f>IFERROR(VLOOKUP(Table_NFI[[#This Row],[Camp Name]],CL,2,0),"")</f>
        <v>MMR001CMP066</v>
      </c>
      <c r="AN391" s="782">
        <f ca="1">IF(Table_NFI[[#This Row],[Pcode]]="","",IF(OFFSET(CampList[Opening Date],MATCH(Table_NFI[[#This Row],[Pcode]],CampList[CP_Pcode],0)-1,0,1,1)&gt;=NFI_Monitor_Date,1,0))</f>
        <v>0</v>
      </c>
      <c r="AO391" s="781" t="str">
        <f>IFERROR(VLOOKUP(Table_NFI[[#This Row],[Camp Name]],CL,3,0),"")</f>
        <v>Open</v>
      </c>
      <c r="AP391" s="436" t="str">
        <f ca="1">IF(Table_NFI[[#This Row],[Pcode]]="","",OFFSET(CampList[Priority],MATCH(Table_NFI[[#This Row],[Pcode]],CampList[CP_Pcode],0)-1,0,1,1))</f>
        <v>P4</v>
      </c>
      <c r="AQ391" s="438">
        <f>IFERROR(Table_NFI[[#This Row],[Kitchen Set]]/VLOOKUP(Table_NFI[[#This Row],[Camp Name]],CL,4,0),"")</f>
        <v>0</v>
      </c>
      <c r="AR391" s="779" t="s">
        <v>1099</v>
      </c>
      <c r="AS391" s="783"/>
    </row>
    <row r="392" spans="1:45" s="784" customFormat="1" x14ac:dyDescent="0.25">
      <c r="A392" s="455">
        <f t="shared" si="6"/>
        <v>23.366666666666667</v>
      </c>
      <c r="B392" s="778">
        <v>41608</v>
      </c>
      <c r="C392" s="779" t="s">
        <v>1104</v>
      </c>
      <c r="D392" s="442" t="s">
        <v>951</v>
      </c>
      <c r="E392" s="785" t="s">
        <v>555</v>
      </c>
      <c r="F392" s="435" t="s">
        <v>146</v>
      </c>
      <c r="G392" s="435" t="s">
        <v>368</v>
      </c>
      <c r="H392" s="442"/>
      <c r="I392" s="442"/>
      <c r="J392" s="442"/>
      <c r="K392" s="785"/>
      <c r="L392" s="786"/>
      <c r="M392" s="443">
        <v>258</v>
      </c>
      <c r="N392" s="443"/>
      <c r="O392" s="443"/>
      <c r="P392" s="786"/>
      <c r="Q392" s="443"/>
      <c r="R392" s="442">
        <v>349</v>
      </c>
      <c r="S392" s="442">
        <v>175</v>
      </c>
      <c r="T392" s="442">
        <v>0</v>
      </c>
      <c r="U392" s="442"/>
      <c r="V392" s="442"/>
      <c r="W392" s="436">
        <f>IF(NFI_Expiration=1,IF($A392&lt;VLOOKUP(H$5,NFI,5,0),1,0)*Table_NFI[[#This Row],[Hygiene Kit]],Table_NFI[Hygiene Kit])</f>
        <v>0</v>
      </c>
      <c r="X392" s="436">
        <f>IF(NFI_Expiration=1,IF($A392&lt;VLOOKUP(I$5,NFI,5,0),1,0)*Table_NFI[[#This Row],[NFI Core Kit]],Table_NFI[NFI Core Kit])</f>
        <v>0</v>
      </c>
      <c r="Y392" s="436">
        <f>IF(NFI_Expiration=1,IF($A392&lt;VLOOKUP(J$5,NFI,5,0),1,0)*Table_NFI[[#This Row],[Sanitary Kit]],Table_NFI[Sanitary Kit])</f>
        <v>0</v>
      </c>
      <c r="Z392" s="436">
        <f>IF(NFI_Expiration=1,IF($A392&lt;VLOOKUP(K$5,NFI,5,0),1,0)*Table_NFI[[#This Row],[Mosquito net]],Table_NFI[Mosquito net])</f>
        <v>0</v>
      </c>
      <c r="AA392" s="436">
        <f>IF(NFI_Expiration=1,IF($A392&lt;VLOOKUP(L$5,NFI,5,0),1,0)*Table_NFI[[#This Row],[Tarpaulin]],Table_NFI[[#This Row],[Tarpaulin]])</f>
        <v>0</v>
      </c>
      <c r="AB392" s="436">
        <f>IF(NFI_Expiration=1,IF($A392&lt;VLOOKUP(M$5,NFI,5,0),1,0)*Table_NFI[[#This Row],[Blanket]],Table_NFI[[#This Row],[Blanket]])</f>
        <v>0</v>
      </c>
      <c r="AC392" s="436">
        <f>IF(NFI_Expiration=1,IF($A392&lt;VLOOKUP(N$5,NFI,5,0),1,0)*Table_NFI[[#This Row],[Kitchen Set]],Table_NFI[Kitchen Set])</f>
        <v>0</v>
      </c>
      <c r="AD392" s="436">
        <f>IF(NFI_Expiration=1,IF($A392&lt;VLOOKUP(O$5,NFI,5,0),1,0)*Table_NFI[[#This Row],[Clothes Kit]],Table_NFI[Clothes Kit])</f>
        <v>0</v>
      </c>
      <c r="AE392" s="436">
        <f>IF(NFI_Expiration=1,IF($A392&lt;VLOOKUP(P$5,NFI,5,0),1,0)*Table_NFI[[#This Row],[Plastic Bucket]],Table_NFI[Plastic Bucket])</f>
        <v>0</v>
      </c>
      <c r="AF392" s="436">
        <f>IF(NFI_Expiration=1,IF($A392&lt;VLOOKUP(Q$5,NFI,5,0),1,0)*Table_NFI[[#This Row],[Plastic Mat]],Table_NFI[Plastic Mat])*IF(Table_NFI[[#This Row],[Distribution Date]]&gt;"2014-04-01",1,2.5)</f>
        <v>0</v>
      </c>
      <c r="AG392" s="436">
        <f>IF(NFI_Expiration=1,IF($A392&lt;VLOOKUP(R$5,NFI,5,0),1,0)*Table_NFI[[#This Row],[Winter Clothes Adult]],Table_NFI[Winter Clothes Adult])</f>
        <v>0</v>
      </c>
      <c r="AH392" s="436">
        <f>IF(NFI_Expiration=1,IF($A392&lt;VLOOKUP(S$5,NFI,5,0),1,0)*Table_NFI[[#This Row],[Winter Clothes Children]],Table_NFI[Winter Clothes Children])</f>
        <v>0</v>
      </c>
      <c r="AI392" s="436">
        <f>IF(NFI_Expiration=1,IF($A392&lt;VLOOKUP(T$5,NFI,5,0),1,0)*Table_NFI[[#This Row],[Winter Items Other]],Table_NFI[Winter Items Other])</f>
        <v>0</v>
      </c>
      <c r="AJ392" s="436">
        <f>IF(NFI_Expiration=1,IF($A392&lt;VLOOKUP(M$5,NFI,5,0),1,0)*Table_NFI[[#This Row],[Winter Blanket]],Table_NFI[[#This Row],[Winter Blanket]])</f>
        <v>0</v>
      </c>
      <c r="AK392" s="436">
        <f>IF(Table_NFI[[#This Row],[Winter Clothes Adult]]+Table_NFI[[#This Row],[Winter Clothes Children]]+Table_NFI[[#This Row],[Winter Items Other]]+Table_NFI[[#This Row],[Winter Blanket]]&gt;0,1,0)</f>
        <v>1</v>
      </c>
      <c r="AL392" s="439">
        <f>IF(NFI_Expiration=1,IF($A392&lt;VLOOKUP(V$5,NFI,5,0),1,0)*Table_NFI[[#This Row],[Jerry Can]],Table_NFI[Jerry Can])</f>
        <v>0</v>
      </c>
      <c r="AM392" s="781" t="str">
        <f>IFERROR(VLOOKUP(Table_NFI[[#This Row],[Camp Name]],CL,2,0),"")</f>
        <v>MMR015CMP018</v>
      </c>
      <c r="AN392" s="782">
        <f ca="1">IF(Table_NFI[[#This Row],[Pcode]]="","",IF(OFFSET(CampList[Opening Date],MATCH(Table_NFI[[#This Row],[Pcode]],CampList[CP_Pcode],0)-1,0,1,1)&gt;=NFI_Monitor_Date,1,0))</f>
        <v>0</v>
      </c>
      <c r="AO392" s="781" t="str">
        <f>IFERROR(VLOOKUP(Table_NFI[[#This Row],[Camp Name]],CL,3,0),"")</f>
        <v>Open</v>
      </c>
      <c r="AP392" s="436" t="str">
        <f ca="1">IF(Table_NFI[[#This Row],[Pcode]]="","",OFFSET(CampList[Priority],MATCH(Table_NFI[[#This Row],[Pcode]],CampList[CP_Pcode],0)-1,0,1,1))</f>
        <v>P3</v>
      </c>
      <c r="AQ392" s="438">
        <f>IFERROR(Table_NFI[[#This Row],[Kitchen Set]]/VLOOKUP(Table_NFI[[#This Row],[Camp Name]],CL,4,0),"")</f>
        <v>0</v>
      </c>
      <c r="AR392" s="779" t="s">
        <v>1099</v>
      </c>
      <c r="AS392" s="783"/>
    </row>
    <row r="393" spans="1:45" s="784" customFormat="1" x14ac:dyDescent="0.25">
      <c r="A393" s="455">
        <f t="shared" si="6"/>
        <v>23.366666666666667</v>
      </c>
      <c r="B393" s="778">
        <v>41608</v>
      </c>
      <c r="C393" s="779" t="s">
        <v>912</v>
      </c>
      <c r="D393" s="779"/>
      <c r="E393" s="779" t="s">
        <v>380</v>
      </c>
      <c r="F393" s="435" t="s">
        <v>185</v>
      </c>
      <c r="G393" s="435" t="s">
        <v>209</v>
      </c>
      <c r="H393" s="436"/>
      <c r="I393" s="436"/>
      <c r="J393" s="436"/>
      <c r="K393" s="436"/>
      <c r="L393" s="437"/>
      <c r="M393" s="437"/>
      <c r="N393" s="437"/>
      <c r="O393" s="437"/>
      <c r="P393" s="439"/>
      <c r="Q393" s="439">
        <v>906</v>
      </c>
      <c r="R393" s="436"/>
      <c r="S393" s="436"/>
      <c r="T393" s="436"/>
      <c r="U393" s="436"/>
      <c r="V393" s="436"/>
      <c r="W393" s="436">
        <f>IF(NFI_Expiration=1,IF($A393&lt;VLOOKUP(H$5,NFI,5,0),1,0)*Table_NFI[[#This Row],[Hygiene Kit]],Table_NFI[Hygiene Kit])</f>
        <v>0</v>
      </c>
      <c r="X393" s="436">
        <f>IF(NFI_Expiration=1,IF($A393&lt;VLOOKUP(I$5,NFI,5,0),1,0)*Table_NFI[[#This Row],[NFI Core Kit]],Table_NFI[NFI Core Kit])</f>
        <v>0</v>
      </c>
      <c r="Y393" s="436">
        <f>IF(NFI_Expiration=1,IF($A393&lt;VLOOKUP(J$5,NFI,5,0),1,0)*Table_NFI[[#This Row],[Sanitary Kit]],Table_NFI[Sanitary Kit])</f>
        <v>0</v>
      </c>
      <c r="Z393" s="436">
        <f>IF(NFI_Expiration=1,IF($A393&lt;VLOOKUP(K$5,NFI,5,0),1,0)*Table_NFI[[#This Row],[Mosquito net]],Table_NFI[Mosquito net])</f>
        <v>0</v>
      </c>
      <c r="AA393" s="436">
        <f>IF(NFI_Expiration=1,IF($A393&lt;VLOOKUP(L$5,NFI,5,0),1,0)*Table_NFI[[#This Row],[Tarpaulin]],Table_NFI[[#This Row],[Tarpaulin]])</f>
        <v>0</v>
      </c>
      <c r="AB393" s="436">
        <f>IF(NFI_Expiration=1,IF($A393&lt;VLOOKUP(M$5,NFI,5,0),1,0)*Table_NFI[[#This Row],[Blanket]],Table_NFI[[#This Row],[Blanket]])</f>
        <v>0</v>
      </c>
      <c r="AC393" s="436">
        <f>IF(NFI_Expiration=1,IF($A393&lt;VLOOKUP(N$5,NFI,5,0),1,0)*Table_NFI[[#This Row],[Kitchen Set]],Table_NFI[Kitchen Set])</f>
        <v>0</v>
      </c>
      <c r="AD393" s="436">
        <f>IF(NFI_Expiration=1,IF($A393&lt;VLOOKUP(O$5,NFI,5,0),1,0)*Table_NFI[[#This Row],[Clothes Kit]],Table_NFI[Clothes Kit])</f>
        <v>0</v>
      </c>
      <c r="AE393" s="436">
        <f>IF(NFI_Expiration=1,IF($A393&lt;VLOOKUP(P$5,NFI,5,0),1,0)*Table_NFI[[#This Row],[Plastic Bucket]],Table_NFI[Plastic Bucket])</f>
        <v>0</v>
      </c>
      <c r="AF393" s="436">
        <f>IF(NFI_Expiration=1,IF($A393&lt;VLOOKUP(Q$5,NFI,5,0),1,0)*Table_NFI[[#This Row],[Plastic Mat]],Table_NFI[Plastic Mat])*IF(Table_NFI[[#This Row],[Distribution Date]]&gt;"2014-04-01",1,2.5)</f>
        <v>0</v>
      </c>
      <c r="AG393" s="436">
        <f>IF(NFI_Expiration=1,IF($A393&lt;VLOOKUP(R$5,NFI,5,0),1,0)*Table_NFI[[#This Row],[Winter Clothes Adult]],Table_NFI[Winter Clothes Adult])</f>
        <v>0</v>
      </c>
      <c r="AH393" s="436">
        <f>IF(NFI_Expiration=1,IF($A393&lt;VLOOKUP(S$5,NFI,5,0),1,0)*Table_NFI[[#This Row],[Winter Clothes Children]],Table_NFI[Winter Clothes Children])</f>
        <v>0</v>
      </c>
      <c r="AI393" s="436">
        <f>IF(NFI_Expiration=1,IF($A393&lt;VLOOKUP(T$5,NFI,5,0),1,0)*Table_NFI[[#This Row],[Winter Items Other]],Table_NFI[Winter Items Other])</f>
        <v>0</v>
      </c>
      <c r="AJ393" s="436">
        <f>IF(NFI_Expiration=1,IF($A393&lt;VLOOKUP(M$5,NFI,5,0),1,0)*Table_NFI[[#This Row],[Winter Blanket]],Table_NFI[[#This Row],[Winter Blanket]])</f>
        <v>0</v>
      </c>
      <c r="AK393" s="436">
        <f>IF(Table_NFI[[#This Row],[Winter Clothes Adult]]+Table_NFI[[#This Row],[Winter Clothes Children]]+Table_NFI[[#This Row],[Winter Items Other]]+Table_NFI[[#This Row],[Winter Blanket]]&gt;0,1,0)</f>
        <v>0</v>
      </c>
      <c r="AL393" s="439">
        <f>IF(NFI_Expiration=1,IF($A393&lt;VLOOKUP(V$5,NFI,5,0),1,0)*Table_NFI[[#This Row],[Jerry Can]],Table_NFI[Jerry Can])</f>
        <v>0</v>
      </c>
      <c r="AM393" s="781" t="str">
        <f>IFERROR(VLOOKUP(Table_NFI[[#This Row],[Camp Name]],CL,2,0),"")</f>
        <v>MMR001CMP056</v>
      </c>
      <c r="AN393" s="782">
        <f ca="1">IF(Table_NFI[[#This Row],[Pcode]]="","",IF(OFFSET(CampList[Opening Date],MATCH(Table_NFI[[#This Row],[Pcode]],CampList[CP_Pcode],0)-1,0,1,1)&gt;=NFI_Monitor_Date,1,0))</f>
        <v>0</v>
      </c>
      <c r="AO393" s="781" t="str">
        <f>IFERROR(VLOOKUP(Table_NFI[[#This Row],[Camp Name]],CL,3,0),"")</f>
        <v>Open</v>
      </c>
      <c r="AP393" s="436" t="str">
        <f ca="1">IF(Table_NFI[[#This Row],[Pcode]]="","",OFFSET(CampList[Priority],MATCH(Table_NFI[[#This Row],[Pcode]],CampList[CP_Pcode],0)-1,0,1,1))</f>
        <v>P4</v>
      </c>
      <c r="AQ393" s="438">
        <f>IFERROR(Table_NFI[[#This Row],[Kitchen Set]]/VLOOKUP(Table_NFI[[#This Row],[Camp Name]],CL,4,0),"")</f>
        <v>0</v>
      </c>
      <c r="AR393" s="779" t="s">
        <v>1099</v>
      </c>
      <c r="AS393" s="783"/>
    </row>
    <row r="394" spans="1:45" s="784" customFormat="1" x14ac:dyDescent="0.25">
      <c r="A394" s="455">
        <f t="shared" si="6"/>
        <v>23.366666666666667</v>
      </c>
      <c r="B394" s="778">
        <v>41608</v>
      </c>
      <c r="C394" s="779" t="s">
        <v>912</v>
      </c>
      <c r="D394" s="779"/>
      <c r="E394" s="779" t="s">
        <v>380</v>
      </c>
      <c r="F394" s="435" t="s">
        <v>185</v>
      </c>
      <c r="G394" s="435" t="s">
        <v>211</v>
      </c>
      <c r="H394" s="436"/>
      <c r="I394" s="436"/>
      <c r="J394" s="436"/>
      <c r="K394" s="436"/>
      <c r="L394" s="437"/>
      <c r="M394" s="437"/>
      <c r="N394" s="437"/>
      <c r="O394" s="437"/>
      <c r="P394" s="439"/>
      <c r="Q394" s="439">
        <v>543</v>
      </c>
      <c r="R394" s="436"/>
      <c r="S394" s="436"/>
      <c r="T394" s="436"/>
      <c r="U394" s="436"/>
      <c r="V394" s="436"/>
      <c r="W394" s="436">
        <f>IF(NFI_Expiration=1,IF($A394&lt;VLOOKUP(H$5,NFI,5,0),1,0)*Table_NFI[[#This Row],[Hygiene Kit]],Table_NFI[Hygiene Kit])</f>
        <v>0</v>
      </c>
      <c r="X394" s="436">
        <f>IF(NFI_Expiration=1,IF($A394&lt;VLOOKUP(I$5,NFI,5,0),1,0)*Table_NFI[[#This Row],[NFI Core Kit]],Table_NFI[NFI Core Kit])</f>
        <v>0</v>
      </c>
      <c r="Y394" s="436">
        <f>IF(NFI_Expiration=1,IF($A394&lt;VLOOKUP(J$5,NFI,5,0),1,0)*Table_NFI[[#This Row],[Sanitary Kit]],Table_NFI[Sanitary Kit])</f>
        <v>0</v>
      </c>
      <c r="Z394" s="436">
        <f>IF(NFI_Expiration=1,IF($A394&lt;VLOOKUP(K$5,NFI,5,0),1,0)*Table_NFI[[#This Row],[Mosquito net]],Table_NFI[Mosquito net])</f>
        <v>0</v>
      </c>
      <c r="AA394" s="436">
        <f>IF(NFI_Expiration=1,IF($A394&lt;VLOOKUP(L$5,NFI,5,0),1,0)*Table_NFI[[#This Row],[Tarpaulin]],Table_NFI[[#This Row],[Tarpaulin]])</f>
        <v>0</v>
      </c>
      <c r="AB394" s="436">
        <f>IF(NFI_Expiration=1,IF($A394&lt;VLOOKUP(M$5,NFI,5,0),1,0)*Table_NFI[[#This Row],[Blanket]],Table_NFI[[#This Row],[Blanket]])</f>
        <v>0</v>
      </c>
      <c r="AC394" s="436">
        <f>IF(NFI_Expiration=1,IF($A394&lt;VLOOKUP(N$5,NFI,5,0),1,0)*Table_NFI[[#This Row],[Kitchen Set]],Table_NFI[Kitchen Set])</f>
        <v>0</v>
      </c>
      <c r="AD394" s="436">
        <f>IF(NFI_Expiration=1,IF($A394&lt;VLOOKUP(O$5,NFI,5,0),1,0)*Table_NFI[[#This Row],[Clothes Kit]],Table_NFI[Clothes Kit])</f>
        <v>0</v>
      </c>
      <c r="AE394" s="436">
        <f>IF(NFI_Expiration=1,IF($A394&lt;VLOOKUP(P$5,NFI,5,0),1,0)*Table_NFI[[#This Row],[Plastic Bucket]],Table_NFI[Plastic Bucket])</f>
        <v>0</v>
      </c>
      <c r="AF394" s="436">
        <f>IF(NFI_Expiration=1,IF($A394&lt;VLOOKUP(Q$5,NFI,5,0),1,0)*Table_NFI[[#This Row],[Plastic Mat]],Table_NFI[Plastic Mat])*IF(Table_NFI[[#This Row],[Distribution Date]]&gt;"2014-04-01",1,2.5)</f>
        <v>0</v>
      </c>
      <c r="AG394" s="436">
        <f>IF(NFI_Expiration=1,IF($A394&lt;VLOOKUP(R$5,NFI,5,0),1,0)*Table_NFI[[#This Row],[Winter Clothes Adult]],Table_NFI[Winter Clothes Adult])</f>
        <v>0</v>
      </c>
      <c r="AH394" s="436">
        <f>IF(NFI_Expiration=1,IF($A394&lt;VLOOKUP(S$5,NFI,5,0),1,0)*Table_NFI[[#This Row],[Winter Clothes Children]],Table_NFI[Winter Clothes Children])</f>
        <v>0</v>
      </c>
      <c r="AI394" s="436">
        <f>IF(NFI_Expiration=1,IF($A394&lt;VLOOKUP(T$5,NFI,5,0),1,0)*Table_NFI[[#This Row],[Winter Items Other]],Table_NFI[Winter Items Other])</f>
        <v>0</v>
      </c>
      <c r="AJ394" s="436">
        <f>IF(NFI_Expiration=1,IF($A394&lt;VLOOKUP(M$5,NFI,5,0),1,0)*Table_NFI[[#This Row],[Winter Blanket]],Table_NFI[[#This Row],[Winter Blanket]])</f>
        <v>0</v>
      </c>
      <c r="AK394" s="436">
        <f>IF(Table_NFI[[#This Row],[Winter Clothes Adult]]+Table_NFI[[#This Row],[Winter Clothes Children]]+Table_NFI[[#This Row],[Winter Items Other]]+Table_NFI[[#This Row],[Winter Blanket]]&gt;0,1,0)</f>
        <v>0</v>
      </c>
      <c r="AL394" s="439">
        <f>IF(NFI_Expiration=1,IF($A394&lt;VLOOKUP(V$5,NFI,5,0),1,0)*Table_NFI[[#This Row],[Jerry Can]],Table_NFI[Jerry Can])</f>
        <v>0</v>
      </c>
      <c r="AM394" s="781" t="str">
        <f>IFERROR(VLOOKUP(Table_NFI[[#This Row],[Camp Name]],CL,2,0),"")</f>
        <v>MMR001CMP057</v>
      </c>
      <c r="AN394" s="782">
        <f ca="1">IF(Table_NFI[[#This Row],[Pcode]]="","",IF(OFFSET(CampList[Opening Date],MATCH(Table_NFI[[#This Row],[Pcode]],CampList[CP_Pcode],0)-1,0,1,1)&gt;=NFI_Monitor_Date,1,0))</f>
        <v>0</v>
      </c>
      <c r="AO394" s="781" t="str">
        <f>IFERROR(VLOOKUP(Table_NFI[[#This Row],[Camp Name]],CL,3,0),"")</f>
        <v>Closed</v>
      </c>
      <c r="AP394" s="436" t="str">
        <f ca="1">IF(Table_NFI[[#This Row],[Pcode]]="","",OFFSET(CampList[Priority],MATCH(Table_NFI[[#This Row],[Pcode]],CampList[CP_Pcode],0)-1,0,1,1))</f>
        <v>P4</v>
      </c>
      <c r="AQ394" s="438" t="str">
        <f>IFERROR(Table_NFI[[#This Row],[Kitchen Set]]/VLOOKUP(Table_NFI[[#This Row],[Camp Name]],CL,4,0),"")</f>
        <v/>
      </c>
      <c r="AR394" s="779" t="s">
        <v>1099</v>
      </c>
      <c r="AS394" s="783"/>
    </row>
    <row r="395" spans="1:45" s="784" customFormat="1" x14ac:dyDescent="0.25">
      <c r="A395" s="455">
        <f t="shared" si="6"/>
        <v>23.366666666666667</v>
      </c>
      <c r="B395" s="778">
        <v>41608</v>
      </c>
      <c r="C395" s="779" t="s">
        <v>912</v>
      </c>
      <c r="D395" s="779" t="s">
        <v>462</v>
      </c>
      <c r="E395" s="779" t="s">
        <v>380</v>
      </c>
      <c r="F395" s="435" t="s">
        <v>151</v>
      </c>
      <c r="G395" s="435" t="s">
        <v>164</v>
      </c>
      <c r="H395" s="436"/>
      <c r="I395" s="436"/>
      <c r="J395" s="436"/>
      <c r="K395" s="436"/>
      <c r="L395" s="437"/>
      <c r="M395" s="437"/>
      <c r="N395" s="437"/>
      <c r="O395" s="437"/>
      <c r="P395" s="439"/>
      <c r="Q395" s="439"/>
      <c r="R395" s="436"/>
      <c r="S395" s="436"/>
      <c r="T395" s="436"/>
      <c r="U395" s="436"/>
      <c r="V395" s="436"/>
      <c r="W395" s="436">
        <f>IF(NFI_Expiration=1,IF($A395&lt;VLOOKUP(H$5,NFI,5,0),1,0)*Table_NFI[[#This Row],[Hygiene Kit]],Table_NFI[Hygiene Kit])</f>
        <v>0</v>
      </c>
      <c r="X395" s="436">
        <f>IF(NFI_Expiration=1,IF($A395&lt;VLOOKUP(I$5,NFI,5,0),1,0)*Table_NFI[[#This Row],[NFI Core Kit]],Table_NFI[NFI Core Kit])</f>
        <v>0</v>
      </c>
      <c r="Y395" s="436">
        <f>IF(NFI_Expiration=1,IF($A395&lt;VLOOKUP(J$5,NFI,5,0),1,0)*Table_NFI[[#This Row],[Sanitary Kit]],Table_NFI[Sanitary Kit])</f>
        <v>0</v>
      </c>
      <c r="Z395" s="436">
        <f>IF(NFI_Expiration=1,IF($A395&lt;VLOOKUP(K$5,NFI,5,0),1,0)*Table_NFI[[#This Row],[Mosquito net]],Table_NFI[Mosquito net])</f>
        <v>0</v>
      </c>
      <c r="AA395" s="436">
        <f>IF(NFI_Expiration=1,IF($A395&lt;VLOOKUP(L$5,NFI,5,0),1,0)*Table_NFI[[#This Row],[Tarpaulin]],Table_NFI[[#This Row],[Tarpaulin]])</f>
        <v>0</v>
      </c>
      <c r="AB395" s="436">
        <f>IF(NFI_Expiration=1,IF($A395&lt;VLOOKUP(M$5,NFI,5,0),1,0)*Table_NFI[[#This Row],[Blanket]],Table_NFI[[#This Row],[Blanket]])</f>
        <v>0</v>
      </c>
      <c r="AC395" s="436">
        <f>IF(NFI_Expiration=1,IF($A395&lt;VLOOKUP(N$5,NFI,5,0),1,0)*Table_NFI[[#This Row],[Kitchen Set]],Table_NFI[Kitchen Set])</f>
        <v>0</v>
      </c>
      <c r="AD395" s="436">
        <f>IF(NFI_Expiration=1,IF($A395&lt;VLOOKUP(O$5,NFI,5,0),1,0)*Table_NFI[[#This Row],[Clothes Kit]],Table_NFI[Clothes Kit])</f>
        <v>0</v>
      </c>
      <c r="AE395" s="436">
        <f>IF(NFI_Expiration=1,IF($A395&lt;VLOOKUP(P$5,NFI,5,0),1,0)*Table_NFI[[#This Row],[Plastic Bucket]],Table_NFI[Plastic Bucket])</f>
        <v>0</v>
      </c>
      <c r="AF395" s="436">
        <f>IF(NFI_Expiration=1,IF($A395&lt;VLOOKUP(Q$5,NFI,5,0),1,0)*Table_NFI[[#This Row],[Plastic Mat]],Table_NFI[Plastic Mat])*IF(Table_NFI[[#This Row],[Distribution Date]]&gt;"2014-04-01",1,2.5)</f>
        <v>0</v>
      </c>
      <c r="AG395" s="436">
        <f>IF(NFI_Expiration=1,IF($A395&lt;VLOOKUP(R$5,NFI,5,0),1,0)*Table_NFI[[#This Row],[Winter Clothes Adult]],Table_NFI[Winter Clothes Adult])</f>
        <v>0</v>
      </c>
      <c r="AH395" s="436">
        <f>IF(NFI_Expiration=1,IF($A395&lt;VLOOKUP(S$5,NFI,5,0),1,0)*Table_NFI[[#This Row],[Winter Clothes Children]],Table_NFI[Winter Clothes Children])</f>
        <v>0</v>
      </c>
      <c r="AI395" s="436">
        <f>IF(NFI_Expiration=1,IF($A395&lt;VLOOKUP(T$5,NFI,5,0),1,0)*Table_NFI[[#This Row],[Winter Items Other]],Table_NFI[Winter Items Other])</f>
        <v>0</v>
      </c>
      <c r="AJ395" s="436">
        <f>IF(NFI_Expiration=1,IF($A395&lt;VLOOKUP(M$5,NFI,5,0),1,0)*Table_NFI[[#This Row],[Winter Blanket]],Table_NFI[[#This Row],[Winter Blanket]])</f>
        <v>0</v>
      </c>
      <c r="AK395" s="436">
        <f>IF(Table_NFI[[#This Row],[Winter Clothes Adult]]+Table_NFI[[#This Row],[Winter Clothes Children]]+Table_NFI[[#This Row],[Winter Items Other]]+Table_NFI[[#This Row],[Winter Blanket]]&gt;0,1,0)</f>
        <v>0</v>
      </c>
      <c r="AL395" s="439">
        <f>IF(NFI_Expiration=1,IF($A395&lt;VLOOKUP(V$5,NFI,5,0),1,0)*Table_NFI[[#This Row],[Jerry Can]],Table_NFI[Jerry Can])</f>
        <v>0</v>
      </c>
      <c r="AM395" s="781" t="str">
        <f>IFERROR(VLOOKUP(Table_NFI[[#This Row],[Camp Name]],CL,2,0),"")</f>
        <v>MMR001CMP137</v>
      </c>
      <c r="AN395" s="782">
        <f ca="1">IF(Table_NFI[[#This Row],[Pcode]]="","",IF(OFFSET(CampList[Opening Date],MATCH(Table_NFI[[#This Row],[Pcode]],CampList[CP_Pcode],0)-1,0,1,1)&gt;=NFI_Monitor_Date,1,0))</f>
        <v>0</v>
      </c>
      <c r="AO395" s="781" t="str">
        <f>IFERROR(VLOOKUP(Table_NFI[[#This Row],[Camp Name]],CL,3,0),"")</f>
        <v>Closed</v>
      </c>
      <c r="AP395" s="436" t="str">
        <f ca="1">IF(Table_NFI[[#This Row],[Pcode]]="","",OFFSET(CampList[Priority],MATCH(Table_NFI[[#This Row],[Pcode]],CampList[CP_Pcode],0)-1,0,1,1))</f>
        <v/>
      </c>
      <c r="AQ395" s="438" t="str">
        <f>IFERROR(Table_NFI[[#This Row],[Kitchen Set]]/VLOOKUP(Table_NFI[[#This Row],[Camp Name]],CL,4,0),"")</f>
        <v/>
      </c>
      <c r="AR395" s="779" t="s">
        <v>1099</v>
      </c>
      <c r="AS395" s="783"/>
    </row>
    <row r="396" spans="1:45" s="784" customFormat="1" x14ac:dyDescent="0.25">
      <c r="A396" s="455">
        <f t="shared" si="6"/>
        <v>23.366666666666667</v>
      </c>
      <c r="B396" s="778">
        <v>41608</v>
      </c>
      <c r="C396" s="779" t="s">
        <v>912</v>
      </c>
      <c r="D396" s="779"/>
      <c r="E396" s="779" t="s">
        <v>380</v>
      </c>
      <c r="F396" s="435" t="s">
        <v>5</v>
      </c>
      <c r="G396" s="435" t="s">
        <v>20</v>
      </c>
      <c r="H396" s="436"/>
      <c r="I396" s="436"/>
      <c r="J396" s="436"/>
      <c r="K396" s="436"/>
      <c r="L396" s="437"/>
      <c r="M396" s="437"/>
      <c r="N396" s="437"/>
      <c r="O396" s="437"/>
      <c r="P396" s="439"/>
      <c r="Q396" s="439">
        <v>57</v>
      </c>
      <c r="R396" s="436"/>
      <c r="S396" s="436"/>
      <c r="T396" s="436"/>
      <c r="U396" s="436"/>
      <c r="V396" s="436"/>
      <c r="W396" s="436">
        <f>IF(NFI_Expiration=1,IF($A396&lt;VLOOKUP(H$5,NFI,5,0),1,0)*Table_NFI[[#This Row],[Hygiene Kit]],Table_NFI[Hygiene Kit])</f>
        <v>0</v>
      </c>
      <c r="X396" s="436">
        <f>IF(NFI_Expiration=1,IF($A396&lt;VLOOKUP(I$5,NFI,5,0),1,0)*Table_NFI[[#This Row],[NFI Core Kit]],Table_NFI[NFI Core Kit])</f>
        <v>0</v>
      </c>
      <c r="Y396" s="436">
        <f>IF(NFI_Expiration=1,IF($A396&lt;VLOOKUP(J$5,NFI,5,0),1,0)*Table_NFI[[#This Row],[Sanitary Kit]],Table_NFI[Sanitary Kit])</f>
        <v>0</v>
      </c>
      <c r="Z396" s="436">
        <f>IF(NFI_Expiration=1,IF($A396&lt;VLOOKUP(K$5,NFI,5,0),1,0)*Table_NFI[[#This Row],[Mosquito net]],Table_NFI[Mosquito net])</f>
        <v>0</v>
      </c>
      <c r="AA396" s="436">
        <f>IF(NFI_Expiration=1,IF($A396&lt;VLOOKUP(L$5,NFI,5,0),1,0)*Table_NFI[[#This Row],[Tarpaulin]],Table_NFI[[#This Row],[Tarpaulin]])</f>
        <v>0</v>
      </c>
      <c r="AB396" s="436">
        <f>IF(NFI_Expiration=1,IF($A396&lt;VLOOKUP(M$5,NFI,5,0),1,0)*Table_NFI[[#This Row],[Blanket]],Table_NFI[[#This Row],[Blanket]])</f>
        <v>0</v>
      </c>
      <c r="AC396" s="436">
        <f>IF(NFI_Expiration=1,IF($A396&lt;VLOOKUP(N$5,NFI,5,0),1,0)*Table_NFI[[#This Row],[Kitchen Set]],Table_NFI[Kitchen Set])</f>
        <v>0</v>
      </c>
      <c r="AD396" s="436">
        <f>IF(NFI_Expiration=1,IF($A396&lt;VLOOKUP(O$5,NFI,5,0),1,0)*Table_NFI[[#This Row],[Clothes Kit]],Table_NFI[Clothes Kit])</f>
        <v>0</v>
      </c>
      <c r="AE396" s="436">
        <f>IF(NFI_Expiration=1,IF($A396&lt;VLOOKUP(P$5,NFI,5,0),1,0)*Table_NFI[[#This Row],[Plastic Bucket]],Table_NFI[Plastic Bucket])</f>
        <v>0</v>
      </c>
      <c r="AF396" s="436">
        <f>IF(NFI_Expiration=1,IF($A396&lt;VLOOKUP(Q$5,NFI,5,0),1,0)*Table_NFI[[#This Row],[Plastic Mat]],Table_NFI[Plastic Mat])*IF(Table_NFI[[#This Row],[Distribution Date]]&gt;"2014-04-01",1,2.5)</f>
        <v>0</v>
      </c>
      <c r="AG396" s="436">
        <f>IF(NFI_Expiration=1,IF($A396&lt;VLOOKUP(R$5,NFI,5,0),1,0)*Table_NFI[[#This Row],[Winter Clothes Adult]],Table_NFI[Winter Clothes Adult])</f>
        <v>0</v>
      </c>
      <c r="AH396" s="436">
        <f>IF(NFI_Expiration=1,IF($A396&lt;VLOOKUP(S$5,NFI,5,0),1,0)*Table_NFI[[#This Row],[Winter Clothes Children]],Table_NFI[Winter Clothes Children])</f>
        <v>0</v>
      </c>
      <c r="AI396" s="436">
        <f>IF(NFI_Expiration=1,IF($A396&lt;VLOOKUP(T$5,NFI,5,0),1,0)*Table_NFI[[#This Row],[Winter Items Other]],Table_NFI[Winter Items Other])</f>
        <v>0</v>
      </c>
      <c r="AJ396" s="436">
        <f>IF(NFI_Expiration=1,IF($A396&lt;VLOOKUP(M$5,NFI,5,0),1,0)*Table_NFI[[#This Row],[Winter Blanket]],Table_NFI[[#This Row],[Winter Blanket]])</f>
        <v>0</v>
      </c>
      <c r="AK396" s="436">
        <f>IF(Table_NFI[[#This Row],[Winter Clothes Adult]]+Table_NFI[[#This Row],[Winter Clothes Children]]+Table_NFI[[#This Row],[Winter Items Other]]+Table_NFI[[#This Row],[Winter Blanket]]&gt;0,1,0)</f>
        <v>0</v>
      </c>
      <c r="AL396" s="439">
        <f>IF(NFI_Expiration=1,IF($A396&lt;VLOOKUP(V$5,NFI,5,0),1,0)*Table_NFI[[#This Row],[Jerry Can]],Table_NFI[Jerry Can])</f>
        <v>0</v>
      </c>
      <c r="AM396" s="781" t="str">
        <f>IFERROR(VLOOKUP(Table_NFI[[#This Row],[Camp Name]],CL,2,0),"")</f>
        <v>MMR001CMP054</v>
      </c>
      <c r="AN396" s="782">
        <f ca="1">IF(Table_NFI[[#This Row],[Pcode]]="","",IF(OFFSET(CampList[Opening Date],MATCH(Table_NFI[[#This Row],[Pcode]],CampList[CP_Pcode],0)-1,0,1,1)&gt;=NFI_Monitor_Date,1,0))</f>
        <v>0</v>
      </c>
      <c r="AO396" s="781" t="str">
        <f>IFERROR(VLOOKUP(Table_NFI[[#This Row],[Camp Name]],CL,3,0),"")</f>
        <v>Open</v>
      </c>
      <c r="AP396" s="436" t="str">
        <f ca="1">IF(Table_NFI[[#This Row],[Pcode]]="","",OFFSET(CampList[Priority],MATCH(Table_NFI[[#This Row],[Pcode]],CampList[CP_Pcode],0)-1,0,1,1))</f>
        <v>P4</v>
      </c>
      <c r="AQ396" s="438">
        <f>IFERROR(Table_NFI[[#This Row],[Kitchen Set]]/VLOOKUP(Table_NFI[[#This Row],[Camp Name]],CL,4,0),"")</f>
        <v>0</v>
      </c>
      <c r="AR396" s="779" t="s">
        <v>1099</v>
      </c>
      <c r="AS396" s="783"/>
    </row>
    <row r="397" spans="1:45" s="784" customFormat="1" x14ac:dyDescent="0.25">
      <c r="A397" s="455">
        <f t="shared" si="6"/>
        <v>23.366666666666667</v>
      </c>
      <c r="B397" s="778">
        <v>41608</v>
      </c>
      <c r="C397" s="779" t="s">
        <v>1104</v>
      </c>
      <c r="D397" s="442" t="s">
        <v>951</v>
      </c>
      <c r="E397" s="785" t="s">
        <v>555</v>
      </c>
      <c r="F397" s="435" t="s">
        <v>784</v>
      </c>
      <c r="G397" s="435" t="s">
        <v>596</v>
      </c>
      <c r="H397" s="442"/>
      <c r="I397" s="442"/>
      <c r="J397" s="442"/>
      <c r="K397" s="785"/>
      <c r="L397" s="786"/>
      <c r="M397" s="443">
        <v>201</v>
      </c>
      <c r="N397" s="443"/>
      <c r="O397" s="443"/>
      <c r="P397" s="786"/>
      <c r="Q397" s="443"/>
      <c r="R397" s="442">
        <v>266</v>
      </c>
      <c r="S397" s="442">
        <v>126</v>
      </c>
      <c r="T397" s="442">
        <v>0</v>
      </c>
      <c r="U397" s="442"/>
      <c r="V397" s="442"/>
      <c r="W397" s="436">
        <f>IF(NFI_Expiration=1,IF($A397&lt;VLOOKUP(H$5,NFI,5,0),1,0)*Table_NFI[[#This Row],[Hygiene Kit]],Table_NFI[Hygiene Kit])</f>
        <v>0</v>
      </c>
      <c r="X397" s="436">
        <f>IF(NFI_Expiration=1,IF($A397&lt;VLOOKUP(I$5,NFI,5,0),1,0)*Table_NFI[[#This Row],[NFI Core Kit]],Table_NFI[NFI Core Kit])</f>
        <v>0</v>
      </c>
      <c r="Y397" s="436">
        <f>IF(NFI_Expiration=1,IF($A397&lt;VLOOKUP(J$5,NFI,5,0),1,0)*Table_NFI[[#This Row],[Sanitary Kit]],Table_NFI[Sanitary Kit])</f>
        <v>0</v>
      </c>
      <c r="Z397" s="436">
        <f>IF(NFI_Expiration=1,IF($A397&lt;VLOOKUP(K$5,NFI,5,0),1,0)*Table_NFI[[#This Row],[Mosquito net]],Table_NFI[Mosquito net])</f>
        <v>0</v>
      </c>
      <c r="AA397" s="436">
        <f>IF(NFI_Expiration=1,IF($A397&lt;VLOOKUP(L$5,NFI,5,0),1,0)*Table_NFI[[#This Row],[Tarpaulin]],Table_NFI[[#This Row],[Tarpaulin]])</f>
        <v>0</v>
      </c>
      <c r="AB397" s="436">
        <f>IF(NFI_Expiration=1,IF($A397&lt;VLOOKUP(M$5,NFI,5,0),1,0)*Table_NFI[[#This Row],[Blanket]],Table_NFI[[#This Row],[Blanket]])</f>
        <v>0</v>
      </c>
      <c r="AC397" s="436">
        <f>IF(NFI_Expiration=1,IF($A397&lt;VLOOKUP(N$5,NFI,5,0),1,0)*Table_NFI[[#This Row],[Kitchen Set]],Table_NFI[Kitchen Set])</f>
        <v>0</v>
      </c>
      <c r="AD397" s="436">
        <f>IF(NFI_Expiration=1,IF($A397&lt;VLOOKUP(O$5,NFI,5,0),1,0)*Table_NFI[[#This Row],[Clothes Kit]],Table_NFI[Clothes Kit])</f>
        <v>0</v>
      </c>
      <c r="AE397" s="436">
        <f>IF(NFI_Expiration=1,IF($A397&lt;VLOOKUP(P$5,NFI,5,0),1,0)*Table_NFI[[#This Row],[Plastic Bucket]],Table_NFI[Plastic Bucket])</f>
        <v>0</v>
      </c>
      <c r="AF397" s="436">
        <f>IF(NFI_Expiration=1,IF($A397&lt;VLOOKUP(Q$5,NFI,5,0),1,0)*Table_NFI[[#This Row],[Plastic Mat]],Table_NFI[Plastic Mat])*IF(Table_NFI[[#This Row],[Distribution Date]]&gt;"2014-04-01",1,2.5)</f>
        <v>0</v>
      </c>
      <c r="AG397" s="436">
        <f>IF(NFI_Expiration=1,IF($A397&lt;VLOOKUP(R$5,NFI,5,0),1,0)*Table_NFI[[#This Row],[Winter Clothes Adult]],Table_NFI[Winter Clothes Adult])</f>
        <v>0</v>
      </c>
      <c r="AH397" s="436">
        <f>IF(NFI_Expiration=1,IF($A397&lt;VLOOKUP(S$5,NFI,5,0),1,0)*Table_NFI[[#This Row],[Winter Clothes Children]],Table_NFI[Winter Clothes Children])</f>
        <v>0</v>
      </c>
      <c r="AI397" s="436">
        <f>IF(NFI_Expiration=1,IF($A397&lt;VLOOKUP(T$5,NFI,5,0),1,0)*Table_NFI[[#This Row],[Winter Items Other]],Table_NFI[Winter Items Other])</f>
        <v>0</v>
      </c>
      <c r="AJ397" s="436">
        <f>IF(NFI_Expiration=1,IF($A397&lt;VLOOKUP(M$5,NFI,5,0),1,0)*Table_NFI[[#This Row],[Winter Blanket]],Table_NFI[[#This Row],[Winter Blanket]])</f>
        <v>0</v>
      </c>
      <c r="AK397" s="436">
        <f>IF(Table_NFI[[#This Row],[Winter Clothes Adult]]+Table_NFI[[#This Row],[Winter Clothes Children]]+Table_NFI[[#This Row],[Winter Items Other]]+Table_NFI[[#This Row],[Winter Blanket]]&gt;0,1,0)</f>
        <v>1</v>
      </c>
      <c r="AL397" s="439">
        <f>IF(NFI_Expiration=1,IF($A397&lt;VLOOKUP(V$5,NFI,5,0),1,0)*Table_NFI[[#This Row],[Jerry Can]],Table_NFI[Jerry Can])</f>
        <v>0</v>
      </c>
      <c r="AM397" s="781" t="str">
        <f>IFERROR(VLOOKUP(Table_NFI[[#This Row],[Camp Name]],CL,2,0),"")</f>
        <v>MMR015CMP207</v>
      </c>
      <c r="AN397" s="782">
        <f ca="1">IF(Table_NFI[[#This Row],[Pcode]]="","",IF(OFFSET(CampList[Opening Date],MATCH(Table_NFI[[#This Row],[Pcode]],CampList[CP_Pcode],0)-1,0,1,1)&gt;=NFI_Monitor_Date,1,0))</f>
        <v>0</v>
      </c>
      <c r="AO397" s="781" t="str">
        <f>IFERROR(VLOOKUP(Table_NFI[[#This Row],[Camp Name]],CL,3,0),"")</f>
        <v>Open</v>
      </c>
      <c r="AP397" s="436" t="str">
        <f ca="1">IF(Table_NFI[[#This Row],[Pcode]]="","",OFFSET(CampList[Priority],MATCH(Table_NFI[[#This Row],[Pcode]],CampList[CP_Pcode],0)-1,0,1,1))</f>
        <v>P4</v>
      </c>
      <c r="AQ397" s="438">
        <f>IFERROR(Table_NFI[[#This Row],[Kitchen Set]]/VLOOKUP(Table_NFI[[#This Row],[Camp Name]],CL,4,0),"")</f>
        <v>0</v>
      </c>
      <c r="AR397" s="779" t="s">
        <v>1099</v>
      </c>
      <c r="AS397" s="783"/>
    </row>
    <row r="398" spans="1:45" s="784" customFormat="1" x14ac:dyDescent="0.25">
      <c r="A398" s="455">
        <f t="shared" si="6"/>
        <v>23.366666666666667</v>
      </c>
      <c r="B398" s="778">
        <v>41608</v>
      </c>
      <c r="C398" s="779" t="s">
        <v>912</v>
      </c>
      <c r="D398" s="779" t="s">
        <v>1009</v>
      </c>
      <c r="E398" s="779" t="s">
        <v>380</v>
      </c>
      <c r="F398" s="435" t="s">
        <v>185</v>
      </c>
      <c r="G398" s="435" t="s">
        <v>215</v>
      </c>
      <c r="H398" s="436"/>
      <c r="I398" s="436"/>
      <c r="J398" s="436"/>
      <c r="K398" s="436"/>
      <c r="L398" s="437"/>
      <c r="M398" s="437"/>
      <c r="N398" s="437"/>
      <c r="O398" s="437"/>
      <c r="P398" s="439"/>
      <c r="Q398" s="439"/>
      <c r="R398" s="436"/>
      <c r="S398" s="436"/>
      <c r="T398" s="436"/>
      <c r="U398" s="436"/>
      <c r="V398" s="436"/>
      <c r="W398" s="436">
        <f>IF(NFI_Expiration=1,IF($A398&lt;VLOOKUP(H$5,NFI,5,0),1,0)*Table_NFI[[#This Row],[Hygiene Kit]],Table_NFI[Hygiene Kit])</f>
        <v>0</v>
      </c>
      <c r="X398" s="436">
        <f>IF(NFI_Expiration=1,IF($A398&lt;VLOOKUP(I$5,NFI,5,0),1,0)*Table_NFI[[#This Row],[NFI Core Kit]],Table_NFI[NFI Core Kit])</f>
        <v>0</v>
      </c>
      <c r="Y398" s="436">
        <f>IF(NFI_Expiration=1,IF($A398&lt;VLOOKUP(J$5,NFI,5,0),1,0)*Table_NFI[[#This Row],[Sanitary Kit]],Table_NFI[Sanitary Kit])</f>
        <v>0</v>
      </c>
      <c r="Z398" s="436">
        <f>IF(NFI_Expiration=1,IF($A398&lt;VLOOKUP(K$5,NFI,5,0),1,0)*Table_NFI[[#This Row],[Mosquito net]],Table_NFI[Mosquito net])</f>
        <v>0</v>
      </c>
      <c r="AA398" s="436">
        <f>IF(NFI_Expiration=1,IF($A398&lt;VLOOKUP(L$5,NFI,5,0),1,0)*Table_NFI[[#This Row],[Tarpaulin]],Table_NFI[[#This Row],[Tarpaulin]])</f>
        <v>0</v>
      </c>
      <c r="AB398" s="436">
        <f>IF(NFI_Expiration=1,IF($A398&lt;VLOOKUP(M$5,NFI,5,0),1,0)*Table_NFI[[#This Row],[Blanket]],Table_NFI[[#This Row],[Blanket]])</f>
        <v>0</v>
      </c>
      <c r="AC398" s="436">
        <f>IF(NFI_Expiration=1,IF($A398&lt;VLOOKUP(N$5,NFI,5,0),1,0)*Table_NFI[[#This Row],[Kitchen Set]],Table_NFI[Kitchen Set])</f>
        <v>0</v>
      </c>
      <c r="AD398" s="436">
        <f>IF(NFI_Expiration=1,IF($A398&lt;VLOOKUP(O$5,NFI,5,0),1,0)*Table_NFI[[#This Row],[Clothes Kit]],Table_NFI[Clothes Kit])</f>
        <v>0</v>
      </c>
      <c r="AE398" s="436">
        <f>IF(NFI_Expiration=1,IF($A398&lt;VLOOKUP(P$5,NFI,5,0),1,0)*Table_NFI[[#This Row],[Plastic Bucket]],Table_NFI[Plastic Bucket])</f>
        <v>0</v>
      </c>
      <c r="AF398" s="436">
        <f>IF(NFI_Expiration=1,IF($A398&lt;VLOOKUP(Q$5,NFI,5,0),1,0)*Table_NFI[[#This Row],[Plastic Mat]],Table_NFI[Plastic Mat])*IF(Table_NFI[[#This Row],[Distribution Date]]&gt;"2014-04-01",1,2.5)</f>
        <v>0</v>
      </c>
      <c r="AG398" s="436">
        <f>IF(NFI_Expiration=1,IF($A398&lt;VLOOKUP(R$5,NFI,5,0),1,0)*Table_NFI[[#This Row],[Winter Clothes Adult]],Table_NFI[Winter Clothes Adult])</f>
        <v>0</v>
      </c>
      <c r="AH398" s="436">
        <f>IF(NFI_Expiration=1,IF($A398&lt;VLOOKUP(S$5,NFI,5,0),1,0)*Table_NFI[[#This Row],[Winter Clothes Children]],Table_NFI[Winter Clothes Children])</f>
        <v>0</v>
      </c>
      <c r="AI398" s="436">
        <f>IF(NFI_Expiration=1,IF($A398&lt;VLOOKUP(T$5,NFI,5,0),1,0)*Table_NFI[[#This Row],[Winter Items Other]],Table_NFI[Winter Items Other])</f>
        <v>0</v>
      </c>
      <c r="AJ398" s="436">
        <f>IF(NFI_Expiration=1,IF($A398&lt;VLOOKUP(M$5,NFI,5,0),1,0)*Table_NFI[[#This Row],[Winter Blanket]],Table_NFI[[#This Row],[Winter Blanket]])</f>
        <v>0</v>
      </c>
      <c r="AK398" s="436">
        <f>IF(Table_NFI[[#This Row],[Winter Clothes Adult]]+Table_NFI[[#This Row],[Winter Clothes Children]]+Table_NFI[[#This Row],[Winter Items Other]]+Table_NFI[[#This Row],[Winter Blanket]]&gt;0,1,0)</f>
        <v>0</v>
      </c>
      <c r="AL398" s="439">
        <f>IF(NFI_Expiration=1,IF($A398&lt;VLOOKUP(V$5,NFI,5,0),1,0)*Table_NFI[[#This Row],[Jerry Can]],Table_NFI[Jerry Can])</f>
        <v>0</v>
      </c>
      <c r="AM398" s="781" t="str">
        <f>IFERROR(VLOOKUP(Table_NFI[[#This Row],[Camp Name]],CL,2,0),"")</f>
        <v>MMR001CMP131</v>
      </c>
      <c r="AN398" s="782">
        <f ca="1">IF(Table_NFI[[#This Row],[Pcode]]="","",IF(OFFSET(CampList[Opening Date],MATCH(Table_NFI[[#This Row],[Pcode]],CampList[CP_Pcode],0)-1,0,1,1)&gt;=NFI_Monitor_Date,1,0))</f>
        <v>0</v>
      </c>
      <c r="AO398" s="781" t="str">
        <f>IFERROR(VLOOKUP(Table_NFI[[#This Row],[Camp Name]],CL,3,0),"")</f>
        <v>Open</v>
      </c>
      <c r="AP398" s="436" t="str">
        <f ca="1">IF(Table_NFI[[#This Row],[Pcode]]="","",OFFSET(CampList[Priority],MATCH(Table_NFI[[#This Row],[Pcode]],CampList[CP_Pcode],0)-1,0,1,1))</f>
        <v>P1</v>
      </c>
      <c r="AQ398" s="438">
        <f>IFERROR(Table_NFI[[#This Row],[Kitchen Set]]/VLOOKUP(Table_NFI[[#This Row],[Camp Name]],CL,4,0),"")</f>
        <v>0</v>
      </c>
      <c r="AR398" s="779" t="s">
        <v>1099</v>
      </c>
      <c r="AS398" s="783"/>
    </row>
    <row r="399" spans="1:45" s="784" customFormat="1" x14ac:dyDescent="0.25">
      <c r="A399" s="455">
        <f t="shared" si="6"/>
        <v>23.366666666666667</v>
      </c>
      <c r="B399" s="778">
        <v>41608</v>
      </c>
      <c r="C399" s="779" t="s">
        <v>912</v>
      </c>
      <c r="D399" s="779"/>
      <c r="E399" s="779" t="s">
        <v>380</v>
      </c>
      <c r="F399" s="435" t="s">
        <v>185</v>
      </c>
      <c r="G399" s="435" t="s">
        <v>217</v>
      </c>
      <c r="H399" s="436"/>
      <c r="I399" s="436"/>
      <c r="J399" s="436"/>
      <c r="K399" s="436"/>
      <c r="L399" s="437"/>
      <c r="M399" s="437"/>
      <c r="N399" s="437"/>
      <c r="O399" s="437"/>
      <c r="P399" s="439"/>
      <c r="Q399" s="439">
        <v>60</v>
      </c>
      <c r="R399" s="436"/>
      <c r="S399" s="436"/>
      <c r="T399" s="436"/>
      <c r="U399" s="436"/>
      <c r="V399" s="436"/>
      <c r="W399" s="436">
        <f>IF(NFI_Expiration=1,IF($A399&lt;VLOOKUP(H$5,NFI,5,0),1,0)*Table_NFI[[#This Row],[Hygiene Kit]],Table_NFI[Hygiene Kit])</f>
        <v>0</v>
      </c>
      <c r="X399" s="436">
        <f>IF(NFI_Expiration=1,IF($A399&lt;VLOOKUP(I$5,NFI,5,0),1,0)*Table_NFI[[#This Row],[NFI Core Kit]],Table_NFI[NFI Core Kit])</f>
        <v>0</v>
      </c>
      <c r="Y399" s="436">
        <f>IF(NFI_Expiration=1,IF($A399&lt;VLOOKUP(J$5,NFI,5,0),1,0)*Table_NFI[[#This Row],[Sanitary Kit]],Table_NFI[Sanitary Kit])</f>
        <v>0</v>
      </c>
      <c r="Z399" s="436">
        <f>IF(NFI_Expiration=1,IF($A399&lt;VLOOKUP(K$5,NFI,5,0),1,0)*Table_NFI[[#This Row],[Mosquito net]],Table_NFI[Mosquito net])</f>
        <v>0</v>
      </c>
      <c r="AA399" s="436">
        <f>IF(NFI_Expiration=1,IF($A399&lt;VLOOKUP(L$5,NFI,5,0),1,0)*Table_NFI[[#This Row],[Tarpaulin]],Table_NFI[[#This Row],[Tarpaulin]])</f>
        <v>0</v>
      </c>
      <c r="AB399" s="436">
        <f>IF(NFI_Expiration=1,IF($A399&lt;VLOOKUP(M$5,NFI,5,0),1,0)*Table_NFI[[#This Row],[Blanket]],Table_NFI[[#This Row],[Blanket]])</f>
        <v>0</v>
      </c>
      <c r="AC399" s="436">
        <f>IF(NFI_Expiration=1,IF($A399&lt;VLOOKUP(N$5,NFI,5,0),1,0)*Table_NFI[[#This Row],[Kitchen Set]],Table_NFI[Kitchen Set])</f>
        <v>0</v>
      </c>
      <c r="AD399" s="436">
        <f>IF(NFI_Expiration=1,IF($A399&lt;VLOOKUP(O$5,NFI,5,0),1,0)*Table_NFI[[#This Row],[Clothes Kit]],Table_NFI[Clothes Kit])</f>
        <v>0</v>
      </c>
      <c r="AE399" s="436">
        <f>IF(NFI_Expiration=1,IF($A399&lt;VLOOKUP(P$5,NFI,5,0),1,0)*Table_NFI[[#This Row],[Plastic Bucket]],Table_NFI[Plastic Bucket])</f>
        <v>0</v>
      </c>
      <c r="AF399" s="436">
        <f>IF(NFI_Expiration=1,IF($A399&lt;VLOOKUP(Q$5,NFI,5,0),1,0)*Table_NFI[[#This Row],[Plastic Mat]],Table_NFI[Plastic Mat])*IF(Table_NFI[[#This Row],[Distribution Date]]&gt;"2014-04-01",1,2.5)</f>
        <v>0</v>
      </c>
      <c r="AG399" s="436">
        <f>IF(NFI_Expiration=1,IF($A399&lt;VLOOKUP(R$5,NFI,5,0),1,0)*Table_NFI[[#This Row],[Winter Clothes Adult]],Table_NFI[Winter Clothes Adult])</f>
        <v>0</v>
      </c>
      <c r="AH399" s="436">
        <f>IF(NFI_Expiration=1,IF($A399&lt;VLOOKUP(S$5,NFI,5,0),1,0)*Table_NFI[[#This Row],[Winter Clothes Children]],Table_NFI[Winter Clothes Children])</f>
        <v>0</v>
      </c>
      <c r="AI399" s="436">
        <f>IF(NFI_Expiration=1,IF($A399&lt;VLOOKUP(T$5,NFI,5,0),1,0)*Table_NFI[[#This Row],[Winter Items Other]],Table_NFI[Winter Items Other])</f>
        <v>0</v>
      </c>
      <c r="AJ399" s="436">
        <f>IF(NFI_Expiration=1,IF($A399&lt;VLOOKUP(M$5,NFI,5,0),1,0)*Table_NFI[[#This Row],[Winter Blanket]],Table_NFI[[#This Row],[Winter Blanket]])</f>
        <v>0</v>
      </c>
      <c r="AK399" s="436">
        <f>IF(Table_NFI[[#This Row],[Winter Clothes Adult]]+Table_NFI[[#This Row],[Winter Clothes Children]]+Table_NFI[[#This Row],[Winter Items Other]]+Table_NFI[[#This Row],[Winter Blanket]]&gt;0,1,0)</f>
        <v>0</v>
      </c>
      <c r="AL399" s="439">
        <f>IF(NFI_Expiration=1,IF($A399&lt;VLOOKUP(V$5,NFI,5,0),1,0)*Table_NFI[[#This Row],[Jerry Can]],Table_NFI[Jerry Can])</f>
        <v>0</v>
      </c>
      <c r="AM399" s="781" t="str">
        <f>IFERROR(VLOOKUP(Table_NFI[[#This Row],[Camp Name]],CL,2,0),"")</f>
        <v>MMR001CMP059</v>
      </c>
      <c r="AN399" s="782">
        <f ca="1">IF(Table_NFI[[#This Row],[Pcode]]="","",IF(OFFSET(CampList[Opening Date],MATCH(Table_NFI[[#This Row],[Pcode]],CampList[CP_Pcode],0)-1,0,1,1)&gt;=NFI_Monitor_Date,1,0))</f>
        <v>0</v>
      </c>
      <c r="AO399" s="781" t="str">
        <f>IFERROR(VLOOKUP(Table_NFI[[#This Row],[Camp Name]],CL,3,0),"")</f>
        <v>Open</v>
      </c>
      <c r="AP399" s="436" t="str">
        <f ca="1">IF(Table_NFI[[#This Row],[Pcode]]="","",OFFSET(CampList[Priority],MATCH(Table_NFI[[#This Row],[Pcode]],CampList[CP_Pcode],0)-1,0,1,1))</f>
        <v>P4</v>
      </c>
      <c r="AQ399" s="438">
        <f>IFERROR(Table_NFI[[#This Row],[Kitchen Set]]/VLOOKUP(Table_NFI[[#This Row],[Camp Name]],CL,4,0),"")</f>
        <v>0</v>
      </c>
      <c r="AR399" s="779" t="s">
        <v>1099</v>
      </c>
      <c r="AS399" s="783"/>
    </row>
    <row r="400" spans="1:45" s="784" customFormat="1" x14ac:dyDescent="0.25">
      <c r="A400" s="455">
        <f t="shared" si="6"/>
        <v>23.366666666666667</v>
      </c>
      <c r="B400" s="778">
        <v>41608</v>
      </c>
      <c r="C400" s="779" t="s">
        <v>912</v>
      </c>
      <c r="D400" s="779"/>
      <c r="E400" s="779" t="s">
        <v>380</v>
      </c>
      <c r="F400" s="435" t="s">
        <v>185</v>
      </c>
      <c r="G400" s="435" t="s">
        <v>229</v>
      </c>
      <c r="H400" s="436"/>
      <c r="I400" s="436"/>
      <c r="J400" s="436"/>
      <c r="K400" s="436"/>
      <c r="L400" s="437"/>
      <c r="M400" s="437"/>
      <c r="N400" s="437"/>
      <c r="O400" s="437"/>
      <c r="P400" s="439"/>
      <c r="Q400" s="439">
        <v>135</v>
      </c>
      <c r="R400" s="436"/>
      <c r="S400" s="436"/>
      <c r="T400" s="436"/>
      <c r="U400" s="436"/>
      <c r="V400" s="436"/>
      <c r="W400" s="436">
        <f>IF(NFI_Expiration=1,IF($A400&lt;VLOOKUP(H$5,NFI,5,0),1,0)*Table_NFI[[#This Row],[Hygiene Kit]],Table_NFI[Hygiene Kit])</f>
        <v>0</v>
      </c>
      <c r="X400" s="436">
        <f>IF(NFI_Expiration=1,IF($A400&lt;VLOOKUP(I$5,NFI,5,0),1,0)*Table_NFI[[#This Row],[NFI Core Kit]],Table_NFI[NFI Core Kit])</f>
        <v>0</v>
      </c>
      <c r="Y400" s="436">
        <f>IF(NFI_Expiration=1,IF($A400&lt;VLOOKUP(J$5,NFI,5,0),1,0)*Table_NFI[[#This Row],[Sanitary Kit]],Table_NFI[Sanitary Kit])</f>
        <v>0</v>
      </c>
      <c r="Z400" s="436">
        <f>IF(NFI_Expiration=1,IF($A400&lt;VLOOKUP(K$5,NFI,5,0),1,0)*Table_NFI[[#This Row],[Mosquito net]],Table_NFI[Mosquito net])</f>
        <v>0</v>
      </c>
      <c r="AA400" s="436">
        <f>IF(NFI_Expiration=1,IF($A400&lt;VLOOKUP(L$5,NFI,5,0),1,0)*Table_NFI[[#This Row],[Tarpaulin]],Table_NFI[[#This Row],[Tarpaulin]])</f>
        <v>0</v>
      </c>
      <c r="AB400" s="436">
        <f>IF(NFI_Expiration=1,IF($A400&lt;VLOOKUP(M$5,NFI,5,0),1,0)*Table_NFI[[#This Row],[Blanket]],Table_NFI[[#This Row],[Blanket]])</f>
        <v>0</v>
      </c>
      <c r="AC400" s="436">
        <f>IF(NFI_Expiration=1,IF($A400&lt;VLOOKUP(N$5,NFI,5,0),1,0)*Table_NFI[[#This Row],[Kitchen Set]],Table_NFI[Kitchen Set])</f>
        <v>0</v>
      </c>
      <c r="AD400" s="436">
        <f>IF(NFI_Expiration=1,IF($A400&lt;VLOOKUP(O$5,NFI,5,0),1,0)*Table_NFI[[#This Row],[Clothes Kit]],Table_NFI[Clothes Kit])</f>
        <v>0</v>
      </c>
      <c r="AE400" s="436">
        <f>IF(NFI_Expiration=1,IF($A400&lt;VLOOKUP(P$5,NFI,5,0),1,0)*Table_NFI[[#This Row],[Plastic Bucket]],Table_NFI[Plastic Bucket])</f>
        <v>0</v>
      </c>
      <c r="AF400" s="436">
        <f>IF(NFI_Expiration=1,IF($A400&lt;VLOOKUP(Q$5,NFI,5,0),1,0)*Table_NFI[[#This Row],[Plastic Mat]],Table_NFI[Plastic Mat])*IF(Table_NFI[[#This Row],[Distribution Date]]&gt;"2014-04-01",1,2.5)</f>
        <v>0</v>
      </c>
      <c r="AG400" s="436">
        <f>IF(NFI_Expiration=1,IF($A400&lt;VLOOKUP(R$5,NFI,5,0),1,0)*Table_NFI[[#This Row],[Winter Clothes Adult]],Table_NFI[Winter Clothes Adult])</f>
        <v>0</v>
      </c>
      <c r="AH400" s="436">
        <f>IF(NFI_Expiration=1,IF($A400&lt;VLOOKUP(S$5,NFI,5,0),1,0)*Table_NFI[[#This Row],[Winter Clothes Children]],Table_NFI[Winter Clothes Children])</f>
        <v>0</v>
      </c>
      <c r="AI400" s="436">
        <f>IF(NFI_Expiration=1,IF($A400&lt;VLOOKUP(T$5,NFI,5,0),1,0)*Table_NFI[[#This Row],[Winter Items Other]],Table_NFI[Winter Items Other])</f>
        <v>0</v>
      </c>
      <c r="AJ400" s="436">
        <f>IF(NFI_Expiration=1,IF($A400&lt;VLOOKUP(M$5,NFI,5,0),1,0)*Table_NFI[[#This Row],[Winter Blanket]],Table_NFI[[#This Row],[Winter Blanket]])</f>
        <v>0</v>
      </c>
      <c r="AK400" s="436">
        <f>IF(Table_NFI[[#This Row],[Winter Clothes Adult]]+Table_NFI[[#This Row],[Winter Clothes Children]]+Table_NFI[[#This Row],[Winter Items Other]]+Table_NFI[[#This Row],[Winter Blanket]]&gt;0,1,0)</f>
        <v>0</v>
      </c>
      <c r="AL400" s="439">
        <f>IF(NFI_Expiration=1,IF($A400&lt;VLOOKUP(V$5,NFI,5,0),1,0)*Table_NFI[[#This Row],[Jerry Can]],Table_NFI[Jerry Can])</f>
        <v>0</v>
      </c>
      <c r="AM400" s="781" t="str">
        <f>IFERROR(VLOOKUP(Table_NFI[[#This Row],[Camp Name]],CL,2,0),"")</f>
        <v>MMR001CMP072</v>
      </c>
      <c r="AN400" s="782">
        <f ca="1">IF(Table_NFI[[#This Row],[Pcode]]="","",IF(OFFSET(CampList[Opening Date],MATCH(Table_NFI[[#This Row],[Pcode]],CampList[CP_Pcode],0)-1,0,1,1)&gt;=NFI_Monitor_Date,1,0))</f>
        <v>0</v>
      </c>
      <c r="AO400" s="781" t="str">
        <f>IFERROR(VLOOKUP(Table_NFI[[#This Row],[Camp Name]],CL,3,0),"")</f>
        <v>Open</v>
      </c>
      <c r="AP400" s="436" t="str">
        <f ca="1">IF(Table_NFI[[#This Row],[Pcode]]="","",OFFSET(CampList[Priority],MATCH(Table_NFI[[#This Row],[Pcode]],CampList[CP_Pcode],0)-1,0,1,1))</f>
        <v>P3</v>
      </c>
      <c r="AQ400" s="438">
        <f>IFERROR(Table_NFI[[#This Row],[Kitchen Set]]/VLOOKUP(Table_NFI[[#This Row],[Camp Name]],CL,4,0),"")</f>
        <v>0</v>
      </c>
      <c r="AR400" s="779" t="s">
        <v>1099</v>
      </c>
      <c r="AS400" s="783"/>
    </row>
    <row r="401" spans="1:45" s="784" customFormat="1" x14ac:dyDescent="0.25">
      <c r="A401" s="455">
        <f t="shared" si="6"/>
        <v>23.366666666666667</v>
      </c>
      <c r="B401" s="778">
        <v>41608</v>
      </c>
      <c r="C401" s="779" t="s">
        <v>912</v>
      </c>
      <c r="D401" s="779" t="s">
        <v>1009</v>
      </c>
      <c r="E401" s="779" t="s">
        <v>380</v>
      </c>
      <c r="F401" s="435" t="s">
        <v>185</v>
      </c>
      <c r="G401" s="435" t="s">
        <v>219</v>
      </c>
      <c r="H401" s="436"/>
      <c r="I401" s="436"/>
      <c r="J401" s="436"/>
      <c r="K401" s="436"/>
      <c r="L401" s="437"/>
      <c r="M401" s="437"/>
      <c r="N401" s="437"/>
      <c r="O401" s="437"/>
      <c r="P401" s="439"/>
      <c r="Q401" s="439"/>
      <c r="R401" s="436"/>
      <c r="S401" s="436"/>
      <c r="T401" s="436"/>
      <c r="U401" s="436"/>
      <c r="V401" s="436"/>
      <c r="W401" s="436">
        <f>IF(NFI_Expiration=1,IF($A401&lt;VLOOKUP(H$5,NFI,5,0),1,0)*Table_NFI[[#This Row],[Hygiene Kit]],Table_NFI[Hygiene Kit])</f>
        <v>0</v>
      </c>
      <c r="X401" s="436">
        <f>IF(NFI_Expiration=1,IF($A401&lt;VLOOKUP(I$5,NFI,5,0),1,0)*Table_NFI[[#This Row],[NFI Core Kit]],Table_NFI[NFI Core Kit])</f>
        <v>0</v>
      </c>
      <c r="Y401" s="436">
        <f>IF(NFI_Expiration=1,IF($A401&lt;VLOOKUP(J$5,NFI,5,0),1,0)*Table_NFI[[#This Row],[Sanitary Kit]],Table_NFI[Sanitary Kit])</f>
        <v>0</v>
      </c>
      <c r="Z401" s="436">
        <f>IF(NFI_Expiration=1,IF($A401&lt;VLOOKUP(K$5,NFI,5,0),1,0)*Table_NFI[[#This Row],[Mosquito net]],Table_NFI[Mosquito net])</f>
        <v>0</v>
      </c>
      <c r="AA401" s="436">
        <f>IF(NFI_Expiration=1,IF($A401&lt;VLOOKUP(L$5,NFI,5,0),1,0)*Table_NFI[[#This Row],[Tarpaulin]],Table_NFI[[#This Row],[Tarpaulin]])</f>
        <v>0</v>
      </c>
      <c r="AB401" s="436">
        <f>IF(NFI_Expiration=1,IF($A401&lt;VLOOKUP(M$5,NFI,5,0),1,0)*Table_NFI[[#This Row],[Blanket]],Table_NFI[[#This Row],[Blanket]])</f>
        <v>0</v>
      </c>
      <c r="AC401" s="436">
        <f>IF(NFI_Expiration=1,IF($A401&lt;VLOOKUP(N$5,NFI,5,0),1,0)*Table_NFI[[#This Row],[Kitchen Set]],Table_NFI[Kitchen Set])</f>
        <v>0</v>
      </c>
      <c r="AD401" s="436">
        <f>IF(NFI_Expiration=1,IF($A401&lt;VLOOKUP(O$5,NFI,5,0),1,0)*Table_NFI[[#This Row],[Clothes Kit]],Table_NFI[Clothes Kit])</f>
        <v>0</v>
      </c>
      <c r="AE401" s="436">
        <f>IF(NFI_Expiration=1,IF($A401&lt;VLOOKUP(P$5,NFI,5,0),1,0)*Table_NFI[[#This Row],[Plastic Bucket]],Table_NFI[Plastic Bucket])</f>
        <v>0</v>
      </c>
      <c r="AF401" s="436">
        <f>IF(NFI_Expiration=1,IF($A401&lt;VLOOKUP(Q$5,NFI,5,0),1,0)*Table_NFI[[#This Row],[Plastic Mat]],Table_NFI[Plastic Mat])*IF(Table_NFI[[#This Row],[Distribution Date]]&gt;"2014-04-01",1,2.5)</f>
        <v>0</v>
      </c>
      <c r="AG401" s="436">
        <f>IF(NFI_Expiration=1,IF($A401&lt;VLOOKUP(R$5,NFI,5,0),1,0)*Table_NFI[[#This Row],[Winter Clothes Adult]],Table_NFI[Winter Clothes Adult])</f>
        <v>0</v>
      </c>
      <c r="AH401" s="436">
        <f>IF(NFI_Expiration=1,IF($A401&lt;VLOOKUP(S$5,NFI,5,0),1,0)*Table_NFI[[#This Row],[Winter Clothes Children]],Table_NFI[Winter Clothes Children])</f>
        <v>0</v>
      </c>
      <c r="AI401" s="436">
        <f>IF(NFI_Expiration=1,IF($A401&lt;VLOOKUP(T$5,NFI,5,0),1,0)*Table_NFI[[#This Row],[Winter Items Other]],Table_NFI[Winter Items Other])</f>
        <v>0</v>
      </c>
      <c r="AJ401" s="436">
        <f>IF(NFI_Expiration=1,IF($A401&lt;VLOOKUP(M$5,NFI,5,0),1,0)*Table_NFI[[#This Row],[Winter Blanket]],Table_NFI[[#This Row],[Winter Blanket]])</f>
        <v>0</v>
      </c>
      <c r="AK401" s="436">
        <f>IF(Table_NFI[[#This Row],[Winter Clothes Adult]]+Table_NFI[[#This Row],[Winter Clothes Children]]+Table_NFI[[#This Row],[Winter Items Other]]+Table_NFI[[#This Row],[Winter Blanket]]&gt;0,1,0)</f>
        <v>0</v>
      </c>
      <c r="AL401" s="439">
        <f>IF(NFI_Expiration=1,IF($A401&lt;VLOOKUP(V$5,NFI,5,0),1,0)*Table_NFI[[#This Row],[Jerry Can]],Table_NFI[Jerry Can])</f>
        <v>0</v>
      </c>
      <c r="AM401" s="781" t="str">
        <f>IFERROR(VLOOKUP(Table_NFI[[#This Row],[Camp Name]],CL,2,0),"")</f>
        <v>MMR001CMP126</v>
      </c>
      <c r="AN401" s="782">
        <f ca="1">IF(Table_NFI[[#This Row],[Pcode]]="","",IF(OFFSET(CampList[Opening Date],MATCH(Table_NFI[[#This Row],[Pcode]],CampList[CP_Pcode],0)-1,0,1,1)&gt;=NFI_Monitor_Date,1,0))</f>
        <v>0</v>
      </c>
      <c r="AO401" s="781" t="str">
        <f>IFERROR(VLOOKUP(Table_NFI[[#This Row],[Camp Name]],CL,3,0),"")</f>
        <v>Open</v>
      </c>
      <c r="AP401" s="436" t="str">
        <f ca="1">IF(Table_NFI[[#This Row],[Pcode]]="","",OFFSET(CampList[Priority],MATCH(Table_NFI[[#This Row],[Pcode]],CampList[CP_Pcode],0)-1,0,1,1))</f>
        <v>P2</v>
      </c>
      <c r="AQ401" s="438">
        <f>IFERROR(Table_NFI[[#This Row],[Kitchen Set]]/VLOOKUP(Table_NFI[[#This Row],[Camp Name]],CL,4,0),"")</f>
        <v>0</v>
      </c>
      <c r="AR401" s="779" t="s">
        <v>1099</v>
      </c>
      <c r="AS401" s="783"/>
    </row>
    <row r="402" spans="1:45" s="784" customFormat="1" x14ac:dyDescent="0.25">
      <c r="A402" s="455">
        <f t="shared" si="6"/>
        <v>23.366666666666667</v>
      </c>
      <c r="B402" s="778">
        <v>41608</v>
      </c>
      <c r="C402" s="779" t="s">
        <v>454</v>
      </c>
      <c r="D402" s="442" t="s">
        <v>454</v>
      </c>
      <c r="E402" s="785" t="s">
        <v>380</v>
      </c>
      <c r="F402" s="435" t="s">
        <v>185</v>
      </c>
      <c r="G402" s="435" t="s">
        <v>219</v>
      </c>
      <c r="H402" s="442"/>
      <c r="I402" s="442"/>
      <c r="J402" s="442"/>
      <c r="K402" s="785"/>
      <c r="L402" s="786"/>
      <c r="M402" s="443"/>
      <c r="N402" s="443"/>
      <c r="O402" s="443"/>
      <c r="P402" s="786"/>
      <c r="Q402" s="443"/>
      <c r="R402" s="442"/>
      <c r="S402" s="442"/>
      <c r="T402" s="442"/>
      <c r="U402" s="442"/>
      <c r="V402" s="442"/>
      <c r="W402" s="436">
        <f>IF(NFI_Expiration=1,IF($A402&lt;VLOOKUP(H$5,NFI,5,0),1,0)*Table_NFI[[#This Row],[Hygiene Kit]],Table_NFI[Hygiene Kit])</f>
        <v>0</v>
      </c>
      <c r="X402" s="436">
        <f>IF(NFI_Expiration=1,IF($A402&lt;VLOOKUP(I$5,NFI,5,0),1,0)*Table_NFI[[#This Row],[NFI Core Kit]],Table_NFI[NFI Core Kit])</f>
        <v>0</v>
      </c>
      <c r="Y402" s="436">
        <f>IF(NFI_Expiration=1,IF($A402&lt;VLOOKUP(J$5,NFI,5,0),1,0)*Table_NFI[[#This Row],[Sanitary Kit]],Table_NFI[Sanitary Kit])</f>
        <v>0</v>
      </c>
      <c r="Z402" s="436">
        <f>IF(NFI_Expiration=1,IF($A402&lt;VLOOKUP(K$5,NFI,5,0),1,0)*Table_NFI[[#This Row],[Mosquito net]],Table_NFI[Mosquito net])</f>
        <v>0</v>
      </c>
      <c r="AA402" s="436">
        <f>IF(NFI_Expiration=1,IF($A402&lt;VLOOKUP(L$5,NFI,5,0),1,0)*Table_NFI[[#This Row],[Tarpaulin]],Table_NFI[[#This Row],[Tarpaulin]])</f>
        <v>0</v>
      </c>
      <c r="AB402" s="436">
        <f>IF(NFI_Expiration=1,IF($A402&lt;VLOOKUP(M$5,NFI,5,0),1,0)*Table_NFI[[#This Row],[Blanket]],Table_NFI[[#This Row],[Blanket]])</f>
        <v>0</v>
      </c>
      <c r="AC402" s="436">
        <f>IF(NFI_Expiration=1,IF($A402&lt;VLOOKUP(N$5,NFI,5,0),1,0)*Table_NFI[[#This Row],[Kitchen Set]],Table_NFI[Kitchen Set])</f>
        <v>0</v>
      </c>
      <c r="AD402" s="436">
        <f>IF(NFI_Expiration=1,IF($A402&lt;VLOOKUP(O$5,NFI,5,0),1,0)*Table_NFI[[#This Row],[Clothes Kit]],Table_NFI[Clothes Kit])</f>
        <v>0</v>
      </c>
      <c r="AE402" s="436">
        <f>IF(NFI_Expiration=1,IF($A402&lt;VLOOKUP(P$5,NFI,5,0),1,0)*Table_NFI[[#This Row],[Plastic Bucket]],Table_NFI[Plastic Bucket])</f>
        <v>0</v>
      </c>
      <c r="AF402" s="436">
        <f>IF(NFI_Expiration=1,IF($A402&lt;VLOOKUP(Q$5,NFI,5,0),1,0)*Table_NFI[[#This Row],[Plastic Mat]],Table_NFI[Plastic Mat])*IF(Table_NFI[[#This Row],[Distribution Date]]&gt;"2014-04-01",1,2.5)</f>
        <v>0</v>
      </c>
      <c r="AG402" s="436">
        <f>IF(NFI_Expiration=1,IF($A402&lt;VLOOKUP(R$5,NFI,5,0),1,0)*Table_NFI[[#This Row],[Winter Clothes Adult]],Table_NFI[Winter Clothes Adult])</f>
        <v>0</v>
      </c>
      <c r="AH402" s="436">
        <f>IF(NFI_Expiration=1,IF($A402&lt;VLOOKUP(S$5,NFI,5,0),1,0)*Table_NFI[[#This Row],[Winter Clothes Children]],Table_NFI[Winter Clothes Children])</f>
        <v>0</v>
      </c>
      <c r="AI402" s="436">
        <f>IF(NFI_Expiration=1,IF($A402&lt;VLOOKUP(T$5,NFI,5,0),1,0)*Table_NFI[[#This Row],[Winter Items Other]],Table_NFI[Winter Items Other])</f>
        <v>0</v>
      </c>
      <c r="AJ402" s="436">
        <f>IF(NFI_Expiration=1,IF($A402&lt;VLOOKUP(M$5,NFI,5,0),1,0)*Table_NFI[[#This Row],[Winter Blanket]],Table_NFI[[#This Row],[Winter Blanket]])</f>
        <v>0</v>
      </c>
      <c r="AK402" s="436">
        <f>IF(Table_NFI[[#This Row],[Winter Clothes Adult]]+Table_NFI[[#This Row],[Winter Clothes Children]]+Table_NFI[[#This Row],[Winter Items Other]]+Table_NFI[[#This Row],[Winter Blanket]]&gt;0,1,0)</f>
        <v>0</v>
      </c>
      <c r="AL402" s="439">
        <f>IF(NFI_Expiration=1,IF($A402&lt;VLOOKUP(V$5,NFI,5,0),1,0)*Table_NFI[[#This Row],[Jerry Can]],Table_NFI[Jerry Can])</f>
        <v>0</v>
      </c>
      <c r="AM402" s="781" t="str">
        <f>IFERROR(VLOOKUP(Table_NFI[[#This Row],[Camp Name]],CL,2,0),"")</f>
        <v>MMR001CMP126</v>
      </c>
      <c r="AN402" s="782">
        <f ca="1">IF(Table_NFI[[#This Row],[Pcode]]="","",IF(OFFSET(CampList[Opening Date],MATCH(Table_NFI[[#This Row],[Pcode]],CampList[CP_Pcode],0)-1,0,1,1)&gt;=NFI_Monitor_Date,1,0))</f>
        <v>0</v>
      </c>
      <c r="AO402" s="781" t="str">
        <f>IFERROR(VLOOKUP(Table_NFI[[#This Row],[Camp Name]],CL,3,0),"")</f>
        <v>Open</v>
      </c>
      <c r="AP402" s="436" t="str">
        <f ca="1">IF(Table_NFI[[#This Row],[Pcode]]="","",OFFSET(CampList[Priority],MATCH(Table_NFI[[#This Row],[Pcode]],CampList[CP_Pcode],0)-1,0,1,1))</f>
        <v>P2</v>
      </c>
      <c r="AQ402" s="438">
        <f>IFERROR(Table_NFI[[#This Row],[Kitchen Set]]/VLOOKUP(Table_NFI[[#This Row],[Camp Name]],CL,4,0),"")</f>
        <v>0</v>
      </c>
      <c r="AR402" s="779" t="s">
        <v>1099</v>
      </c>
      <c r="AS402" s="783"/>
    </row>
    <row r="403" spans="1:45" s="784" customFormat="1" x14ac:dyDescent="0.25">
      <c r="A403" s="455">
        <f t="shared" si="6"/>
        <v>23.366666666666667</v>
      </c>
      <c r="B403" s="778">
        <v>41608</v>
      </c>
      <c r="C403" s="779" t="s">
        <v>912</v>
      </c>
      <c r="D403" s="442" t="s">
        <v>462</v>
      </c>
      <c r="E403" s="779" t="s">
        <v>380</v>
      </c>
      <c r="F403" s="435" t="s">
        <v>310</v>
      </c>
      <c r="G403" s="435" t="s">
        <v>1266</v>
      </c>
      <c r="H403" s="442"/>
      <c r="I403" s="442"/>
      <c r="J403" s="442"/>
      <c r="K403" s="785"/>
      <c r="L403" s="786"/>
      <c r="M403" s="443"/>
      <c r="N403" s="443"/>
      <c r="O403" s="443"/>
      <c r="P403" s="786"/>
      <c r="Q403" s="443"/>
      <c r="R403" s="442"/>
      <c r="S403" s="442"/>
      <c r="T403" s="442"/>
      <c r="U403" s="442"/>
      <c r="V403" s="442"/>
      <c r="W403" s="436">
        <f>IF(NFI_Expiration=1,IF($A403&lt;VLOOKUP(H$5,NFI,5,0),1,0)*Table_NFI[[#This Row],[Hygiene Kit]],Table_NFI[Hygiene Kit])</f>
        <v>0</v>
      </c>
      <c r="X403" s="436">
        <f>IF(NFI_Expiration=1,IF($A403&lt;VLOOKUP(I$5,NFI,5,0),1,0)*Table_NFI[[#This Row],[NFI Core Kit]],Table_NFI[NFI Core Kit])</f>
        <v>0</v>
      </c>
      <c r="Y403" s="436">
        <f>IF(NFI_Expiration=1,IF($A403&lt;VLOOKUP(J$5,NFI,5,0),1,0)*Table_NFI[[#This Row],[Sanitary Kit]],Table_NFI[Sanitary Kit])</f>
        <v>0</v>
      </c>
      <c r="Z403" s="436">
        <f>IF(NFI_Expiration=1,IF($A403&lt;VLOOKUP(K$5,NFI,5,0),1,0)*Table_NFI[[#This Row],[Mosquito net]],Table_NFI[Mosquito net])</f>
        <v>0</v>
      </c>
      <c r="AA403" s="436">
        <f>IF(NFI_Expiration=1,IF($A403&lt;VLOOKUP(L$5,NFI,5,0),1,0)*Table_NFI[[#This Row],[Tarpaulin]],Table_NFI[[#This Row],[Tarpaulin]])</f>
        <v>0</v>
      </c>
      <c r="AB403" s="436">
        <f>IF(NFI_Expiration=1,IF($A403&lt;VLOOKUP(M$5,NFI,5,0),1,0)*Table_NFI[[#This Row],[Blanket]],Table_NFI[[#This Row],[Blanket]])</f>
        <v>0</v>
      </c>
      <c r="AC403" s="436">
        <f>IF(NFI_Expiration=1,IF($A403&lt;VLOOKUP(N$5,NFI,5,0),1,0)*Table_NFI[[#This Row],[Kitchen Set]],Table_NFI[Kitchen Set])</f>
        <v>0</v>
      </c>
      <c r="AD403" s="436">
        <f>IF(NFI_Expiration=1,IF($A403&lt;VLOOKUP(O$5,NFI,5,0),1,0)*Table_NFI[[#This Row],[Clothes Kit]],Table_NFI[Clothes Kit])</f>
        <v>0</v>
      </c>
      <c r="AE403" s="436">
        <f>IF(NFI_Expiration=1,IF($A403&lt;VLOOKUP(P$5,NFI,5,0),1,0)*Table_NFI[[#This Row],[Plastic Bucket]],Table_NFI[Plastic Bucket])</f>
        <v>0</v>
      </c>
      <c r="AF403" s="436">
        <f>IF(NFI_Expiration=1,IF($A403&lt;VLOOKUP(Q$5,NFI,5,0),1,0)*Table_NFI[[#This Row],[Plastic Mat]],Table_NFI[Plastic Mat])*IF(Table_NFI[[#This Row],[Distribution Date]]&gt;"2014-04-01",1,2.5)</f>
        <v>0</v>
      </c>
      <c r="AG403" s="436">
        <f>IF(NFI_Expiration=1,IF($A403&lt;VLOOKUP(R$5,NFI,5,0),1,0)*Table_NFI[[#This Row],[Winter Clothes Adult]],Table_NFI[Winter Clothes Adult])</f>
        <v>0</v>
      </c>
      <c r="AH403" s="436">
        <f>IF(NFI_Expiration=1,IF($A403&lt;VLOOKUP(S$5,NFI,5,0),1,0)*Table_NFI[[#This Row],[Winter Clothes Children]],Table_NFI[Winter Clothes Children])</f>
        <v>0</v>
      </c>
      <c r="AI403" s="436">
        <f>IF(NFI_Expiration=1,IF($A403&lt;VLOOKUP(T$5,NFI,5,0),1,0)*Table_NFI[[#This Row],[Winter Items Other]],Table_NFI[Winter Items Other])</f>
        <v>0</v>
      </c>
      <c r="AJ403" s="436">
        <f>IF(NFI_Expiration=1,IF($A403&lt;VLOOKUP(M$5,NFI,5,0),1,0)*Table_NFI[[#This Row],[Winter Blanket]],Table_NFI[[#This Row],[Winter Blanket]])</f>
        <v>0</v>
      </c>
      <c r="AK403" s="436">
        <f>IF(Table_NFI[[#This Row],[Winter Clothes Adult]]+Table_NFI[[#This Row],[Winter Clothes Children]]+Table_NFI[[#This Row],[Winter Items Other]]+Table_NFI[[#This Row],[Winter Blanket]]&gt;0,1,0)</f>
        <v>0</v>
      </c>
      <c r="AL403" s="439">
        <f>IF(NFI_Expiration=1,IF($A403&lt;VLOOKUP(V$5,NFI,5,0),1,0)*Table_NFI[[#This Row],[Jerry Can]],Table_NFI[Jerry Can])</f>
        <v>0</v>
      </c>
      <c r="AM403" s="781" t="str">
        <f>IFERROR(VLOOKUP(Table_NFI[[#This Row],[Camp Name]],CL,2,0),"")</f>
        <v>MMR001CMP120</v>
      </c>
      <c r="AN403" s="782">
        <f ca="1">IF(Table_NFI[[#This Row],[Pcode]]="","",IF(OFFSET(CampList[Opening Date],MATCH(Table_NFI[[#This Row],[Pcode]],CampList[CP_Pcode],0)-1,0,1,1)&gt;=NFI_Monitor_Date,1,0))</f>
        <v>0</v>
      </c>
      <c r="AO403" s="781" t="str">
        <f>IFERROR(VLOOKUP(Table_NFI[[#This Row],[Camp Name]],CL,3,0),"")</f>
        <v>Open</v>
      </c>
      <c r="AP403" s="436" t="str">
        <f ca="1">IF(Table_NFI[[#This Row],[Pcode]]="","",OFFSET(CampList[Priority],MATCH(Table_NFI[[#This Row],[Pcode]],CampList[CP_Pcode],0)-1,0,1,1))</f>
        <v>P1</v>
      </c>
      <c r="AQ403" s="438">
        <f>IFERROR(Table_NFI[[#This Row],[Kitchen Set]]/VLOOKUP(Table_NFI[[#This Row],[Camp Name]],CL,4,0),"")</f>
        <v>0</v>
      </c>
      <c r="AR403" s="779" t="s">
        <v>1099</v>
      </c>
      <c r="AS403" s="783"/>
    </row>
    <row r="404" spans="1:45" s="784" customFormat="1" x14ac:dyDescent="0.25">
      <c r="A404" s="455">
        <f t="shared" si="6"/>
        <v>23.366666666666667</v>
      </c>
      <c r="B404" s="778">
        <v>41608</v>
      </c>
      <c r="C404" s="779" t="s">
        <v>1104</v>
      </c>
      <c r="D404" s="442" t="s">
        <v>951</v>
      </c>
      <c r="E404" s="785" t="s">
        <v>380</v>
      </c>
      <c r="F404" s="435" t="s">
        <v>5</v>
      </c>
      <c r="G404" s="435" t="s">
        <v>366</v>
      </c>
      <c r="H404" s="442"/>
      <c r="I404" s="442"/>
      <c r="J404" s="442"/>
      <c r="K404" s="785"/>
      <c r="L404" s="786"/>
      <c r="M404" s="443">
        <v>320</v>
      </c>
      <c r="N404" s="443"/>
      <c r="O404" s="443"/>
      <c r="P404" s="786"/>
      <c r="Q404" s="443"/>
      <c r="R404" s="442">
        <v>234</v>
      </c>
      <c r="S404" s="442">
        <v>336</v>
      </c>
      <c r="T404" s="442">
        <v>0</v>
      </c>
      <c r="U404" s="442"/>
      <c r="V404" s="442"/>
      <c r="W404" s="436">
        <f>IF(NFI_Expiration=1,IF($A404&lt;VLOOKUP(H$5,NFI,5,0),1,0)*Table_NFI[[#This Row],[Hygiene Kit]],Table_NFI[Hygiene Kit])</f>
        <v>0</v>
      </c>
      <c r="X404" s="436">
        <f>IF(NFI_Expiration=1,IF($A404&lt;VLOOKUP(I$5,NFI,5,0),1,0)*Table_NFI[[#This Row],[NFI Core Kit]],Table_NFI[NFI Core Kit])</f>
        <v>0</v>
      </c>
      <c r="Y404" s="436">
        <f>IF(NFI_Expiration=1,IF($A404&lt;VLOOKUP(J$5,NFI,5,0),1,0)*Table_NFI[[#This Row],[Sanitary Kit]],Table_NFI[Sanitary Kit])</f>
        <v>0</v>
      </c>
      <c r="Z404" s="436">
        <f>IF(NFI_Expiration=1,IF($A404&lt;VLOOKUP(K$5,NFI,5,0),1,0)*Table_NFI[[#This Row],[Mosquito net]],Table_NFI[Mosquito net])</f>
        <v>0</v>
      </c>
      <c r="AA404" s="436">
        <f>IF(NFI_Expiration=1,IF($A404&lt;VLOOKUP(L$5,NFI,5,0),1,0)*Table_NFI[[#This Row],[Tarpaulin]],Table_NFI[[#This Row],[Tarpaulin]])</f>
        <v>0</v>
      </c>
      <c r="AB404" s="436">
        <f>IF(NFI_Expiration=1,IF($A404&lt;VLOOKUP(M$5,NFI,5,0),1,0)*Table_NFI[[#This Row],[Blanket]],Table_NFI[[#This Row],[Blanket]])</f>
        <v>0</v>
      </c>
      <c r="AC404" s="436">
        <f>IF(NFI_Expiration=1,IF($A404&lt;VLOOKUP(N$5,NFI,5,0),1,0)*Table_NFI[[#This Row],[Kitchen Set]],Table_NFI[Kitchen Set])</f>
        <v>0</v>
      </c>
      <c r="AD404" s="436">
        <f>IF(NFI_Expiration=1,IF($A404&lt;VLOOKUP(O$5,NFI,5,0),1,0)*Table_NFI[[#This Row],[Clothes Kit]],Table_NFI[Clothes Kit])</f>
        <v>0</v>
      </c>
      <c r="AE404" s="436">
        <f>IF(NFI_Expiration=1,IF($A404&lt;VLOOKUP(P$5,NFI,5,0),1,0)*Table_NFI[[#This Row],[Plastic Bucket]],Table_NFI[Plastic Bucket])</f>
        <v>0</v>
      </c>
      <c r="AF404" s="436">
        <f>IF(NFI_Expiration=1,IF($A404&lt;VLOOKUP(Q$5,NFI,5,0),1,0)*Table_NFI[[#This Row],[Plastic Mat]],Table_NFI[Plastic Mat])*IF(Table_NFI[[#This Row],[Distribution Date]]&gt;"2014-04-01",1,2.5)</f>
        <v>0</v>
      </c>
      <c r="AG404" s="436">
        <f>IF(NFI_Expiration=1,IF($A404&lt;VLOOKUP(R$5,NFI,5,0),1,0)*Table_NFI[[#This Row],[Winter Clothes Adult]],Table_NFI[Winter Clothes Adult])</f>
        <v>0</v>
      </c>
      <c r="AH404" s="436">
        <f>IF(NFI_Expiration=1,IF($A404&lt;VLOOKUP(S$5,NFI,5,0),1,0)*Table_NFI[[#This Row],[Winter Clothes Children]],Table_NFI[Winter Clothes Children])</f>
        <v>0</v>
      </c>
      <c r="AI404" s="436">
        <f>IF(NFI_Expiration=1,IF($A404&lt;VLOOKUP(T$5,NFI,5,0),1,0)*Table_NFI[[#This Row],[Winter Items Other]],Table_NFI[Winter Items Other])</f>
        <v>0</v>
      </c>
      <c r="AJ404" s="436">
        <f>IF(NFI_Expiration=1,IF($A404&lt;VLOOKUP(M$5,NFI,5,0),1,0)*Table_NFI[[#This Row],[Winter Blanket]],Table_NFI[[#This Row],[Winter Blanket]])</f>
        <v>0</v>
      </c>
      <c r="AK404" s="436">
        <f>IF(Table_NFI[[#This Row],[Winter Clothes Adult]]+Table_NFI[[#This Row],[Winter Clothes Children]]+Table_NFI[[#This Row],[Winter Items Other]]+Table_NFI[[#This Row],[Winter Blanket]]&gt;0,1,0)</f>
        <v>1</v>
      </c>
      <c r="AL404" s="439">
        <f>IF(NFI_Expiration=1,IF($A404&lt;VLOOKUP(V$5,NFI,5,0),1,0)*Table_NFI[[#This Row],[Jerry Can]],Table_NFI[Jerry Can])</f>
        <v>0</v>
      </c>
      <c r="AM404" s="781" t="str">
        <f>IFERROR(VLOOKUP(Table_NFI[[#This Row],[Camp Name]],CL,2,0),"")</f>
        <v>MMR001CMP193</v>
      </c>
      <c r="AN404" s="782">
        <f ca="1">IF(Table_NFI[[#This Row],[Pcode]]="","",IF(OFFSET(CampList[Opening Date],MATCH(Table_NFI[[#This Row],[Pcode]],CampList[CP_Pcode],0)-1,0,1,1)&gt;=NFI_Monitor_Date,1,0))</f>
        <v>0</v>
      </c>
      <c r="AO404" s="781" t="str">
        <f>IFERROR(VLOOKUP(Table_NFI[[#This Row],[Camp Name]],CL,3,0),"")</f>
        <v>Open</v>
      </c>
      <c r="AP404" s="436" t="str">
        <f ca="1">IF(Table_NFI[[#This Row],[Pcode]]="","",OFFSET(CampList[Priority],MATCH(Table_NFI[[#This Row],[Pcode]],CampList[CP_Pcode],0)-1,0,1,1))</f>
        <v>P4</v>
      </c>
      <c r="AQ404" s="438">
        <f>IFERROR(Table_NFI[[#This Row],[Kitchen Set]]/VLOOKUP(Table_NFI[[#This Row],[Camp Name]],CL,4,0),"")</f>
        <v>0</v>
      </c>
      <c r="AR404" s="779" t="s">
        <v>1099</v>
      </c>
      <c r="AS404" s="783"/>
    </row>
    <row r="405" spans="1:45" s="784" customFormat="1" x14ac:dyDescent="0.25">
      <c r="A405" s="455">
        <f t="shared" si="6"/>
        <v>23.366666666666667</v>
      </c>
      <c r="B405" s="778">
        <v>41608</v>
      </c>
      <c r="C405" s="779" t="s">
        <v>912</v>
      </c>
      <c r="D405" s="779"/>
      <c r="E405" s="779" t="s">
        <v>380</v>
      </c>
      <c r="F405" s="435" t="s">
        <v>5</v>
      </c>
      <c r="G405" s="435" t="s">
        <v>366</v>
      </c>
      <c r="H405" s="436"/>
      <c r="I405" s="436"/>
      <c r="J405" s="436"/>
      <c r="K405" s="436"/>
      <c r="L405" s="437"/>
      <c r="M405" s="437"/>
      <c r="N405" s="437"/>
      <c r="O405" s="437"/>
      <c r="P405" s="439"/>
      <c r="Q405" s="439"/>
      <c r="R405" s="436"/>
      <c r="S405" s="436"/>
      <c r="T405" s="436"/>
      <c r="U405" s="436"/>
      <c r="V405" s="436"/>
      <c r="W405" s="436">
        <f>IF(NFI_Expiration=1,IF($A405&lt;VLOOKUP(H$5,NFI,5,0),1,0)*Table_NFI[[#This Row],[Hygiene Kit]],Table_NFI[Hygiene Kit])</f>
        <v>0</v>
      </c>
      <c r="X405" s="436">
        <f>IF(NFI_Expiration=1,IF($A405&lt;VLOOKUP(I$5,NFI,5,0),1,0)*Table_NFI[[#This Row],[NFI Core Kit]],Table_NFI[NFI Core Kit])</f>
        <v>0</v>
      </c>
      <c r="Y405" s="436">
        <f>IF(NFI_Expiration=1,IF($A405&lt;VLOOKUP(J$5,NFI,5,0),1,0)*Table_NFI[[#This Row],[Sanitary Kit]],Table_NFI[Sanitary Kit])</f>
        <v>0</v>
      </c>
      <c r="Z405" s="436">
        <f>IF(NFI_Expiration=1,IF($A405&lt;VLOOKUP(K$5,NFI,5,0),1,0)*Table_NFI[[#This Row],[Mosquito net]],Table_NFI[Mosquito net])</f>
        <v>0</v>
      </c>
      <c r="AA405" s="436">
        <f>IF(NFI_Expiration=1,IF($A405&lt;VLOOKUP(L$5,NFI,5,0),1,0)*Table_NFI[[#This Row],[Tarpaulin]],Table_NFI[[#This Row],[Tarpaulin]])</f>
        <v>0</v>
      </c>
      <c r="AB405" s="436">
        <f>IF(NFI_Expiration=1,IF($A405&lt;VLOOKUP(M$5,NFI,5,0),1,0)*Table_NFI[[#This Row],[Blanket]],Table_NFI[[#This Row],[Blanket]])</f>
        <v>0</v>
      </c>
      <c r="AC405" s="436">
        <f>IF(NFI_Expiration=1,IF($A405&lt;VLOOKUP(N$5,NFI,5,0),1,0)*Table_NFI[[#This Row],[Kitchen Set]],Table_NFI[Kitchen Set])</f>
        <v>0</v>
      </c>
      <c r="AD405" s="436">
        <f>IF(NFI_Expiration=1,IF($A405&lt;VLOOKUP(O$5,NFI,5,0),1,0)*Table_NFI[[#This Row],[Clothes Kit]],Table_NFI[Clothes Kit])</f>
        <v>0</v>
      </c>
      <c r="AE405" s="436">
        <f>IF(NFI_Expiration=1,IF($A405&lt;VLOOKUP(P$5,NFI,5,0),1,0)*Table_NFI[[#This Row],[Plastic Bucket]],Table_NFI[Plastic Bucket])</f>
        <v>0</v>
      </c>
      <c r="AF405" s="436">
        <f>IF(NFI_Expiration=1,IF($A405&lt;VLOOKUP(Q$5,NFI,5,0),1,0)*Table_NFI[[#This Row],[Plastic Mat]],Table_NFI[Plastic Mat])*IF(Table_NFI[[#This Row],[Distribution Date]]&gt;"2014-04-01",1,2.5)</f>
        <v>0</v>
      </c>
      <c r="AG405" s="436">
        <f>IF(NFI_Expiration=1,IF($A405&lt;VLOOKUP(R$5,NFI,5,0),1,0)*Table_NFI[[#This Row],[Winter Clothes Adult]],Table_NFI[Winter Clothes Adult])</f>
        <v>0</v>
      </c>
      <c r="AH405" s="436">
        <f>IF(NFI_Expiration=1,IF($A405&lt;VLOOKUP(S$5,NFI,5,0),1,0)*Table_NFI[[#This Row],[Winter Clothes Children]],Table_NFI[Winter Clothes Children])</f>
        <v>0</v>
      </c>
      <c r="AI405" s="436">
        <f>IF(NFI_Expiration=1,IF($A405&lt;VLOOKUP(T$5,NFI,5,0),1,0)*Table_NFI[[#This Row],[Winter Items Other]],Table_NFI[Winter Items Other])</f>
        <v>0</v>
      </c>
      <c r="AJ405" s="436">
        <f>IF(NFI_Expiration=1,IF($A405&lt;VLOOKUP(M$5,NFI,5,0),1,0)*Table_NFI[[#This Row],[Winter Blanket]],Table_NFI[[#This Row],[Winter Blanket]])</f>
        <v>0</v>
      </c>
      <c r="AK405" s="436">
        <f>IF(Table_NFI[[#This Row],[Winter Clothes Adult]]+Table_NFI[[#This Row],[Winter Clothes Children]]+Table_NFI[[#This Row],[Winter Items Other]]+Table_NFI[[#This Row],[Winter Blanket]]&gt;0,1,0)</f>
        <v>0</v>
      </c>
      <c r="AL405" s="439">
        <f>IF(NFI_Expiration=1,IF($A405&lt;VLOOKUP(V$5,NFI,5,0),1,0)*Table_NFI[[#This Row],[Jerry Can]],Table_NFI[Jerry Can])</f>
        <v>0</v>
      </c>
      <c r="AM405" s="781" t="str">
        <f>IFERROR(VLOOKUP(Table_NFI[[#This Row],[Camp Name]],CL,2,0),"")</f>
        <v>MMR001CMP193</v>
      </c>
      <c r="AN405" s="782">
        <f ca="1">IF(Table_NFI[[#This Row],[Pcode]]="","",IF(OFFSET(CampList[Opening Date],MATCH(Table_NFI[[#This Row],[Pcode]],CampList[CP_Pcode],0)-1,0,1,1)&gt;=NFI_Monitor_Date,1,0))</f>
        <v>0</v>
      </c>
      <c r="AO405" s="781" t="str">
        <f>IFERROR(VLOOKUP(Table_NFI[[#This Row],[Camp Name]],CL,3,0),"")</f>
        <v>Open</v>
      </c>
      <c r="AP405" s="436" t="str">
        <f ca="1">IF(Table_NFI[[#This Row],[Pcode]]="","",OFFSET(CampList[Priority],MATCH(Table_NFI[[#This Row],[Pcode]],CampList[CP_Pcode],0)-1,0,1,1))</f>
        <v>P4</v>
      </c>
      <c r="AQ405" s="438">
        <f>IFERROR(Table_NFI[[#This Row],[Kitchen Set]]/VLOOKUP(Table_NFI[[#This Row],[Camp Name]],CL,4,0),"")</f>
        <v>0</v>
      </c>
      <c r="AR405" s="779" t="s">
        <v>1099</v>
      </c>
      <c r="AS405" s="783"/>
    </row>
    <row r="406" spans="1:45" s="784" customFormat="1" x14ac:dyDescent="0.25">
      <c r="A406" s="455">
        <f t="shared" si="6"/>
        <v>23.366666666666667</v>
      </c>
      <c r="B406" s="778">
        <v>41608</v>
      </c>
      <c r="C406" s="779" t="s">
        <v>912</v>
      </c>
      <c r="D406" s="442" t="s">
        <v>462</v>
      </c>
      <c r="E406" s="779" t="s">
        <v>380</v>
      </c>
      <c r="F406" s="435" t="s">
        <v>310</v>
      </c>
      <c r="G406" s="435" t="s">
        <v>355</v>
      </c>
      <c r="H406" s="442"/>
      <c r="I406" s="442"/>
      <c r="J406" s="442"/>
      <c r="K406" s="785"/>
      <c r="L406" s="786"/>
      <c r="M406" s="443"/>
      <c r="N406" s="443"/>
      <c r="O406" s="443"/>
      <c r="P406" s="786"/>
      <c r="Q406" s="443"/>
      <c r="R406" s="442"/>
      <c r="S406" s="442"/>
      <c r="T406" s="442"/>
      <c r="U406" s="442"/>
      <c r="V406" s="442"/>
      <c r="W406" s="436">
        <f>IF(NFI_Expiration=1,IF($A406&lt;VLOOKUP(H$5,NFI,5,0),1,0)*Table_NFI[[#This Row],[Hygiene Kit]],Table_NFI[Hygiene Kit])</f>
        <v>0</v>
      </c>
      <c r="X406" s="436">
        <f>IF(NFI_Expiration=1,IF($A406&lt;VLOOKUP(I$5,NFI,5,0),1,0)*Table_NFI[[#This Row],[NFI Core Kit]],Table_NFI[NFI Core Kit])</f>
        <v>0</v>
      </c>
      <c r="Y406" s="436">
        <f>IF(NFI_Expiration=1,IF($A406&lt;VLOOKUP(J$5,NFI,5,0),1,0)*Table_NFI[[#This Row],[Sanitary Kit]],Table_NFI[Sanitary Kit])</f>
        <v>0</v>
      </c>
      <c r="Z406" s="436">
        <f>IF(NFI_Expiration=1,IF($A406&lt;VLOOKUP(K$5,NFI,5,0),1,0)*Table_NFI[[#This Row],[Mosquito net]],Table_NFI[Mosquito net])</f>
        <v>0</v>
      </c>
      <c r="AA406" s="436">
        <f>IF(NFI_Expiration=1,IF($A406&lt;VLOOKUP(L$5,NFI,5,0),1,0)*Table_NFI[[#This Row],[Tarpaulin]],Table_NFI[[#This Row],[Tarpaulin]])</f>
        <v>0</v>
      </c>
      <c r="AB406" s="436">
        <f>IF(NFI_Expiration=1,IF($A406&lt;VLOOKUP(M$5,NFI,5,0),1,0)*Table_NFI[[#This Row],[Blanket]],Table_NFI[[#This Row],[Blanket]])</f>
        <v>0</v>
      </c>
      <c r="AC406" s="436">
        <f>IF(NFI_Expiration=1,IF($A406&lt;VLOOKUP(N$5,NFI,5,0),1,0)*Table_NFI[[#This Row],[Kitchen Set]],Table_NFI[Kitchen Set])</f>
        <v>0</v>
      </c>
      <c r="AD406" s="436">
        <f>IF(NFI_Expiration=1,IF($A406&lt;VLOOKUP(O$5,NFI,5,0),1,0)*Table_NFI[[#This Row],[Clothes Kit]],Table_NFI[Clothes Kit])</f>
        <v>0</v>
      </c>
      <c r="AE406" s="436">
        <f>IF(NFI_Expiration=1,IF($A406&lt;VLOOKUP(P$5,NFI,5,0),1,0)*Table_NFI[[#This Row],[Plastic Bucket]],Table_NFI[Plastic Bucket])</f>
        <v>0</v>
      </c>
      <c r="AF406" s="436">
        <f>IF(NFI_Expiration=1,IF($A406&lt;VLOOKUP(Q$5,NFI,5,0),1,0)*Table_NFI[[#This Row],[Plastic Mat]],Table_NFI[Plastic Mat])*IF(Table_NFI[[#This Row],[Distribution Date]]&gt;"2014-04-01",1,2.5)</f>
        <v>0</v>
      </c>
      <c r="AG406" s="436">
        <f>IF(NFI_Expiration=1,IF($A406&lt;VLOOKUP(R$5,NFI,5,0),1,0)*Table_NFI[[#This Row],[Winter Clothes Adult]],Table_NFI[Winter Clothes Adult])</f>
        <v>0</v>
      </c>
      <c r="AH406" s="436">
        <f>IF(NFI_Expiration=1,IF($A406&lt;VLOOKUP(S$5,NFI,5,0),1,0)*Table_NFI[[#This Row],[Winter Clothes Children]],Table_NFI[Winter Clothes Children])</f>
        <v>0</v>
      </c>
      <c r="AI406" s="436">
        <f>IF(NFI_Expiration=1,IF($A406&lt;VLOOKUP(T$5,NFI,5,0),1,0)*Table_NFI[[#This Row],[Winter Items Other]],Table_NFI[Winter Items Other])</f>
        <v>0</v>
      </c>
      <c r="AJ406" s="436">
        <f>IF(NFI_Expiration=1,IF($A406&lt;VLOOKUP(M$5,NFI,5,0),1,0)*Table_NFI[[#This Row],[Winter Blanket]],Table_NFI[[#This Row],[Winter Blanket]])</f>
        <v>0</v>
      </c>
      <c r="AK406" s="436">
        <f>IF(Table_NFI[[#This Row],[Winter Clothes Adult]]+Table_NFI[[#This Row],[Winter Clothes Children]]+Table_NFI[[#This Row],[Winter Items Other]]+Table_NFI[[#This Row],[Winter Blanket]]&gt;0,1,0)</f>
        <v>0</v>
      </c>
      <c r="AL406" s="439">
        <f>IF(NFI_Expiration=1,IF($A406&lt;VLOOKUP(V$5,NFI,5,0),1,0)*Table_NFI[[#This Row],[Jerry Can]],Table_NFI[Jerry Can])</f>
        <v>0</v>
      </c>
      <c r="AM406" s="781" t="str">
        <f>IFERROR(VLOOKUP(Table_NFI[[#This Row],[Camp Name]],CL,2,0),"")</f>
        <v>MMR001CMP160</v>
      </c>
      <c r="AN406" s="782">
        <f ca="1">IF(Table_NFI[[#This Row],[Pcode]]="","",IF(OFFSET(CampList[Opening Date],MATCH(Table_NFI[[#This Row],[Pcode]],CampList[CP_Pcode],0)-1,0,1,1)&gt;=NFI_Monitor_Date,1,0))</f>
        <v>0</v>
      </c>
      <c r="AO406" s="781" t="str">
        <f>IFERROR(VLOOKUP(Table_NFI[[#This Row],[Camp Name]],CL,3,0),"")</f>
        <v>Open</v>
      </c>
      <c r="AP406" s="436" t="str">
        <f ca="1">IF(Table_NFI[[#This Row],[Pcode]]="","",OFFSET(CampList[Priority],MATCH(Table_NFI[[#This Row],[Pcode]],CampList[CP_Pcode],0)-1,0,1,1))</f>
        <v>P1</v>
      </c>
      <c r="AQ406" s="438">
        <f>IFERROR(Table_NFI[[#This Row],[Kitchen Set]]/VLOOKUP(Table_NFI[[#This Row],[Camp Name]],CL,4,0),"")</f>
        <v>0</v>
      </c>
      <c r="AR406" s="779" t="s">
        <v>1099</v>
      </c>
      <c r="AS406" s="783"/>
    </row>
    <row r="407" spans="1:45" s="784" customFormat="1" x14ac:dyDescent="0.25">
      <c r="A407" s="455">
        <f t="shared" si="6"/>
        <v>23.366666666666667</v>
      </c>
      <c r="B407" s="778">
        <v>41608</v>
      </c>
      <c r="C407" s="779" t="s">
        <v>912</v>
      </c>
      <c r="D407" s="442" t="s">
        <v>462</v>
      </c>
      <c r="E407" s="779" t="s">
        <v>380</v>
      </c>
      <c r="F407" s="435" t="s">
        <v>310</v>
      </c>
      <c r="G407" s="435" t="s">
        <v>342</v>
      </c>
      <c r="H407" s="442"/>
      <c r="I407" s="442"/>
      <c r="J407" s="442"/>
      <c r="K407" s="785"/>
      <c r="L407" s="786"/>
      <c r="M407" s="443"/>
      <c r="N407" s="443"/>
      <c r="O407" s="443"/>
      <c r="P407" s="786"/>
      <c r="Q407" s="443"/>
      <c r="R407" s="442"/>
      <c r="S407" s="442"/>
      <c r="T407" s="442"/>
      <c r="U407" s="442"/>
      <c r="V407" s="442"/>
      <c r="W407" s="436">
        <f>IF(NFI_Expiration=1,IF($A407&lt;VLOOKUP(H$5,NFI,5,0),1,0)*Table_NFI[[#This Row],[Hygiene Kit]],Table_NFI[Hygiene Kit])</f>
        <v>0</v>
      </c>
      <c r="X407" s="436">
        <f>IF(NFI_Expiration=1,IF($A407&lt;VLOOKUP(I$5,NFI,5,0),1,0)*Table_NFI[[#This Row],[NFI Core Kit]],Table_NFI[NFI Core Kit])</f>
        <v>0</v>
      </c>
      <c r="Y407" s="436">
        <f>IF(NFI_Expiration=1,IF($A407&lt;VLOOKUP(J$5,NFI,5,0),1,0)*Table_NFI[[#This Row],[Sanitary Kit]],Table_NFI[Sanitary Kit])</f>
        <v>0</v>
      </c>
      <c r="Z407" s="436">
        <f>IF(NFI_Expiration=1,IF($A407&lt;VLOOKUP(K$5,NFI,5,0),1,0)*Table_NFI[[#This Row],[Mosquito net]],Table_NFI[Mosquito net])</f>
        <v>0</v>
      </c>
      <c r="AA407" s="436">
        <f>IF(NFI_Expiration=1,IF($A407&lt;VLOOKUP(L$5,NFI,5,0),1,0)*Table_NFI[[#This Row],[Tarpaulin]],Table_NFI[[#This Row],[Tarpaulin]])</f>
        <v>0</v>
      </c>
      <c r="AB407" s="436">
        <f>IF(NFI_Expiration=1,IF($A407&lt;VLOOKUP(M$5,NFI,5,0),1,0)*Table_NFI[[#This Row],[Blanket]],Table_NFI[[#This Row],[Blanket]])</f>
        <v>0</v>
      </c>
      <c r="AC407" s="436">
        <f>IF(NFI_Expiration=1,IF($A407&lt;VLOOKUP(N$5,NFI,5,0),1,0)*Table_NFI[[#This Row],[Kitchen Set]],Table_NFI[Kitchen Set])</f>
        <v>0</v>
      </c>
      <c r="AD407" s="436">
        <f>IF(NFI_Expiration=1,IF($A407&lt;VLOOKUP(O$5,NFI,5,0),1,0)*Table_NFI[[#This Row],[Clothes Kit]],Table_NFI[Clothes Kit])</f>
        <v>0</v>
      </c>
      <c r="AE407" s="436">
        <f>IF(NFI_Expiration=1,IF($A407&lt;VLOOKUP(P$5,NFI,5,0),1,0)*Table_NFI[[#This Row],[Plastic Bucket]],Table_NFI[Plastic Bucket])</f>
        <v>0</v>
      </c>
      <c r="AF407" s="436">
        <f>IF(NFI_Expiration=1,IF($A407&lt;VLOOKUP(Q$5,NFI,5,0),1,0)*Table_NFI[[#This Row],[Plastic Mat]],Table_NFI[Plastic Mat])*IF(Table_NFI[[#This Row],[Distribution Date]]&gt;"2014-04-01",1,2.5)</f>
        <v>0</v>
      </c>
      <c r="AG407" s="436">
        <f>IF(NFI_Expiration=1,IF($A407&lt;VLOOKUP(R$5,NFI,5,0),1,0)*Table_NFI[[#This Row],[Winter Clothes Adult]],Table_NFI[Winter Clothes Adult])</f>
        <v>0</v>
      </c>
      <c r="AH407" s="436">
        <f>IF(NFI_Expiration=1,IF($A407&lt;VLOOKUP(S$5,NFI,5,0),1,0)*Table_NFI[[#This Row],[Winter Clothes Children]],Table_NFI[Winter Clothes Children])</f>
        <v>0</v>
      </c>
      <c r="AI407" s="436">
        <f>IF(NFI_Expiration=1,IF($A407&lt;VLOOKUP(T$5,NFI,5,0),1,0)*Table_NFI[[#This Row],[Winter Items Other]],Table_NFI[Winter Items Other])</f>
        <v>0</v>
      </c>
      <c r="AJ407" s="436">
        <f>IF(NFI_Expiration=1,IF($A407&lt;VLOOKUP(M$5,NFI,5,0),1,0)*Table_NFI[[#This Row],[Winter Blanket]],Table_NFI[[#This Row],[Winter Blanket]])</f>
        <v>0</v>
      </c>
      <c r="AK407" s="436">
        <f>IF(Table_NFI[[#This Row],[Winter Clothes Adult]]+Table_NFI[[#This Row],[Winter Clothes Children]]+Table_NFI[[#This Row],[Winter Items Other]]+Table_NFI[[#This Row],[Winter Blanket]]&gt;0,1,0)</f>
        <v>0</v>
      </c>
      <c r="AL407" s="439">
        <f>IF(NFI_Expiration=1,IF($A407&lt;VLOOKUP(V$5,NFI,5,0),1,0)*Table_NFI[[#This Row],[Jerry Can]],Table_NFI[Jerry Can])</f>
        <v>0</v>
      </c>
      <c r="AM407" s="781" t="str">
        <f>IFERROR(VLOOKUP(Table_NFI[[#This Row],[Camp Name]],CL,2,0),"")</f>
        <v>MMR001CMP025</v>
      </c>
      <c r="AN407" s="782">
        <f ca="1">IF(Table_NFI[[#This Row],[Pcode]]="","",IF(OFFSET(CampList[Opening Date],MATCH(Table_NFI[[#This Row],[Pcode]],CampList[CP_Pcode],0)-1,0,1,1)&gt;=NFI_Monitor_Date,1,0))</f>
        <v>0</v>
      </c>
      <c r="AO407" s="781" t="str">
        <f>IFERROR(VLOOKUP(Table_NFI[[#This Row],[Camp Name]],CL,3,0),"")</f>
        <v>Open</v>
      </c>
      <c r="AP407" s="436" t="str">
        <f ca="1">IF(Table_NFI[[#This Row],[Pcode]]="","",OFFSET(CampList[Priority],MATCH(Table_NFI[[#This Row],[Pcode]],CampList[CP_Pcode],0)-1,0,1,1))</f>
        <v>P4</v>
      </c>
      <c r="AQ407" s="438">
        <f>IFERROR(Table_NFI[[#This Row],[Kitchen Set]]/VLOOKUP(Table_NFI[[#This Row],[Camp Name]],CL,4,0),"")</f>
        <v>0</v>
      </c>
      <c r="AR407" s="779" t="s">
        <v>1099</v>
      </c>
      <c r="AS407" s="783"/>
    </row>
    <row r="408" spans="1:45" s="784" customFormat="1" x14ac:dyDescent="0.25">
      <c r="A408" s="455">
        <f t="shared" si="6"/>
        <v>23.366666666666667</v>
      </c>
      <c r="B408" s="778">
        <v>41608</v>
      </c>
      <c r="C408" s="779" t="s">
        <v>912</v>
      </c>
      <c r="D408" s="442" t="s">
        <v>462</v>
      </c>
      <c r="E408" s="779" t="s">
        <v>380</v>
      </c>
      <c r="F408" s="435" t="s">
        <v>310</v>
      </c>
      <c r="G408" s="435" t="s">
        <v>338</v>
      </c>
      <c r="H408" s="442"/>
      <c r="I408" s="442"/>
      <c r="J408" s="442"/>
      <c r="K408" s="785"/>
      <c r="L408" s="786"/>
      <c r="M408" s="443"/>
      <c r="N408" s="443"/>
      <c r="O408" s="443"/>
      <c r="P408" s="786"/>
      <c r="Q408" s="443"/>
      <c r="R408" s="442"/>
      <c r="S408" s="442"/>
      <c r="T408" s="442"/>
      <c r="U408" s="442"/>
      <c r="V408" s="442"/>
      <c r="W408" s="436">
        <f>IF(NFI_Expiration=1,IF($A408&lt;VLOOKUP(H$5,NFI,5,0),1,0)*Table_NFI[[#This Row],[Hygiene Kit]],Table_NFI[Hygiene Kit])</f>
        <v>0</v>
      </c>
      <c r="X408" s="436">
        <f>IF(NFI_Expiration=1,IF($A408&lt;VLOOKUP(I$5,NFI,5,0),1,0)*Table_NFI[[#This Row],[NFI Core Kit]],Table_NFI[NFI Core Kit])</f>
        <v>0</v>
      </c>
      <c r="Y408" s="436">
        <f>IF(NFI_Expiration=1,IF($A408&lt;VLOOKUP(J$5,NFI,5,0),1,0)*Table_NFI[[#This Row],[Sanitary Kit]],Table_NFI[Sanitary Kit])</f>
        <v>0</v>
      </c>
      <c r="Z408" s="436">
        <f>IF(NFI_Expiration=1,IF($A408&lt;VLOOKUP(K$5,NFI,5,0),1,0)*Table_NFI[[#This Row],[Mosquito net]],Table_NFI[Mosquito net])</f>
        <v>0</v>
      </c>
      <c r="AA408" s="436">
        <f>IF(NFI_Expiration=1,IF($A408&lt;VLOOKUP(L$5,NFI,5,0),1,0)*Table_NFI[[#This Row],[Tarpaulin]],Table_NFI[[#This Row],[Tarpaulin]])</f>
        <v>0</v>
      </c>
      <c r="AB408" s="436">
        <f>IF(NFI_Expiration=1,IF($A408&lt;VLOOKUP(M$5,NFI,5,0),1,0)*Table_NFI[[#This Row],[Blanket]],Table_NFI[[#This Row],[Blanket]])</f>
        <v>0</v>
      </c>
      <c r="AC408" s="436">
        <f>IF(NFI_Expiration=1,IF($A408&lt;VLOOKUP(N$5,NFI,5,0),1,0)*Table_NFI[[#This Row],[Kitchen Set]],Table_NFI[Kitchen Set])</f>
        <v>0</v>
      </c>
      <c r="AD408" s="436">
        <f>IF(NFI_Expiration=1,IF($A408&lt;VLOOKUP(O$5,NFI,5,0),1,0)*Table_NFI[[#This Row],[Clothes Kit]],Table_NFI[Clothes Kit])</f>
        <v>0</v>
      </c>
      <c r="AE408" s="436">
        <f>IF(NFI_Expiration=1,IF($A408&lt;VLOOKUP(P$5,NFI,5,0),1,0)*Table_NFI[[#This Row],[Plastic Bucket]],Table_NFI[Plastic Bucket])</f>
        <v>0</v>
      </c>
      <c r="AF408" s="436">
        <f>IF(NFI_Expiration=1,IF($A408&lt;VLOOKUP(Q$5,NFI,5,0),1,0)*Table_NFI[[#This Row],[Plastic Mat]],Table_NFI[Plastic Mat])*IF(Table_NFI[[#This Row],[Distribution Date]]&gt;"2014-04-01",1,2.5)</f>
        <v>0</v>
      </c>
      <c r="AG408" s="436">
        <f>IF(NFI_Expiration=1,IF($A408&lt;VLOOKUP(R$5,NFI,5,0),1,0)*Table_NFI[[#This Row],[Winter Clothes Adult]],Table_NFI[Winter Clothes Adult])</f>
        <v>0</v>
      </c>
      <c r="AH408" s="436">
        <f>IF(NFI_Expiration=1,IF($A408&lt;VLOOKUP(S$5,NFI,5,0),1,0)*Table_NFI[[#This Row],[Winter Clothes Children]],Table_NFI[Winter Clothes Children])</f>
        <v>0</v>
      </c>
      <c r="AI408" s="436">
        <f>IF(NFI_Expiration=1,IF($A408&lt;VLOOKUP(T$5,NFI,5,0),1,0)*Table_NFI[[#This Row],[Winter Items Other]],Table_NFI[Winter Items Other])</f>
        <v>0</v>
      </c>
      <c r="AJ408" s="436">
        <f>IF(NFI_Expiration=1,IF($A408&lt;VLOOKUP(M$5,NFI,5,0),1,0)*Table_NFI[[#This Row],[Winter Blanket]],Table_NFI[[#This Row],[Winter Blanket]])</f>
        <v>0</v>
      </c>
      <c r="AK408" s="436">
        <f>IF(Table_NFI[[#This Row],[Winter Clothes Adult]]+Table_NFI[[#This Row],[Winter Clothes Children]]+Table_NFI[[#This Row],[Winter Items Other]]+Table_NFI[[#This Row],[Winter Blanket]]&gt;0,1,0)</f>
        <v>0</v>
      </c>
      <c r="AL408" s="439">
        <f>IF(NFI_Expiration=1,IF($A408&lt;VLOOKUP(V$5,NFI,5,0),1,0)*Table_NFI[[#This Row],[Jerry Can]],Table_NFI[Jerry Can])</f>
        <v>0</v>
      </c>
      <c r="AM408" s="781" t="str">
        <f>IFERROR(VLOOKUP(Table_NFI[[#This Row],[Camp Name]],CL,2,0),"")</f>
        <v>MMR001CMP030</v>
      </c>
      <c r="AN408" s="782">
        <f ca="1">IF(Table_NFI[[#This Row],[Pcode]]="","",IF(OFFSET(CampList[Opening Date],MATCH(Table_NFI[[#This Row],[Pcode]],CampList[CP_Pcode],0)-1,0,1,1)&gt;=NFI_Monitor_Date,1,0))</f>
        <v>0</v>
      </c>
      <c r="AO408" s="781" t="str">
        <f>IFERROR(VLOOKUP(Table_NFI[[#This Row],[Camp Name]],CL,3,0),"")</f>
        <v>Open</v>
      </c>
      <c r="AP408" s="436" t="str">
        <f ca="1">IF(Table_NFI[[#This Row],[Pcode]]="","",OFFSET(CampList[Priority],MATCH(Table_NFI[[#This Row],[Pcode]],CampList[CP_Pcode],0)-1,0,1,1))</f>
        <v>P4</v>
      </c>
      <c r="AQ408" s="438">
        <f>IFERROR(Table_NFI[[#This Row],[Kitchen Set]]/VLOOKUP(Table_NFI[[#This Row],[Camp Name]],CL,4,0),"")</f>
        <v>0</v>
      </c>
      <c r="AR408" s="779" t="s">
        <v>1099</v>
      </c>
      <c r="AS408" s="783"/>
    </row>
    <row r="409" spans="1:45" s="784" customFormat="1" x14ac:dyDescent="0.25">
      <c r="A409" s="455">
        <f t="shared" si="6"/>
        <v>23.366666666666667</v>
      </c>
      <c r="B409" s="778">
        <v>41608</v>
      </c>
      <c r="C409" s="779" t="s">
        <v>912</v>
      </c>
      <c r="D409" s="779" t="s">
        <v>462</v>
      </c>
      <c r="E409" s="779" t="s">
        <v>380</v>
      </c>
      <c r="F409" s="435" t="s">
        <v>310</v>
      </c>
      <c r="G409" s="435" t="s">
        <v>351</v>
      </c>
      <c r="H409" s="436"/>
      <c r="I409" s="436"/>
      <c r="J409" s="436"/>
      <c r="K409" s="436"/>
      <c r="L409" s="437"/>
      <c r="M409" s="437"/>
      <c r="N409" s="437"/>
      <c r="O409" s="437"/>
      <c r="P409" s="439"/>
      <c r="Q409" s="439"/>
      <c r="R409" s="436"/>
      <c r="S409" s="436"/>
      <c r="T409" s="436"/>
      <c r="U409" s="436"/>
      <c r="V409" s="436"/>
      <c r="W409" s="436">
        <f>IF(NFI_Expiration=1,IF($A409&lt;VLOOKUP(H$5,NFI,5,0),1,0)*Table_NFI[[#This Row],[Hygiene Kit]],Table_NFI[Hygiene Kit])</f>
        <v>0</v>
      </c>
      <c r="X409" s="436">
        <f>IF(NFI_Expiration=1,IF($A409&lt;VLOOKUP(I$5,NFI,5,0),1,0)*Table_NFI[[#This Row],[NFI Core Kit]],Table_NFI[NFI Core Kit])</f>
        <v>0</v>
      </c>
      <c r="Y409" s="436">
        <f>IF(NFI_Expiration=1,IF($A409&lt;VLOOKUP(J$5,NFI,5,0),1,0)*Table_NFI[[#This Row],[Sanitary Kit]],Table_NFI[Sanitary Kit])</f>
        <v>0</v>
      </c>
      <c r="Z409" s="436">
        <f>IF(NFI_Expiration=1,IF($A409&lt;VLOOKUP(K$5,NFI,5,0),1,0)*Table_NFI[[#This Row],[Mosquito net]],Table_NFI[Mosquito net])</f>
        <v>0</v>
      </c>
      <c r="AA409" s="436">
        <f>IF(NFI_Expiration=1,IF($A409&lt;VLOOKUP(L$5,NFI,5,0),1,0)*Table_NFI[[#This Row],[Tarpaulin]],Table_NFI[[#This Row],[Tarpaulin]])</f>
        <v>0</v>
      </c>
      <c r="AB409" s="436">
        <f>IF(NFI_Expiration=1,IF($A409&lt;VLOOKUP(M$5,NFI,5,0),1,0)*Table_NFI[[#This Row],[Blanket]],Table_NFI[[#This Row],[Blanket]])</f>
        <v>0</v>
      </c>
      <c r="AC409" s="436">
        <f>IF(NFI_Expiration=1,IF($A409&lt;VLOOKUP(N$5,NFI,5,0),1,0)*Table_NFI[[#This Row],[Kitchen Set]],Table_NFI[Kitchen Set])</f>
        <v>0</v>
      </c>
      <c r="AD409" s="436">
        <f>IF(NFI_Expiration=1,IF($A409&lt;VLOOKUP(O$5,NFI,5,0),1,0)*Table_NFI[[#This Row],[Clothes Kit]],Table_NFI[Clothes Kit])</f>
        <v>0</v>
      </c>
      <c r="AE409" s="436">
        <f>IF(NFI_Expiration=1,IF($A409&lt;VLOOKUP(P$5,NFI,5,0),1,0)*Table_NFI[[#This Row],[Plastic Bucket]],Table_NFI[Plastic Bucket])</f>
        <v>0</v>
      </c>
      <c r="AF409" s="436">
        <f>IF(NFI_Expiration=1,IF($A409&lt;VLOOKUP(Q$5,NFI,5,0),1,0)*Table_NFI[[#This Row],[Plastic Mat]],Table_NFI[Plastic Mat])*IF(Table_NFI[[#This Row],[Distribution Date]]&gt;"2014-04-01",1,2.5)</f>
        <v>0</v>
      </c>
      <c r="AG409" s="436">
        <f>IF(NFI_Expiration=1,IF($A409&lt;VLOOKUP(R$5,NFI,5,0),1,0)*Table_NFI[[#This Row],[Winter Clothes Adult]],Table_NFI[Winter Clothes Adult])</f>
        <v>0</v>
      </c>
      <c r="AH409" s="436">
        <f>IF(NFI_Expiration=1,IF($A409&lt;VLOOKUP(S$5,NFI,5,0),1,0)*Table_NFI[[#This Row],[Winter Clothes Children]],Table_NFI[Winter Clothes Children])</f>
        <v>0</v>
      </c>
      <c r="AI409" s="436">
        <f>IF(NFI_Expiration=1,IF($A409&lt;VLOOKUP(T$5,NFI,5,0),1,0)*Table_NFI[[#This Row],[Winter Items Other]],Table_NFI[Winter Items Other])</f>
        <v>0</v>
      </c>
      <c r="AJ409" s="436">
        <f>IF(NFI_Expiration=1,IF($A409&lt;VLOOKUP(M$5,NFI,5,0),1,0)*Table_NFI[[#This Row],[Winter Blanket]],Table_NFI[[#This Row],[Winter Blanket]])</f>
        <v>0</v>
      </c>
      <c r="AK409" s="436">
        <f>IF(Table_NFI[[#This Row],[Winter Clothes Adult]]+Table_NFI[[#This Row],[Winter Clothes Children]]+Table_NFI[[#This Row],[Winter Items Other]]+Table_NFI[[#This Row],[Winter Blanket]]&gt;0,1,0)</f>
        <v>0</v>
      </c>
      <c r="AL409" s="439">
        <f>IF(NFI_Expiration=1,IF($A409&lt;VLOOKUP(V$5,NFI,5,0),1,0)*Table_NFI[[#This Row],[Jerry Can]],Table_NFI[Jerry Can])</f>
        <v>0</v>
      </c>
      <c r="AM409" s="781" t="str">
        <f>IFERROR(VLOOKUP(Table_NFI[[#This Row],[Camp Name]],CL,2,0),"")</f>
        <v>MMR001CMP026</v>
      </c>
      <c r="AN409" s="782">
        <f ca="1">IF(Table_NFI[[#This Row],[Pcode]]="","",IF(OFFSET(CampList[Opening Date],MATCH(Table_NFI[[#This Row],[Pcode]],CampList[CP_Pcode],0)-1,0,1,1)&gt;=NFI_Monitor_Date,1,0))</f>
        <v>0</v>
      </c>
      <c r="AO409" s="781" t="str">
        <f>IFERROR(VLOOKUP(Table_NFI[[#This Row],[Camp Name]],CL,3,0),"")</f>
        <v>Open</v>
      </c>
      <c r="AP409" s="436" t="str">
        <f ca="1">IF(Table_NFI[[#This Row],[Pcode]]="","",OFFSET(CampList[Priority],MATCH(Table_NFI[[#This Row],[Pcode]],CampList[CP_Pcode],0)-1,0,1,1))</f>
        <v>P4</v>
      </c>
      <c r="AQ409" s="438">
        <f>IFERROR(Table_NFI[[#This Row],[Kitchen Set]]/VLOOKUP(Table_NFI[[#This Row],[Camp Name]],CL,4,0),"")</f>
        <v>0</v>
      </c>
      <c r="AR409" s="779" t="s">
        <v>1099</v>
      </c>
      <c r="AS409" s="783"/>
    </row>
    <row r="410" spans="1:45" s="784" customFormat="1" x14ac:dyDescent="0.25">
      <c r="A410" s="455">
        <f t="shared" si="6"/>
        <v>23.366666666666667</v>
      </c>
      <c r="B410" s="778">
        <v>41608</v>
      </c>
      <c r="C410" s="779" t="s">
        <v>912</v>
      </c>
      <c r="D410" s="779"/>
      <c r="E410" s="779" t="s">
        <v>380</v>
      </c>
      <c r="F410" s="435" t="s">
        <v>5</v>
      </c>
      <c r="G410" s="435" t="s">
        <v>22</v>
      </c>
      <c r="H410" s="436"/>
      <c r="I410" s="436"/>
      <c r="J410" s="436"/>
      <c r="K410" s="436"/>
      <c r="L410" s="437"/>
      <c r="M410" s="437"/>
      <c r="N410" s="437"/>
      <c r="O410" s="437"/>
      <c r="P410" s="439"/>
      <c r="Q410" s="439">
        <v>1164</v>
      </c>
      <c r="R410" s="436"/>
      <c r="S410" s="436"/>
      <c r="T410" s="436"/>
      <c r="U410" s="436"/>
      <c r="V410" s="436"/>
      <c r="W410" s="436">
        <f>IF(NFI_Expiration=1,IF($A410&lt;VLOOKUP(H$5,NFI,5,0),1,0)*Table_NFI[[#This Row],[Hygiene Kit]],Table_NFI[Hygiene Kit])</f>
        <v>0</v>
      </c>
      <c r="X410" s="436">
        <f>IF(NFI_Expiration=1,IF($A410&lt;VLOOKUP(I$5,NFI,5,0),1,0)*Table_NFI[[#This Row],[NFI Core Kit]],Table_NFI[NFI Core Kit])</f>
        <v>0</v>
      </c>
      <c r="Y410" s="436">
        <f>IF(NFI_Expiration=1,IF($A410&lt;VLOOKUP(J$5,NFI,5,0),1,0)*Table_NFI[[#This Row],[Sanitary Kit]],Table_NFI[Sanitary Kit])</f>
        <v>0</v>
      </c>
      <c r="Z410" s="436">
        <f>IF(NFI_Expiration=1,IF($A410&lt;VLOOKUP(K$5,NFI,5,0),1,0)*Table_NFI[[#This Row],[Mosquito net]],Table_NFI[Mosquito net])</f>
        <v>0</v>
      </c>
      <c r="AA410" s="436">
        <f>IF(NFI_Expiration=1,IF($A410&lt;VLOOKUP(L$5,NFI,5,0),1,0)*Table_NFI[[#This Row],[Tarpaulin]],Table_NFI[[#This Row],[Tarpaulin]])</f>
        <v>0</v>
      </c>
      <c r="AB410" s="436">
        <f>IF(NFI_Expiration=1,IF($A410&lt;VLOOKUP(M$5,NFI,5,0),1,0)*Table_NFI[[#This Row],[Blanket]],Table_NFI[[#This Row],[Blanket]])</f>
        <v>0</v>
      </c>
      <c r="AC410" s="436">
        <f>IF(NFI_Expiration=1,IF($A410&lt;VLOOKUP(N$5,NFI,5,0),1,0)*Table_NFI[[#This Row],[Kitchen Set]],Table_NFI[Kitchen Set])</f>
        <v>0</v>
      </c>
      <c r="AD410" s="436">
        <f>IF(NFI_Expiration=1,IF($A410&lt;VLOOKUP(O$5,NFI,5,0),1,0)*Table_NFI[[#This Row],[Clothes Kit]],Table_NFI[Clothes Kit])</f>
        <v>0</v>
      </c>
      <c r="AE410" s="436">
        <f>IF(NFI_Expiration=1,IF($A410&lt;VLOOKUP(P$5,NFI,5,0),1,0)*Table_NFI[[#This Row],[Plastic Bucket]],Table_NFI[Plastic Bucket])</f>
        <v>0</v>
      </c>
      <c r="AF410" s="436">
        <f>IF(NFI_Expiration=1,IF($A410&lt;VLOOKUP(Q$5,NFI,5,0),1,0)*Table_NFI[[#This Row],[Plastic Mat]],Table_NFI[Plastic Mat])*IF(Table_NFI[[#This Row],[Distribution Date]]&gt;"2014-04-01",1,2.5)</f>
        <v>0</v>
      </c>
      <c r="AG410" s="436">
        <f>IF(NFI_Expiration=1,IF($A410&lt;VLOOKUP(R$5,NFI,5,0),1,0)*Table_NFI[[#This Row],[Winter Clothes Adult]],Table_NFI[Winter Clothes Adult])</f>
        <v>0</v>
      </c>
      <c r="AH410" s="436">
        <f>IF(NFI_Expiration=1,IF($A410&lt;VLOOKUP(S$5,NFI,5,0),1,0)*Table_NFI[[#This Row],[Winter Clothes Children]],Table_NFI[Winter Clothes Children])</f>
        <v>0</v>
      </c>
      <c r="AI410" s="436">
        <f>IF(NFI_Expiration=1,IF($A410&lt;VLOOKUP(T$5,NFI,5,0),1,0)*Table_NFI[[#This Row],[Winter Items Other]],Table_NFI[Winter Items Other])</f>
        <v>0</v>
      </c>
      <c r="AJ410" s="436">
        <f>IF(NFI_Expiration=1,IF($A410&lt;VLOOKUP(M$5,NFI,5,0),1,0)*Table_NFI[[#This Row],[Winter Blanket]],Table_NFI[[#This Row],[Winter Blanket]])</f>
        <v>0</v>
      </c>
      <c r="AK410" s="436">
        <f>IF(Table_NFI[[#This Row],[Winter Clothes Adult]]+Table_NFI[[#This Row],[Winter Clothes Children]]+Table_NFI[[#This Row],[Winter Items Other]]+Table_NFI[[#This Row],[Winter Blanket]]&gt;0,1,0)</f>
        <v>0</v>
      </c>
      <c r="AL410" s="439">
        <f>IF(NFI_Expiration=1,IF($A410&lt;VLOOKUP(V$5,NFI,5,0),1,0)*Table_NFI[[#This Row],[Jerry Can]],Table_NFI[Jerry Can])</f>
        <v>0</v>
      </c>
      <c r="AM410" s="781" t="str">
        <f>IFERROR(VLOOKUP(Table_NFI[[#This Row],[Camp Name]],CL,2,0),"")</f>
        <v>MMR001CMP047</v>
      </c>
      <c r="AN410" s="782">
        <f ca="1">IF(Table_NFI[[#This Row],[Pcode]]="","",IF(OFFSET(CampList[Opening Date],MATCH(Table_NFI[[#This Row],[Pcode]],CampList[CP_Pcode],0)-1,0,1,1)&gt;=NFI_Monitor_Date,1,0))</f>
        <v>0</v>
      </c>
      <c r="AO410" s="781" t="str">
        <f>IFERROR(VLOOKUP(Table_NFI[[#This Row],[Camp Name]],CL,3,0),"")</f>
        <v>Open</v>
      </c>
      <c r="AP410" s="436" t="str">
        <f ca="1">IF(Table_NFI[[#This Row],[Pcode]]="","",OFFSET(CampList[Priority],MATCH(Table_NFI[[#This Row],[Pcode]],CampList[CP_Pcode],0)-1,0,1,1))</f>
        <v>P4</v>
      </c>
      <c r="AQ410" s="438">
        <f>IFERROR(Table_NFI[[#This Row],[Kitchen Set]]/VLOOKUP(Table_NFI[[#This Row],[Camp Name]],CL,4,0),"")</f>
        <v>0</v>
      </c>
      <c r="AR410" s="779" t="s">
        <v>1099</v>
      </c>
      <c r="AS410" s="783"/>
    </row>
    <row r="411" spans="1:45" s="784" customFormat="1" x14ac:dyDescent="0.25">
      <c r="A411" s="455">
        <f t="shared" si="6"/>
        <v>23.366666666666667</v>
      </c>
      <c r="B411" s="778">
        <v>41608</v>
      </c>
      <c r="C411" s="779" t="s">
        <v>454</v>
      </c>
      <c r="D411" s="442" t="s">
        <v>454</v>
      </c>
      <c r="E411" s="785" t="s">
        <v>380</v>
      </c>
      <c r="F411" s="785" t="s">
        <v>5</v>
      </c>
      <c r="G411" s="435" t="s">
        <v>22</v>
      </c>
      <c r="H411" s="442"/>
      <c r="I411" s="442"/>
      <c r="J411" s="442"/>
      <c r="K411" s="785">
        <v>75</v>
      </c>
      <c r="L411" s="786">
        <v>36</v>
      </c>
      <c r="M411" s="443">
        <v>75</v>
      </c>
      <c r="N411" s="443">
        <v>36</v>
      </c>
      <c r="O411" s="443">
        <v>36</v>
      </c>
      <c r="P411" s="786"/>
      <c r="Q411" s="443"/>
      <c r="R411" s="442"/>
      <c r="S411" s="442"/>
      <c r="T411" s="442"/>
      <c r="U411" s="442"/>
      <c r="V411" s="442"/>
      <c r="W411" s="436">
        <f>IF(NFI_Expiration=1,IF($A411&lt;VLOOKUP(H$5,NFI,5,0),1,0)*Table_NFI[[#This Row],[Hygiene Kit]],Table_NFI[Hygiene Kit])</f>
        <v>0</v>
      </c>
      <c r="X411" s="436">
        <f>IF(NFI_Expiration=1,IF($A411&lt;VLOOKUP(I$5,NFI,5,0),1,0)*Table_NFI[[#This Row],[NFI Core Kit]],Table_NFI[NFI Core Kit])</f>
        <v>0</v>
      </c>
      <c r="Y411" s="436">
        <f>IF(NFI_Expiration=1,IF($A411&lt;VLOOKUP(J$5,NFI,5,0),1,0)*Table_NFI[[#This Row],[Sanitary Kit]],Table_NFI[Sanitary Kit])</f>
        <v>0</v>
      </c>
      <c r="Z411" s="436">
        <f>IF(NFI_Expiration=1,IF($A411&lt;VLOOKUP(K$5,NFI,5,0),1,0)*Table_NFI[[#This Row],[Mosquito net]],Table_NFI[Mosquito net])</f>
        <v>0</v>
      </c>
      <c r="AA411" s="436">
        <f>IF(NFI_Expiration=1,IF($A411&lt;VLOOKUP(L$5,NFI,5,0),1,0)*Table_NFI[[#This Row],[Tarpaulin]],Table_NFI[[#This Row],[Tarpaulin]])</f>
        <v>0</v>
      </c>
      <c r="AB411" s="436">
        <f>IF(NFI_Expiration=1,IF($A411&lt;VLOOKUP(M$5,NFI,5,0),1,0)*Table_NFI[[#This Row],[Blanket]],Table_NFI[[#This Row],[Blanket]])</f>
        <v>0</v>
      </c>
      <c r="AC411" s="436">
        <f>IF(NFI_Expiration=1,IF($A411&lt;VLOOKUP(N$5,NFI,5,0),1,0)*Table_NFI[[#This Row],[Kitchen Set]],Table_NFI[Kitchen Set])</f>
        <v>0</v>
      </c>
      <c r="AD411" s="436">
        <f>IF(NFI_Expiration=1,IF($A411&lt;VLOOKUP(O$5,NFI,5,0),1,0)*Table_NFI[[#This Row],[Clothes Kit]],Table_NFI[Clothes Kit])</f>
        <v>0</v>
      </c>
      <c r="AE411" s="436">
        <f>IF(NFI_Expiration=1,IF($A411&lt;VLOOKUP(P$5,NFI,5,0),1,0)*Table_NFI[[#This Row],[Plastic Bucket]],Table_NFI[Plastic Bucket])</f>
        <v>0</v>
      </c>
      <c r="AF411" s="436">
        <f>IF(NFI_Expiration=1,IF($A411&lt;VLOOKUP(Q$5,NFI,5,0),1,0)*Table_NFI[[#This Row],[Plastic Mat]],Table_NFI[Plastic Mat])*IF(Table_NFI[[#This Row],[Distribution Date]]&gt;"2014-04-01",1,2.5)</f>
        <v>0</v>
      </c>
      <c r="AG411" s="436">
        <f>IF(NFI_Expiration=1,IF($A411&lt;VLOOKUP(R$5,NFI,5,0),1,0)*Table_NFI[[#This Row],[Winter Clothes Adult]],Table_NFI[Winter Clothes Adult])</f>
        <v>0</v>
      </c>
      <c r="AH411" s="436">
        <f>IF(NFI_Expiration=1,IF($A411&lt;VLOOKUP(S$5,NFI,5,0),1,0)*Table_NFI[[#This Row],[Winter Clothes Children]],Table_NFI[Winter Clothes Children])</f>
        <v>0</v>
      </c>
      <c r="AI411" s="436">
        <f>IF(NFI_Expiration=1,IF($A411&lt;VLOOKUP(T$5,NFI,5,0),1,0)*Table_NFI[[#This Row],[Winter Items Other]],Table_NFI[Winter Items Other])</f>
        <v>0</v>
      </c>
      <c r="AJ411" s="436">
        <f>IF(NFI_Expiration=1,IF($A411&lt;VLOOKUP(M$5,NFI,5,0),1,0)*Table_NFI[[#This Row],[Winter Blanket]],Table_NFI[[#This Row],[Winter Blanket]])</f>
        <v>0</v>
      </c>
      <c r="AK411" s="436">
        <f>IF(Table_NFI[[#This Row],[Winter Clothes Adult]]+Table_NFI[[#This Row],[Winter Clothes Children]]+Table_NFI[[#This Row],[Winter Items Other]]+Table_NFI[[#This Row],[Winter Blanket]]&gt;0,1,0)</f>
        <v>0</v>
      </c>
      <c r="AL411" s="439">
        <f>IF(NFI_Expiration=1,IF($A411&lt;VLOOKUP(V$5,NFI,5,0),1,0)*Table_NFI[[#This Row],[Jerry Can]],Table_NFI[Jerry Can])</f>
        <v>0</v>
      </c>
      <c r="AM411" s="781" t="str">
        <f>IFERROR(VLOOKUP(Table_NFI[[#This Row],[Camp Name]],CL,2,0),"")</f>
        <v>MMR001CMP047</v>
      </c>
      <c r="AN411" s="782">
        <f ca="1">IF(Table_NFI[[#This Row],[Pcode]]="","",IF(OFFSET(CampList[Opening Date],MATCH(Table_NFI[[#This Row],[Pcode]],CampList[CP_Pcode],0)-1,0,1,1)&gt;=NFI_Monitor_Date,1,0))</f>
        <v>0</v>
      </c>
      <c r="AO411" s="781" t="str">
        <f>IFERROR(VLOOKUP(Table_NFI[[#This Row],[Camp Name]],CL,3,0),"")</f>
        <v>Open</v>
      </c>
      <c r="AP411" s="436" t="str">
        <f ca="1">IF(Table_NFI[[#This Row],[Pcode]]="","",OFFSET(CampList[Priority],MATCH(Table_NFI[[#This Row],[Pcode]],CampList[CP_Pcode],0)-1,0,1,1))</f>
        <v>P4</v>
      </c>
      <c r="AQ411" s="438">
        <f>IFERROR(Table_NFI[[#This Row],[Kitchen Set]]/VLOOKUP(Table_NFI[[#This Row],[Camp Name]],CL,4,0),"")</f>
        <v>5.5214723926380369E-2</v>
      </c>
      <c r="AR411" s="779" t="s">
        <v>1099</v>
      </c>
      <c r="AS411" s="783"/>
    </row>
    <row r="412" spans="1:45" s="784" customFormat="1" x14ac:dyDescent="0.25">
      <c r="A412" s="455">
        <f t="shared" si="6"/>
        <v>23.366666666666667</v>
      </c>
      <c r="B412" s="778">
        <v>41608</v>
      </c>
      <c r="C412" s="779" t="s">
        <v>912</v>
      </c>
      <c r="D412" s="779"/>
      <c r="E412" s="779" t="s">
        <v>380</v>
      </c>
      <c r="F412" s="435" t="s">
        <v>185</v>
      </c>
      <c r="G412" s="435" t="s">
        <v>225</v>
      </c>
      <c r="H412" s="436"/>
      <c r="I412" s="436"/>
      <c r="J412" s="436"/>
      <c r="K412" s="436"/>
      <c r="L412" s="437"/>
      <c r="M412" s="437"/>
      <c r="N412" s="437"/>
      <c r="O412" s="437"/>
      <c r="P412" s="439"/>
      <c r="Q412" s="439">
        <v>99</v>
      </c>
      <c r="R412" s="436"/>
      <c r="S412" s="436"/>
      <c r="T412" s="436"/>
      <c r="U412" s="436"/>
      <c r="V412" s="436"/>
      <c r="W412" s="436">
        <f>IF(NFI_Expiration=1,IF($A412&lt;VLOOKUP(H$5,NFI,5,0),1,0)*Table_NFI[[#This Row],[Hygiene Kit]],Table_NFI[Hygiene Kit])</f>
        <v>0</v>
      </c>
      <c r="X412" s="436">
        <f>IF(NFI_Expiration=1,IF($A412&lt;VLOOKUP(I$5,NFI,5,0),1,0)*Table_NFI[[#This Row],[NFI Core Kit]],Table_NFI[NFI Core Kit])</f>
        <v>0</v>
      </c>
      <c r="Y412" s="436">
        <f>IF(NFI_Expiration=1,IF($A412&lt;VLOOKUP(J$5,NFI,5,0),1,0)*Table_NFI[[#This Row],[Sanitary Kit]],Table_NFI[Sanitary Kit])</f>
        <v>0</v>
      </c>
      <c r="Z412" s="436">
        <f>IF(NFI_Expiration=1,IF($A412&lt;VLOOKUP(K$5,NFI,5,0),1,0)*Table_NFI[[#This Row],[Mosquito net]],Table_NFI[Mosquito net])</f>
        <v>0</v>
      </c>
      <c r="AA412" s="436">
        <f>IF(NFI_Expiration=1,IF($A412&lt;VLOOKUP(L$5,NFI,5,0),1,0)*Table_NFI[[#This Row],[Tarpaulin]],Table_NFI[[#This Row],[Tarpaulin]])</f>
        <v>0</v>
      </c>
      <c r="AB412" s="436">
        <f>IF(NFI_Expiration=1,IF($A412&lt;VLOOKUP(M$5,NFI,5,0),1,0)*Table_NFI[[#This Row],[Blanket]],Table_NFI[[#This Row],[Blanket]])</f>
        <v>0</v>
      </c>
      <c r="AC412" s="436">
        <f>IF(NFI_Expiration=1,IF($A412&lt;VLOOKUP(N$5,NFI,5,0),1,0)*Table_NFI[[#This Row],[Kitchen Set]],Table_NFI[Kitchen Set])</f>
        <v>0</v>
      </c>
      <c r="AD412" s="436">
        <f>IF(NFI_Expiration=1,IF($A412&lt;VLOOKUP(O$5,NFI,5,0),1,0)*Table_NFI[[#This Row],[Clothes Kit]],Table_NFI[Clothes Kit])</f>
        <v>0</v>
      </c>
      <c r="AE412" s="436">
        <f>IF(NFI_Expiration=1,IF($A412&lt;VLOOKUP(P$5,NFI,5,0),1,0)*Table_NFI[[#This Row],[Plastic Bucket]],Table_NFI[Plastic Bucket])</f>
        <v>0</v>
      </c>
      <c r="AF412" s="436">
        <f>IF(NFI_Expiration=1,IF($A412&lt;VLOOKUP(Q$5,NFI,5,0),1,0)*Table_NFI[[#This Row],[Plastic Mat]],Table_NFI[Plastic Mat])*IF(Table_NFI[[#This Row],[Distribution Date]]&gt;"2014-04-01",1,2.5)</f>
        <v>0</v>
      </c>
      <c r="AG412" s="436">
        <f>IF(NFI_Expiration=1,IF($A412&lt;VLOOKUP(R$5,NFI,5,0),1,0)*Table_NFI[[#This Row],[Winter Clothes Adult]],Table_NFI[Winter Clothes Adult])</f>
        <v>0</v>
      </c>
      <c r="AH412" s="436">
        <f>IF(NFI_Expiration=1,IF($A412&lt;VLOOKUP(S$5,NFI,5,0),1,0)*Table_NFI[[#This Row],[Winter Clothes Children]],Table_NFI[Winter Clothes Children])</f>
        <v>0</v>
      </c>
      <c r="AI412" s="436">
        <f>IF(NFI_Expiration=1,IF($A412&lt;VLOOKUP(T$5,NFI,5,0),1,0)*Table_NFI[[#This Row],[Winter Items Other]],Table_NFI[Winter Items Other])</f>
        <v>0</v>
      </c>
      <c r="AJ412" s="436">
        <f>IF(NFI_Expiration=1,IF($A412&lt;VLOOKUP(M$5,NFI,5,0),1,0)*Table_NFI[[#This Row],[Winter Blanket]],Table_NFI[[#This Row],[Winter Blanket]])</f>
        <v>0</v>
      </c>
      <c r="AK412" s="436">
        <f>IF(Table_NFI[[#This Row],[Winter Clothes Adult]]+Table_NFI[[#This Row],[Winter Clothes Children]]+Table_NFI[[#This Row],[Winter Items Other]]+Table_NFI[[#This Row],[Winter Blanket]]&gt;0,1,0)</f>
        <v>0</v>
      </c>
      <c r="AL412" s="439">
        <f>IF(NFI_Expiration=1,IF($A412&lt;VLOOKUP(V$5,NFI,5,0),1,0)*Table_NFI[[#This Row],[Jerry Can]],Table_NFI[Jerry Can])</f>
        <v>0</v>
      </c>
      <c r="AM412" s="781" t="str">
        <f>IFERROR(VLOOKUP(Table_NFI[[#This Row],[Camp Name]],CL,2,0),"")</f>
        <v>MMR001CMP073</v>
      </c>
      <c r="AN412" s="782">
        <f ca="1">IF(Table_NFI[[#This Row],[Pcode]]="","",IF(OFFSET(CampList[Opening Date],MATCH(Table_NFI[[#This Row],[Pcode]],CampList[CP_Pcode],0)-1,0,1,1)&gt;=NFI_Monitor_Date,1,0))</f>
        <v>0</v>
      </c>
      <c r="AO412" s="781" t="str">
        <f>IFERROR(VLOOKUP(Table_NFI[[#This Row],[Camp Name]],CL,3,0),"")</f>
        <v>Open</v>
      </c>
      <c r="AP412" s="436" t="str">
        <f ca="1">IF(Table_NFI[[#This Row],[Pcode]]="","",OFFSET(CampList[Priority],MATCH(Table_NFI[[#This Row],[Pcode]],CampList[CP_Pcode],0)-1,0,1,1))</f>
        <v>P3</v>
      </c>
      <c r="AQ412" s="438">
        <f>IFERROR(Table_NFI[[#This Row],[Kitchen Set]]/VLOOKUP(Table_NFI[[#This Row],[Camp Name]],CL,4,0),"")</f>
        <v>0</v>
      </c>
      <c r="AR412" s="779" t="s">
        <v>1099</v>
      </c>
      <c r="AS412" s="783"/>
    </row>
    <row r="413" spans="1:45" s="784" customFormat="1" x14ac:dyDescent="0.25">
      <c r="A413" s="455">
        <f t="shared" si="6"/>
        <v>23.366666666666667</v>
      </c>
      <c r="B413" s="778">
        <v>41608</v>
      </c>
      <c r="C413" s="779" t="s">
        <v>912</v>
      </c>
      <c r="D413" s="779" t="s">
        <v>462</v>
      </c>
      <c r="E413" s="779" t="s">
        <v>380</v>
      </c>
      <c r="F413" s="435" t="s">
        <v>310</v>
      </c>
      <c r="G413" s="435" t="s">
        <v>347</v>
      </c>
      <c r="H413" s="436"/>
      <c r="I413" s="436"/>
      <c r="J413" s="436"/>
      <c r="K413" s="436"/>
      <c r="L413" s="437"/>
      <c r="M413" s="437"/>
      <c r="N413" s="437"/>
      <c r="O413" s="437"/>
      <c r="P413" s="439"/>
      <c r="Q413" s="439"/>
      <c r="R413" s="436"/>
      <c r="S413" s="436"/>
      <c r="T413" s="436"/>
      <c r="U413" s="436"/>
      <c r="V413" s="436"/>
      <c r="W413" s="436">
        <f>IF(NFI_Expiration=1,IF($A413&lt;VLOOKUP(H$5,NFI,5,0),1,0)*Table_NFI[[#This Row],[Hygiene Kit]],Table_NFI[Hygiene Kit])</f>
        <v>0</v>
      </c>
      <c r="X413" s="436">
        <f>IF(NFI_Expiration=1,IF($A413&lt;VLOOKUP(I$5,NFI,5,0),1,0)*Table_NFI[[#This Row],[NFI Core Kit]],Table_NFI[NFI Core Kit])</f>
        <v>0</v>
      </c>
      <c r="Y413" s="436">
        <f>IF(NFI_Expiration=1,IF($A413&lt;VLOOKUP(J$5,NFI,5,0),1,0)*Table_NFI[[#This Row],[Sanitary Kit]],Table_NFI[Sanitary Kit])</f>
        <v>0</v>
      </c>
      <c r="Z413" s="436">
        <f>IF(NFI_Expiration=1,IF($A413&lt;VLOOKUP(K$5,NFI,5,0),1,0)*Table_NFI[[#This Row],[Mosquito net]],Table_NFI[Mosquito net])</f>
        <v>0</v>
      </c>
      <c r="AA413" s="436">
        <f>IF(NFI_Expiration=1,IF($A413&lt;VLOOKUP(L$5,NFI,5,0),1,0)*Table_NFI[[#This Row],[Tarpaulin]],Table_NFI[[#This Row],[Tarpaulin]])</f>
        <v>0</v>
      </c>
      <c r="AB413" s="436">
        <f>IF(NFI_Expiration=1,IF($A413&lt;VLOOKUP(M$5,NFI,5,0),1,0)*Table_NFI[[#This Row],[Blanket]],Table_NFI[[#This Row],[Blanket]])</f>
        <v>0</v>
      </c>
      <c r="AC413" s="436">
        <f>IF(NFI_Expiration=1,IF($A413&lt;VLOOKUP(N$5,NFI,5,0),1,0)*Table_NFI[[#This Row],[Kitchen Set]],Table_NFI[Kitchen Set])</f>
        <v>0</v>
      </c>
      <c r="AD413" s="436">
        <f>IF(NFI_Expiration=1,IF($A413&lt;VLOOKUP(O$5,NFI,5,0),1,0)*Table_NFI[[#This Row],[Clothes Kit]],Table_NFI[Clothes Kit])</f>
        <v>0</v>
      </c>
      <c r="AE413" s="436">
        <f>IF(NFI_Expiration=1,IF($A413&lt;VLOOKUP(P$5,NFI,5,0),1,0)*Table_NFI[[#This Row],[Plastic Bucket]],Table_NFI[Plastic Bucket])</f>
        <v>0</v>
      </c>
      <c r="AF413" s="436">
        <f>IF(NFI_Expiration=1,IF($A413&lt;VLOOKUP(Q$5,NFI,5,0),1,0)*Table_NFI[[#This Row],[Plastic Mat]],Table_NFI[Plastic Mat])*IF(Table_NFI[[#This Row],[Distribution Date]]&gt;"2014-04-01",1,2.5)</f>
        <v>0</v>
      </c>
      <c r="AG413" s="436">
        <f>IF(NFI_Expiration=1,IF($A413&lt;VLOOKUP(R$5,NFI,5,0),1,0)*Table_NFI[[#This Row],[Winter Clothes Adult]],Table_NFI[Winter Clothes Adult])</f>
        <v>0</v>
      </c>
      <c r="AH413" s="436">
        <f>IF(NFI_Expiration=1,IF($A413&lt;VLOOKUP(S$5,NFI,5,0),1,0)*Table_NFI[[#This Row],[Winter Clothes Children]],Table_NFI[Winter Clothes Children])</f>
        <v>0</v>
      </c>
      <c r="AI413" s="436">
        <f>IF(NFI_Expiration=1,IF($A413&lt;VLOOKUP(T$5,NFI,5,0),1,0)*Table_NFI[[#This Row],[Winter Items Other]],Table_NFI[Winter Items Other])</f>
        <v>0</v>
      </c>
      <c r="AJ413" s="436">
        <f>IF(NFI_Expiration=1,IF($A413&lt;VLOOKUP(M$5,NFI,5,0),1,0)*Table_NFI[[#This Row],[Winter Blanket]],Table_NFI[[#This Row],[Winter Blanket]])</f>
        <v>0</v>
      </c>
      <c r="AK413" s="436">
        <f>IF(Table_NFI[[#This Row],[Winter Clothes Adult]]+Table_NFI[[#This Row],[Winter Clothes Children]]+Table_NFI[[#This Row],[Winter Items Other]]+Table_NFI[[#This Row],[Winter Blanket]]&gt;0,1,0)</f>
        <v>0</v>
      </c>
      <c r="AL413" s="439">
        <f>IF(NFI_Expiration=1,IF($A413&lt;VLOOKUP(V$5,NFI,5,0),1,0)*Table_NFI[[#This Row],[Jerry Can]],Table_NFI[Jerry Can])</f>
        <v>0</v>
      </c>
      <c r="AM413" s="781" t="str">
        <f>IFERROR(VLOOKUP(Table_NFI[[#This Row],[Camp Name]],CL,2,0),"")</f>
        <v>MMR001CMP041</v>
      </c>
      <c r="AN413" s="782">
        <f ca="1">IF(Table_NFI[[#This Row],[Pcode]]="","",IF(OFFSET(CampList[Opening Date],MATCH(Table_NFI[[#This Row],[Pcode]],CampList[CP_Pcode],0)-1,0,1,1)&gt;=NFI_Monitor_Date,1,0))</f>
        <v>0</v>
      </c>
      <c r="AO413" s="781" t="str">
        <f>IFERROR(VLOOKUP(Table_NFI[[#This Row],[Camp Name]],CL,3,0),"")</f>
        <v>Open</v>
      </c>
      <c r="AP413" s="436" t="str">
        <f ca="1">IF(Table_NFI[[#This Row],[Pcode]]="","",OFFSET(CampList[Priority],MATCH(Table_NFI[[#This Row],[Pcode]],CampList[CP_Pcode],0)-1,0,1,1))</f>
        <v>P1</v>
      </c>
      <c r="AQ413" s="438">
        <f>IFERROR(Table_NFI[[#This Row],[Kitchen Set]]/VLOOKUP(Table_NFI[[#This Row],[Camp Name]],CL,4,0),"")</f>
        <v>0</v>
      </c>
      <c r="AR413" s="779" t="s">
        <v>1099</v>
      </c>
      <c r="AS413" s="783"/>
    </row>
    <row r="414" spans="1:45" s="784" customFormat="1" x14ac:dyDescent="0.25">
      <c r="A414" s="455">
        <f t="shared" si="6"/>
        <v>23.366666666666667</v>
      </c>
      <c r="B414" s="778">
        <v>41608</v>
      </c>
      <c r="C414" s="779" t="s">
        <v>912</v>
      </c>
      <c r="D414" s="779" t="s">
        <v>462</v>
      </c>
      <c r="E414" s="779" t="s">
        <v>380</v>
      </c>
      <c r="F414" s="435" t="s">
        <v>310</v>
      </c>
      <c r="G414" s="435" t="s">
        <v>349</v>
      </c>
      <c r="H414" s="436"/>
      <c r="I414" s="436"/>
      <c r="J414" s="436"/>
      <c r="K414" s="436"/>
      <c r="L414" s="437"/>
      <c r="M414" s="437"/>
      <c r="N414" s="437"/>
      <c r="O414" s="437"/>
      <c r="P414" s="439"/>
      <c r="Q414" s="439"/>
      <c r="R414" s="436"/>
      <c r="S414" s="436"/>
      <c r="T414" s="436"/>
      <c r="U414" s="436"/>
      <c r="V414" s="436"/>
      <c r="W414" s="436">
        <f>IF(NFI_Expiration=1,IF($A414&lt;VLOOKUP(H$5,NFI,5,0),1,0)*Table_NFI[[#This Row],[Hygiene Kit]],Table_NFI[Hygiene Kit])</f>
        <v>0</v>
      </c>
      <c r="X414" s="436">
        <f>IF(NFI_Expiration=1,IF($A414&lt;VLOOKUP(I$5,NFI,5,0),1,0)*Table_NFI[[#This Row],[NFI Core Kit]],Table_NFI[NFI Core Kit])</f>
        <v>0</v>
      </c>
      <c r="Y414" s="436">
        <f>IF(NFI_Expiration=1,IF($A414&lt;VLOOKUP(J$5,NFI,5,0),1,0)*Table_NFI[[#This Row],[Sanitary Kit]],Table_NFI[Sanitary Kit])</f>
        <v>0</v>
      </c>
      <c r="Z414" s="436">
        <f>IF(NFI_Expiration=1,IF($A414&lt;VLOOKUP(K$5,NFI,5,0),1,0)*Table_NFI[[#This Row],[Mosquito net]],Table_NFI[Mosquito net])</f>
        <v>0</v>
      </c>
      <c r="AA414" s="436">
        <f>IF(NFI_Expiration=1,IF($A414&lt;VLOOKUP(L$5,NFI,5,0),1,0)*Table_NFI[[#This Row],[Tarpaulin]],Table_NFI[[#This Row],[Tarpaulin]])</f>
        <v>0</v>
      </c>
      <c r="AB414" s="436">
        <f>IF(NFI_Expiration=1,IF($A414&lt;VLOOKUP(M$5,NFI,5,0),1,0)*Table_NFI[[#This Row],[Blanket]],Table_NFI[[#This Row],[Blanket]])</f>
        <v>0</v>
      </c>
      <c r="AC414" s="436">
        <f>IF(NFI_Expiration=1,IF($A414&lt;VLOOKUP(N$5,NFI,5,0),1,0)*Table_NFI[[#This Row],[Kitchen Set]],Table_NFI[Kitchen Set])</f>
        <v>0</v>
      </c>
      <c r="AD414" s="436">
        <f>IF(NFI_Expiration=1,IF($A414&lt;VLOOKUP(O$5,NFI,5,0),1,0)*Table_NFI[[#This Row],[Clothes Kit]],Table_NFI[Clothes Kit])</f>
        <v>0</v>
      </c>
      <c r="AE414" s="436">
        <f>IF(NFI_Expiration=1,IF($A414&lt;VLOOKUP(P$5,NFI,5,0),1,0)*Table_NFI[[#This Row],[Plastic Bucket]],Table_NFI[Plastic Bucket])</f>
        <v>0</v>
      </c>
      <c r="AF414" s="436">
        <f>IF(NFI_Expiration=1,IF($A414&lt;VLOOKUP(Q$5,NFI,5,0),1,0)*Table_NFI[[#This Row],[Plastic Mat]],Table_NFI[Plastic Mat])*IF(Table_NFI[[#This Row],[Distribution Date]]&gt;"2014-04-01",1,2.5)</f>
        <v>0</v>
      </c>
      <c r="AG414" s="436">
        <f>IF(NFI_Expiration=1,IF($A414&lt;VLOOKUP(R$5,NFI,5,0),1,0)*Table_NFI[[#This Row],[Winter Clothes Adult]],Table_NFI[Winter Clothes Adult])</f>
        <v>0</v>
      </c>
      <c r="AH414" s="436">
        <f>IF(NFI_Expiration=1,IF($A414&lt;VLOOKUP(S$5,NFI,5,0),1,0)*Table_NFI[[#This Row],[Winter Clothes Children]],Table_NFI[Winter Clothes Children])</f>
        <v>0</v>
      </c>
      <c r="AI414" s="436">
        <f>IF(NFI_Expiration=1,IF($A414&lt;VLOOKUP(T$5,NFI,5,0),1,0)*Table_NFI[[#This Row],[Winter Items Other]],Table_NFI[Winter Items Other])</f>
        <v>0</v>
      </c>
      <c r="AJ414" s="436">
        <f>IF(NFI_Expiration=1,IF($A414&lt;VLOOKUP(M$5,NFI,5,0),1,0)*Table_NFI[[#This Row],[Winter Blanket]],Table_NFI[[#This Row],[Winter Blanket]])</f>
        <v>0</v>
      </c>
      <c r="AK414" s="436">
        <f>IF(Table_NFI[[#This Row],[Winter Clothes Adult]]+Table_NFI[[#This Row],[Winter Clothes Children]]+Table_NFI[[#This Row],[Winter Items Other]]+Table_NFI[[#This Row],[Winter Blanket]]&gt;0,1,0)</f>
        <v>0</v>
      </c>
      <c r="AL414" s="439">
        <f>IF(NFI_Expiration=1,IF($A414&lt;VLOOKUP(V$5,NFI,5,0),1,0)*Table_NFI[[#This Row],[Jerry Can]],Table_NFI[Jerry Can])</f>
        <v>0</v>
      </c>
      <c r="AM414" s="781" t="str">
        <f>IFERROR(VLOOKUP(Table_NFI[[#This Row],[Camp Name]],CL,2,0),"")</f>
        <v>MMR001CMP037</v>
      </c>
      <c r="AN414" s="782">
        <f ca="1">IF(Table_NFI[[#This Row],[Pcode]]="","",IF(OFFSET(CampList[Opening Date],MATCH(Table_NFI[[#This Row],[Pcode]],CampList[CP_Pcode],0)-1,0,1,1)&gt;=NFI_Monitor_Date,1,0))</f>
        <v>0</v>
      </c>
      <c r="AO414" s="781" t="str">
        <f>IFERROR(VLOOKUP(Table_NFI[[#This Row],[Camp Name]],CL,3,0),"")</f>
        <v>Open</v>
      </c>
      <c r="AP414" s="436" t="str">
        <f ca="1">IF(Table_NFI[[#This Row],[Pcode]]="","",OFFSET(CampList[Priority],MATCH(Table_NFI[[#This Row],[Pcode]],CampList[CP_Pcode],0)-1,0,1,1))</f>
        <v>P4</v>
      </c>
      <c r="AQ414" s="438">
        <f>IFERROR(Table_NFI[[#This Row],[Kitchen Set]]/VLOOKUP(Table_NFI[[#This Row],[Camp Name]],CL,4,0),"")</f>
        <v>0</v>
      </c>
      <c r="AR414" s="779" t="s">
        <v>1099</v>
      </c>
      <c r="AS414" s="783"/>
    </row>
    <row r="415" spans="1:45" s="784" customFormat="1" x14ac:dyDescent="0.25">
      <c r="A415" s="455">
        <f t="shared" si="6"/>
        <v>23.366666666666667</v>
      </c>
      <c r="B415" s="778">
        <v>41608</v>
      </c>
      <c r="C415" s="779" t="s">
        <v>912</v>
      </c>
      <c r="D415" s="779" t="s">
        <v>462</v>
      </c>
      <c r="E415" s="779" t="s">
        <v>380</v>
      </c>
      <c r="F415" s="435" t="s">
        <v>310</v>
      </c>
      <c r="G415" s="435" t="s">
        <v>316</v>
      </c>
      <c r="H415" s="436"/>
      <c r="I415" s="436"/>
      <c r="J415" s="436"/>
      <c r="K415" s="436"/>
      <c r="L415" s="437"/>
      <c r="M415" s="437"/>
      <c r="N415" s="437"/>
      <c r="O415" s="437"/>
      <c r="P415" s="439"/>
      <c r="Q415" s="439"/>
      <c r="R415" s="436"/>
      <c r="S415" s="436"/>
      <c r="T415" s="436"/>
      <c r="U415" s="436"/>
      <c r="V415" s="436"/>
      <c r="W415" s="436">
        <f>IF(NFI_Expiration=1,IF($A415&lt;VLOOKUP(H$5,NFI,5,0),1,0)*Table_NFI[[#This Row],[Hygiene Kit]],Table_NFI[Hygiene Kit])</f>
        <v>0</v>
      </c>
      <c r="X415" s="436">
        <f>IF(NFI_Expiration=1,IF($A415&lt;VLOOKUP(I$5,NFI,5,0),1,0)*Table_NFI[[#This Row],[NFI Core Kit]],Table_NFI[NFI Core Kit])</f>
        <v>0</v>
      </c>
      <c r="Y415" s="436">
        <f>IF(NFI_Expiration=1,IF($A415&lt;VLOOKUP(J$5,NFI,5,0),1,0)*Table_NFI[[#This Row],[Sanitary Kit]],Table_NFI[Sanitary Kit])</f>
        <v>0</v>
      </c>
      <c r="Z415" s="436">
        <f>IF(NFI_Expiration=1,IF($A415&lt;VLOOKUP(K$5,NFI,5,0),1,0)*Table_NFI[[#This Row],[Mosquito net]],Table_NFI[Mosquito net])</f>
        <v>0</v>
      </c>
      <c r="AA415" s="436">
        <f>IF(NFI_Expiration=1,IF($A415&lt;VLOOKUP(L$5,NFI,5,0),1,0)*Table_NFI[[#This Row],[Tarpaulin]],Table_NFI[[#This Row],[Tarpaulin]])</f>
        <v>0</v>
      </c>
      <c r="AB415" s="436">
        <f>IF(NFI_Expiration=1,IF($A415&lt;VLOOKUP(M$5,NFI,5,0),1,0)*Table_NFI[[#This Row],[Blanket]],Table_NFI[[#This Row],[Blanket]])</f>
        <v>0</v>
      </c>
      <c r="AC415" s="436">
        <f>IF(NFI_Expiration=1,IF($A415&lt;VLOOKUP(N$5,NFI,5,0),1,0)*Table_NFI[[#This Row],[Kitchen Set]],Table_NFI[Kitchen Set])</f>
        <v>0</v>
      </c>
      <c r="AD415" s="436">
        <f>IF(NFI_Expiration=1,IF($A415&lt;VLOOKUP(O$5,NFI,5,0),1,0)*Table_NFI[[#This Row],[Clothes Kit]],Table_NFI[Clothes Kit])</f>
        <v>0</v>
      </c>
      <c r="AE415" s="436">
        <f>IF(NFI_Expiration=1,IF($A415&lt;VLOOKUP(P$5,NFI,5,0),1,0)*Table_NFI[[#This Row],[Plastic Bucket]],Table_NFI[Plastic Bucket])</f>
        <v>0</v>
      </c>
      <c r="AF415" s="436">
        <f>IF(NFI_Expiration=1,IF($A415&lt;VLOOKUP(Q$5,NFI,5,0),1,0)*Table_NFI[[#This Row],[Plastic Mat]],Table_NFI[Plastic Mat])*IF(Table_NFI[[#This Row],[Distribution Date]]&gt;"2014-04-01",1,2.5)</f>
        <v>0</v>
      </c>
      <c r="AG415" s="436">
        <f>IF(NFI_Expiration=1,IF($A415&lt;VLOOKUP(R$5,NFI,5,0),1,0)*Table_NFI[[#This Row],[Winter Clothes Adult]],Table_NFI[Winter Clothes Adult])</f>
        <v>0</v>
      </c>
      <c r="AH415" s="436">
        <f>IF(NFI_Expiration=1,IF($A415&lt;VLOOKUP(S$5,NFI,5,0),1,0)*Table_NFI[[#This Row],[Winter Clothes Children]],Table_NFI[Winter Clothes Children])</f>
        <v>0</v>
      </c>
      <c r="AI415" s="436">
        <f>IF(NFI_Expiration=1,IF($A415&lt;VLOOKUP(T$5,NFI,5,0),1,0)*Table_NFI[[#This Row],[Winter Items Other]],Table_NFI[Winter Items Other])</f>
        <v>0</v>
      </c>
      <c r="AJ415" s="436">
        <f>IF(NFI_Expiration=1,IF($A415&lt;VLOOKUP(M$5,NFI,5,0),1,0)*Table_NFI[[#This Row],[Winter Blanket]],Table_NFI[[#This Row],[Winter Blanket]])</f>
        <v>0</v>
      </c>
      <c r="AK415" s="436">
        <f>IF(Table_NFI[[#This Row],[Winter Clothes Adult]]+Table_NFI[[#This Row],[Winter Clothes Children]]+Table_NFI[[#This Row],[Winter Items Other]]+Table_NFI[[#This Row],[Winter Blanket]]&gt;0,1,0)</f>
        <v>0</v>
      </c>
      <c r="AL415" s="439">
        <f>IF(NFI_Expiration=1,IF($A415&lt;VLOOKUP(V$5,NFI,5,0),1,0)*Table_NFI[[#This Row],[Jerry Can]],Table_NFI[Jerry Can])</f>
        <v>0</v>
      </c>
      <c r="AM415" s="781" t="str">
        <f>IFERROR(VLOOKUP(Table_NFI[[#This Row],[Camp Name]],CL,2,0),"")</f>
        <v>MMR001CMP038</v>
      </c>
      <c r="AN415" s="782">
        <f ca="1">IF(Table_NFI[[#This Row],[Pcode]]="","",IF(OFFSET(CampList[Opening Date],MATCH(Table_NFI[[#This Row],[Pcode]],CampList[CP_Pcode],0)-1,0,1,1)&gt;=NFI_Monitor_Date,1,0))</f>
        <v>0</v>
      </c>
      <c r="AO415" s="781" t="str">
        <f>IFERROR(VLOOKUP(Table_NFI[[#This Row],[Camp Name]],CL,3,0),"")</f>
        <v>Open</v>
      </c>
      <c r="AP415" s="436" t="str">
        <f ca="1">IF(Table_NFI[[#This Row],[Pcode]]="","",OFFSET(CampList[Priority],MATCH(Table_NFI[[#This Row],[Pcode]],CampList[CP_Pcode],0)-1,0,1,1))</f>
        <v>P4</v>
      </c>
      <c r="AQ415" s="438">
        <f>IFERROR(Table_NFI[[#This Row],[Kitchen Set]]/VLOOKUP(Table_NFI[[#This Row],[Camp Name]],CL,4,0),"")</f>
        <v>0</v>
      </c>
      <c r="AR415" s="779" t="s">
        <v>1099</v>
      </c>
      <c r="AS415" s="783"/>
    </row>
    <row r="416" spans="1:45" s="784" customFormat="1" x14ac:dyDescent="0.25">
      <c r="A416" s="455">
        <f t="shared" si="6"/>
        <v>23.366666666666667</v>
      </c>
      <c r="B416" s="778">
        <v>41608</v>
      </c>
      <c r="C416" s="779" t="s">
        <v>912</v>
      </c>
      <c r="D416" s="779" t="s">
        <v>462</v>
      </c>
      <c r="E416" s="779" t="s">
        <v>380</v>
      </c>
      <c r="F416" s="435" t="s">
        <v>310</v>
      </c>
      <c r="G416" s="435" t="s">
        <v>353</v>
      </c>
      <c r="H416" s="436"/>
      <c r="I416" s="436"/>
      <c r="J416" s="436"/>
      <c r="K416" s="436"/>
      <c r="L416" s="437"/>
      <c r="M416" s="437"/>
      <c r="N416" s="437"/>
      <c r="O416" s="437"/>
      <c r="P416" s="439"/>
      <c r="Q416" s="439">
        <v>1851</v>
      </c>
      <c r="R416" s="436"/>
      <c r="S416" s="436"/>
      <c r="T416" s="436"/>
      <c r="U416" s="436"/>
      <c r="V416" s="436"/>
      <c r="W416" s="436">
        <f>IF(NFI_Expiration=1,IF($A416&lt;VLOOKUP(H$5,NFI,5,0),1,0)*Table_NFI[[#This Row],[Hygiene Kit]],Table_NFI[Hygiene Kit])</f>
        <v>0</v>
      </c>
      <c r="X416" s="436">
        <f>IF(NFI_Expiration=1,IF($A416&lt;VLOOKUP(I$5,NFI,5,0),1,0)*Table_NFI[[#This Row],[NFI Core Kit]],Table_NFI[NFI Core Kit])</f>
        <v>0</v>
      </c>
      <c r="Y416" s="436">
        <f>IF(NFI_Expiration=1,IF($A416&lt;VLOOKUP(J$5,NFI,5,0),1,0)*Table_NFI[[#This Row],[Sanitary Kit]],Table_NFI[Sanitary Kit])</f>
        <v>0</v>
      </c>
      <c r="Z416" s="436">
        <f>IF(NFI_Expiration=1,IF($A416&lt;VLOOKUP(K$5,NFI,5,0),1,0)*Table_NFI[[#This Row],[Mosquito net]],Table_NFI[Mosquito net])</f>
        <v>0</v>
      </c>
      <c r="AA416" s="436">
        <f>IF(NFI_Expiration=1,IF($A416&lt;VLOOKUP(L$5,NFI,5,0),1,0)*Table_NFI[[#This Row],[Tarpaulin]],Table_NFI[[#This Row],[Tarpaulin]])</f>
        <v>0</v>
      </c>
      <c r="AB416" s="436">
        <f>IF(NFI_Expiration=1,IF($A416&lt;VLOOKUP(M$5,NFI,5,0),1,0)*Table_NFI[[#This Row],[Blanket]],Table_NFI[[#This Row],[Blanket]])</f>
        <v>0</v>
      </c>
      <c r="AC416" s="436">
        <f>IF(NFI_Expiration=1,IF($A416&lt;VLOOKUP(N$5,NFI,5,0),1,0)*Table_NFI[[#This Row],[Kitchen Set]],Table_NFI[Kitchen Set])</f>
        <v>0</v>
      </c>
      <c r="AD416" s="436">
        <f>IF(NFI_Expiration=1,IF($A416&lt;VLOOKUP(O$5,NFI,5,0),1,0)*Table_NFI[[#This Row],[Clothes Kit]],Table_NFI[Clothes Kit])</f>
        <v>0</v>
      </c>
      <c r="AE416" s="436">
        <f>IF(NFI_Expiration=1,IF($A416&lt;VLOOKUP(P$5,NFI,5,0),1,0)*Table_NFI[[#This Row],[Plastic Bucket]],Table_NFI[Plastic Bucket])</f>
        <v>0</v>
      </c>
      <c r="AF416" s="436">
        <f>IF(NFI_Expiration=1,IF($A416&lt;VLOOKUP(Q$5,NFI,5,0),1,0)*Table_NFI[[#This Row],[Plastic Mat]],Table_NFI[Plastic Mat])*IF(Table_NFI[[#This Row],[Distribution Date]]&gt;"2014-04-01",1,2.5)</f>
        <v>0</v>
      </c>
      <c r="AG416" s="436">
        <f>IF(NFI_Expiration=1,IF($A416&lt;VLOOKUP(R$5,NFI,5,0),1,0)*Table_NFI[[#This Row],[Winter Clothes Adult]],Table_NFI[Winter Clothes Adult])</f>
        <v>0</v>
      </c>
      <c r="AH416" s="436">
        <f>IF(NFI_Expiration=1,IF($A416&lt;VLOOKUP(S$5,NFI,5,0),1,0)*Table_NFI[[#This Row],[Winter Clothes Children]],Table_NFI[Winter Clothes Children])</f>
        <v>0</v>
      </c>
      <c r="AI416" s="436">
        <f>IF(NFI_Expiration=1,IF($A416&lt;VLOOKUP(T$5,NFI,5,0),1,0)*Table_NFI[[#This Row],[Winter Items Other]],Table_NFI[Winter Items Other])</f>
        <v>0</v>
      </c>
      <c r="AJ416" s="436">
        <f>IF(NFI_Expiration=1,IF($A416&lt;VLOOKUP(M$5,NFI,5,0),1,0)*Table_NFI[[#This Row],[Winter Blanket]],Table_NFI[[#This Row],[Winter Blanket]])</f>
        <v>0</v>
      </c>
      <c r="AK416" s="436">
        <f>IF(Table_NFI[[#This Row],[Winter Clothes Adult]]+Table_NFI[[#This Row],[Winter Clothes Children]]+Table_NFI[[#This Row],[Winter Items Other]]+Table_NFI[[#This Row],[Winter Blanket]]&gt;0,1,0)</f>
        <v>0</v>
      </c>
      <c r="AL416" s="439">
        <f>IF(NFI_Expiration=1,IF($A416&lt;VLOOKUP(V$5,NFI,5,0),1,0)*Table_NFI[[#This Row],[Jerry Can]],Table_NFI[Jerry Can])</f>
        <v>0</v>
      </c>
      <c r="AM416" s="781" t="str">
        <f>IFERROR(VLOOKUP(Table_NFI[[#This Row],[Camp Name]],CL,2,0),"")</f>
        <v>MMR001CMP116</v>
      </c>
      <c r="AN416" s="782">
        <f ca="1">IF(Table_NFI[[#This Row],[Pcode]]="","",IF(OFFSET(CampList[Opening Date],MATCH(Table_NFI[[#This Row],[Pcode]],CampList[CP_Pcode],0)-1,0,1,1)&gt;=NFI_Monitor_Date,1,0))</f>
        <v>0</v>
      </c>
      <c r="AO416" s="781" t="str">
        <f>IFERROR(VLOOKUP(Table_NFI[[#This Row],[Camp Name]],CL,3,0),"")</f>
        <v>Open</v>
      </c>
      <c r="AP416" s="436" t="str">
        <f ca="1">IF(Table_NFI[[#This Row],[Pcode]]="","",OFFSET(CampList[Priority],MATCH(Table_NFI[[#This Row],[Pcode]],CampList[CP_Pcode],0)-1,0,1,1))</f>
        <v>P4</v>
      </c>
      <c r="AQ416" s="438">
        <f>IFERROR(Table_NFI[[#This Row],[Kitchen Set]]/VLOOKUP(Table_NFI[[#This Row],[Camp Name]],CL,4,0),"")</f>
        <v>0</v>
      </c>
      <c r="AR416" s="779" t="s">
        <v>1099</v>
      </c>
      <c r="AS416" s="783"/>
    </row>
    <row r="417" spans="1:45" s="784" customFormat="1" x14ac:dyDescent="0.25">
      <c r="A417" s="455">
        <f t="shared" si="6"/>
        <v>23.366666666666667</v>
      </c>
      <c r="B417" s="778">
        <v>41608</v>
      </c>
      <c r="C417" s="779" t="s">
        <v>1104</v>
      </c>
      <c r="D417" s="442" t="s">
        <v>951</v>
      </c>
      <c r="E417" s="785" t="s">
        <v>380</v>
      </c>
      <c r="F417" s="435" t="s">
        <v>5</v>
      </c>
      <c r="G417" s="435" t="s">
        <v>26</v>
      </c>
      <c r="H417" s="442"/>
      <c r="I417" s="442"/>
      <c r="J417" s="442"/>
      <c r="K417" s="785"/>
      <c r="L417" s="786"/>
      <c r="M417" s="443">
        <v>64</v>
      </c>
      <c r="N417" s="443"/>
      <c r="O417" s="443"/>
      <c r="P417" s="786"/>
      <c r="Q417" s="443"/>
      <c r="R417" s="442">
        <v>58</v>
      </c>
      <c r="S417" s="442">
        <v>52</v>
      </c>
      <c r="T417" s="442">
        <v>0</v>
      </c>
      <c r="U417" s="442"/>
      <c r="V417" s="442"/>
      <c r="W417" s="436">
        <f>IF(NFI_Expiration=1,IF($A417&lt;VLOOKUP(H$5,NFI,5,0),1,0)*Table_NFI[[#This Row],[Hygiene Kit]],Table_NFI[Hygiene Kit])</f>
        <v>0</v>
      </c>
      <c r="X417" s="436">
        <f>IF(NFI_Expiration=1,IF($A417&lt;VLOOKUP(I$5,NFI,5,0),1,0)*Table_NFI[[#This Row],[NFI Core Kit]],Table_NFI[NFI Core Kit])</f>
        <v>0</v>
      </c>
      <c r="Y417" s="436">
        <f>IF(NFI_Expiration=1,IF($A417&lt;VLOOKUP(J$5,NFI,5,0),1,0)*Table_NFI[[#This Row],[Sanitary Kit]],Table_NFI[Sanitary Kit])</f>
        <v>0</v>
      </c>
      <c r="Z417" s="436">
        <f>IF(NFI_Expiration=1,IF($A417&lt;VLOOKUP(K$5,NFI,5,0),1,0)*Table_NFI[[#This Row],[Mosquito net]],Table_NFI[Mosquito net])</f>
        <v>0</v>
      </c>
      <c r="AA417" s="436">
        <f>IF(NFI_Expiration=1,IF($A417&lt;VLOOKUP(L$5,NFI,5,0),1,0)*Table_NFI[[#This Row],[Tarpaulin]],Table_NFI[[#This Row],[Tarpaulin]])</f>
        <v>0</v>
      </c>
      <c r="AB417" s="436">
        <f>IF(NFI_Expiration=1,IF($A417&lt;VLOOKUP(M$5,NFI,5,0),1,0)*Table_NFI[[#This Row],[Blanket]],Table_NFI[[#This Row],[Blanket]])</f>
        <v>0</v>
      </c>
      <c r="AC417" s="436">
        <f>IF(NFI_Expiration=1,IF($A417&lt;VLOOKUP(N$5,NFI,5,0),1,0)*Table_NFI[[#This Row],[Kitchen Set]],Table_NFI[Kitchen Set])</f>
        <v>0</v>
      </c>
      <c r="AD417" s="436">
        <f>IF(NFI_Expiration=1,IF($A417&lt;VLOOKUP(O$5,NFI,5,0),1,0)*Table_NFI[[#This Row],[Clothes Kit]],Table_NFI[Clothes Kit])</f>
        <v>0</v>
      </c>
      <c r="AE417" s="436">
        <f>IF(NFI_Expiration=1,IF($A417&lt;VLOOKUP(P$5,NFI,5,0),1,0)*Table_NFI[[#This Row],[Plastic Bucket]],Table_NFI[Plastic Bucket])</f>
        <v>0</v>
      </c>
      <c r="AF417" s="436">
        <f>IF(NFI_Expiration=1,IF($A417&lt;VLOOKUP(Q$5,NFI,5,0),1,0)*Table_NFI[[#This Row],[Plastic Mat]],Table_NFI[Plastic Mat])*IF(Table_NFI[[#This Row],[Distribution Date]]&gt;"2014-04-01",1,2.5)</f>
        <v>0</v>
      </c>
      <c r="AG417" s="436">
        <f>IF(NFI_Expiration=1,IF($A417&lt;VLOOKUP(R$5,NFI,5,0),1,0)*Table_NFI[[#This Row],[Winter Clothes Adult]],Table_NFI[Winter Clothes Adult])</f>
        <v>0</v>
      </c>
      <c r="AH417" s="436">
        <f>IF(NFI_Expiration=1,IF($A417&lt;VLOOKUP(S$5,NFI,5,0),1,0)*Table_NFI[[#This Row],[Winter Clothes Children]],Table_NFI[Winter Clothes Children])</f>
        <v>0</v>
      </c>
      <c r="AI417" s="436">
        <f>IF(NFI_Expiration=1,IF($A417&lt;VLOOKUP(T$5,NFI,5,0),1,0)*Table_NFI[[#This Row],[Winter Items Other]],Table_NFI[Winter Items Other])</f>
        <v>0</v>
      </c>
      <c r="AJ417" s="436">
        <f>IF(NFI_Expiration=1,IF($A417&lt;VLOOKUP(M$5,NFI,5,0),1,0)*Table_NFI[[#This Row],[Winter Blanket]],Table_NFI[[#This Row],[Winter Blanket]])</f>
        <v>0</v>
      </c>
      <c r="AK417" s="436">
        <f>IF(Table_NFI[[#This Row],[Winter Clothes Adult]]+Table_NFI[[#This Row],[Winter Clothes Children]]+Table_NFI[[#This Row],[Winter Items Other]]+Table_NFI[[#This Row],[Winter Blanket]]&gt;0,1,0)</f>
        <v>1</v>
      </c>
      <c r="AL417" s="439">
        <f>IF(NFI_Expiration=1,IF($A417&lt;VLOOKUP(V$5,NFI,5,0),1,0)*Table_NFI[[#This Row],[Jerry Can]],Table_NFI[Jerry Can])</f>
        <v>0</v>
      </c>
      <c r="AM417" s="781" t="str">
        <f>IFERROR(VLOOKUP(Table_NFI[[#This Row],[Camp Name]],CL,2,0),"")</f>
        <v>MMR001CMP053</v>
      </c>
      <c r="AN417" s="782">
        <f ca="1">IF(Table_NFI[[#This Row],[Pcode]]="","",IF(OFFSET(CampList[Opening Date],MATCH(Table_NFI[[#This Row],[Pcode]],CampList[CP_Pcode],0)-1,0,1,1)&gt;=NFI_Monitor_Date,1,0))</f>
        <v>0</v>
      </c>
      <c r="AO417" s="781" t="str">
        <f>IFERROR(VLOOKUP(Table_NFI[[#This Row],[Camp Name]],CL,3,0),"")</f>
        <v>Open</v>
      </c>
      <c r="AP417" s="436" t="str">
        <f ca="1">IF(Table_NFI[[#This Row],[Pcode]]="","",OFFSET(CampList[Priority],MATCH(Table_NFI[[#This Row],[Pcode]],CampList[CP_Pcode],0)-1,0,1,1))</f>
        <v>P4</v>
      </c>
      <c r="AQ417" s="438">
        <f>IFERROR(Table_NFI[[#This Row],[Kitchen Set]]/VLOOKUP(Table_NFI[[#This Row],[Camp Name]],CL,4,0),"")</f>
        <v>0</v>
      </c>
      <c r="AR417" s="779" t="s">
        <v>1099</v>
      </c>
      <c r="AS417" s="783"/>
    </row>
    <row r="418" spans="1:45" s="784" customFormat="1" x14ac:dyDescent="0.25">
      <c r="A418" s="455">
        <f t="shared" si="6"/>
        <v>23.366666666666667</v>
      </c>
      <c r="B418" s="778">
        <v>41608</v>
      </c>
      <c r="C418" s="779" t="s">
        <v>912</v>
      </c>
      <c r="D418" s="779"/>
      <c r="E418" s="779" t="s">
        <v>380</v>
      </c>
      <c r="F418" s="435" t="s">
        <v>5</v>
      </c>
      <c r="G418" s="435" t="s">
        <v>26</v>
      </c>
      <c r="H418" s="436"/>
      <c r="I418" s="436"/>
      <c r="J418" s="436"/>
      <c r="K418" s="436"/>
      <c r="L418" s="437"/>
      <c r="M418" s="437"/>
      <c r="N418" s="437"/>
      <c r="O418" s="437"/>
      <c r="P418" s="439"/>
      <c r="Q418" s="439">
        <v>99</v>
      </c>
      <c r="R418" s="436"/>
      <c r="S418" s="436"/>
      <c r="T418" s="436"/>
      <c r="U418" s="436"/>
      <c r="V418" s="436"/>
      <c r="W418" s="436">
        <f>IF(NFI_Expiration=1,IF($A418&lt;VLOOKUP(H$5,NFI,5,0),1,0)*Table_NFI[[#This Row],[Hygiene Kit]],Table_NFI[Hygiene Kit])</f>
        <v>0</v>
      </c>
      <c r="X418" s="436">
        <f>IF(NFI_Expiration=1,IF($A418&lt;VLOOKUP(I$5,NFI,5,0),1,0)*Table_NFI[[#This Row],[NFI Core Kit]],Table_NFI[NFI Core Kit])</f>
        <v>0</v>
      </c>
      <c r="Y418" s="436">
        <f>IF(NFI_Expiration=1,IF($A418&lt;VLOOKUP(J$5,NFI,5,0),1,0)*Table_NFI[[#This Row],[Sanitary Kit]],Table_NFI[Sanitary Kit])</f>
        <v>0</v>
      </c>
      <c r="Z418" s="436">
        <f>IF(NFI_Expiration=1,IF($A418&lt;VLOOKUP(K$5,NFI,5,0),1,0)*Table_NFI[[#This Row],[Mosquito net]],Table_NFI[Mosquito net])</f>
        <v>0</v>
      </c>
      <c r="AA418" s="436">
        <f>IF(NFI_Expiration=1,IF($A418&lt;VLOOKUP(L$5,NFI,5,0),1,0)*Table_NFI[[#This Row],[Tarpaulin]],Table_NFI[[#This Row],[Tarpaulin]])</f>
        <v>0</v>
      </c>
      <c r="AB418" s="436">
        <f>IF(NFI_Expiration=1,IF($A418&lt;VLOOKUP(M$5,NFI,5,0),1,0)*Table_NFI[[#This Row],[Blanket]],Table_NFI[[#This Row],[Blanket]])</f>
        <v>0</v>
      </c>
      <c r="AC418" s="436">
        <f>IF(NFI_Expiration=1,IF($A418&lt;VLOOKUP(N$5,NFI,5,0),1,0)*Table_NFI[[#This Row],[Kitchen Set]],Table_NFI[Kitchen Set])</f>
        <v>0</v>
      </c>
      <c r="AD418" s="436">
        <f>IF(NFI_Expiration=1,IF($A418&lt;VLOOKUP(O$5,NFI,5,0),1,0)*Table_NFI[[#This Row],[Clothes Kit]],Table_NFI[Clothes Kit])</f>
        <v>0</v>
      </c>
      <c r="AE418" s="436">
        <f>IF(NFI_Expiration=1,IF($A418&lt;VLOOKUP(P$5,NFI,5,0),1,0)*Table_NFI[[#This Row],[Plastic Bucket]],Table_NFI[Plastic Bucket])</f>
        <v>0</v>
      </c>
      <c r="AF418" s="436">
        <f>IF(NFI_Expiration=1,IF($A418&lt;VLOOKUP(Q$5,NFI,5,0),1,0)*Table_NFI[[#This Row],[Plastic Mat]],Table_NFI[Plastic Mat])*IF(Table_NFI[[#This Row],[Distribution Date]]&gt;"2014-04-01",1,2.5)</f>
        <v>0</v>
      </c>
      <c r="AG418" s="436">
        <f>IF(NFI_Expiration=1,IF($A418&lt;VLOOKUP(R$5,NFI,5,0),1,0)*Table_NFI[[#This Row],[Winter Clothes Adult]],Table_NFI[Winter Clothes Adult])</f>
        <v>0</v>
      </c>
      <c r="AH418" s="436">
        <f>IF(NFI_Expiration=1,IF($A418&lt;VLOOKUP(S$5,NFI,5,0),1,0)*Table_NFI[[#This Row],[Winter Clothes Children]],Table_NFI[Winter Clothes Children])</f>
        <v>0</v>
      </c>
      <c r="AI418" s="436">
        <f>IF(NFI_Expiration=1,IF($A418&lt;VLOOKUP(T$5,NFI,5,0),1,0)*Table_NFI[[#This Row],[Winter Items Other]],Table_NFI[Winter Items Other])</f>
        <v>0</v>
      </c>
      <c r="AJ418" s="436">
        <f>IF(NFI_Expiration=1,IF($A418&lt;VLOOKUP(M$5,NFI,5,0),1,0)*Table_NFI[[#This Row],[Winter Blanket]],Table_NFI[[#This Row],[Winter Blanket]])</f>
        <v>0</v>
      </c>
      <c r="AK418" s="436">
        <f>IF(Table_NFI[[#This Row],[Winter Clothes Adult]]+Table_NFI[[#This Row],[Winter Clothes Children]]+Table_NFI[[#This Row],[Winter Items Other]]+Table_NFI[[#This Row],[Winter Blanket]]&gt;0,1,0)</f>
        <v>0</v>
      </c>
      <c r="AL418" s="439">
        <f>IF(NFI_Expiration=1,IF($A418&lt;VLOOKUP(V$5,NFI,5,0),1,0)*Table_NFI[[#This Row],[Jerry Can]],Table_NFI[Jerry Can])</f>
        <v>0</v>
      </c>
      <c r="AM418" s="781" t="str">
        <f>IFERROR(VLOOKUP(Table_NFI[[#This Row],[Camp Name]],CL,2,0),"")</f>
        <v>MMR001CMP053</v>
      </c>
      <c r="AN418" s="782">
        <f ca="1">IF(Table_NFI[[#This Row],[Pcode]]="","",IF(OFFSET(CampList[Opening Date],MATCH(Table_NFI[[#This Row],[Pcode]],CampList[CP_Pcode],0)-1,0,1,1)&gt;=NFI_Monitor_Date,1,0))</f>
        <v>0</v>
      </c>
      <c r="AO418" s="781" t="str">
        <f>IFERROR(VLOOKUP(Table_NFI[[#This Row],[Camp Name]],CL,3,0),"")</f>
        <v>Open</v>
      </c>
      <c r="AP418" s="436" t="str">
        <f ca="1">IF(Table_NFI[[#This Row],[Pcode]]="","",OFFSET(CampList[Priority],MATCH(Table_NFI[[#This Row],[Pcode]],CampList[CP_Pcode],0)-1,0,1,1))</f>
        <v>P4</v>
      </c>
      <c r="AQ418" s="438">
        <f>IFERROR(Table_NFI[[#This Row],[Kitchen Set]]/VLOOKUP(Table_NFI[[#This Row],[Camp Name]],CL,4,0),"")</f>
        <v>0</v>
      </c>
      <c r="AR418" s="779" t="s">
        <v>1099</v>
      </c>
      <c r="AS418" s="783"/>
    </row>
    <row r="419" spans="1:45" s="784" customFormat="1" x14ac:dyDescent="0.25">
      <c r="A419" s="455">
        <f t="shared" si="6"/>
        <v>23.366666666666667</v>
      </c>
      <c r="B419" s="778">
        <v>41608</v>
      </c>
      <c r="C419" s="779" t="s">
        <v>912</v>
      </c>
      <c r="D419" s="779" t="s">
        <v>462</v>
      </c>
      <c r="E419" s="779" t="s">
        <v>380</v>
      </c>
      <c r="F419" s="435" t="s">
        <v>310</v>
      </c>
      <c r="G419" s="435" t="s">
        <v>1268</v>
      </c>
      <c r="H419" s="436"/>
      <c r="I419" s="436"/>
      <c r="J419" s="436"/>
      <c r="K419" s="436"/>
      <c r="L419" s="437"/>
      <c r="M419" s="437"/>
      <c r="N419" s="437"/>
      <c r="O419" s="437"/>
      <c r="P419" s="439"/>
      <c r="Q419" s="439"/>
      <c r="R419" s="436"/>
      <c r="S419" s="436"/>
      <c r="T419" s="436"/>
      <c r="U419" s="436"/>
      <c r="V419" s="436"/>
      <c r="W419" s="436">
        <f>IF(NFI_Expiration=1,IF($A419&lt;VLOOKUP(H$5,NFI,5,0),1,0)*Table_NFI[[#This Row],[Hygiene Kit]],Table_NFI[Hygiene Kit])</f>
        <v>0</v>
      </c>
      <c r="X419" s="436">
        <f>IF(NFI_Expiration=1,IF($A419&lt;VLOOKUP(I$5,NFI,5,0),1,0)*Table_NFI[[#This Row],[NFI Core Kit]],Table_NFI[NFI Core Kit])</f>
        <v>0</v>
      </c>
      <c r="Y419" s="436">
        <f>IF(NFI_Expiration=1,IF($A419&lt;VLOOKUP(J$5,NFI,5,0),1,0)*Table_NFI[[#This Row],[Sanitary Kit]],Table_NFI[Sanitary Kit])</f>
        <v>0</v>
      </c>
      <c r="Z419" s="436">
        <f>IF(NFI_Expiration=1,IF($A419&lt;VLOOKUP(K$5,NFI,5,0),1,0)*Table_NFI[[#This Row],[Mosquito net]],Table_NFI[Mosquito net])</f>
        <v>0</v>
      </c>
      <c r="AA419" s="436">
        <f>IF(NFI_Expiration=1,IF($A419&lt;VLOOKUP(L$5,NFI,5,0),1,0)*Table_NFI[[#This Row],[Tarpaulin]],Table_NFI[[#This Row],[Tarpaulin]])</f>
        <v>0</v>
      </c>
      <c r="AB419" s="436">
        <f>IF(NFI_Expiration=1,IF($A419&lt;VLOOKUP(M$5,NFI,5,0),1,0)*Table_NFI[[#This Row],[Blanket]],Table_NFI[[#This Row],[Blanket]])</f>
        <v>0</v>
      </c>
      <c r="AC419" s="436">
        <f>IF(NFI_Expiration=1,IF($A419&lt;VLOOKUP(N$5,NFI,5,0),1,0)*Table_NFI[[#This Row],[Kitchen Set]],Table_NFI[Kitchen Set])</f>
        <v>0</v>
      </c>
      <c r="AD419" s="436">
        <f>IF(NFI_Expiration=1,IF($A419&lt;VLOOKUP(O$5,NFI,5,0),1,0)*Table_NFI[[#This Row],[Clothes Kit]],Table_NFI[Clothes Kit])</f>
        <v>0</v>
      </c>
      <c r="AE419" s="436">
        <f>IF(NFI_Expiration=1,IF($A419&lt;VLOOKUP(P$5,NFI,5,0),1,0)*Table_NFI[[#This Row],[Plastic Bucket]],Table_NFI[Plastic Bucket])</f>
        <v>0</v>
      </c>
      <c r="AF419" s="436">
        <f>IF(NFI_Expiration=1,IF($A419&lt;VLOOKUP(Q$5,NFI,5,0),1,0)*Table_NFI[[#This Row],[Plastic Mat]],Table_NFI[Plastic Mat])*IF(Table_NFI[[#This Row],[Distribution Date]]&gt;"2014-04-01",1,2.5)</f>
        <v>0</v>
      </c>
      <c r="AG419" s="436">
        <f>IF(NFI_Expiration=1,IF($A419&lt;VLOOKUP(R$5,NFI,5,0),1,0)*Table_NFI[[#This Row],[Winter Clothes Adult]],Table_NFI[Winter Clothes Adult])</f>
        <v>0</v>
      </c>
      <c r="AH419" s="436">
        <f>IF(NFI_Expiration=1,IF($A419&lt;VLOOKUP(S$5,NFI,5,0),1,0)*Table_NFI[[#This Row],[Winter Clothes Children]],Table_NFI[Winter Clothes Children])</f>
        <v>0</v>
      </c>
      <c r="AI419" s="436">
        <f>IF(NFI_Expiration=1,IF($A419&lt;VLOOKUP(T$5,NFI,5,0),1,0)*Table_NFI[[#This Row],[Winter Items Other]],Table_NFI[Winter Items Other])</f>
        <v>0</v>
      </c>
      <c r="AJ419" s="436">
        <f>IF(NFI_Expiration=1,IF($A419&lt;VLOOKUP(M$5,NFI,5,0),1,0)*Table_NFI[[#This Row],[Winter Blanket]],Table_NFI[[#This Row],[Winter Blanket]])</f>
        <v>0</v>
      </c>
      <c r="AK419" s="436">
        <f>IF(Table_NFI[[#This Row],[Winter Clothes Adult]]+Table_NFI[[#This Row],[Winter Clothes Children]]+Table_NFI[[#This Row],[Winter Items Other]]+Table_NFI[[#This Row],[Winter Blanket]]&gt;0,1,0)</f>
        <v>0</v>
      </c>
      <c r="AL419" s="439">
        <f>IF(NFI_Expiration=1,IF($A419&lt;VLOOKUP(V$5,NFI,5,0),1,0)*Table_NFI[[#This Row],[Jerry Can]],Table_NFI[Jerry Can])</f>
        <v>0</v>
      </c>
      <c r="AM419" s="781" t="str">
        <f>IFERROR(VLOOKUP(Table_NFI[[#This Row],[Camp Name]],CL,2,0),"")</f>
        <v>MMR001CMP111</v>
      </c>
      <c r="AN419" s="782">
        <f ca="1">IF(Table_NFI[[#This Row],[Pcode]]="","",IF(OFFSET(CampList[Opening Date],MATCH(Table_NFI[[#This Row],[Pcode]],CampList[CP_Pcode],0)-1,0,1,1)&gt;=NFI_Monitor_Date,1,0))</f>
        <v>0</v>
      </c>
      <c r="AO419" s="781" t="str">
        <f>IFERROR(VLOOKUP(Table_NFI[[#This Row],[Camp Name]],CL,3,0),"")</f>
        <v>Open</v>
      </c>
      <c r="AP419" s="436" t="str">
        <f ca="1">IF(Table_NFI[[#This Row],[Pcode]]="","",OFFSET(CampList[Priority],MATCH(Table_NFI[[#This Row],[Pcode]],CampList[CP_Pcode],0)-1,0,1,1))</f>
        <v>P2</v>
      </c>
      <c r="AQ419" s="438">
        <f>IFERROR(Table_NFI[[#This Row],[Kitchen Set]]/VLOOKUP(Table_NFI[[#This Row],[Camp Name]],CL,4,0),"")</f>
        <v>0</v>
      </c>
      <c r="AR419" s="779" t="s">
        <v>1099</v>
      </c>
      <c r="AS419" s="783"/>
    </row>
    <row r="420" spans="1:45" s="784" customFormat="1" x14ac:dyDescent="0.25">
      <c r="A420" s="455">
        <f t="shared" si="6"/>
        <v>23.366666666666667</v>
      </c>
      <c r="B420" s="778">
        <v>41608</v>
      </c>
      <c r="C420" s="779" t="s">
        <v>1104</v>
      </c>
      <c r="D420" s="442" t="s">
        <v>951</v>
      </c>
      <c r="E420" s="785" t="s">
        <v>380</v>
      </c>
      <c r="F420" s="435" t="s">
        <v>5</v>
      </c>
      <c r="G420" s="435" t="s">
        <v>24</v>
      </c>
      <c r="H420" s="442"/>
      <c r="I420" s="442"/>
      <c r="J420" s="442"/>
      <c r="K420" s="785"/>
      <c r="L420" s="786"/>
      <c r="M420" s="443">
        <v>135</v>
      </c>
      <c r="N420" s="443"/>
      <c r="O420" s="443"/>
      <c r="P420" s="786"/>
      <c r="Q420" s="443"/>
      <c r="R420" s="442">
        <v>68</v>
      </c>
      <c r="S420" s="442">
        <v>61</v>
      </c>
      <c r="T420" s="442">
        <v>0</v>
      </c>
      <c r="U420" s="442"/>
      <c r="V420" s="442"/>
      <c r="W420" s="436">
        <f>IF(NFI_Expiration=1,IF($A420&lt;VLOOKUP(H$5,NFI,5,0),1,0)*Table_NFI[[#This Row],[Hygiene Kit]],Table_NFI[Hygiene Kit])</f>
        <v>0</v>
      </c>
      <c r="X420" s="436">
        <f>IF(NFI_Expiration=1,IF($A420&lt;VLOOKUP(I$5,NFI,5,0),1,0)*Table_NFI[[#This Row],[NFI Core Kit]],Table_NFI[NFI Core Kit])</f>
        <v>0</v>
      </c>
      <c r="Y420" s="436">
        <f>IF(NFI_Expiration=1,IF($A420&lt;VLOOKUP(J$5,NFI,5,0),1,0)*Table_NFI[[#This Row],[Sanitary Kit]],Table_NFI[Sanitary Kit])</f>
        <v>0</v>
      </c>
      <c r="Z420" s="436">
        <f>IF(NFI_Expiration=1,IF($A420&lt;VLOOKUP(K$5,NFI,5,0),1,0)*Table_NFI[[#This Row],[Mosquito net]],Table_NFI[Mosquito net])</f>
        <v>0</v>
      </c>
      <c r="AA420" s="436">
        <f>IF(NFI_Expiration=1,IF($A420&lt;VLOOKUP(L$5,NFI,5,0),1,0)*Table_NFI[[#This Row],[Tarpaulin]],Table_NFI[[#This Row],[Tarpaulin]])</f>
        <v>0</v>
      </c>
      <c r="AB420" s="436">
        <f>IF(NFI_Expiration=1,IF($A420&lt;VLOOKUP(M$5,NFI,5,0),1,0)*Table_NFI[[#This Row],[Blanket]],Table_NFI[[#This Row],[Blanket]])</f>
        <v>0</v>
      </c>
      <c r="AC420" s="436">
        <f>IF(NFI_Expiration=1,IF($A420&lt;VLOOKUP(N$5,NFI,5,0),1,0)*Table_NFI[[#This Row],[Kitchen Set]],Table_NFI[Kitchen Set])</f>
        <v>0</v>
      </c>
      <c r="AD420" s="436">
        <f>IF(NFI_Expiration=1,IF($A420&lt;VLOOKUP(O$5,NFI,5,0),1,0)*Table_NFI[[#This Row],[Clothes Kit]],Table_NFI[Clothes Kit])</f>
        <v>0</v>
      </c>
      <c r="AE420" s="436">
        <f>IF(NFI_Expiration=1,IF($A420&lt;VLOOKUP(P$5,NFI,5,0),1,0)*Table_NFI[[#This Row],[Plastic Bucket]],Table_NFI[Plastic Bucket])</f>
        <v>0</v>
      </c>
      <c r="AF420" s="436">
        <f>IF(NFI_Expiration=1,IF($A420&lt;VLOOKUP(Q$5,NFI,5,0),1,0)*Table_NFI[[#This Row],[Plastic Mat]],Table_NFI[Plastic Mat])*IF(Table_NFI[[#This Row],[Distribution Date]]&gt;"2014-04-01",1,2.5)</f>
        <v>0</v>
      </c>
      <c r="AG420" s="436">
        <f>IF(NFI_Expiration=1,IF($A420&lt;VLOOKUP(R$5,NFI,5,0),1,0)*Table_NFI[[#This Row],[Winter Clothes Adult]],Table_NFI[Winter Clothes Adult])</f>
        <v>0</v>
      </c>
      <c r="AH420" s="436">
        <f>IF(NFI_Expiration=1,IF($A420&lt;VLOOKUP(S$5,NFI,5,0),1,0)*Table_NFI[[#This Row],[Winter Clothes Children]],Table_NFI[Winter Clothes Children])</f>
        <v>0</v>
      </c>
      <c r="AI420" s="436">
        <f>IF(NFI_Expiration=1,IF($A420&lt;VLOOKUP(T$5,NFI,5,0),1,0)*Table_NFI[[#This Row],[Winter Items Other]],Table_NFI[Winter Items Other])</f>
        <v>0</v>
      </c>
      <c r="AJ420" s="436">
        <f>IF(NFI_Expiration=1,IF($A420&lt;VLOOKUP(M$5,NFI,5,0),1,0)*Table_NFI[[#This Row],[Winter Blanket]],Table_NFI[[#This Row],[Winter Blanket]])</f>
        <v>0</v>
      </c>
      <c r="AK420" s="436">
        <f>IF(Table_NFI[[#This Row],[Winter Clothes Adult]]+Table_NFI[[#This Row],[Winter Clothes Children]]+Table_NFI[[#This Row],[Winter Items Other]]+Table_NFI[[#This Row],[Winter Blanket]]&gt;0,1,0)</f>
        <v>1</v>
      </c>
      <c r="AL420" s="439">
        <f>IF(NFI_Expiration=1,IF($A420&lt;VLOOKUP(V$5,NFI,5,0),1,0)*Table_NFI[[#This Row],[Jerry Can]],Table_NFI[Jerry Can])</f>
        <v>0</v>
      </c>
      <c r="AM420" s="781" t="str">
        <f>IFERROR(VLOOKUP(Table_NFI[[#This Row],[Camp Name]],CL,2,0),"")</f>
        <v>MMR001CMP055</v>
      </c>
      <c r="AN420" s="782">
        <f ca="1">IF(Table_NFI[[#This Row],[Pcode]]="","",IF(OFFSET(CampList[Opening Date],MATCH(Table_NFI[[#This Row],[Pcode]],CampList[CP_Pcode],0)-1,0,1,1)&gt;=NFI_Monitor_Date,1,0))</f>
        <v>0</v>
      </c>
      <c r="AO420" s="781" t="str">
        <f>IFERROR(VLOOKUP(Table_NFI[[#This Row],[Camp Name]],CL,3,0),"")</f>
        <v>Open</v>
      </c>
      <c r="AP420" s="436" t="str">
        <f ca="1">IF(Table_NFI[[#This Row],[Pcode]]="","",OFFSET(CampList[Priority],MATCH(Table_NFI[[#This Row],[Pcode]],CampList[CP_Pcode],0)-1,0,1,1))</f>
        <v>P4</v>
      </c>
      <c r="AQ420" s="438">
        <f>IFERROR(Table_NFI[[#This Row],[Kitchen Set]]/VLOOKUP(Table_NFI[[#This Row],[Camp Name]],CL,4,0),"")</f>
        <v>0</v>
      </c>
      <c r="AR420" s="779" t="s">
        <v>1099</v>
      </c>
      <c r="AS420" s="783"/>
    </row>
    <row r="421" spans="1:45" s="784" customFormat="1" x14ac:dyDescent="0.25">
      <c r="A421" s="455">
        <f t="shared" si="6"/>
        <v>23.366666666666667</v>
      </c>
      <c r="B421" s="778">
        <v>41608</v>
      </c>
      <c r="C421" s="779" t="s">
        <v>912</v>
      </c>
      <c r="D421" s="779"/>
      <c r="E421" s="779" t="s">
        <v>380</v>
      </c>
      <c r="F421" s="435" t="s">
        <v>5</v>
      </c>
      <c r="G421" s="435" t="s">
        <v>24</v>
      </c>
      <c r="H421" s="436"/>
      <c r="I421" s="436"/>
      <c r="J421" s="436"/>
      <c r="K421" s="436"/>
      <c r="L421" s="437"/>
      <c r="M421" s="437"/>
      <c r="N421" s="437"/>
      <c r="O421" s="437"/>
      <c r="P421" s="439"/>
      <c r="Q421" s="439"/>
      <c r="R421" s="436"/>
      <c r="S421" s="436"/>
      <c r="T421" s="436"/>
      <c r="U421" s="436"/>
      <c r="V421" s="436"/>
      <c r="W421" s="436">
        <f>IF(NFI_Expiration=1,IF($A421&lt;VLOOKUP(H$5,NFI,5,0),1,0)*Table_NFI[[#This Row],[Hygiene Kit]],Table_NFI[Hygiene Kit])</f>
        <v>0</v>
      </c>
      <c r="X421" s="436">
        <f>IF(NFI_Expiration=1,IF($A421&lt;VLOOKUP(I$5,NFI,5,0),1,0)*Table_NFI[[#This Row],[NFI Core Kit]],Table_NFI[NFI Core Kit])</f>
        <v>0</v>
      </c>
      <c r="Y421" s="436">
        <f>IF(NFI_Expiration=1,IF($A421&lt;VLOOKUP(J$5,NFI,5,0),1,0)*Table_NFI[[#This Row],[Sanitary Kit]],Table_NFI[Sanitary Kit])</f>
        <v>0</v>
      </c>
      <c r="Z421" s="436">
        <f>IF(NFI_Expiration=1,IF($A421&lt;VLOOKUP(K$5,NFI,5,0),1,0)*Table_NFI[[#This Row],[Mosquito net]],Table_NFI[Mosquito net])</f>
        <v>0</v>
      </c>
      <c r="AA421" s="436">
        <f>IF(NFI_Expiration=1,IF($A421&lt;VLOOKUP(L$5,NFI,5,0),1,0)*Table_NFI[[#This Row],[Tarpaulin]],Table_NFI[[#This Row],[Tarpaulin]])</f>
        <v>0</v>
      </c>
      <c r="AB421" s="436">
        <f>IF(NFI_Expiration=1,IF($A421&lt;VLOOKUP(M$5,NFI,5,0),1,0)*Table_NFI[[#This Row],[Blanket]],Table_NFI[[#This Row],[Blanket]])</f>
        <v>0</v>
      </c>
      <c r="AC421" s="436">
        <f>IF(NFI_Expiration=1,IF($A421&lt;VLOOKUP(N$5,NFI,5,0),1,0)*Table_NFI[[#This Row],[Kitchen Set]],Table_NFI[Kitchen Set])</f>
        <v>0</v>
      </c>
      <c r="AD421" s="436">
        <f>IF(NFI_Expiration=1,IF($A421&lt;VLOOKUP(O$5,NFI,5,0),1,0)*Table_NFI[[#This Row],[Clothes Kit]],Table_NFI[Clothes Kit])</f>
        <v>0</v>
      </c>
      <c r="AE421" s="436">
        <f>IF(NFI_Expiration=1,IF($A421&lt;VLOOKUP(P$5,NFI,5,0),1,0)*Table_NFI[[#This Row],[Plastic Bucket]],Table_NFI[Plastic Bucket])</f>
        <v>0</v>
      </c>
      <c r="AF421" s="436">
        <f>IF(NFI_Expiration=1,IF($A421&lt;VLOOKUP(Q$5,NFI,5,0),1,0)*Table_NFI[[#This Row],[Plastic Mat]],Table_NFI[Plastic Mat])*IF(Table_NFI[[#This Row],[Distribution Date]]&gt;"2014-04-01",1,2.5)</f>
        <v>0</v>
      </c>
      <c r="AG421" s="436">
        <f>IF(NFI_Expiration=1,IF($A421&lt;VLOOKUP(R$5,NFI,5,0),1,0)*Table_NFI[[#This Row],[Winter Clothes Adult]],Table_NFI[Winter Clothes Adult])</f>
        <v>0</v>
      </c>
      <c r="AH421" s="436">
        <f>IF(NFI_Expiration=1,IF($A421&lt;VLOOKUP(S$5,NFI,5,0),1,0)*Table_NFI[[#This Row],[Winter Clothes Children]],Table_NFI[Winter Clothes Children])</f>
        <v>0</v>
      </c>
      <c r="AI421" s="436">
        <f>IF(NFI_Expiration=1,IF($A421&lt;VLOOKUP(T$5,NFI,5,0),1,0)*Table_NFI[[#This Row],[Winter Items Other]],Table_NFI[Winter Items Other])</f>
        <v>0</v>
      </c>
      <c r="AJ421" s="436">
        <f>IF(NFI_Expiration=1,IF($A421&lt;VLOOKUP(M$5,NFI,5,0),1,0)*Table_NFI[[#This Row],[Winter Blanket]],Table_NFI[[#This Row],[Winter Blanket]])</f>
        <v>0</v>
      </c>
      <c r="AK421" s="436">
        <f>IF(Table_NFI[[#This Row],[Winter Clothes Adult]]+Table_NFI[[#This Row],[Winter Clothes Children]]+Table_NFI[[#This Row],[Winter Items Other]]+Table_NFI[[#This Row],[Winter Blanket]]&gt;0,1,0)</f>
        <v>0</v>
      </c>
      <c r="AL421" s="439">
        <f>IF(NFI_Expiration=1,IF($A421&lt;VLOOKUP(V$5,NFI,5,0),1,0)*Table_NFI[[#This Row],[Jerry Can]],Table_NFI[Jerry Can])</f>
        <v>0</v>
      </c>
      <c r="AM421" s="781" t="str">
        <f>IFERROR(VLOOKUP(Table_NFI[[#This Row],[Camp Name]],CL,2,0),"")</f>
        <v>MMR001CMP055</v>
      </c>
      <c r="AN421" s="782">
        <f ca="1">IF(Table_NFI[[#This Row],[Pcode]]="","",IF(OFFSET(CampList[Opening Date],MATCH(Table_NFI[[#This Row],[Pcode]],CampList[CP_Pcode],0)-1,0,1,1)&gt;=NFI_Monitor_Date,1,0))</f>
        <v>0</v>
      </c>
      <c r="AO421" s="781" t="str">
        <f>IFERROR(VLOOKUP(Table_NFI[[#This Row],[Camp Name]],CL,3,0),"")</f>
        <v>Open</v>
      </c>
      <c r="AP421" s="436" t="str">
        <f ca="1">IF(Table_NFI[[#This Row],[Pcode]]="","",OFFSET(CampList[Priority],MATCH(Table_NFI[[#This Row],[Pcode]],CampList[CP_Pcode],0)-1,0,1,1))</f>
        <v>P4</v>
      </c>
      <c r="AQ421" s="438">
        <f>IFERROR(Table_NFI[[#This Row],[Kitchen Set]]/VLOOKUP(Table_NFI[[#This Row],[Camp Name]],CL,4,0),"")</f>
        <v>0</v>
      </c>
      <c r="AR421" s="779" t="s">
        <v>1099</v>
      </c>
      <c r="AS421" s="783"/>
    </row>
    <row r="422" spans="1:45" s="784" customFormat="1" x14ac:dyDescent="0.25">
      <c r="A422" s="455">
        <f t="shared" si="6"/>
        <v>23.4</v>
      </c>
      <c r="B422" s="778">
        <v>41607</v>
      </c>
      <c r="C422" s="779" t="s">
        <v>912</v>
      </c>
      <c r="D422" s="779" t="s">
        <v>462</v>
      </c>
      <c r="E422" s="779" t="s">
        <v>380</v>
      </c>
      <c r="F422" s="779" t="s">
        <v>310</v>
      </c>
      <c r="G422" s="779" t="s">
        <v>336</v>
      </c>
      <c r="H422" s="436"/>
      <c r="I422" s="436"/>
      <c r="J422" s="436"/>
      <c r="K422" s="436"/>
      <c r="L422" s="437"/>
      <c r="M422" s="437"/>
      <c r="N422" s="437"/>
      <c r="O422" s="437"/>
      <c r="P422" s="439"/>
      <c r="Q422" s="439"/>
      <c r="R422" s="436">
        <v>177</v>
      </c>
      <c r="S422" s="436">
        <v>354</v>
      </c>
      <c r="T422" s="436">
        <v>1062</v>
      </c>
      <c r="U422" s="436">
        <v>531</v>
      </c>
      <c r="V422" s="436"/>
      <c r="W422" s="436">
        <f>IF(NFI_Expiration=1,IF($A422&lt;VLOOKUP(H$5,NFI,5,0),1,0)*Table_NFI[[#This Row],[Hygiene Kit]],Table_NFI[Hygiene Kit])</f>
        <v>0</v>
      </c>
      <c r="X422" s="436">
        <f>IF(NFI_Expiration=1,IF($A422&lt;VLOOKUP(I$5,NFI,5,0),1,0)*Table_NFI[[#This Row],[NFI Core Kit]],Table_NFI[NFI Core Kit])</f>
        <v>0</v>
      </c>
      <c r="Y422" s="436">
        <f>IF(NFI_Expiration=1,IF($A422&lt;VLOOKUP(J$5,NFI,5,0),1,0)*Table_NFI[[#This Row],[Sanitary Kit]],Table_NFI[Sanitary Kit])</f>
        <v>0</v>
      </c>
      <c r="Z422" s="436">
        <f>IF(NFI_Expiration=1,IF($A422&lt;VLOOKUP(K$5,NFI,5,0),1,0)*Table_NFI[[#This Row],[Mosquito net]],Table_NFI[Mosquito net])</f>
        <v>0</v>
      </c>
      <c r="AA422" s="436">
        <f>IF(NFI_Expiration=1,IF($A422&lt;VLOOKUP(L$5,NFI,5,0),1,0)*Table_NFI[[#This Row],[Tarpaulin]],Table_NFI[[#This Row],[Tarpaulin]])</f>
        <v>0</v>
      </c>
      <c r="AB422" s="436">
        <f>IF(NFI_Expiration=1,IF($A422&lt;VLOOKUP(M$5,NFI,5,0),1,0)*Table_NFI[[#This Row],[Blanket]],Table_NFI[[#This Row],[Blanket]])</f>
        <v>0</v>
      </c>
      <c r="AC422" s="436">
        <f>IF(NFI_Expiration=1,IF($A422&lt;VLOOKUP(N$5,NFI,5,0),1,0)*Table_NFI[[#This Row],[Kitchen Set]],Table_NFI[Kitchen Set])</f>
        <v>0</v>
      </c>
      <c r="AD422" s="436">
        <f>IF(NFI_Expiration=1,IF($A422&lt;VLOOKUP(O$5,NFI,5,0),1,0)*Table_NFI[[#This Row],[Clothes Kit]],Table_NFI[Clothes Kit])</f>
        <v>0</v>
      </c>
      <c r="AE422" s="436">
        <f>IF(NFI_Expiration=1,IF($A422&lt;VLOOKUP(P$5,NFI,5,0),1,0)*Table_NFI[[#This Row],[Plastic Bucket]],Table_NFI[Plastic Bucket])</f>
        <v>0</v>
      </c>
      <c r="AF422" s="436">
        <f>IF(NFI_Expiration=1,IF($A422&lt;VLOOKUP(Q$5,NFI,5,0),1,0)*Table_NFI[[#This Row],[Plastic Mat]],Table_NFI[Plastic Mat])*IF(Table_NFI[[#This Row],[Distribution Date]]&gt;"2014-04-01",1,2.5)</f>
        <v>0</v>
      </c>
      <c r="AG422" s="436">
        <f>IF(NFI_Expiration=1,IF($A422&lt;VLOOKUP(R$5,NFI,5,0),1,0)*Table_NFI[[#This Row],[Winter Clothes Adult]],Table_NFI[Winter Clothes Adult])</f>
        <v>0</v>
      </c>
      <c r="AH422" s="436">
        <f>IF(NFI_Expiration=1,IF($A422&lt;VLOOKUP(S$5,NFI,5,0),1,0)*Table_NFI[[#This Row],[Winter Clothes Children]],Table_NFI[Winter Clothes Children])</f>
        <v>0</v>
      </c>
      <c r="AI422" s="436">
        <f>IF(NFI_Expiration=1,IF($A422&lt;VLOOKUP(T$5,NFI,5,0),1,0)*Table_NFI[[#This Row],[Winter Items Other]],Table_NFI[Winter Items Other])</f>
        <v>0</v>
      </c>
      <c r="AJ422" s="436">
        <f>IF(NFI_Expiration=1,IF($A422&lt;VLOOKUP(M$5,NFI,5,0),1,0)*Table_NFI[[#This Row],[Winter Blanket]],Table_NFI[[#This Row],[Winter Blanket]])</f>
        <v>0</v>
      </c>
      <c r="AK422" s="436">
        <f>IF(Table_NFI[[#This Row],[Winter Clothes Adult]]+Table_NFI[[#This Row],[Winter Clothes Children]]+Table_NFI[[#This Row],[Winter Items Other]]+Table_NFI[[#This Row],[Winter Blanket]]&gt;0,1,0)</f>
        <v>1</v>
      </c>
      <c r="AL422" s="439">
        <f>IF(NFI_Expiration=1,IF($A422&lt;VLOOKUP(V$5,NFI,5,0),1,0)*Table_NFI[[#This Row],[Jerry Can]],Table_NFI[Jerry Can])</f>
        <v>0</v>
      </c>
      <c r="AM422" s="781" t="str">
        <f>IFERROR(VLOOKUP(Table_NFI[[#This Row],[Camp Name]],CL,2,0),"")</f>
        <v>MMR001CMP115</v>
      </c>
      <c r="AN422" s="782">
        <f ca="1">IF(Table_NFI[[#This Row],[Pcode]]="","",IF(OFFSET(CampList[Opening Date],MATCH(Table_NFI[[#This Row],[Pcode]],CampList[CP_Pcode],0)-1,0,1,1)&gt;=NFI_Monitor_Date,1,0))</f>
        <v>0</v>
      </c>
      <c r="AO422" s="781" t="str">
        <f>IFERROR(VLOOKUP(Table_NFI[[#This Row],[Camp Name]],CL,3,0),"")</f>
        <v>Open</v>
      </c>
      <c r="AP422" s="436" t="str">
        <f ca="1">IF(Table_NFI[[#This Row],[Pcode]]="","",OFFSET(CampList[Priority],MATCH(Table_NFI[[#This Row],[Pcode]],CampList[CP_Pcode],0)-1,0,1,1))</f>
        <v>P1</v>
      </c>
      <c r="AQ422" s="438">
        <f>IFERROR(Table_NFI[[#This Row],[Kitchen Set]]/VLOOKUP(Table_NFI[[#This Row],[Camp Name]],CL,4,0),"")</f>
        <v>0</v>
      </c>
      <c r="AR422" s="779"/>
      <c r="AS422" s="783"/>
    </row>
    <row r="423" spans="1:45" s="784" customFormat="1" x14ac:dyDescent="0.25">
      <c r="A423" s="455">
        <f t="shared" si="6"/>
        <v>23.433333333333334</v>
      </c>
      <c r="B423" s="778">
        <v>41606</v>
      </c>
      <c r="C423" s="442" t="s">
        <v>454</v>
      </c>
      <c r="D423" s="442" t="s">
        <v>454</v>
      </c>
      <c r="E423" s="779" t="s">
        <v>380</v>
      </c>
      <c r="F423" s="435" t="s">
        <v>151</v>
      </c>
      <c r="G423" s="435" t="s">
        <v>152</v>
      </c>
      <c r="H423" s="442"/>
      <c r="I423" s="442"/>
      <c r="J423" s="442"/>
      <c r="K423" s="785">
        <v>20</v>
      </c>
      <c r="L423" s="786">
        <v>7</v>
      </c>
      <c r="M423" s="443">
        <v>22</v>
      </c>
      <c r="N423" s="443">
        <v>7</v>
      </c>
      <c r="O423" s="443">
        <v>7</v>
      </c>
      <c r="P423" s="786"/>
      <c r="Q423" s="443"/>
      <c r="R423" s="442"/>
      <c r="S423" s="442"/>
      <c r="T423" s="442"/>
      <c r="U423" s="442"/>
      <c r="V423" s="442"/>
      <c r="W423" s="436">
        <f>IF(NFI_Expiration=1,IF($A423&lt;VLOOKUP(H$5,NFI,5,0),1,0)*Table_NFI[[#This Row],[Hygiene Kit]],Table_NFI[Hygiene Kit])</f>
        <v>0</v>
      </c>
      <c r="X423" s="436">
        <f>IF(NFI_Expiration=1,IF($A423&lt;VLOOKUP(I$5,NFI,5,0),1,0)*Table_NFI[[#This Row],[NFI Core Kit]],Table_NFI[NFI Core Kit])</f>
        <v>0</v>
      </c>
      <c r="Y423" s="436">
        <f>IF(NFI_Expiration=1,IF($A423&lt;VLOOKUP(J$5,NFI,5,0),1,0)*Table_NFI[[#This Row],[Sanitary Kit]],Table_NFI[Sanitary Kit])</f>
        <v>0</v>
      </c>
      <c r="Z423" s="436">
        <f>IF(NFI_Expiration=1,IF($A423&lt;VLOOKUP(K$5,NFI,5,0),1,0)*Table_NFI[[#This Row],[Mosquito net]],Table_NFI[Mosquito net])</f>
        <v>0</v>
      </c>
      <c r="AA423" s="436">
        <f>IF(NFI_Expiration=1,IF($A423&lt;VLOOKUP(L$5,NFI,5,0),1,0)*Table_NFI[[#This Row],[Tarpaulin]],Table_NFI[[#This Row],[Tarpaulin]])</f>
        <v>0</v>
      </c>
      <c r="AB423" s="436">
        <f>IF(NFI_Expiration=1,IF($A423&lt;VLOOKUP(M$5,NFI,5,0),1,0)*Table_NFI[[#This Row],[Blanket]],Table_NFI[[#This Row],[Blanket]])</f>
        <v>0</v>
      </c>
      <c r="AC423" s="436">
        <f>IF(NFI_Expiration=1,IF($A423&lt;VLOOKUP(N$5,NFI,5,0),1,0)*Table_NFI[[#This Row],[Kitchen Set]],Table_NFI[Kitchen Set])</f>
        <v>0</v>
      </c>
      <c r="AD423" s="436">
        <f>IF(NFI_Expiration=1,IF($A423&lt;VLOOKUP(O$5,NFI,5,0),1,0)*Table_NFI[[#This Row],[Clothes Kit]],Table_NFI[Clothes Kit])</f>
        <v>0</v>
      </c>
      <c r="AE423" s="436">
        <f>IF(NFI_Expiration=1,IF($A423&lt;VLOOKUP(P$5,NFI,5,0),1,0)*Table_NFI[[#This Row],[Plastic Bucket]],Table_NFI[Plastic Bucket])</f>
        <v>0</v>
      </c>
      <c r="AF423" s="436">
        <f>IF(NFI_Expiration=1,IF($A423&lt;VLOOKUP(Q$5,NFI,5,0),1,0)*Table_NFI[[#This Row],[Plastic Mat]],Table_NFI[Plastic Mat])*IF(Table_NFI[[#This Row],[Distribution Date]]&gt;"2014-04-01",1,2.5)</f>
        <v>0</v>
      </c>
      <c r="AG423" s="436">
        <f>IF(NFI_Expiration=1,IF($A423&lt;VLOOKUP(R$5,NFI,5,0),1,0)*Table_NFI[[#This Row],[Winter Clothes Adult]],Table_NFI[Winter Clothes Adult])</f>
        <v>0</v>
      </c>
      <c r="AH423" s="436">
        <f>IF(NFI_Expiration=1,IF($A423&lt;VLOOKUP(S$5,NFI,5,0),1,0)*Table_NFI[[#This Row],[Winter Clothes Children]],Table_NFI[Winter Clothes Children])</f>
        <v>0</v>
      </c>
      <c r="AI423" s="436">
        <f>IF(NFI_Expiration=1,IF($A423&lt;VLOOKUP(T$5,NFI,5,0),1,0)*Table_NFI[[#This Row],[Winter Items Other]],Table_NFI[Winter Items Other])</f>
        <v>0</v>
      </c>
      <c r="AJ423" s="436">
        <f>IF(NFI_Expiration=1,IF($A423&lt;VLOOKUP(M$5,NFI,5,0),1,0)*Table_NFI[[#This Row],[Winter Blanket]],Table_NFI[[#This Row],[Winter Blanket]])</f>
        <v>0</v>
      </c>
      <c r="AK423" s="436">
        <f>IF(Table_NFI[[#This Row],[Winter Clothes Adult]]+Table_NFI[[#This Row],[Winter Clothes Children]]+Table_NFI[[#This Row],[Winter Items Other]]+Table_NFI[[#This Row],[Winter Blanket]]&gt;0,1,0)</f>
        <v>0</v>
      </c>
      <c r="AL423" s="439">
        <f>IF(NFI_Expiration=1,IF($A423&lt;VLOOKUP(V$5,NFI,5,0),1,0)*Table_NFI[[#This Row],[Jerry Can]],Table_NFI[Jerry Can])</f>
        <v>0</v>
      </c>
      <c r="AM423" s="781" t="str">
        <f>IFERROR(VLOOKUP(Table_NFI[[#This Row],[Camp Name]],CL,2,0),"")</f>
        <v>MMR001CMP066</v>
      </c>
      <c r="AN423" s="782">
        <f ca="1">IF(Table_NFI[[#This Row],[Pcode]]="","",IF(OFFSET(CampList[Opening Date],MATCH(Table_NFI[[#This Row],[Pcode]],CampList[CP_Pcode],0)-1,0,1,1)&gt;=NFI_Monitor_Date,1,0))</f>
        <v>0</v>
      </c>
      <c r="AO423" s="781" t="str">
        <f>IFERROR(VLOOKUP(Table_NFI[[#This Row],[Camp Name]],CL,3,0),"")</f>
        <v>Open</v>
      </c>
      <c r="AP423" s="436" t="str">
        <f ca="1">IF(Table_NFI[[#This Row],[Pcode]]="","",OFFSET(CampList[Priority],MATCH(Table_NFI[[#This Row],[Pcode]],CampList[CP_Pcode],0)-1,0,1,1))</f>
        <v>P4</v>
      </c>
      <c r="AQ423" s="438">
        <f>IFERROR(Table_NFI[[#This Row],[Kitchen Set]]/VLOOKUP(Table_NFI[[#This Row],[Camp Name]],CL,4,0),"")</f>
        <v>3.1674208144796379E-2</v>
      </c>
      <c r="AR423" s="779" t="s">
        <v>1099</v>
      </c>
      <c r="AS423" s="783"/>
    </row>
    <row r="424" spans="1:45" s="784" customFormat="1" x14ac:dyDescent="0.25">
      <c r="A424" s="455">
        <f t="shared" si="6"/>
        <v>23.433333333333334</v>
      </c>
      <c r="B424" s="778">
        <v>41606</v>
      </c>
      <c r="C424" s="779" t="s">
        <v>912</v>
      </c>
      <c r="D424" s="779" t="s">
        <v>462</v>
      </c>
      <c r="E424" s="779" t="s">
        <v>380</v>
      </c>
      <c r="F424" s="779" t="s">
        <v>310</v>
      </c>
      <c r="G424" s="779" t="s">
        <v>1268</v>
      </c>
      <c r="H424" s="436"/>
      <c r="I424" s="436"/>
      <c r="J424" s="436"/>
      <c r="K424" s="436"/>
      <c r="L424" s="437"/>
      <c r="M424" s="437"/>
      <c r="N424" s="437"/>
      <c r="O424" s="437"/>
      <c r="P424" s="439"/>
      <c r="Q424" s="439"/>
      <c r="R424" s="436">
        <v>636</v>
      </c>
      <c r="S424" s="436">
        <v>1272</v>
      </c>
      <c r="T424" s="436">
        <v>3816</v>
      </c>
      <c r="U424" s="436">
        <v>1908</v>
      </c>
      <c r="V424" s="436"/>
      <c r="W424" s="436">
        <f>IF(NFI_Expiration=1,IF($A424&lt;VLOOKUP(H$5,NFI,5,0),1,0)*Table_NFI[[#This Row],[Hygiene Kit]],Table_NFI[Hygiene Kit])</f>
        <v>0</v>
      </c>
      <c r="X424" s="436">
        <f>IF(NFI_Expiration=1,IF($A424&lt;VLOOKUP(I$5,NFI,5,0),1,0)*Table_NFI[[#This Row],[NFI Core Kit]],Table_NFI[NFI Core Kit])</f>
        <v>0</v>
      </c>
      <c r="Y424" s="436">
        <f>IF(NFI_Expiration=1,IF($A424&lt;VLOOKUP(J$5,NFI,5,0),1,0)*Table_NFI[[#This Row],[Sanitary Kit]],Table_NFI[Sanitary Kit])</f>
        <v>0</v>
      </c>
      <c r="Z424" s="436">
        <f>IF(NFI_Expiration=1,IF($A424&lt;VLOOKUP(K$5,NFI,5,0),1,0)*Table_NFI[[#This Row],[Mosquito net]],Table_NFI[Mosquito net])</f>
        <v>0</v>
      </c>
      <c r="AA424" s="436">
        <f>IF(NFI_Expiration=1,IF($A424&lt;VLOOKUP(L$5,NFI,5,0),1,0)*Table_NFI[[#This Row],[Tarpaulin]],Table_NFI[[#This Row],[Tarpaulin]])</f>
        <v>0</v>
      </c>
      <c r="AB424" s="436">
        <f>IF(NFI_Expiration=1,IF($A424&lt;VLOOKUP(M$5,NFI,5,0),1,0)*Table_NFI[[#This Row],[Blanket]],Table_NFI[[#This Row],[Blanket]])</f>
        <v>0</v>
      </c>
      <c r="AC424" s="436">
        <f>IF(NFI_Expiration=1,IF($A424&lt;VLOOKUP(N$5,NFI,5,0),1,0)*Table_NFI[[#This Row],[Kitchen Set]],Table_NFI[Kitchen Set])</f>
        <v>0</v>
      </c>
      <c r="AD424" s="436">
        <f>IF(NFI_Expiration=1,IF($A424&lt;VLOOKUP(O$5,NFI,5,0),1,0)*Table_NFI[[#This Row],[Clothes Kit]],Table_NFI[Clothes Kit])</f>
        <v>0</v>
      </c>
      <c r="AE424" s="436">
        <f>IF(NFI_Expiration=1,IF($A424&lt;VLOOKUP(P$5,NFI,5,0),1,0)*Table_NFI[[#This Row],[Plastic Bucket]],Table_NFI[Plastic Bucket])</f>
        <v>0</v>
      </c>
      <c r="AF424" s="436">
        <f>IF(NFI_Expiration=1,IF($A424&lt;VLOOKUP(Q$5,NFI,5,0),1,0)*Table_NFI[[#This Row],[Plastic Mat]],Table_NFI[Plastic Mat])*IF(Table_NFI[[#This Row],[Distribution Date]]&gt;"2014-04-01",1,2.5)</f>
        <v>0</v>
      </c>
      <c r="AG424" s="436">
        <f>IF(NFI_Expiration=1,IF($A424&lt;VLOOKUP(R$5,NFI,5,0),1,0)*Table_NFI[[#This Row],[Winter Clothes Adult]],Table_NFI[Winter Clothes Adult])</f>
        <v>0</v>
      </c>
      <c r="AH424" s="436">
        <f>IF(NFI_Expiration=1,IF($A424&lt;VLOOKUP(S$5,NFI,5,0),1,0)*Table_NFI[[#This Row],[Winter Clothes Children]],Table_NFI[Winter Clothes Children])</f>
        <v>0</v>
      </c>
      <c r="AI424" s="436">
        <f>IF(NFI_Expiration=1,IF($A424&lt;VLOOKUP(T$5,NFI,5,0),1,0)*Table_NFI[[#This Row],[Winter Items Other]],Table_NFI[Winter Items Other])</f>
        <v>0</v>
      </c>
      <c r="AJ424" s="436">
        <f>IF(NFI_Expiration=1,IF($A424&lt;VLOOKUP(M$5,NFI,5,0),1,0)*Table_NFI[[#This Row],[Winter Blanket]],Table_NFI[[#This Row],[Winter Blanket]])</f>
        <v>0</v>
      </c>
      <c r="AK424" s="436">
        <f>IF(Table_NFI[[#This Row],[Winter Clothes Adult]]+Table_NFI[[#This Row],[Winter Clothes Children]]+Table_NFI[[#This Row],[Winter Items Other]]+Table_NFI[[#This Row],[Winter Blanket]]&gt;0,1,0)</f>
        <v>1</v>
      </c>
      <c r="AL424" s="439">
        <f>IF(NFI_Expiration=1,IF($A424&lt;VLOOKUP(V$5,NFI,5,0),1,0)*Table_NFI[[#This Row],[Jerry Can]],Table_NFI[Jerry Can])</f>
        <v>0</v>
      </c>
      <c r="AM424" s="781" t="str">
        <f>IFERROR(VLOOKUP(Table_NFI[[#This Row],[Camp Name]],CL,2,0),"")</f>
        <v>MMR001CMP111</v>
      </c>
      <c r="AN424" s="782">
        <f ca="1">IF(Table_NFI[[#This Row],[Pcode]]="","",IF(OFFSET(CampList[Opening Date],MATCH(Table_NFI[[#This Row],[Pcode]],CampList[CP_Pcode],0)-1,0,1,1)&gt;=NFI_Monitor_Date,1,0))</f>
        <v>0</v>
      </c>
      <c r="AO424" s="781" t="str">
        <f>IFERROR(VLOOKUP(Table_NFI[[#This Row],[Camp Name]],CL,3,0),"")</f>
        <v>Open</v>
      </c>
      <c r="AP424" s="436" t="str">
        <f ca="1">IF(Table_NFI[[#This Row],[Pcode]]="","",OFFSET(CampList[Priority],MATCH(Table_NFI[[#This Row],[Pcode]],CampList[CP_Pcode],0)-1,0,1,1))</f>
        <v>P2</v>
      </c>
      <c r="AQ424" s="438">
        <f>IFERROR(Table_NFI[[#This Row],[Kitchen Set]]/VLOOKUP(Table_NFI[[#This Row],[Camp Name]],CL,4,0),"")</f>
        <v>0</v>
      </c>
      <c r="AR424" s="779"/>
      <c r="AS424" s="783"/>
    </row>
    <row r="425" spans="1:45" s="784" customFormat="1" x14ac:dyDescent="0.25">
      <c r="A425" s="455">
        <f t="shared" si="6"/>
        <v>23.5</v>
      </c>
      <c r="B425" s="778">
        <v>41604</v>
      </c>
      <c r="C425" s="442" t="s">
        <v>454</v>
      </c>
      <c r="D425" s="442" t="s">
        <v>454</v>
      </c>
      <c r="E425" s="779" t="s">
        <v>380</v>
      </c>
      <c r="F425" s="779" t="s">
        <v>5</v>
      </c>
      <c r="G425" s="435" t="s">
        <v>514</v>
      </c>
      <c r="H425" s="442"/>
      <c r="I425" s="442"/>
      <c r="J425" s="442"/>
      <c r="K425" s="785">
        <v>11</v>
      </c>
      <c r="L425" s="786">
        <v>5</v>
      </c>
      <c r="M425" s="443">
        <v>11</v>
      </c>
      <c r="N425" s="443">
        <v>5</v>
      </c>
      <c r="O425" s="443">
        <v>5</v>
      </c>
      <c r="P425" s="786"/>
      <c r="Q425" s="443"/>
      <c r="R425" s="442"/>
      <c r="S425" s="442"/>
      <c r="T425" s="442"/>
      <c r="U425" s="442"/>
      <c r="V425" s="442"/>
      <c r="W425" s="436">
        <f>IF(NFI_Expiration=1,IF($A425&lt;VLOOKUP(H$5,NFI,5,0),1,0)*Table_NFI[[#This Row],[Hygiene Kit]],Table_NFI[Hygiene Kit])</f>
        <v>0</v>
      </c>
      <c r="X425" s="436">
        <f>IF(NFI_Expiration=1,IF($A425&lt;VLOOKUP(I$5,NFI,5,0),1,0)*Table_NFI[[#This Row],[NFI Core Kit]],Table_NFI[NFI Core Kit])</f>
        <v>0</v>
      </c>
      <c r="Y425" s="436">
        <f>IF(NFI_Expiration=1,IF($A425&lt;VLOOKUP(J$5,NFI,5,0),1,0)*Table_NFI[[#This Row],[Sanitary Kit]],Table_NFI[Sanitary Kit])</f>
        <v>0</v>
      </c>
      <c r="Z425" s="436">
        <f>IF(NFI_Expiration=1,IF($A425&lt;VLOOKUP(K$5,NFI,5,0),1,0)*Table_NFI[[#This Row],[Mosquito net]],Table_NFI[Mosquito net])</f>
        <v>0</v>
      </c>
      <c r="AA425" s="436">
        <f>IF(NFI_Expiration=1,IF($A425&lt;VLOOKUP(L$5,NFI,5,0),1,0)*Table_NFI[[#This Row],[Tarpaulin]],Table_NFI[[#This Row],[Tarpaulin]])</f>
        <v>0</v>
      </c>
      <c r="AB425" s="436">
        <f>IF(NFI_Expiration=1,IF($A425&lt;VLOOKUP(M$5,NFI,5,0),1,0)*Table_NFI[[#This Row],[Blanket]],Table_NFI[[#This Row],[Blanket]])</f>
        <v>0</v>
      </c>
      <c r="AC425" s="436">
        <f>IF(NFI_Expiration=1,IF($A425&lt;VLOOKUP(N$5,NFI,5,0),1,0)*Table_NFI[[#This Row],[Kitchen Set]],Table_NFI[Kitchen Set])</f>
        <v>0</v>
      </c>
      <c r="AD425" s="436">
        <f>IF(NFI_Expiration=1,IF($A425&lt;VLOOKUP(O$5,NFI,5,0),1,0)*Table_NFI[[#This Row],[Clothes Kit]],Table_NFI[Clothes Kit])</f>
        <v>0</v>
      </c>
      <c r="AE425" s="436">
        <f>IF(NFI_Expiration=1,IF($A425&lt;VLOOKUP(P$5,NFI,5,0),1,0)*Table_NFI[[#This Row],[Plastic Bucket]],Table_NFI[Plastic Bucket])</f>
        <v>0</v>
      </c>
      <c r="AF425" s="436">
        <f>IF(NFI_Expiration=1,IF($A425&lt;VLOOKUP(Q$5,NFI,5,0),1,0)*Table_NFI[[#This Row],[Plastic Mat]],Table_NFI[Plastic Mat])*IF(Table_NFI[[#This Row],[Distribution Date]]&gt;"2014-04-01",1,2.5)</f>
        <v>0</v>
      </c>
      <c r="AG425" s="436">
        <f>IF(NFI_Expiration=1,IF($A425&lt;VLOOKUP(R$5,NFI,5,0),1,0)*Table_NFI[[#This Row],[Winter Clothes Adult]],Table_NFI[Winter Clothes Adult])</f>
        <v>0</v>
      </c>
      <c r="AH425" s="436">
        <f>IF(NFI_Expiration=1,IF($A425&lt;VLOOKUP(S$5,NFI,5,0),1,0)*Table_NFI[[#This Row],[Winter Clothes Children]],Table_NFI[Winter Clothes Children])</f>
        <v>0</v>
      </c>
      <c r="AI425" s="436">
        <f>IF(NFI_Expiration=1,IF($A425&lt;VLOOKUP(T$5,NFI,5,0),1,0)*Table_NFI[[#This Row],[Winter Items Other]],Table_NFI[Winter Items Other])</f>
        <v>0</v>
      </c>
      <c r="AJ425" s="436">
        <f>IF(NFI_Expiration=1,IF($A425&lt;VLOOKUP(M$5,NFI,5,0),1,0)*Table_NFI[[#This Row],[Winter Blanket]],Table_NFI[[#This Row],[Winter Blanket]])</f>
        <v>0</v>
      </c>
      <c r="AK425" s="436">
        <f>IF(Table_NFI[[#This Row],[Winter Clothes Adult]]+Table_NFI[[#This Row],[Winter Clothes Children]]+Table_NFI[[#This Row],[Winter Items Other]]+Table_NFI[[#This Row],[Winter Blanket]]&gt;0,1,0)</f>
        <v>0</v>
      </c>
      <c r="AL425" s="439">
        <f>IF(NFI_Expiration=1,IF($A425&lt;VLOOKUP(V$5,NFI,5,0),1,0)*Table_NFI[[#This Row],[Jerry Can]],Table_NFI[Jerry Can])</f>
        <v>0</v>
      </c>
      <c r="AM425" s="781" t="str">
        <f>IFERROR(VLOOKUP(Table_NFI[[#This Row],[Camp Name]],CL,2,0),"")</f>
        <v>MMR001CMP194</v>
      </c>
      <c r="AN425" s="782">
        <f ca="1">IF(Table_NFI[[#This Row],[Pcode]]="","",IF(OFFSET(CampList[Opening Date],MATCH(Table_NFI[[#This Row],[Pcode]],CampList[CP_Pcode],0)-1,0,1,1)&gt;=NFI_Monitor_Date,1,0))</f>
        <v>0</v>
      </c>
      <c r="AO425" s="781" t="s">
        <v>849</v>
      </c>
      <c r="AP425" s="436" t="str">
        <f ca="1">IF(Table_NFI[[#This Row],[Pcode]]="","",OFFSET(CampList[Priority],MATCH(Table_NFI[[#This Row],[Pcode]],CampList[CP_Pcode],0)-1,0,1,1))</f>
        <v>P4</v>
      </c>
      <c r="AQ425" s="438">
        <f>IFERROR(Table_NFI[[#This Row],[Kitchen Set]]/VLOOKUP(Table_NFI[[#This Row],[Camp Name]],CL,4,0),"")</f>
        <v>0.41666666666666669</v>
      </c>
      <c r="AR425" s="779" t="s">
        <v>1099</v>
      </c>
      <c r="AS425" s="783"/>
    </row>
    <row r="426" spans="1:45" s="784" customFormat="1" x14ac:dyDescent="0.25">
      <c r="A426" s="455">
        <f t="shared" si="6"/>
        <v>23.5</v>
      </c>
      <c r="B426" s="778">
        <v>41604</v>
      </c>
      <c r="C426" s="442" t="s">
        <v>454</v>
      </c>
      <c r="D426" s="442" t="s">
        <v>454</v>
      </c>
      <c r="E426" s="779" t="s">
        <v>380</v>
      </c>
      <c r="F426" s="779" t="s">
        <v>5</v>
      </c>
      <c r="G426" s="435" t="s">
        <v>12</v>
      </c>
      <c r="H426" s="442"/>
      <c r="I426" s="442"/>
      <c r="J426" s="442"/>
      <c r="K426" s="785">
        <v>25</v>
      </c>
      <c r="L426" s="786">
        <v>13</v>
      </c>
      <c r="M426" s="443">
        <v>25</v>
      </c>
      <c r="N426" s="443">
        <v>13</v>
      </c>
      <c r="O426" s="443">
        <v>13</v>
      </c>
      <c r="P426" s="786"/>
      <c r="Q426" s="443"/>
      <c r="R426" s="442"/>
      <c r="S426" s="442"/>
      <c r="T426" s="442"/>
      <c r="U426" s="442"/>
      <c r="V426" s="442"/>
      <c r="W426" s="436">
        <f>IF(NFI_Expiration=1,IF($A426&lt;VLOOKUP(H$5,NFI,5,0),1,0)*Table_NFI[[#This Row],[Hygiene Kit]],Table_NFI[Hygiene Kit])</f>
        <v>0</v>
      </c>
      <c r="X426" s="436">
        <f>IF(NFI_Expiration=1,IF($A426&lt;VLOOKUP(I$5,NFI,5,0),1,0)*Table_NFI[[#This Row],[NFI Core Kit]],Table_NFI[NFI Core Kit])</f>
        <v>0</v>
      </c>
      <c r="Y426" s="436">
        <f>IF(NFI_Expiration=1,IF($A426&lt;VLOOKUP(J$5,NFI,5,0),1,0)*Table_NFI[[#This Row],[Sanitary Kit]],Table_NFI[Sanitary Kit])</f>
        <v>0</v>
      </c>
      <c r="Z426" s="436">
        <f>IF(NFI_Expiration=1,IF($A426&lt;VLOOKUP(K$5,NFI,5,0),1,0)*Table_NFI[[#This Row],[Mosquito net]],Table_NFI[Mosquito net])</f>
        <v>0</v>
      </c>
      <c r="AA426" s="436">
        <f>IF(NFI_Expiration=1,IF($A426&lt;VLOOKUP(L$5,NFI,5,0),1,0)*Table_NFI[[#This Row],[Tarpaulin]],Table_NFI[[#This Row],[Tarpaulin]])</f>
        <v>0</v>
      </c>
      <c r="AB426" s="436">
        <f>IF(NFI_Expiration=1,IF($A426&lt;VLOOKUP(M$5,NFI,5,0),1,0)*Table_NFI[[#This Row],[Blanket]],Table_NFI[[#This Row],[Blanket]])</f>
        <v>0</v>
      </c>
      <c r="AC426" s="436">
        <f>IF(NFI_Expiration=1,IF($A426&lt;VLOOKUP(N$5,NFI,5,0),1,0)*Table_NFI[[#This Row],[Kitchen Set]],Table_NFI[Kitchen Set])</f>
        <v>0</v>
      </c>
      <c r="AD426" s="436">
        <f>IF(NFI_Expiration=1,IF($A426&lt;VLOOKUP(O$5,NFI,5,0),1,0)*Table_NFI[[#This Row],[Clothes Kit]],Table_NFI[Clothes Kit])</f>
        <v>0</v>
      </c>
      <c r="AE426" s="436">
        <f>IF(NFI_Expiration=1,IF($A426&lt;VLOOKUP(P$5,NFI,5,0),1,0)*Table_NFI[[#This Row],[Plastic Bucket]],Table_NFI[Plastic Bucket])</f>
        <v>0</v>
      </c>
      <c r="AF426" s="436">
        <f>IF(NFI_Expiration=1,IF($A426&lt;VLOOKUP(Q$5,NFI,5,0),1,0)*Table_NFI[[#This Row],[Plastic Mat]],Table_NFI[Plastic Mat])*IF(Table_NFI[[#This Row],[Distribution Date]]&gt;"2014-04-01",1,2.5)</f>
        <v>0</v>
      </c>
      <c r="AG426" s="436">
        <f>IF(NFI_Expiration=1,IF($A426&lt;VLOOKUP(R$5,NFI,5,0),1,0)*Table_NFI[[#This Row],[Winter Clothes Adult]],Table_NFI[Winter Clothes Adult])</f>
        <v>0</v>
      </c>
      <c r="AH426" s="436">
        <f>IF(NFI_Expiration=1,IF($A426&lt;VLOOKUP(S$5,NFI,5,0),1,0)*Table_NFI[[#This Row],[Winter Clothes Children]],Table_NFI[Winter Clothes Children])</f>
        <v>0</v>
      </c>
      <c r="AI426" s="436">
        <f>IF(NFI_Expiration=1,IF($A426&lt;VLOOKUP(T$5,NFI,5,0),1,0)*Table_NFI[[#This Row],[Winter Items Other]],Table_NFI[Winter Items Other])</f>
        <v>0</v>
      </c>
      <c r="AJ426" s="436">
        <f>IF(NFI_Expiration=1,IF($A426&lt;VLOOKUP(M$5,NFI,5,0),1,0)*Table_NFI[[#This Row],[Winter Blanket]],Table_NFI[[#This Row],[Winter Blanket]])</f>
        <v>0</v>
      </c>
      <c r="AK426" s="436">
        <f>IF(Table_NFI[[#This Row],[Winter Clothes Adult]]+Table_NFI[[#This Row],[Winter Clothes Children]]+Table_NFI[[#This Row],[Winter Items Other]]+Table_NFI[[#This Row],[Winter Blanket]]&gt;0,1,0)</f>
        <v>0</v>
      </c>
      <c r="AL426" s="439">
        <f>IF(NFI_Expiration=1,IF($A426&lt;VLOOKUP(V$5,NFI,5,0),1,0)*Table_NFI[[#This Row],[Jerry Can]],Table_NFI[Jerry Can])</f>
        <v>0</v>
      </c>
      <c r="AM426" s="781" t="str">
        <f>IFERROR(VLOOKUP(Table_NFI[[#This Row],[Camp Name]],CL,2,0),"")</f>
        <v>MMR001CMP163</v>
      </c>
      <c r="AN426" s="782">
        <f ca="1">IF(Table_NFI[[#This Row],[Pcode]]="","",IF(OFFSET(CampList[Opening Date],MATCH(Table_NFI[[#This Row],[Pcode]],CampList[CP_Pcode],0)-1,0,1,1)&gt;=NFI_Monitor_Date,1,0))</f>
        <v>0</v>
      </c>
      <c r="AO426" s="781" t="str">
        <f>IFERROR(VLOOKUP(Table_NFI[[#This Row],[Camp Name]],CL,3,0),"")</f>
        <v>Open</v>
      </c>
      <c r="AP426" s="436" t="str">
        <f ca="1">IF(Table_NFI[[#This Row],[Pcode]]="","",OFFSET(CampList[Priority],MATCH(Table_NFI[[#This Row],[Pcode]],CampList[CP_Pcode],0)-1,0,1,1))</f>
        <v>P4</v>
      </c>
      <c r="AQ426" s="438">
        <f>IFERROR(Table_NFI[[#This Row],[Kitchen Set]]/VLOOKUP(Table_NFI[[#This Row],[Camp Name]],CL,4,0),"")</f>
        <v>6.1611374407582936E-2</v>
      </c>
      <c r="AR426" s="779" t="s">
        <v>1099</v>
      </c>
      <c r="AS426" s="783"/>
    </row>
    <row r="427" spans="1:45" s="784" customFormat="1" x14ac:dyDescent="0.25">
      <c r="A427" s="455">
        <f t="shared" si="6"/>
        <v>23.5</v>
      </c>
      <c r="B427" s="778">
        <v>41604</v>
      </c>
      <c r="C427" s="779" t="s">
        <v>912</v>
      </c>
      <c r="D427" s="779" t="s">
        <v>912</v>
      </c>
      <c r="E427" s="779" t="s">
        <v>380</v>
      </c>
      <c r="F427" s="779" t="s">
        <v>151</v>
      </c>
      <c r="G427" s="779" t="s">
        <v>518</v>
      </c>
      <c r="H427" s="436"/>
      <c r="I427" s="436"/>
      <c r="J427" s="436"/>
      <c r="K427" s="436"/>
      <c r="L427" s="437"/>
      <c r="M427" s="437"/>
      <c r="N427" s="437"/>
      <c r="O427" s="437"/>
      <c r="P427" s="439"/>
      <c r="Q427" s="439"/>
      <c r="R427" s="436">
        <v>80</v>
      </c>
      <c r="S427" s="436">
        <v>160</v>
      </c>
      <c r="T427" s="436">
        <v>480</v>
      </c>
      <c r="U427" s="436">
        <v>240</v>
      </c>
      <c r="V427" s="436"/>
      <c r="W427" s="436">
        <f>IF(NFI_Expiration=1,IF($A427&lt;VLOOKUP(H$5,NFI,5,0),1,0)*Table_NFI[[#This Row],[Hygiene Kit]],Table_NFI[Hygiene Kit])</f>
        <v>0</v>
      </c>
      <c r="X427" s="436">
        <f>IF(NFI_Expiration=1,IF($A427&lt;VLOOKUP(I$5,NFI,5,0),1,0)*Table_NFI[[#This Row],[NFI Core Kit]],Table_NFI[NFI Core Kit])</f>
        <v>0</v>
      </c>
      <c r="Y427" s="436">
        <f>IF(NFI_Expiration=1,IF($A427&lt;VLOOKUP(J$5,NFI,5,0),1,0)*Table_NFI[[#This Row],[Sanitary Kit]],Table_NFI[Sanitary Kit])</f>
        <v>0</v>
      </c>
      <c r="Z427" s="436">
        <f>IF(NFI_Expiration=1,IF($A427&lt;VLOOKUP(K$5,NFI,5,0),1,0)*Table_NFI[[#This Row],[Mosquito net]],Table_NFI[Mosquito net])</f>
        <v>0</v>
      </c>
      <c r="AA427" s="436">
        <f>IF(NFI_Expiration=1,IF($A427&lt;VLOOKUP(L$5,NFI,5,0),1,0)*Table_NFI[[#This Row],[Tarpaulin]],Table_NFI[[#This Row],[Tarpaulin]])</f>
        <v>0</v>
      </c>
      <c r="AB427" s="436">
        <f>IF(NFI_Expiration=1,IF($A427&lt;VLOOKUP(M$5,NFI,5,0),1,0)*Table_NFI[[#This Row],[Blanket]],Table_NFI[[#This Row],[Blanket]])</f>
        <v>0</v>
      </c>
      <c r="AC427" s="436">
        <f>IF(NFI_Expiration=1,IF($A427&lt;VLOOKUP(N$5,NFI,5,0),1,0)*Table_NFI[[#This Row],[Kitchen Set]],Table_NFI[Kitchen Set])</f>
        <v>0</v>
      </c>
      <c r="AD427" s="436">
        <f>IF(NFI_Expiration=1,IF($A427&lt;VLOOKUP(O$5,NFI,5,0),1,0)*Table_NFI[[#This Row],[Clothes Kit]],Table_NFI[Clothes Kit])</f>
        <v>0</v>
      </c>
      <c r="AE427" s="436">
        <f>IF(NFI_Expiration=1,IF($A427&lt;VLOOKUP(P$5,NFI,5,0),1,0)*Table_NFI[[#This Row],[Plastic Bucket]],Table_NFI[Plastic Bucket])</f>
        <v>0</v>
      </c>
      <c r="AF427" s="436">
        <f>IF(NFI_Expiration=1,IF($A427&lt;VLOOKUP(Q$5,NFI,5,0),1,0)*Table_NFI[[#This Row],[Plastic Mat]],Table_NFI[Plastic Mat])*IF(Table_NFI[[#This Row],[Distribution Date]]&gt;"2014-04-01",1,2.5)</f>
        <v>0</v>
      </c>
      <c r="AG427" s="436">
        <f>IF(NFI_Expiration=1,IF($A427&lt;VLOOKUP(R$5,NFI,5,0),1,0)*Table_NFI[[#This Row],[Winter Clothes Adult]],Table_NFI[Winter Clothes Adult])</f>
        <v>0</v>
      </c>
      <c r="AH427" s="436">
        <f>IF(NFI_Expiration=1,IF($A427&lt;VLOOKUP(S$5,NFI,5,0),1,0)*Table_NFI[[#This Row],[Winter Clothes Children]],Table_NFI[Winter Clothes Children])</f>
        <v>0</v>
      </c>
      <c r="AI427" s="436">
        <f>IF(NFI_Expiration=1,IF($A427&lt;VLOOKUP(T$5,NFI,5,0),1,0)*Table_NFI[[#This Row],[Winter Items Other]],Table_NFI[Winter Items Other])</f>
        <v>0</v>
      </c>
      <c r="AJ427" s="436">
        <f>IF(NFI_Expiration=1,IF($A427&lt;VLOOKUP(M$5,NFI,5,0),1,0)*Table_NFI[[#This Row],[Winter Blanket]],Table_NFI[[#This Row],[Winter Blanket]])</f>
        <v>0</v>
      </c>
      <c r="AK427" s="436">
        <f>IF(Table_NFI[[#This Row],[Winter Clothes Adult]]+Table_NFI[[#This Row],[Winter Clothes Children]]+Table_NFI[[#This Row],[Winter Items Other]]+Table_NFI[[#This Row],[Winter Blanket]]&gt;0,1,0)</f>
        <v>1</v>
      </c>
      <c r="AL427" s="439">
        <f>IF(NFI_Expiration=1,IF($A427&lt;VLOOKUP(V$5,NFI,5,0),1,0)*Table_NFI[[#This Row],[Jerry Can]],Table_NFI[Jerry Can])</f>
        <v>0</v>
      </c>
      <c r="AM427" s="781" t="str">
        <f>IFERROR(VLOOKUP(Table_NFI[[#This Row],[Camp Name]],CL,2,0),"")</f>
        <v>MMR001CMP202</v>
      </c>
      <c r="AN427" s="782">
        <f ca="1">IF(Table_NFI[[#This Row],[Pcode]]="","",IF(OFFSET(CampList[Opening Date],MATCH(Table_NFI[[#This Row],[Pcode]],CampList[CP_Pcode],0)-1,0,1,1)&gt;=NFI_Monitor_Date,1,0))</f>
        <v>0</v>
      </c>
      <c r="AO427" s="781" t="str">
        <f>IFERROR(VLOOKUP(Table_NFI[[#This Row],[Camp Name]],CL,3,0),"")</f>
        <v>Closed</v>
      </c>
      <c r="AP427" s="436" t="str">
        <f ca="1">IF(Table_NFI[[#This Row],[Pcode]]="","",OFFSET(CampList[Priority],MATCH(Table_NFI[[#This Row],[Pcode]],CampList[CP_Pcode],0)-1,0,1,1))</f>
        <v>P4</v>
      </c>
      <c r="AQ427" s="438" t="str">
        <f>IFERROR(Table_NFI[[#This Row],[Kitchen Set]]/VLOOKUP(Table_NFI[[#This Row],[Camp Name]],CL,4,0),"")</f>
        <v/>
      </c>
      <c r="AR427" s="779"/>
      <c r="AS427" s="783"/>
    </row>
    <row r="428" spans="1:45" s="784" customFormat="1" x14ac:dyDescent="0.25">
      <c r="A428" s="455">
        <f t="shared" si="6"/>
        <v>23.5</v>
      </c>
      <c r="B428" s="778">
        <v>41604</v>
      </c>
      <c r="C428" s="442" t="s">
        <v>454</v>
      </c>
      <c r="D428" s="442" t="s">
        <v>454</v>
      </c>
      <c r="E428" s="779" t="s">
        <v>380</v>
      </c>
      <c r="F428" s="779" t="s">
        <v>5</v>
      </c>
      <c r="G428" s="435" t="s">
        <v>18</v>
      </c>
      <c r="H428" s="442"/>
      <c r="I428" s="442"/>
      <c r="J428" s="442"/>
      <c r="K428" s="785">
        <v>31</v>
      </c>
      <c r="L428" s="786">
        <v>13</v>
      </c>
      <c r="M428" s="443">
        <v>31</v>
      </c>
      <c r="N428" s="443">
        <v>13</v>
      </c>
      <c r="O428" s="443">
        <v>13</v>
      </c>
      <c r="P428" s="786"/>
      <c r="Q428" s="443"/>
      <c r="R428" s="442"/>
      <c r="S428" s="442"/>
      <c r="T428" s="442"/>
      <c r="U428" s="442"/>
      <c r="V428" s="442"/>
      <c r="W428" s="436">
        <f>IF(NFI_Expiration=1,IF($A428&lt;VLOOKUP(H$5,NFI,5,0),1,0)*Table_NFI[[#This Row],[Hygiene Kit]],Table_NFI[Hygiene Kit])</f>
        <v>0</v>
      </c>
      <c r="X428" s="436">
        <f>IF(NFI_Expiration=1,IF($A428&lt;VLOOKUP(I$5,NFI,5,0),1,0)*Table_NFI[[#This Row],[NFI Core Kit]],Table_NFI[NFI Core Kit])</f>
        <v>0</v>
      </c>
      <c r="Y428" s="436">
        <f>IF(NFI_Expiration=1,IF($A428&lt;VLOOKUP(J$5,NFI,5,0),1,0)*Table_NFI[[#This Row],[Sanitary Kit]],Table_NFI[Sanitary Kit])</f>
        <v>0</v>
      </c>
      <c r="Z428" s="436">
        <f>IF(NFI_Expiration=1,IF($A428&lt;VLOOKUP(K$5,NFI,5,0),1,0)*Table_NFI[[#This Row],[Mosquito net]],Table_NFI[Mosquito net])</f>
        <v>0</v>
      </c>
      <c r="AA428" s="436">
        <f>IF(NFI_Expiration=1,IF($A428&lt;VLOOKUP(L$5,NFI,5,0),1,0)*Table_NFI[[#This Row],[Tarpaulin]],Table_NFI[[#This Row],[Tarpaulin]])</f>
        <v>0</v>
      </c>
      <c r="AB428" s="436">
        <f>IF(NFI_Expiration=1,IF($A428&lt;VLOOKUP(M$5,NFI,5,0),1,0)*Table_NFI[[#This Row],[Blanket]],Table_NFI[[#This Row],[Blanket]])</f>
        <v>0</v>
      </c>
      <c r="AC428" s="436">
        <f>IF(NFI_Expiration=1,IF($A428&lt;VLOOKUP(N$5,NFI,5,0),1,0)*Table_NFI[[#This Row],[Kitchen Set]],Table_NFI[Kitchen Set])</f>
        <v>0</v>
      </c>
      <c r="AD428" s="436">
        <f>IF(NFI_Expiration=1,IF($A428&lt;VLOOKUP(O$5,NFI,5,0),1,0)*Table_NFI[[#This Row],[Clothes Kit]],Table_NFI[Clothes Kit])</f>
        <v>0</v>
      </c>
      <c r="AE428" s="436">
        <f>IF(NFI_Expiration=1,IF($A428&lt;VLOOKUP(P$5,NFI,5,0),1,0)*Table_NFI[[#This Row],[Plastic Bucket]],Table_NFI[Plastic Bucket])</f>
        <v>0</v>
      </c>
      <c r="AF428" s="436">
        <f>IF(NFI_Expiration=1,IF($A428&lt;VLOOKUP(Q$5,NFI,5,0),1,0)*Table_NFI[[#This Row],[Plastic Mat]],Table_NFI[Plastic Mat])*IF(Table_NFI[[#This Row],[Distribution Date]]&gt;"2014-04-01",1,2.5)</f>
        <v>0</v>
      </c>
      <c r="AG428" s="436">
        <f>IF(NFI_Expiration=1,IF($A428&lt;VLOOKUP(R$5,NFI,5,0),1,0)*Table_NFI[[#This Row],[Winter Clothes Adult]],Table_NFI[Winter Clothes Adult])</f>
        <v>0</v>
      </c>
      <c r="AH428" s="436">
        <f>IF(NFI_Expiration=1,IF($A428&lt;VLOOKUP(S$5,NFI,5,0),1,0)*Table_NFI[[#This Row],[Winter Clothes Children]],Table_NFI[Winter Clothes Children])</f>
        <v>0</v>
      </c>
      <c r="AI428" s="436">
        <f>IF(NFI_Expiration=1,IF($A428&lt;VLOOKUP(T$5,NFI,5,0),1,0)*Table_NFI[[#This Row],[Winter Items Other]],Table_NFI[Winter Items Other])</f>
        <v>0</v>
      </c>
      <c r="AJ428" s="436">
        <f>IF(NFI_Expiration=1,IF($A428&lt;VLOOKUP(M$5,NFI,5,0),1,0)*Table_NFI[[#This Row],[Winter Blanket]],Table_NFI[[#This Row],[Winter Blanket]])</f>
        <v>0</v>
      </c>
      <c r="AK428" s="436">
        <f>IF(Table_NFI[[#This Row],[Winter Clothes Adult]]+Table_NFI[[#This Row],[Winter Clothes Children]]+Table_NFI[[#This Row],[Winter Items Other]]+Table_NFI[[#This Row],[Winter Blanket]]&gt;0,1,0)</f>
        <v>0</v>
      </c>
      <c r="AL428" s="439">
        <f>IF(NFI_Expiration=1,IF($A428&lt;VLOOKUP(V$5,NFI,5,0),1,0)*Table_NFI[[#This Row],[Jerry Can]],Table_NFI[Jerry Can])</f>
        <v>0</v>
      </c>
      <c r="AM428" s="781" t="str">
        <f>IFERROR(VLOOKUP(Table_NFI[[#This Row],[Camp Name]],CL,2,0),"")</f>
        <v>MMR001CMP049</v>
      </c>
      <c r="AN428" s="782">
        <f ca="1">IF(Table_NFI[[#This Row],[Pcode]]="","",IF(OFFSET(CampList[Opening Date],MATCH(Table_NFI[[#This Row],[Pcode]],CampList[CP_Pcode],0)-1,0,1,1)&gt;=NFI_Monitor_Date,1,0))</f>
        <v>0</v>
      </c>
      <c r="AO428" s="781" t="str">
        <f>IFERROR(VLOOKUP(Table_NFI[[#This Row],[Camp Name]],CL,3,0),"")</f>
        <v>Open</v>
      </c>
      <c r="AP428" s="436" t="str">
        <f ca="1">IF(Table_NFI[[#This Row],[Pcode]]="","",OFFSET(CampList[Priority],MATCH(Table_NFI[[#This Row],[Pcode]],CampList[CP_Pcode],0)-1,0,1,1))</f>
        <v>P4</v>
      </c>
      <c r="AQ428" s="438">
        <f>IFERROR(Table_NFI[[#This Row],[Kitchen Set]]/VLOOKUP(Table_NFI[[#This Row],[Camp Name]],CL,4,0),"")</f>
        <v>0.11206896551724138</v>
      </c>
      <c r="AR428" s="779" t="s">
        <v>1099</v>
      </c>
      <c r="AS428" s="783"/>
    </row>
    <row r="429" spans="1:45" s="784" customFormat="1" x14ac:dyDescent="0.25">
      <c r="A429" s="455">
        <f t="shared" si="6"/>
        <v>23.5</v>
      </c>
      <c r="B429" s="778">
        <v>41604</v>
      </c>
      <c r="C429" s="442" t="s">
        <v>454</v>
      </c>
      <c r="D429" s="442" t="s">
        <v>454</v>
      </c>
      <c r="E429" s="779" t="s">
        <v>380</v>
      </c>
      <c r="F429" s="435" t="s">
        <v>5</v>
      </c>
      <c r="G429" s="435" t="s">
        <v>8</v>
      </c>
      <c r="H429" s="442"/>
      <c r="I429" s="442"/>
      <c r="J429" s="442"/>
      <c r="K429" s="785">
        <v>22</v>
      </c>
      <c r="L429" s="786">
        <v>11</v>
      </c>
      <c r="M429" s="443">
        <v>22</v>
      </c>
      <c r="N429" s="443">
        <v>11</v>
      </c>
      <c r="O429" s="443">
        <v>11</v>
      </c>
      <c r="P429" s="786"/>
      <c r="Q429" s="443"/>
      <c r="R429" s="442"/>
      <c r="S429" s="442"/>
      <c r="T429" s="442"/>
      <c r="U429" s="442"/>
      <c r="V429" s="442"/>
      <c r="W429" s="436">
        <f>IF(NFI_Expiration=1,IF($A429&lt;VLOOKUP(H$5,NFI,5,0),1,0)*Table_NFI[[#This Row],[Hygiene Kit]],Table_NFI[Hygiene Kit])</f>
        <v>0</v>
      </c>
      <c r="X429" s="436">
        <f>IF(NFI_Expiration=1,IF($A429&lt;VLOOKUP(I$5,NFI,5,0),1,0)*Table_NFI[[#This Row],[NFI Core Kit]],Table_NFI[NFI Core Kit])</f>
        <v>0</v>
      </c>
      <c r="Y429" s="436">
        <f>IF(NFI_Expiration=1,IF($A429&lt;VLOOKUP(J$5,NFI,5,0),1,0)*Table_NFI[[#This Row],[Sanitary Kit]],Table_NFI[Sanitary Kit])</f>
        <v>0</v>
      </c>
      <c r="Z429" s="436">
        <f>IF(NFI_Expiration=1,IF($A429&lt;VLOOKUP(K$5,NFI,5,0),1,0)*Table_NFI[[#This Row],[Mosquito net]],Table_NFI[Mosquito net])</f>
        <v>0</v>
      </c>
      <c r="AA429" s="436">
        <f>IF(NFI_Expiration=1,IF($A429&lt;VLOOKUP(L$5,NFI,5,0),1,0)*Table_NFI[[#This Row],[Tarpaulin]],Table_NFI[[#This Row],[Tarpaulin]])</f>
        <v>0</v>
      </c>
      <c r="AB429" s="436">
        <f>IF(NFI_Expiration=1,IF($A429&lt;VLOOKUP(M$5,NFI,5,0),1,0)*Table_NFI[[#This Row],[Blanket]],Table_NFI[[#This Row],[Blanket]])</f>
        <v>0</v>
      </c>
      <c r="AC429" s="436">
        <f>IF(NFI_Expiration=1,IF($A429&lt;VLOOKUP(N$5,NFI,5,0),1,0)*Table_NFI[[#This Row],[Kitchen Set]],Table_NFI[Kitchen Set])</f>
        <v>0</v>
      </c>
      <c r="AD429" s="436">
        <f>IF(NFI_Expiration=1,IF($A429&lt;VLOOKUP(O$5,NFI,5,0),1,0)*Table_NFI[[#This Row],[Clothes Kit]],Table_NFI[Clothes Kit])</f>
        <v>0</v>
      </c>
      <c r="AE429" s="436">
        <f>IF(NFI_Expiration=1,IF($A429&lt;VLOOKUP(P$5,NFI,5,0),1,0)*Table_NFI[[#This Row],[Plastic Bucket]],Table_NFI[Plastic Bucket])</f>
        <v>0</v>
      </c>
      <c r="AF429" s="436">
        <f>IF(NFI_Expiration=1,IF($A429&lt;VLOOKUP(Q$5,NFI,5,0),1,0)*Table_NFI[[#This Row],[Plastic Mat]],Table_NFI[Plastic Mat])*IF(Table_NFI[[#This Row],[Distribution Date]]&gt;"2014-04-01",1,2.5)</f>
        <v>0</v>
      </c>
      <c r="AG429" s="436">
        <f>IF(NFI_Expiration=1,IF($A429&lt;VLOOKUP(R$5,NFI,5,0),1,0)*Table_NFI[[#This Row],[Winter Clothes Adult]],Table_NFI[Winter Clothes Adult])</f>
        <v>0</v>
      </c>
      <c r="AH429" s="436">
        <f>IF(NFI_Expiration=1,IF($A429&lt;VLOOKUP(S$5,NFI,5,0),1,0)*Table_NFI[[#This Row],[Winter Clothes Children]],Table_NFI[Winter Clothes Children])</f>
        <v>0</v>
      </c>
      <c r="AI429" s="436">
        <f>IF(NFI_Expiration=1,IF($A429&lt;VLOOKUP(T$5,NFI,5,0),1,0)*Table_NFI[[#This Row],[Winter Items Other]],Table_NFI[Winter Items Other])</f>
        <v>0</v>
      </c>
      <c r="AJ429" s="436">
        <f>IF(NFI_Expiration=1,IF($A429&lt;VLOOKUP(M$5,NFI,5,0),1,0)*Table_NFI[[#This Row],[Winter Blanket]],Table_NFI[[#This Row],[Winter Blanket]])</f>
        <v>0</v>
      </c>
      <c r="AK429" s="436">
        <f>IF(Table_NFI[[#This Row],[Winter Clothes Adult]]+Table_NFI[[#This Row],[Winter Clothes Children]]+Table_NFI[[#This Row],[Winter Items Other]]+Table_NFI[[#This Row],[Winter Blanket]]&gt;0,1,0)</f>
        <v>0</v>
      </c>
      <c r="AL429" s="439">
        <f>IF(NFI_Expiration=1,IF($A429&lt;VLOOKUP(V$5,NFI,5,0),1,0)*Table_NFI[[#This Row],[Jerry Can]],Table_NFI[Jerry Can])</f>
        <v>0</v>
      </c>
      <c r="AM429" s="781" t="str">
        <f>IFERROR(VLOOKUP(Table_NFI[[#This Row],[Camp Name]],CL,2,0),"")</f>
        <v>MMR001CMP051</v>
      </c>
      <c r="AN429" s="782">
        <f ca="1">IF(Table_NFI[[#This Row],[Pcode]]="","",IF(OFFSET(CampList[Opening Date],MATCH(Table_NFI[[#This Row],[Pcode]],CampList[CP_Pcode],0)-1,0,1,1)&gt;=NFI_Monitor_Date,1,0))</f>
        <v>0</v>
      </c>
      <c r="AO429" s="781" t="str">
        <f>IFERROR(VLOOKUP(Table_NFI[[#This Row],[Camp Name]],CL,3,0),"")</f>
        <v>Open</v>
      </c>
      <c r="AP429" s="436" t="str">
        <f ca="1">IF(Table_NFI[[#This Row],[Pcode]]="","",OFFSET(CampList[Priority],MATCH(Table_NFI[[#This Row],[Pcode]],CampList[CP_Pcode],0)-1,0,1,1))</f>
        <v>P4</v>
      </c>
      <c r="AQ429" s="438">
        <f>IFERROR(Table_NFI[[#This Row],[Kitchen Set]]/VLOOKUP(Table_NFI[[#This Row],[Camp Name]],CL,4,0),"")</f>
        <v>0.47826086956521741</v>
      </c>
      <c r="AR429" s="779" t="s">
        <v>1099</v>
      </c>
      <c r="AS429" s="783"/>
    </row>
    <row r="430" spans="1:45" s="784" customFormat="1" x14ac:dyDescent="0.25">
      <c r="A430" s="455">
        <f t="shared" si="6"/>
        <v>23.5</v>
      </c>
      <c r="B430" s="778">
        <v>41604</v>
      </c>
      <c r="C430" s="779" t="s">
        <v>912</v>
      </c>
      <c r="D430" s="779" t="s">
        <v>462</v>
      </c>
      <c r="E430" s="779" t="s">
        <v>380</v>
      </c>
      <c r="F430" s="779" t="s">
        <v>310</v>
      </c>
      <c r="G430" s="779" t="s">
        <v>1266</v>
      </c>
      <c r="H430" s="436"/>
      <c r="I430" s="436"/>
      <c r="J430" s="436"/>
      <c r="K430" s="436"/>
      <c r="L430" s="437"/>
      <c r="M430" s="437"/>
      <c r="N430" s="437"/>
      <c r="O430" s="437"/>
      <c r="P430" s="439"/>
      <c r="Q430" s="439"/>
      <c r="R430" s="436">
        <v>98</v>
      </c>
      <c r="S430" s="436">
        <v>196</v>
      </c>
      <c r="T430" s="436">
        <v>588</v>
      </c>
      <c r="U430" s="436">
        <v>294</v>
      </c>
      <c r="V430" s="436"/>
      <c r="W430" s="436">
        <f>IF(NFI_Expiration=1,IF($A430&lt;VLOOKUP(H$5,NFI,5,0),1,0)*Table_NFI[[#This Row],[Hygiene Kit]],Table_NFI[Hygiene Kit])</f>
        <v>0</v>
      </c>
      <c r="X430" s="436">
        <f>IF(NFI_Expiration=1,IF($A430&lt;VLOOKUP(I$5,NFI,5,0),1,0)*Table_NFI[[#This Row],[NFI Core Kit]],Table_NFI[NFI Core Kit])</f>
        <v>0</v>
      </c>
      <c r="Y430" s="436">
        <f>IF(NFI_Expiration=1,IF($A430&lt;VLOOKUP(J$5,NFI,5,0),1,0)*Table_NFI[[#This Row],[Sanitary Kit]],Table_NFI[Sanitary Kit])</f>
        <v>0</v>
      </c>
      <c r="Z430" s="436">
        <f>IF(NFI_Expiration=1,IF($A430&lt;VLOOKUP(K$5,NFI,5,0),1,0)*Table_NFI[[#This Row],[Mosquito net]],Table_NFI[Mosquito net])</f>
        <v>0</v>
      </c>
      <c r="AA430" s="436">
        <f>IF(NFI_Expiration=1,IF($A430&lt;VLOOKUP(L$5,NFI,5,0),1,0)*Table_NFI[[#This Row],[Tarpaulin]],Table_NFI[[#This Row],[Tarpaulin]])</f>
        <v>0</v>
      </c>
      <c r="AB430" s="436">
        <f>IF(NFI_Expiration=1,IF($A430&lt;VLOOKUP(M$5,NFI,5,0),1,0)*Table_NFI[[#This Row],[Blanket]],Table_NFI[[#This Row],[Blanket]])</f>
        <v>0</v>
      </c>
      <c r="AC430" s="436">
        <f>IF(NFI_Expiration=1,IF($A430&lt;VLOOKUP(N$5,NFI,5,0),1,0)*Table_NFI[[#This Row],[Kitchen Set]],Table_NFI[Kitchen Set])</f>
        <v>0</v>
      </c>
      <c r="AD430" s="436">
        <f>IF(NFI_Expiration=1,IF($A430&lt;VLOOKUP(O$5,NFI,5,0),1,0)*Table_NFI[[#This Row],[Clothes Kit]],Table_NFI[Clothes Kit])</f>
        <v>0</v>
      </c>
      <c r="AE430" s="436">
        <f>IF(NFI_Expiration=1,IF($A430&lt;VLOOKUP(P$5,NFI,5,0),1,0)*Table_NFI[[#This Row],[Plastic Bucket]],Table_NFI[Plastic Bucket])</f>
        <v>0</v>
      </c>
      <c r="AF430" s="436">
        <f>IF(NFI_Expiration=1,IF($A430&lt;VLOOKUP(Q$5,NFI,5,0),1,0)*Table_NFI[[#This Row],[Plastic Mat]],Table_NFI[Plastic Mat])*IF(Table_NFI[[#This Row],[Distribution Date]]&gt;"2014-04-01",1,2.5)</f>
        <v>0</v>
      </c>
      <c r="AG430" s="436">
        <f>IF(NFI_Expiration=1,IF($A430&lt;VLOOKUP(R$5,NFI,5,0),1,0)*Table_NFI[[#This Row],[Winter Clothes Adult]],Table_NFI[Winter Clothes Adult])</f>
        <v>0</v>
      </c>
      <c r="AH430" s="436">
        <f>IF(NFI_Expiration=1,IF($A430&lt;VLOOKUP(S$5,NFI,5,0),1,0)*Table_NFI[[#This Row],[Winter Clothes Children]],Table_NFI[Winter Clothes Children])</f>
        <v>0</v>
      </c>
      <c r="AI430" s="436">
        <f>IF(NFI_Expiration=1,IF($A430&lt;VLOOKUP(T$5,NFI,5,0),1,0)*Table_NFI[[#This Row],[Winter Items Other]],Table_NFI[Winter Items Other])</f>
        <v>0</v>
      </c>
      <c r="AJ430" s="436">
        <f>IF(NFI_Expiration=1,IF($A430&lt;VLOOKUP(M$5,NFI,5,0),1,0)*Table_NFI[[#This Row],[Winter Blanket]],Table_NFI[[#This Row],[Winter Blanket]])</f>
        <v>0</v>
      </c>
      <c r="AK430" s="436">
        <f>IF(Table_NFI[[#This Row],[Winter Clothes Adult]]+Table_NFI[[#This Row],[Winter Clothes Children]]+Table_NFI[[#This Row],[Winter Items Other]]+Table_NFI[[#This Row],[Winter Blanket]]&gt;0,1,0)</f>
        <v>1</v>
      </c>
      <c r="AL430" s="439">
        <f>IF(NFI_Expiration=1,IF($A430&lt;VLOOKUP(V$5,NFI,5,0),1,0)*Table_NFI[[#This Row],[Jerry Can]],Table_NFI[Jerry Can])</f>
        <v>0</v>
      </c>
      <c r="AM430" s="781" t="str">
        <f>IFERROR(VLOOKUP(Table_NFI[[#This Row],[Camp Name]],CL,2,0),"")</f>
        <v>MMR001CMP120</v>
      </c>
      <c r="AN430" s="782">
        <f ca="1">IF(Table_NFI[[#This Row],[Pcode]]="","",IF(OFFSET(CampList[Opening Date],MATCH(Table_NFI[[#This Row],[Pcode]],CampList[CP_Pcode],0)-1,0,1,1)&gt;=NFI_Monitor_Date,1,0))</f>
        <v>0</v>
      </c>
      <c r="AO430" s="781" t="str">
        <f>IFERROR(VLOOKUP(Table_NFI[[#This Row],[Camp Name]],CL,3,0),"")</f>
        <v>Open</v>
      </c>
      <c r="AP430" s="436" t="str">
        <f ca="1">IF(Table_NFI[[#This Row],[Pcode]]="","",OFFSET(CampList[Priority],MATCH(Table_NFI[[#This Row],[Pcode]],CampList[CP_Pcode],0)-1,0,1,1))</f>
        <v>P1</v>
      </c>
      <c r="AQ430" s="438">
        <f>IFERROR(Table_NFI[[#This Row],[Kitchen Set]]/VLOOKUP(Table_NFI[[#This Row],[Camp Name]],CL,4,0),"")</f>
        <v>0</v>
      </c>
      <c r="AR430" s="779"/>
      <c r="AS430" s="783"/>
    </row>
    <row r="431" spans="1:45" s="784" customFormat="1" x14ac:dyDescent="0.25">
      <c r="A431" s="455">
        <f t="shared" si="6"/>
        <v>23.533333333333335</v>
      </c>
      <c r="B431" s="778">
        <v>41603</v>
      </c>
      <c r="C431" s="779" t="s">
        <v>912</v>
      </c>
      <c r="D431" s="779" t="s">
        <v>912</v>
      </c>
      <c r="E431" s="779" t="s">
        <v>380</v>
      </c>
      <c r="F431" s="779" t="s">
        <v>151</v>
      </c>
      <c r="G431" s="779" t="s">
        <v>160</v>
      </c>
      <c r="H431" s="436"/>
      <c r="I431" s="436"/>
      <c r="J431" s="436"/>
      <c r="K431" s="436"/>
      <c r="L431" s="437"/>
      <c r="M431" s="437"/>
      <c r="N431" s="437"/>
      <c r="O431" s="437"/>
      <c r="P431" s="439"/>
      <c r="Q431" s="439"/>
      <c r="R431" s="436"/>
      <c r="S431" s="436"/>
      <c r="T431" s="436"/>
      <c r="U431" s="436"/>
      <c r="V431" s="436"/>
      <c r="W431" s="436">
        <f>IF(NFI_Expiration=1,IF($A431&lt;VLOOKUP(H$5,NFI,5,0),1,0)*Table_NFI[[#This Row],[Hygiene Kit]],Table_NFI[Hygiene Kit])</f>
        <v>0</v>
      </c>
      <c r="X431" s="436">
        <f>IF(NFI_Expiration=1,IF($A431&lt;VLOOKUP(I$5,NFI,5,0),1,0)*Table_NFI[[#This Row],[NFI Core Kit]],Table_NFI[NFI Core Kit])</f>
        <v>0</v>
      </c>
      <c r="Y431" s="436">
        <f>IF(NFI_Expiration=1,IF($A431&lt;VLOOKUP(J$5,NFI,5,0),1,0)*Table_NFI[[#This Row],[Sanitary Kit]],Table_NFI[Sanitary Kit])</f>
        <v>0</v>
      </c>
      <c r="Z431" s="436">
        <f>IF(NFI_Expiration=1,IF($A431&lt;VLOOKUP(K$5,NFI,5,0),1,0)*Table_NFI[[#This Row],[Mosquito net]],Table_NFI[Mosquito net])</f>
        <v>0</v>
      </c>
      <c r="AA431" s="436">
        <f>IF(NFI_Expiration=1,IF($A431&lt;VLOOKUP(L$5,NFI,5,0),1,0)*Table_NFI[[#This Row],[Tarpaulin]],Table_NFI[[#This Row],[Tarpaulin]])</f>
        <v>0</v>
      </c>
      <c r="AB431" s="436">
        <f>IF(NFI_Expiration=1,IF($A431&lt;VLOOKUP(M$5,NFI,5,0),1,0)*Table_NFI[[#This Row],[Blanket]],Table_NFI[[#This Row],[Blanket]])</f>
        <v>0</v>
      </c>
      <c r="AC431" s="436">
        <f>IF(NFI_Expiration=1,IF($A431&lt;VLOOKUP(N$5,NFI,5,0),1,0)*Table_NFI[[#This Row],[Kitchen Set]],Table_NFI[Kitchen Set])</f>
        <v>0</v>
      </c>
      <c r="AD431" s="436">
        <f>IF(NFI_Expiration=1,IF($A431&lt;VLOOKUP(O$5,NFI,5,0),1,0)*Table_NFI[[#This Row],[Clothes Kit]],Table_NFI[Clothes Kit])</f>
        <v>0</v>
      </c>
      <c r="AE431" s="436">
        <f>IF(NFI_Expiration=1,IF($A431&lt;VLOOKUP(P$5,NFI,5,0),1,0)*Table_NFI[[#This Row],[Plastic Bucket]],Table_NFI[Plastic Bucket])</f>
        <v>0</v>
      </c>
      <c r="AF431" s="436">
        <f>IF(NFI_Expiration=1,IF($A431&lt;VLOOKUP(Q$5,NFI,5,0),1,0)*Table_NFI[[#This Row],[Plastic Mat]],Table_NFI[Plastic Mat])*IF(Table_NFI[[#This Row],[Distribution Date]]&gt;"2014-04-01",1,2.5)</f>
        <v>0</v>
      </c>
      <c r="AG431" s="436">
        <f>IF(NFI_Expiration=1,IF($A431&lt;VLOOKUP(R$5,NFI,5,0),1,0)*Table_NFI[[#This Row],[Winter Clothes Adult]],Table_NFI[Winter Clothes Adult])</f>
        <v>0</v>
      </c>
      <c r="AH431" s="436">
        <f>IF(NFI_Expiration=1,IF($A431&lt;VLOOKUP(S$5,NFI,5,0),1,0)*Table_NFI[[#This Row],[Winter Clothes Children]],Table_NFI[Winter Clothes Children])</f>
        <v>0</v>
      </c>
      <c r="AI431" s="436">
        <f>IF(NFI_Expiration=1,IF($A431&lt;VLOOKUP(T$5,NFI,5,0),1,0)*Table_NFI[[#This Row],[Winter Items Other]],Table_NFI[Winter Items Other])</f>
        <v>0</v>
      </c>
      <c r="AJ431" s="436">
        <f>IF(NFI_Expiration=1,IF($A431&lt;VLOOKUP(M$5,NFI,5,0),1,0)*Table_NFI[[#This Row],[Winter Blanket]],Table_NFI[[#This Row],[Winter Blanket]])</f>
        <v>0</v>
      </c>
      <c r="AK431" s="436">
        <f>IF(Table_NFI[[#This Row],[Winter Clothes Adult]]+Table_NFI[[#This Row],[Winter Clothes Children]]+Table_NFI[[#This Row],[Winter Items Other]]+Table_NFI[[#This Row],[Winter Blanket]]&gt;0,1,0)</f>
        <v>0</v>
      </c>
      <c r="AL431" s="439">
        <f>IF(NFI_Expiration=1,IF($A431&lt;VLOOKUP(V$5,NFI,5,0),1,0)*Table_NFI[[#This Row],[Jerry Can]],Table_NFI[Jerry Can])</f>
        <v>0</v>
      </c>
      <c r="AM431" s="781" t="str">
        <f>IFERROR(VLOOKUP(Table_NFI[[#This Row],[Camp Name]],CL,2,0),"")</f>
        <v>MMR001CMP133</v>
      </c>
      <c r="AN431" s="782">
        <f ca="1">IF(Table_NFI[[#This Row],[Pcode]]="","",IF(OFFSET(CampList[Opening Date],MATCH(Table_NFI[[#This Row],[Pcode]],CampList[CP_Pcode],0)-1,0,1,1)&gt;=NFI_Monitor_Date,1,0))</f>
        <v>0</v>
      </c>
      <c r="AO431" s="781" t="str">
        <f>IFERROR(VLOOKUP(Table_NFI[[#This Row],[Camp Name]],CL,3,0),"")</f>
        <v>Open</v>
      </c>
      <c r="AP431" s="436" t="str">
        <f ca="1">IF(Table_NFI[[#This Row],[Pcode]]="","",OFFSET(CampList[Priority],MATCH(Table_NFI[[#This Row],[Pcode]],CampList[CP_Pcode],0)-1,0,1,1))</f>
        <v>P4</v>
      </c>
      <c r="AQ431" s="438">
        <f>IFERROR(Table_NFI[[#This Row],[Kitchen Set]]/VLOOKUP(Table_NFI[[#This Row],[Camp Name]],CL,4,0),"")</f>
        <v>0</v>
      </c>
      <c r="AR431" s="779"/>
      <c r="AS431" s="783"/>
    </row>
    <row r="432" spans="1:45" s="784" customFormat="1" x14ac:dyDescent="0.25">
      <c r="A432" s="455">
        <f t="shared" si="6"/>
        <v>23.533333333333335</v>
      </c>
      <c r="B432" s="778">
        <v>41603</v>
      </c>
      <c r="C432" s="779" t="s">
        <v>912</v>
      </c>
      <c r="D432" s="779" t="s">
        <v>912</v>
      </c>
      <c r="E432" s="779" t="s">
        <v>380</v>
      </c>
      <c r="F432" s="779" t="s">
        <v>151</v>
      </c>
      <c r="G432" s="779" t="s">
        <v>160</v>
      </c>
      <c r="H432" s="436"/>
      <c r="I432" s="436"/>
      <c r="J432" s="436"/>
      <c r="K432" s="436"/>
      <c r="L432" s="437"/>
      <c r="M432" s="437"/>
      <c r="N432" s="437"/>
      <c r="O432" s="437"/>
      <c r="P432" s="439"/>
      <c r="Q432" s="439"/>
      <c r="R432" s="436">
        <v>19</v>
      </c>
      <c r="S432" s="436">
        <v>38</v>
      </c>
      <c r="T432" s="436">
        <v>114</v>
      </c>
      <c r="U432" s="436">
        <v>57</v>
      </c>
      <c r="V432" s="436"/>
      <c r="W432" s="436">
        <f>IF(NFI_Expiration=1,IF($A432&lt;VLOOKUP(H$5,NFI,5,0),1,0)*Table_NFI[[#This Row],[Hygiene Kit]],Table_NFI[Hygiene Kit])</f>
        <v>0</v>
      </c>
      <c r="X432" s="436">
        <f>IF(NFI_Expiration=1,IF($A432&lt;VLOOKUP(I$5,NFI,5,0),1,0)*Table_NFI[[#This Row],[NFI Core Kit]],Table_NFI[NFI Core Kit])</f>
        <v>0</v>
      </c>
      <c r="Y432" s="436">
        <f>IF(NFI_Expiration=1,IF($A432&lt;VLOOKUP(J$5,NFI,5,0),1,0)*Table_NFI[[#This Row],[Sanitary Kit]],Table_NFI[Sanitary Kit])</f>
        <v>0</v>
      </c>
      <c r="Z432" s="436">
        <f>IF(NFI_Expiration=1,IF($A432&lt;VLOOKUP(K$5,NFI,5,0),1,0)*Table_NFI[[#This Row],[Mosquito net]],Table_NFI[Mosquito net])</f>
        <v>0</v>
      </c>
      <c r="AA432" s="436">
        <f>IF(NFI_Expiration=1,IF($A432&lt;VLOOKUP(L$5,NFI,5,0),1,0)*Table_NFI[[#This Row],[Tarpaulin]],Table_NFI[[#This Row],[Tarpaulin]])</f>
        <v>0</v>
      </c>
      <c r="AB432" s="436">
        <f>IF(NFI_Expiration=1,IF($A432&lt;VLOOKUP(M$5,NFI,5,0),1,0)*Table_NFI[[#This Row],[Blanket]],Table_NFI[[#This Row],[Blanket]])</f>
        <v>0</v>
      </c>
      <c r="AC432" s="436">
        <f>IF(NFI_Expiration=1,IF($A432&lt;VLOOKUP(N$5,NFI,5,0),1,0)*Table_NFI[[#This Row],[Kitchen Set]],Table_NFI[Kitchen Set])</f>
        <v>0</v>
      </c>
      <c r="AD432" s="436">
        <f>IF(NFI_Expiration=1,IF($A432&lt;VLOOKUP(O$5,NFI,5,0),1,0)*Table_NFI[[#This Row],[Clothes Kit]],Table_NFI[Clothes Kit])</f>
        <v>0</v>
      </c>
      <c r="AE432" s="436">
        <f>IF(NFI_Expiration=1,IF($A432&lt;VLOOKUP(P$5,NFI,5,0),1,0)*Table_NFI[[#This Row],[Plastic Bucket]],Table_NFI[Plastic Bucket])</f>
        <v>0</v>
      </c>
      <c r="AF432" s="436">
        <f>IF(NFI_Expiration=1,IF($A432&lt;VLOOKUP(Q$5,NFI,5,0),1,0)*Table_NFI[[#This Row],[Plastic Mat]],Table_NFI[Plastic Mat])*IF(Table_NFI[[#This Row],[Distribution Date]]&gt;"2014-04-01",1,2.5)</f>
        <v>0</v>
      </c>
      <c r="AG432" s="436">
        <f>IF(NFI_Expiration=1,IF($A432&lt;VLOOKUP(R$5,NFI,5,0),1,0)*Table_NFI[[#This Row],[Winter Clothes Adult]],Table_NFI[Winter Clothes Adult])</f>
        <v>0</v>
      </c>
      <c r="AH432" s="436">
        <f>IF(NFI_Expiration=1,IF($A432&lt;VLOOKUP(S$5,NFI,5,0),1,0)*Table_NFI[[#This Row],[Winter Clothes Children]],Table_NFI[Winter Clothes Children])</f>
        <v>0</v>
      </c>
      <c r="AI432" s="436">
        <f>IF(NFI_Expiration=1,IF($A432&lt;VLOOKUP(T$5,NFI,5,0),1,0)*Table_NFI[[#This Row],[Winter Items Other]],Table_NFI[Winter Items Other])</f>
        <v>0</v>
      </c>
      <c r="AJ432" s="436">
        <f>IF(NFI_Expiration=1,IF($A432&lt;VLOOKUP(M$5,NFI,5,0),1,0)*Table_NFI[[#This Row],[Winter Blanket]],Table_NFI[[#This Row],[Winter Blanket]])</f>
        <v>0</v>
      </c>
      <c r="AK432" s="436">
        <f>IF(Table_NFI[[#This Row],[Winter Clothes Adult]]+Table_NFI[[#This Row],[Winter Clothes Children]]+Table_NFI[[#This Row],[Winter Items Other]]+Table_NFI[[#This Row],[Winter Blanket]]&gt;0,1,0)</f>
        <v>1</v>
      </c>
      <c r="AL432" s="439">
        <f>IF(NFI_Expiration=1,IF($A432&lt;VLOOKUP(V$5,NFI,5,0),1,0)*Table_NFI[[#This Row],[Jerry Can]],Table_NFI[Jerry Can])</f>
        <v>0</v>
      </c>
      <c r="AM432" s="781" t="str">
        <f>IFERROR(VLOOKUP(Table_NFI[[#This Row],[Camp Name]],CL,2,0),"")</f>
        <v>MMR001CMP133</v>
      </c>
      <c r="AN432" s="782">
        <f ca="1">IF(Table_NFI[[#This Row],[Pcode]]="","",IF(OFFSET(CampList[Opening Date],MATCH(Table_NFI[[#This Row],[Pcode]],CampList[CP_Pcode],0)-1,0,1,1)&gt;=NFI_Monitor_Date,1,0))</f>
        <v>0</v>
      </c>
      <c r="AO432" s="781" t="str">
        <f>IFERROR(VLOOKUP(Table_NFI[[#This Row],[Camp Name]],CL,3,0),"")</f>
        <v>Open</v>
      </c>
      <c r="AP432" s="436" t="str">
        <f ca="1">IF(Table_NFI[[#This Row],[Pcode]]="","",OFFSET(CampList[Priority],MATCH(Table_NFI[[#This Row],[Pcode]],CampList[CP_Pcode],0)-1,0,1,1))</f>
        <v>P4</v>
      </c>
      <c r="AQ432" s="438">
        <f>IFERROR(Table_NFI[[#This Row],[Kitchen Set]]/VLOOKUP(Table_NFI[[#This Row],[Camp Name]],CL,4,0),"")</f>
        <v>0</v>
      </c>
      <c r="AR432" s="779"/>
      <c r="AS432" s="783"/>
    </row>
    <row r="433" spans="1:45" s="784" customFormat="1" x14ac:dyDescent="0.25">
      <c r="A433" s="455">
        <f t="shared" si="6"/>
        <v>23.533333333333335</v>
      </c>
      <c r="B433" s="778">
        <v>41603</v>
      </c>
      <c r="C433" s="779" t="s">
        <v>912</v>
      </c>
      <c r="D433" s="779" t="s">
        <v>912</v>
      </c>
      <c r="E433" s="779" t="s">
        <v>380</v>
      </c>
      <c r="F433" s="779" t="s">
        <v>151</v>
      </c>
      <c r="G433" s="779" t="s">
        <v>154</v>
      </c>
      <c r="H433" s="436"/>
      <c r="I433" s="436"/>
      <c r="J433" s="436"/>
      <c r="K433" s="436"/>
      <c r="L433" s="437"/>
      <c r="M433" s="437"/>
      <c r="N433" s="437"/>
      <c r="O433" s="437"/>
      <c r="P433" s="439"/>
      <c r="Q433" s="439"/>
      <c r="R433" s="436">
        <v>60</v>
      </c>
      <c r="S433" s="436">
        <v>120</v>
      </c>
      <c r="T433" s="436">
        <v>360</v>
      </c>
      <c r="U433" s="436">
        <v>180</v>
      </c>
      <c r="V433" s="436"/>
      <c r="W433" s="436">
        <f>IF(NFI_Expiration=1,IF($A433&lt;VLOOKUP(H$5,NFI,5,0),1,0)*Table_NFI[[#This Row],[Hygiene Kit]],Table_NFI[Hygiene Kit])</f>
        <v>0</v>
      </c>
      <c r="X433" s="436">
        <f>IF(NFI_Expiration=1,IF($A433&lt;VLOOKUP(I$5,NFI,5,0),1,0)*Table_NFI[[#This Row],[NFI Core Kit]],Table_NFI[NFI Core Kit])</f>
        <v>0</v>
      </c>
      <c r="Y433" s="436">
        <f>IF(NFI_Expiration=1,IF($A433&lt;VLOOKUP(J$5,NFI,5,0),1,0)*Table_NFI[[#This Row],[Sanitary Kit]],Table_NFI[Sanitary Kit])</f>
        <v>0</v>
      </c>
      <c r="Z433" s="436">
        <f>IF(NFI_Expiration=1,IF($A433&lt;VLOOKUP(K$5,NFI,5,0),1,0)*Table_NFI[[#This Row],[Mosquito net]],Table_NFI[Mosquito net])</f>
        <v>0</v>
      </c>
      <c r="AA433" s="436">
        <f>IF(NFI_Expiration=1,IF($A433&lt;VLOOKUP(L$5,NFI,5,0),1,0)*Table_NFI[[#This Row],[Tarpaulin]],Table_NFI[[#This Row],[Tarpaulin]])</f>
        <v>0</v>
      </c>
      <c r="AB433" s="436">
        <f>IF(NFI_Expiration=1,IF($A433&lt;VLOOKUP(M$5,NFI,5,0),1,0)*Table_NFI[[#This Row],[Blanket]],Table_NFI[[#This Row],[Blanket]])</f>
        <v>0</v>
      </c>
      <c r="AC433" s="436">
        <f>IF(NFI_Expiration=1,IF($A433&lt;VLOOKUP(N$5,NFI,5,0),1,0)*Table_NFI[[#This Row],[Kitchen Set]],Table_NFI[Kitchen Set])</f>
        <v>0</v>
      </c>
      <c r="AD433" s="436">
        <f>IF(NFI_Expiration=1,IF($A433&lt;VLOOKUP(O$5,NFI,5,0),1,0)*Table_NFI[[#This Row],[Clothes Kit]],Table_NFI[Clothes Kit])</f>
        <v>0</v>
      </c>
      <c r="AE433" s="436">
        <f>IF(NFI_Expiration=1,IF($A433&lt;VLOOKUP(P$5,NFI,5,0),1,0)*Table_NFI[[#This Row],[Plastic Bucket]],Table_NFI[Plastic Bucket])</f>
        <v>0</v>
      </c>
      <c r="AF433" s="436">
        <f>IF(NFI_Expiration=1,IF($A433&lt;VLOOKUP(Q$5,NFI,5,0),1,0)*Table_NFI[[#This Row],[Plastic Mat]],Table_NFI[Plastic Mat])*IF(Table_NFI[[#This Row],[Distribution Date]]&gt;"2014-04-01",1,2.5)</f>
        <v>0</v>
      </c>
      <c r="AG433" s="436">
        <f>IF(NFI_Expiration=1,IF($A433&lt;VLOOKUP(R$5,NFI,5,0),1,0)*Table_NFI[[#This Row],[Winter Clothes Adult]],Table_NFI[Winter Clothes Adult])</f>
        <v>0</v>
      </c>
      <c r="AH433" s="436">
        <f>IF(NFI_Expiration=1,IF($A433&lt;VLOOKUP(S$5,NFI,5,0),1,0)*Table_NFI[[#This Row],[Winter Clothes Children]],Table_NFI[Winter Clothes Children])</f>
        <v>0</v>
      </c>
      <c r="AI433" s="436">
        <f>IF(NFI_Expiration=1,IF($A433&lt;VLOOKUP(T$5,NFI,5,0),1,0)*Table_NFI[[#This Row],[Winter Items Other]],Table_NFI[Winter Items Other])</f>
        <v>0</v>
      </c>
      <c r="AJ433" s="436">
        <f>IF(NFI_Expiration=1,IF($A433&lt;VLOOKUP(M$5,NFI,5,0),1,0)*Table_NFI[[#This Row],[Winter Blanket]],Table_NFI[[#This Row],[Winter Blanket]])</f>
        <v>0</v>
      </c>
      <c r="AK433" s="436">
        <f>IF(Table_NFI[[#This Row],[Winter Clothes Adult]]+Table_NFI[[#This Row],[Winter Clothes Children]]+Table_NFI[[#This Row],[Winter Items Other]]+Table_NFI[[#This Row],[Winter Blanket]]&gt;0,1,0)</f>
        <v>1</v>
      </c>
      <c r="AL433" s="439">
        <f>IF(NFI_Expiration=1,IF($A433&lt;VLOOKUP(V$5,NFI,5,0),1,0)*Table_NFI[[#This Row],[Jerry Can]],Table_NFI[Jerry Can])</f>
        <v>0</v>
      </c>
      <c r="AM433" s="781" t="str">
        <f>IFERROR(VLOOKUP(Table_NFI[[#This Row],[Camp Name]],CL,2,0),"")</f>
        <v>MMR001CMP132</v>
      </c>
      <c r="AN433" s="782">
        <f ca="1">IF(Table_NFI[[#This Row],[Pcode]]="","",IF(OFFSET(CampList[Opening Date],MATCH(Table_NFI[[#This Row],[Pcode]],CampList[CP_Pcode],0)-1,0,1,1)&gt;=NFI_Monitor_Date,1,0))</f>
        <v>0</v>
      </c>
      <c r="AO433" s="781" t="str">
        <f>IFERROR(VLOOKUP(Table_NFI[[#This Row],[Camp Name]],CL,3,0),"")</f>
        <v>Open</v>
      </c>
      <c r="AP433" s="436" t="str">
        <f ca="1">IF(Table_NFI[[#This Row],[Pcode]]="","",OFFSET(CampList[Priority],MATCH(Table_NFI[[#This Row],[Pcode]],CampList[CP_Pcode],0)-1,0,1,1))</f>
        <v>P4</v>
      </c>
      <c r="AQ433" s="438">
        <f>IFERROR(Table_NFI[[#This Row],[Kitchen Set]]/VLOOKUP(Table_NFI[[#This Row],[Camp Name]],CL,4,0),"")</f>
        <v>0</v>
      </c>
      <c r="AR433" s="779"/>
      <c r="AS433" s="783"/>
    </row>
    <row r="434" spans="1:45" s="784" customFormat="1" x14ac:dyDescent="0.25">
      <c r="A434" s="455">
        <f t="shared" si="6"/>
        <v>23.566666666666666</v>
      </c>
      <c r="B434" s="778">
        <v>41602</v>
      </c>
      <c r="C434" s="779" t="s">
        <v>912</v>
      </c>
      <c r="D434" s="779" t="s">
        <v>912</v>
      </c>
      <c r="E434" s="779" t="s">
        <v>380</v>
      </c>
      <c r="F434" s="779" t="s">
        <v>151</v>
      </c>
      <c r="G434" s="779" t="s">
        <v>888</v>
      </c>
      <c r="H434" s="436"/>
      <c r="I434" s="436"/>
      <c r="J434" s="436"/>
      <c r="K434" s="436"/>
      <c r="L434" s="437"/>
      <c r="M434" s="437"/>
      <c r="N434" s="437"/>
      <c r="O434" s="437"/>
      <c r="P434" s="439"/>
      <c r="Q434" s="439"/>
      <c r="R434" s="436">
        <v>24</v>
      </c>
      <c r="S434" s="436">
        <v>48</v>
      </c>
      <c r="T434" s="436">
        <v>144</v>
      </c>
      <c r="U434" s="436">
        <v>72</v>
      </c>
      <c r="V434" s="436"/>
      <c r="W434" s="436">
        <f>IF(NFI_Expiration=1,IF($A434&lt;VLOOKUP(H$5,NFI,5,0),1,0)*Table_NFI[[#This Row],[Hygiene Kit]],Table_NFI[Hygiene Kit])</f>
        <v>0</v>
      </c>
      <c r="X434" s="436">
        <f>IF(NFI_Expiration=1,IF($A434&lt;VLOOKUP(I$5,NFI,5,0),1,0)*Table_NFI[[#This Row],[NFI Core Kit]],Table_NFI[NFI Core Kit])</f>
        <v>0</v>
      </c>
      <c r="Y434" s="436">
        <f>IF(NFI_Expiration=1,IF($A434&lt;VLOOKUP(J$5,NFI,5,0),1,0)*Table_NFI[[#This Row],[Sanitary Kit]],Table_NFI[Sanitary Kit])</f>
        <v>0</v>
      </c>
      <c r="Z434" s="436">
        <f>IF(NFI_Expiration=1,IF($A434&lt;VLOOKUP(K$5,NFI,5,0),1,0)*Table_NFI[[#This Row],[Mosquito net]],Table_NFI[Mosquito net])</f>
        <v>0</v>
      </c>
      <c r="AA434" s="436">
        <f>IF(NFI_Expiration=1,IF($A434&lt;VLOOKUP(L$5,NFI,5,0),1,0)*Table_NFI[[#This Row],[Tarpaulin]],Table_NFI[[#This Row],[Tarpaulin]])</f>
        <v>0</v>
      </c>
      <c r="AB434" s="436">
        <f>IF(NFI_Expiration=1,IF($A434&lt;VLOOKUP(M$5,NFI,5,0),1,0)*Table_NFI[[#This Row],[Blanket]],Table_NFI[[#This Row],[Blanket]])</f>
        <v>0</v>
      </c>
      <c r="AC434" s="436">
        <f>IF(NFI_Expiration=1,IF($A434&lt;VLOOKUP(N$5,NFI,5,0),1,0)*Table_NFI[[#This Row],[Kitchen Set]],Table_NFI[Kitchen Set])</f>
        <v>0</v>
      </c>
      <c r="AD434" s="436">
        <f>IF(NFI_Expiration=1,IF($A434&lt;VLOOKUP(O$5,NFI,5,0),1,0)*Table_NFI[[#This Row],[Clothes Kit]],Table_NFI[Clothes Kit])</f>
        <v>0</v>
      </c>
      <c r="AE434" s="436">
        <f>IF(NFI_Expiration=1,IF($A434&lt;VLOOKUP(P$5,NFI,5,0),1,0)*Table_NFI[[#This Row],[Plastic Bucket]],Table_NFI[Plastic Bucket])</f>
        <v>0</v>
      </c>
      <c r="AF434" s="436">
        <f>IF(NFI_Expiration=1,IF($A434&lt;VLOOKUP(Q$5,NFI,5,0),1,0)*Table_NFI[[#This Row],[Plastic Mat]],Table_NFI[Plastic Mat])*IF(Table_NFI[[#This Row],[Distribution Date]]&gt;"2014-04-01",1,2.5)</f>
        <v>0</v>
      </c>
      <c r="AG434" s="436">
        <f>IF(NFI_Expiration=1,IF($A434&lt;VLOOKUP(R$5,NFI,5,0),1,0)*Table_NFI[[#This Row],[Winter Clothes Adult]],Table_NFI[Winter Clothes Adult])</f>
        <v>0</v>
      </c>
      <c r="AH434" s="436">
        <f>IF(NFI_Expiration=1,IF($A434&lt;VLOOKUP(S$5,NFI,5,0),1,0)*Table_NFI[[#This Row],[Winter Clothes Children]],Table_NFI[Winter Clothes Children])</f>
        <v>0</v>
      </c>
      <c r="AI434" s="436">
        <f>IF(NFI_Expiration=1,IF($A434&lt;VLOOKUP(T$5,NFI,5,0),1,0)*Table_NFI[[#This Row],[Winter Items Other]],Table_NFI[Winter Items Other])</f>
        <v>0</v>
      </c>
      <c r="AJ434" s="436">
        <f>IF(NFI_Expiration=1,IF($A434&lt;VLOOKUP(M$5,NFI,5,0),1,0)*Table_NFI[[#This Row],[Winter Blanket]],Table_NFI[[#This Row],[Winter Blanket]])</f>
        <v>0</v>
      </c>
      <c r="AK434" s="436">
        <f>IF(Table_NFI[[#This Row],[Winter Clothes Adult]]+Table_NFI[[#This Row],[Winter Clothes Children]]+Table_NFI[[#This Row],[Winter Items Other]]+Table_NFI[[#This Row],[Winter Blanket]]&gt;0,1,0)</f>
        <v>1</v>
      </c>
      <c r="AL434" s="439">
        <f>IF(NFI_Expiration=1,IF($A434&lt;VLOOKUP(V$5,NFI,5,0),1,0)*Table_NFI[[#This Row],[Jerry Can]],Table_NFI[Jerry Can])</f>
        <v>0</v>
      </c>
      <c r="AM434" s="781" t="str">
        <f>IFERROR(VLOOKUP(Table_NFI[[#This Row],[Camp Name]],CL,2,0),"")</f>
        <v>MMR001CMP215</v>
      </c>
      <c r="AN434" s="782">
        <f ca="1">IF(Table_NFI[[#This Row],[Pcode]]="","",IF(OFFSET(CampList[Opening Date],MATCH(Table_NFI[[#This Row],[Pcode]],CampList[CP_Pcode],0)-1,0,1,1)&gt;=NFI_Monitor_Date,1,0))</f>
        <v>0</v>
      </c>
      <c r="AO434" s="781" t="str">
        <f>IFERROR(VLOOKUP(Table_NFI[[#This Row],[Camp Name]],CL,3,0),"")</f>
        <v>Closed</v>
      </c>
      <c r="AP434" s="436" t="str">
        <f ca="1">IF(Table_NFI[[#This Row],[Pcode]]="","",OFFSET(CampList[Priority],MATCH(Table_NFI[[#This Row],[Pcode]],CampList[CP_Pcode],0)-1,0,1,1))</f>
        <v/>
      </c>
      <c r="AQ434" s="438" t="str">
        <f>IFERROR(Table_NFI[[#This Row],[Kitchen Set]]/VLOOKUP(Table_NFI[[#This Row],[Camp Name]],CL,4,0),"")</f>
        <v/>
      </c>
      <c r="AR434" s="779"/>
      <c r="AS434" s="783"/>
    </row>
    <row r="435" spans="1:45" s="784" customFormat="1" x14ac:dyDescent="0.25">
      <c r="A435" s="455">
        <f t="shared" si="6"/>
        <v>23.566666666666666</v>
      </c>
      <c r="B435" s="778">
        <v>41602</v>
      </c>
      <c r="C435" s="779" t="s">
        <v>912</v>
      </c>
      <c r="D435" s="779" t="s">
        <v>912</v>
      </c>
      <c r="E435" s="779" t="s">
        <v>380</v>
      </c>
      <c r="F435" s="779" t="s">
        <v>151</v>
      </c>
      <c r="G435" s="779" t="s">
        <v>884</v>
      </c>
      <c r="H435" s="436"/>
      <c r="I435" s="436"/>
      <c r="J435" s="436"/>
      <c r="K435" s="436"/>
      <c r="L435" s="437"/>
      <c r="M435" s="437"/>
      <c r="N435" s="437"/>
      <c r="O435" s="437"/>
      <c r="P435" s="439"/>
      <c r="Q435" s="439"/>
      <c r="R435" s="436">
        <v>135</v>
      </c>
      <c r="S435" s="436">
        <v>270</v>
      </c>
      <c r="T435" s="436">
        <v>810</v>
      </c>
      <c r="U435" s="436">
        <v>405</v>
      </c>
      <c r="V435" s="436"/>
      <c r="W435" s="436">
        <f>IF(NFI_Expiration=1,IF($A435&lt;VLOOKUP(H$5,NFI,5,0),1,0)*Table_NFI[[#This Row],[Hygiene Kit]],Table_NFI[Hygiene Kit])</f>
        <v>0</v>
      </c>
      <c r="X435" s="436">
        <f>IF(NFI_Expiration=1,IF($A435&lt;VLOOKUP(I$5,NFI,5,0),1,0)*Table_NFI[[#This Row],[NFI Core Kit]],Table_NFI[NFI Core Kit])</f>
        <v>0</v>
      </c>
      <c r="Y435" s="436">
        <f>IF(NFI_Expiration=1,IF($A435&lt;VLOOKUP(J$5,NFI,5,0),1,0)*Table_NFI[[#This Row],[Sanitary Kit]],Table_NFI[Sanitary Kit])</f>
        <v>0</v>
      </c>
      <c r="Z435" s="436">
        <f>IF(NFI_Expiration=1,IF($A435&lt;VLOOKUP(K$5,NFI,5,0),1,0)*Table_NFI[[#This Row],[Mosquito net]],Table_NFI[Mosquito net])</f>
        <v>0</v>
      </c>
      <c r="AA435" s="436">
        <f>IF(NFI_Expiration=1,IF($A435&lt;VLOOKUP(L$5,NFI,5,0),1,0)*Table_NFI[[#This Row],[Tarpaulin]],Table_NFI[[#This Row],[Tarpaulin]])</f>
        <v>0</v>
      </c>
      <c r="AB435" s="436">
        <f>IF(NFI_Expiration=1,IF($A435&lt;VLOOKUP(M$5,NFI,5,0),1,0)*Table_NFI[[#This Row],[Blanket]],Table_NFI[[#This Row],[Blanket]])</f>
        <v>0</v>
      </c>
      <c r="AC435" s="436">
        <f>IF(NFI_Expiration=1,IF($A435&lt;VLOOKUP(N$5,NFI,5,0),1,0)*Table_NFI[[#This Row],[Kitchen Set]],Table_NFI[Kitchen Set])</f>
        <v>0</v>
      </c>
      <c r="AD435" s="436">
        <f>IF(NFI_Expiration=1,IF($A435&lt;VLOOKUP(O$5,NFI,5,0),1,0)*Table_NFI[[#This Row],[Clothes Kit]],Table_NFI[Clothes Kit])</f>
        <v>0</v>
      </c>
      <c r="AE435" s="436">
        <f>IF(NFI_Expiration=1,IF($A435&lt;VLOOKUP(P$5,NFI,5,0),1,0)*Table_NFI[[#This Row],[Plastic Bucket]],Table_NFI[Plastic Bucket])</f>
        <v>0</v>
      </c>
      <c r="AF435" s="436">
        <f>IF(NFI_Expiration=1,IF($A435&lt;VLOOKUP(Q$5,NFI,5,0),1,0)*Table_NFI[[#This Row],[Plastic Mat]],Table_NFI[Plastic Mat])*IF(Table_NFI[[#This Row],[Distribution Date]]&gt;"2014-04-01",1,2.5)</f>
        <v>0</v>
      </c>
      <c r="AG435" s="436">
        <f>IF(NFI_Expiration=1,IF($A435&lt;VLOOKUP(R$5,NFI,5,0),1,0)*Table_NFI[[#This Row],[Winter Clothes Adult]],Table_NFI[Winter Clothes Adult])</f>
        <v>0</v>
      </c>
      <c r="AH435" s="436">
        <f>IF(NFI_Expiration=1,IF($A435&lt;VLOOKUP(S$5,NFI,5,0),1,0)*Table_NFI[[#This Row],[Winter Clothes Children]],Table_NFI[Winter Clothes Children])</f>
        <v>0</v>
      </c>
      <c r="AI435" s="436">
        <f>IF(NFI_Expiration=1,IF($A435&lt;VLOOKUP(T$5,NFI,5,0),1,0)*Table_NFI[[#This Row],[Winter Items Other]],Table_NFI[Winter Items Other])</f>
        <v>0</v>
      </c>
      <c r="AJ435" s="436">
        <f>IF(NFI_Expiration=1,IF($A435&lt;VLOOKUP(M$5,NFI,5,0),1,0)*Table_NFI[[#This Row],[Winter Blanket]],Table_NFI[[#This Row],[Winter Blanket]])</f>
        <v>0</v>
      </c>
      <c r="AK435" s="436">
        <f>IF(Table_NFI[[#This Row],[Winter Clothes Adult]]+Table_NFI[[#This Row],[Winter Clothes Children]]+Table_NFI[[#This Row],[Winter Items Other]]+Table_NFI[[#This Row],[Winter Blanket]]&gt;0,1,0)</f>
        <v>1</v>
      </c>
      <c r="AL435" s="439">
        <f>IF(NFI_Expiration=1,IF($A435&lt;VLOOKUP(V$5,NFI,5,0),1,0)*Table_NFI[[#This Row],[Jerry Can]],Table_NFI[Jerry Can])</f>
        <v>0</v>
      </c>
      <c r="AM435" s="781" t="str">
        <f>IFERROR(VLOOKUP(Table_NFI[[#This Row],[Camp Name]],CL,2,0),"")</f>
        <v>MMR001CMP214</v>
      </c>
      <c r="AN435" s="782">
        <f ca="1">IF(Table_NFI[[#This Row],[Pcode]]="","",IF(OFFSET(CampList[Opening Date],MATCH(Table_NFI[[#This Row],[Pcode]],CampList[CP_Pcode],0)-1,0,1,1)&gt;=NFI_Monitor_Date,1,0))</f>
        <v>0</v>
      </c>
      <c r="AO435" s="781" t="str">
        <f>IFERROR(VLOOKUP(Table_NFI[[#This Row],[Camp Name]],CL,3,0),"")</f>
        <v>Closed</v>
      </c>
      <c r="AP435" s="436" t="str">
        <f ca="1">IF(Table_NFI[[#This Row],[Pcode]]="","",OFFSET(CampList[Priority],MATCH(Table_NFI[[#This Row],[Pcode]],CampList[CP_Pcode],0)-1,0,1,1))</f>
        <v/>
      </c>
      <c r="AQ435" s="438" t="str">
        <f>IFERROR(Table_NFI[[#This Row],[Kitchen Set]]/VLOOKUP(Table_NFI[[#This Row],[Camp Name]],CL,4,0),"")</f>
        <v/>
      </c>
      <c r="AR435" s="779"/>
      <c r="AS435" s="783"/>
    </row>
    <row r="436" spans="1:45" s="784" customFormat="1" x14ac:dyDescent="0.25">
      <c r="A436" s="455">
        <f t="shared" si="6"/>
        <v>23.566666666666666</v>
      </c>
      <c r="B436" s="778">
        <v>41602</v>
      </c>
      <c r="C436" s="779" t="s">
        <v>912</v>
      </c>
      <c r="D436" s="779" t="s">
        <v>912</v>
      </c>
      <c r="E436" s="779" t="s">
        <v>380</v>
      </c>
      <c r="F436" s="779" t="s">
        <v>302</v>
      </c>
      <c r="G436" s="779" t="s">
        <v>304</v>
      </c>
      <c r="H436" s="436"/>
      <c r="I436" s="436"/>
      <c r="J436" s="436"/>
      <c r="K436" s="436"/>
      <c r="L436" s="437"/>
      <c r="M436" s="437"/>
      <c r="N436" s="437"/>
      <c r="O436" s="437"/>
      <c r="P436" s="439"/>
      <c r="Q436" s="439"/>
      <c r="R436" s="436">
        <v>45</v>
      </c>
      <c r="S436" s="436">
        <v>90</v>
      </c>
      <c r="T436" s="436">
        <v>270</v>
      </c>
      <c r="U436" s="436">
        <v>135</v>
      </c>
      <c r="V436" s="436"/>
      <c r="W436" s="436">
        <f>IF(NFI_Expiration=1,IF($A436&lt;VLOOKUP(H$5,NFI,5,0),1,0)*Table_NFI[[#This Row],[Hygiene Kit]],Table_NFI[Hygiene Kit])</f>
        <v>0</v>
      </c>
      <c r="X436" s="436">
        <f>IF(NFI_Expiration=1,IF($A436&lt;VLOOKUP(I$5,NFI,5,0),1,0)*Table_NFI[[#This Row],[NFI Core Kit]],Table_NFI[NFI Core Kit])</f>
        <v>0</v>
      </c>
      <c r="Y436" s="436">
        <f>IF(NFI_Expiration=1,IF($A436&lt;VLOOKUP(J$5,NFI,5,0),1,0)*Table_NFI[[#This Row],[Sanitary Kit]],Table_NFI[Sanitary Kit])</f>
        <v>0</v>
      </c>
      <c r="Z436" s="436">
        <f>IF(NFI_Expiration=1,IF($A436&lt;VLOOKUP(K$5,NFI,5,0),1,0)*Table_NFI[[#This Row],[Mosquito net]],Table_NFI[Mosquito net])</f>
        <v>0</v>
      </c>
      <c r="AA436" s="436">
        <f>IF(NFI_Expiration=1,IF($A436&lt;VLOOKUP(L$5,NFI,5,0),1,0)*Table_NFI[[#This Row],[Tarpaulin]],Table_NFI[[#This Row],[Tarpaulin]])</f>
        <v>0</v>
      </c>
      <c r="AB436" s="436">
        <f>IF(NFI_Expiration=1,IF($A436&lt;VLOOKUP(M$5,NFI,5,0),1,0)*Table_NFI[[#This Row],[Blanket]],Table_NFI[[#This Row],[Blanket]])</f>
        <v>0</v>
      </c>
      <c r="AC436" s="436">
        <f>IF(NFI_Expiration=1,IF($A436&lt;VLOOKUP(N$5,NFI,5,0),1,0)*Table_NFI[[#This Row],[Kitchen Set]],Table_NFI[Kitchen Set])</f>
        <v>0</v>
      </c>
      <c r="AD436" s="436">
        <f>IF(NFI_Expiration=1,IF($A436&lt;VLOOKUP(O$5,NFI,5,0),1,0)*Table_NFI[[#This Row],[Clothes Kit]],Table_NFI[Clothes Kit])</f>
        <v>0</v>
      </c>
      <c r="AE436" s="436">
        <f>IF(NFI_Expiration=1,IF($A436&lt;VLOOKUP(P$5,NFI,5,0),1,0)*Table_NFI[[#This Row],[Plastic Bucket]],Table_NFI[Plastic Bucket])</f>
        <v>0</v>
      </c>
      <c r="AF436" s="436">
        <f>IF(NFI_Expiration=1,IF($A436&lt;VLOOKUP(Q$5,NFI,5,0),1,0)*Table_NFI[[#This Row],[Plastic Mat]],Table_NFI[Plastic Mat])*IF(Table_NFI[[#This Row],[Distribution Date]]&gt;"2014-04-01",1,2.5)</f>
        <v>0</v>
      </c>
      <c r="AG436" s="436">
        <f>IF(NFI_Expiration=1,IF($A436&lt;VLOOKUP(R$5,NFI,5,0),1,0)*Table_NFI[[#This Row],[Winter Clothes Adult]],Table_NFI[Winter Clothes Adult])</f>
        <v>0</v>
      </c>
      <c r="AH436" s="436">
        <f>IF(NFI_Expiration=1,IF($A436&lt;VLOOKUP(S$5,NFI,5,0),1,0)*Table_NFI[[#This Row],[Winter Clothes Children]],Table_NFI[Winter Clothes Children])</f>
        <v>0</v>
      </c>
      <c r="AI436" s="436">
        <f>IF(NFI_Expiration=1,IF($A436&lt;VLOOKUP(T$5,NFI,5,0),1,0)*Table_NFI[[#This Row],[Winter Items Other]],Table_NFI[Winter Items Other])</f>
        <v>0</v>
      </c>
      <c r="AJ436" s="436">
        <f>IF(NFI_Expiration=1,IF($A436&lt;VLOOKUP(M$5,NFI,5,0),1,0)*Table_NFI[[#This Row],[Winter Blanket]],Table_NFI[[#This Row],[Winter Blanket]])</f>
        <v>0</v>
      </c>
      <c r="AK436" s="436">
        <f>IF(Table_NFI[[#This Row],[Winter Clothes Adult]]+Table_NFI[[#This Row],[Winter Clothes Children]]+Table_NFI[[#This Row],[Winter Items Other]]+Table_NFI[[#This Row],[Winter Blanket]]&gt;0,1,0)</f>
        <v>1</v>
      </c>
      <c r="AL436" s="439">
        <f>IF(NFI_Expiration=1,IF($A436&lt;VLOOKUP(V$5,NFI,5,0),1,0)*Table_NFI[[#This Row],[Jerry Can]],Table_NFI[Jerry Can])</f>
        <v>0</v>
      </c>
      <c r="AM436" s="781" t="str">
        <f>IFERROR(VLOOKUP(Table_NFI[[#This Row],[Camp Name]],CL,2,0),"")</f>
        <v>MMR001CMP147</v>
      </c>
      <c r="AN436" s="782">
        <f ca="1">IF(Table_NFI[[#This Row],[Pcode]]="","",IF(OFFSET(CampList[Opening Date],MATCH(Table_NFI[[#This Row],[Pcode]],CampList[CP_Pcode],0)-1,0,1,1)&gt;=NFI_Monitor_Date,1,0))</f>
        <v>0</v>
      </c>
      <c r="AO436" s="781" t="str">
        <f>IFERROR(VLOOKUP(Table_NFI[[#This Row],[Camp Name]],CL,3,0),"")</f>
        <v>Open</v>
      </c>
      <c r="AP436" s="436" t="str">
        <f ca="1">IF(Table_NFI[[#This Row],[Pcode]]="","",OFFSET(CampList[Priority],MATCH(Table_NFI[[#This Row],[Pcode]],CampList[CP_Pcode],0)-1,0,1,1))</f>
        <v>P4</v>
      </c>
      <c r="AQ436" s="438">
        <f>IFERROR(Table_NFI[[#This Row],[Kitchen Set]]/VLOOKUP(Table_NFI[[#This Row],[Camp Name]],CL,4,0),"")</f>
        <v>0</v>
      </c>
      <c r="AR436" s="779"/>
      <c r="AS436" s="783"/>
    </row>
    <row r="437" spans="1:45" s="784" customFormat="1" x14ac:dyDescent="0.25">
      <c r="A437" s="455">
        <f t="shared" si="6"/>
        <v>23.6</v>
      </c>
      <c r="B437" s="778">
        <v>41601</v>
      </c>
      <c r="C437" s="779" t="s">
        <v>455</v>
      </c>
      <c r="D437" s="779"/>
      <c r="E437" s="779" t="s">
        <v>380</v>
      </c>
      <c r="F437" s="779" t="s">
        <v>310</v>
      </c>
      <c r="G437" s="779" t="s">
        <v>334</v>
      </c>
      <c r="H437" s="436"/>
      <c r="I437" s="436"/>
      <c r="J437" s="436"/>
      <c r="K437" s="436"/>
      <c r="L437" s="437"/>
      <c r="M437" s="437">
        <v>358</v>
      </c>
      <c r="N437" s="437"/>
      <c r="O437" s="437"/>
      <c r="P437" s="439"/>
      <c r="Q437" s="439"/>
      <c r="R437" s="436"/>
      <c r="S437" s="436"/>
      <c r="T437" s="436"/>
      <c r="U437" s="436"/>
      <c r="V437" s="436"/>
      <c r="W437" s="444">
        <f>IF(NFI_Expiration=1,IF($A437&lt;VLOOKUP(H$5,NFI,5,0),1,0)*Table_NFI[[#This Row],[Hygiene Kit]],Table_NFI[Hygiene Kit])</f>
        <v>0</v>
      </c>
      <c r="X437" s="444">
        <f>IF(NFI_Expiration=1,IF($A437&lt;VLOOKUP(I$5,NFI,5,0),1,0)*Table_NFI[[#This Row],[NFI Core Kit]],Table_NFI[NFI Core Kit])</f>
        <v>0</v>
      </c>
      <c r="Y437" s="444">
        <f>IF(NFI_Expiration=1,IF($A437&lt;VLOOKUP(J$5,NFI,5,0),1,0)*Table_NFI[[#This Row],[Sanitary Kit]],Table_NFI[Sanitary Kit])</f>
        <v>0</v>
      </c>
      <c r="Z437" s="444">
        <f>IF(NFI_Expiration=1,IF($A437&lt;VLOOKUP(K$5,NFI,5,0),1,0)*Table_NFI[[#This Row],[Mosquito net]],Table_NFI[Mosquito net])</f>
        <v>0</v>
      </c>
      <c r="AA437" s="444">
        <f>IF(NFI_Expiration=1,IF($A437&lt;VLOOKUP(L$5,NFI,5,0),1,0)*Table_NFI[[#This Row],[Tarpaulin]],Table_NFI[[#This Row],[Tarpaulin]])</f>
        <v>0</v>
      </c>
      <c r="AB437" s="444">
        <f>IF(NFI_Expiration=1,IF($A437&lt;VLOOKUP(M$5,NFI,5,0),1,0)*Table_NFI[[#This Row],[Blanket]],Table_NFI[[#This Row],[Blanket]])</f>
        <v>0</v>
      </c>
      <c r="AC437" s="444">
        <f>IF(NFI_Expiration=1,IF($A437&lt;VLOOKUP(N$5,NFI,5,0),1,0)*Table_NFI[[#This Row],[Kitchen Set]],Table_NFI[Kitchen Set])</f>
        <v>0</v>
      </c>
      <c r="AD437" s="444">
        <f>IF(NFI_Expiration=1,IF($A437&lt;VLOOKUP(O$5,NFI,5,0),1,0)*Table_NFI[[#This Row],[Clothes Kit]],Table_NFI[Clothes Kit])</f>
        <v>0</v>
      </c>
      <c r="AE437" s="444">
        <f>IF(NFI_Expiration=1,IF($A437&lt;VLOOKUP(P$5,NFI,5,0),1,0)*Table_NFI[[#This Row],[Plastic Bucket]],Table_NFI[Plastic Bucket])</f>
        <v>0</v>
      </c>
      <c r="AF437" s="444">
        <f>IF(NFI_Expiration=1,IF($A437&lt;VLOOKUP(Q$5,NFI,5,0),1,0)*Table_NFI[[#This Row],[Plastic Mat]],Table_NFI[Plastic Mat])*IF(Table_NFI[[#This Row],[Distribution Date]]&gt;"2014-04-01",1,2.5)</f>
        <v>0</v>
      </c>
      <c r="AG437" s="444">
        <f>IF(NFI_Expiration=1,IF($A437&lt;VLOOKUP(R$5,NFI,5,0),1,0)*Table_NFI[[#This Row],[Winter Clothes Adult]],Table_NFI[Winter Clothes Adult])</f>
        <v>0</v>
      </c>
      <c r="AH437" s="444">
        <f>IF(NFI_Expiration=1,IF($A437&lt;VLOOKUP(S$5,NFI,5,0),1,0)*Table_NFI[[#This Row],[Winter Clothes Children]],Table_NFI[Winter Clothes Children])</f>
        <v>0</v>
      </c>
      <c r="AI437" s="444">
        <f>IF(NFI_Expiration=1,IF($A437&lt;VLOOKUP(T$5,NFI,5,0),1,0)*Table_NFI[[#This Row],[Winter Items Other]],Table_NFI[Winter Items Other])</f>
        <v>0</v>
      </c>
      <c r="AJ437" s="444">
        <f>IF(NFI_Expiration=1,IF($A437&lt;VLOOKUP(M$5,NFI,5,0),1,0)*Table_NFI[[#This Row],[Winter Blanket]],Table_NFI[[#This Row],[Winter Blanket]])</f>
        <v>0</v>
      </c>
      <c r="AK437" s="444">
        <f>IF(Table_NFI[[#This Row],[Winter Clothes Adult]]+Table_NFI[[#This Row],[Winter Clothes Children]]+Table_NFI[[#This Row],[Winter Items Other]]+Table_NFI[[#This Row],[Winter Blanket]]&gt;0,1,0)</f>
        <v>0</v>
      </c>
      <c r="AL437" s="439">
        <f>IF(NFI_Expiration=1,IF($A437&lt;VLOOKUP(V$5,NFI,5,0),1,0)*Table_NFI[[#This Row],[Jerry Can]],Table_NFI[Jerry Can])</f>
        <v>0</v>
      </c>
      <c r="AM437" s="787" t="str">
        <f>IFERROR(VLOOKUP(Table_NFI[[#This Row],[Camp Name]],CL,2,0),"")</f>
        <v>MMR001CMP113</v>
      </c>
      <c r="AN437" s="788">
        <f ca="1">IF(Table_NFI[[#This Row],[Pcode]]="","",IF(OFFSET(CampList[Opening Date],MATCH(Table_NFI[[#This Row],[Pcode]],CampList[CP_Pcode],0)-1,0,1,1)&gt;=NFI_Monitor_Date,1,0))</f>
        <v>0</v>
      </c>
      <c r="AO437" s="787" t="str">
        <f>IFERROR(VLOOKUP(Table_NFI[[#This Row],[Camp Name]],CL,3,0),"")</f>
        <v>Open</v>
      </c>
      <c r="AP437" s="444" t="str">
        <f ca="1">IF(Table_NFI[[#This Row],[Pcode]]="","",OFFSET(CampList[Priority],MATCH(Table_NFI[[#This Row],[Pcode]],CampList[CP_Pcode],0)-1,0,1,1))</f>
        <v>P1</v>
      </c>
      <c r="AQ437" s="445">
        <f>IFERROR(Table_NFI[[#This Row],[Kitchen Set]]/VLOOKUP(Table_NFI[[#This Row],[Camp Name]],CL,4,0),"")</f>
        <v>0</v>
      </c>
      <c r="AR437" s="779" t="s">
        <v>1099</v>
      </c>
      <c r="AS437" s="783"/>
    </row>
    <row r="438" spans="1:45" s="784" customFormat="1" x14ac:dyDescent="0.25">
      <c r="A438" s="455">
        <f t="shared" si="6"/>
        <v>23.666666666666668</v>
      </c>
      <c r="B438" s="778">
        <v>41599</v>
      </c>
      <c r="C438" s="442" t="s">
        <v>454</v>
      </c>
      <c r="D438" s="442" t="s">
        <v>454</v>
      </c>
      <c r="E438" s="785" t="s">
        <v>380</v>
      </c>
      <c r="F438" s="435" t="s">
        <v>5</v>
      </c>
      <c r="G438" s="435" t="s">
        <v>514</v>
      </c>
      <c r="H438" s="442"/>
      <c r="I438" s="442"/>
      <c r="J438" s="442"/>
      <c r="K438" s="785">
        <v>34</v>
      </c>
      <c r="L438" s="786">
        <v>18</v>
      </c>
      <c r="M438" s="443">
        <v>34</v>
      </c>
      <c r="N438" s="443">
        <v>18</v>
      </c>
      <c r="O438" s="443">
        <v>18</v>
      </c>
      <c r="P438" s="786"/>
      <c r="Q438" s="443"/>
      <c r="R438" s="442"/>
      <c r="S438" s="442"/>
      <c r="T438" s="442"/>
      <c r="U438" s="442"/>
      <c r="V438" s="442"/>
      <c r="W438" s="436">
        <f>IF(NFI_Expiration=1,IF($A438&lt;VLOOKUP(H$5,NFI,5,0),1,0)*Table_NFI[[#This Row],[Hygiene Kit]],Table_NFI[Hygiene Kit])</f>
        <v>0</v>
      </c>
      <c r="X438" s="436">
        <f>IF(NFI_Expiration=1,IF($A438&lt;VLOOKUP(I$5,NFI,5,0),1,0)*Table_NFI[[#This Row],[NFI Core Kit]],Table_NFI[NFI Core Kit])</f>
        <v>0</v>
      </c>
      <c r="Y438" s="436">
        <f>IF(NFI_Expiration=1,IF($A438&lt;VLOOKUP(J$5,NFI,5,0),1,0)*Table_NFI[[#This Row],[Sanitary Kit]],Table_NFI[Sanitary Kit])</f>
        <v>0</v>
      </c>
      <c r="Z438" s="436">
        <f>IF(NFI_Expiration=1,IF($A438&lt;VLOOKUP(K$5,NFI,5,0),1,0)*Table_NFI[[#This Row],[Mosquito net]],Table_NFI[Mosquito net])</f>
        <v>0</v>
      </c>
      <c r="AA438" s="436">
        <f>IF(NFI_Expiration=1,IF($A438&lt;VLOOKUP(L$5,NFI,5,0),1,0)*Table_NFI[[#This Row],[Tarpaulin]],Table_NFI[[#This Row],[Tarpaulin]])</f>
        <v>0</v>
      </c>
      <c r="AB438" s="436">
        <f>IF(NFI_Expiration=1,IF($A438&lt;VLOOKUP(M$5,NFI,5,0),1,0)*Table_NFI[[#This Row],[Blanket]],Table_NFI[[#This Row],[Blanket]])</f>
        <v>0</v>
      </c>
      <c r="AC438" s="436">
        <f>IF(NFI_Expiration=1,IF($A438&lt;VLOOKUP(N$5,NFI,5,0),1,0)*Table_NFI[[#This Row],[Kitchen Set]],Table_NFI[Kitchen Set])</f>
        <v>0</v>
      </c>
      <c r="AD438" s="436">
        <f>IF(NFI_Expiration=1,IF($A438&lt;VLOOKUP(O$5,NFI,5,0),1,0)*Table_NFI[[#This Row],[Clothes Kit]],Table_NFI[Clothes Kit])</f>
        <v>0</v>
      </c>
      <c r="AE438" s="436">
        <f>IF(NFI_Expiration=1,IF($A438&lt;VLOOKUP(P$5,NFI,5,0),1,0)*Table_NFI[[#This Row],[Plastic Bucket]],Table_NFI[Plastic Bucket])</f>
        <v>0</v>
      </c>
      <c r="AF438" s="436">
        <f>IF(NFI_Expiration=1,IF($A438&lt;VLOOKUP(Q$5,NFI,5,0),1,0)*Table_NFI[[#This Row],[Plastic Mat]],Table_NFI[Plastic Mat])*IF(Table_NFI[[#This Row],[Distribution Date]]&gt;"2014-04-01",1,2.5)</f>
        <v>0</v>
      </c>
      <c r="AG438" s="436">
        <f>IF(NFI_Expiration=1,IF($A438&lt;VLOOKUP(R$5,NFI,5,0),1,0)*Table_NFI[[#This Row],[Winter Clothes Adult]],Table_NFI[Winter Clothes Adult])</f>
        <v>0</v>
      </c>
      <c r="AH438" s="436">
        <f>IF(NFI_Expiration=1,IF($A438&lt;VLOOKUP(S$5,NFI,5,0),1,0)*Table_NFI[[#This Row],[Winter Clothes Children]],Table_NFI[Winter Clothes Children])</f>
        <v>0</v>
      </c>
      <c r="AI438" s="436">
        <f>IF(NFI_Expiration=1,IF($A438&lt;VLOOKUP(T$5,NFI,5,0),1,0)*Table_NFI[[#This Row],[Winter Items Other]],Table_NFI[Winter Items Other])</f>
        <v>0</v>
      </c>
      <c r="AJ438" s="436">
        <f>IF(NFI_Expiration=1,IF($A438&lt;VLOOKUP(M$5,NFI,5,0),1,0)*Table_NFI[[#This Row],[Winter Blanket]],Table_NFI[[#This Row],[Winter Blanket]])</f>
        <v>0</v>
      </c>
      <c r="AK438" s="436">
        <f>IF(Table_NFI[[#This Row],[Winter Clothes Adult]]+Table_NFI[[#This Row],[Winter Clothes Children]]+Table_NFI[[#This Row],[Winter Items Other]]+Table_NFI[[#This Row],[Winter Blanket]]&gt;0,1,0)</f>
        <v>0</v>
      </c>
      <c r="AL438" s="439">
        <f>IF(NFI_Expiration=1,IF($A438&lt;VLOOKUP(V$5,NFI,5,0),1,0)*Table_NFI[[#This Row],[Jerry Can]],Table_NFI[Jerry Can])</f>
        <v>0</v>
      </c>
      <c r="AM438" s="781" t="str">
        <f>IFERROR(VLOOKUP(Table_NFI[[#This Row],[Camp Name]],CL,2,0),"")</f>
        <v>MMR001CMP194</v>
      </c>
      <c r="AN438" s="782">
        <f ca="1">IF(Table_NFI[[#This Row],[Pcode]]="","",IF(OFFSET(CampList[Opening Date],MATCH(Table_NFI[[#This Row],[Pcode]],CampList[CP_Pcode],0)-1,0,1,1)&gt;=NFI_Monitor_Date,1,0))</f>
        <v>0</v>
      </c>
      <c r="AO438" s="781" t="s">
        <v>849</v>
      </c>
      <c r="AP438" s="436" t="str">
        <f ca="1">IF(Table_NFI[[#This Row],[Pcode]]="","",OFFSET(CampList[Priority],MATCH(Table_NFI[[#This Row],[Pcode]],CampList[CP_Pcode],0)-1,0,1,1))</f>
        <v>P4</v>
      </c>
      <c r="AQ438" s="438">
        <f>IFERROR(Table_NFI[[#This Row],[Kitchen Set]]/VLOOKUP(Table_NFI[[#This Row],[Camp Name]],CL,4,0),"")</f>
        <v>1.5</v>
      </c>
      <c r="AR438" s="779" t="s">
        <v>1099</v>
      </c>
      <c r="AS438" s="783"/>
    </row>
    <row r="439" spans="1:45" s="784" customFormat="1" x14ac:dyDescent="0.25">
      <c r="A439" s="455">
        <f t="shared" si="6"/>
        <v>23.666666666666668</v>
      </c>
      <c r="B439" s="778">
        <v>41599</v>
      </c>
      <c r="C439" s="442" t="s">
        <v>454</v>
      </c>
      <c r="D439" s="442" t="s">
        <v>575</v>
      </c>
      <c r="E439" s="785" t="s">
        <v>380</v>
      </c>
      <c r="F439" s="779" t="s">
        <v>151</v>
      </c>
      <c r="G439" s="435" t="s">
        <v>882</v>
      </c>
      <c r="H439" s="442"/>
      <c r="I439" s="442"/>
      <c r="J439" s="442"/>
      <c r="K439" s="785">
        <v>400</v>
      </c>
      <c r="L439" s="786">
        <v>210</v>
      </c>
      <c r="M439" s="443">
        <v>400</v>
      </c>
      <c r="N439" s="443">
        <v>210</v>
      </c>
      <c r="O439" s="443"/>
      <c r="P439" s="786"/>
      <c r="Q439" s="443">
        <v>210</v>
      </c>
      <c r="R439" s="442"/>
      <c r="S439" s="442"/>
      <c r="T439" s="442"/>
      <c r="U439" s="442"/>
      <c r="V439" s="442"/>
      <c r="W439" s="436">
        <f>IF(NFI_Expiration=1,IF($A439&lt;VLOOKUP(H$5,NFI,5,0),1,0)*Table_NFI[[#This Row],[Hygiene Kit]],Table_NFI[Hygiene Kit])</f>
        <v>0</v>
      </c>
      <c r="X439" s="436">
        <f>IF(NFI_Expiration=1,IF($A439&lt;VLOOKUP(I$5,NFI,5,0),1,0)*Table_NFI[[#This Row],[NFI Core Kit]],Table_NFI[NFI Core Kit])</f>
        <v>0</v>
      </c>
      <c r="Y439" s="436">
        <f>IF(NFI_Expiration=1,IF($A439&lt;VLOOKUP(J$5,NFI,5,0),1,0)*Table_NFI[[#This Row],[Sanitary Kit]],Table_NFI[Sanitary Kit])</f>
        <v>0</v>
      </c>
      <c r="Z439" s="436">
        <f>IF(NFI_Expiration=1,IF($A439&lt;VLOOKUP(K$5,NFI,5,0),1,0)*Table_NFI[[#This Row],[Mosquito net]],Table_NFI[Mosquito net])</f>
        <v>0</v>
      </c>
      <c r="AA439" s="436">
        <f>IF(NFI_Expiration=1,IF($A439&lt;VLOOKUP(L$5,NFI,5,0),1,0)*Table_NFI[[#This Row],[Tarpaulin]],Table_NFI[[#This Row],[Tarpaulin]])</f>
        <v>0</v>
      </c>
      <c r="AB439" s="436">
        <f>IF(NFI_Expiration=1,IF($A439&lt;VLOOKUP(M$5,NFI,5,0),1,0)*Table_NFI[[#This Row],[Blanket]],Table_NFI[[#This Row],[Blanket]])</f>
        <v>0</v>
      </c>
      <c r="AC439" s="436">
        <f>IF(NFI_Expiration=1,IF($A439&lt;VLOOKUP(N$5,NFI,5,0),1,0)*Table_NFI[[#This Row],[Kitchen Set]],Table_NFI[Kitchen Set])</f>
        <v>0</v>
      </c>
      <c r="AD439" s="436">
        <f>IF(NFI_Expiration=1,IF($A439&lt;VLOOKUP(O$5,NFI,5,0),1,0)*Table_NFI[[#This Row],[Clothes Kit]],Table_NFI[Clothes Kit])</f>
        <v>0</v>
      </c>
      <c r="AE439" s="436">
        <f>IF(NFI_Expiration=1,IF($A439&lt;VLOOKUP(P$5,NFI,5,0),1,0)*Table_NFI[[#This Row],[Plastic Bucket]],Table_NFI[Plastic Bucket])</f>
        <v>0</v>
      </c>
      <c r="AF439" s="436">
        <f>IF(NFI_Expiration=1,IF($A439&lt;VLOOKUP(Q$5,NFI,5,0),1,0)*Table_NFI[[#This Row],[Plastic Mat]],Table_NFI[Plastic Mat])*IF(Table_NFI[[#This Row],[Distribution Date]]&gt;"2014-04-01",1,2.5)</f>
        <v>0</v>
      </c>
      <c r="AG439" s="436">
        <f>IF(NFI_Expiration=1,IF($A439&lt;VLOOKUP(R$5,NFI,5,0),1,0)*Table_NFI[[#This Row],[Winter Clothes Adult]],Table_NFI[Winter Clothes Adult])</f>
        <v>0</v>
      </c>
      <c r="AH439" s="436">
        <f>IF(NFI_Expiration=1,IF($A439&lt;VLOOKUP(S$5,NFI,5,0),1,0)*Table_NFI[[#This Row],[Winter Clothes Children]],Table_NFI[Winter Clothes Children])</f>
        <v>0</v>
      </c>
      <c r="AI439" s="436">
        <f>IF(NFI_Expiration=1,IF($A439&lt;VLOOKUP(T$5,NFI,5,0),1,0)*Table_NFI[[#This Row],[Winter Items Other]],Table_NFI[Winter Items Other])</f>
        <v>0</v>
      </c>
      <c r="AJ439" s="436">
        <f>IF(NFI_Expiration=1,IF($A439&lt;VLOOKUP(M$5,NFI,5,0),1,0)*Table_NFI[[#This Row],[Winter Blanket]],Table_NFI[[#This Row],[Winter Blanket]])</f>
        <v>0</v>
      </c>
      <c r="AK439" s="436">
        <f>IF(Table_NFI[[#This Row],[Winter Clothes Adult]]+Table_NFI[[#This Row],[Winter Clothes Children]]+Table_NFI[[#This Row],[Winter Items Other]]+Table_NFI[[#This Row],[Winter Blanket]]&gt;0,1,0)</f>
        <v>0</v>
      </c>
      <c r="AL439" s="439">
        <f>IF(NFI_Expiration=1,IF($A439&lt;VLOOKUP(V$5,NFI,5,0),1,0)*Table_NFI[[#This Row],[Jerry Can]],Table_NFI[Jerry Can])</f>
        <v>0</v>
      </c>
      <c r="AM439" s="781" t="str">
        <f>IFERROR(VLOOKUP(Table_NFI[[#This Row],[Camp Name]],CL,2,0),"")</f>
        <v>MMR001CMP212</v>
      </c>
      <c r="AN439" s="782">
        <f ca="1">IF(Table_NFI[[#This Row],[Pcode]]="","",IF(OFFSET(CampList[Opening Date],MATCH(Table_NFI[[#This Row],[Pcode]],CampList[CP_Pcode],0)-1,0,1,1)&gt;=NFI_Monitor_Date,1,0))</f>
        <v>0</v>
      </c>
      <c r="AO439" s="781" t="str">
        <f>IFERROR(VLOOKUP(Table_NFI[[#This Row],[Camp Name]],CL,3,0),"")</f>
        <v>Closed</v>
      </c>
      <c r="AP439" s="436" t="str">
        <f ca="1">IF(Table_NFI[[#This Row],[Pcode]]="","",OFFSET(CampList[Priority],MATCH(Table_NFI[[#This Row],[Pcode]],CampList[CP_Pcode],0)-1,0,1,1))</f>
        <v/>
      </c>
      <c r="AQ439" s="438" t="str">
        <f>IFERROR(Table_NFI[[#This Row],[Kitchen Set]]/VLOOKUP(Table_NFI[[#This Row],[Camp Name]],CL,4,0),"")</f>
        <v/>
      </c>
      <c r="AR439" s="779" t="s">
        <v>1099</v>
      </c>
      <c r="AS439" s="783"/>
    </row>
    <row r="440" spans="1:45" s="784" customFormat="1" x14ac:dyDescent="0.25">
      <c r="A440" s="455">
        <f t="shared" si="6"/>
        <v>23.666666666666668</v>
      </c>
      <c r="B440" s="778">
        <v>41599</v>
      </c>
      <c r="C440" s="442" t="s">
        <v>454</v>
      </c>
      <c r="D440" s="442" t="s">
        <v>454</v>
      </c>
      <c r="E440" s="785" t="s">
        <v>380</v>
      </c>
      <c r="F440" s="435" t="s">
        <v>5</v>
      </c>
      <c r="G440" s="435" t="s">
        <v>366</v>
      </c>
      <c r="H440" s="442"/>
      <c r="I440" s="442"/>
      <c r="J440" s="442"/>
      <c r="K440" s="785">
        <v>15</v>
      </c>
      <c r="L440" s="786">
        <v>9</v>
      </c>
      <c r="M440" s="443">
        <v>15</v>
      </c>
      <c r="N440" s="443">
        <v>9</v>
      </c>
      <c r="O440" s="443">
        <v>9</v>
      </c>
      <c r="P440" s="786"/>
      <c r="Q440" s="443"/>
      <c r="R440" s="442"/>
      <c r="S440" s="442"/>
      <c r="T440" s="442"/>
      <c r="U440" s="442"/>
      <c r="V440" s="442"/>
      <c r="W440" s="436">
        <f>IF(NFI_Expiration=1,IF($A440&lt;VLOOKUP(H$5,NFI,5,0),1,0)*Table_NFI[[#This Row],[Hygiene Kit]],Table_NFI[Hygiene Kit])</f>
        <v>0</v>
      </c>
      <c r="X440" s="436">
        <f>IF(NFI_Expiration=1,IF($A440&lt;VLOOKUP(I$5,NFI,5,0),1,0)*Table_NFI[[#This Row],[NFI Core Kit]],Table_NFI[NFI Core Kit])</f>
        <v>0</v>
      </c>
      <c r="Y440" s="436">
        <f>IF(NFI_Expiration=1,IF($A440&lt;VLOOKUP(J$5,NFI,5,0),1,0)*Table_NFI[[#This Row],[Sanitary Kit]],Table_NFI[Sanitary Kit])</f>
        <v>0</v>
      </c>
      <c r="Z440" s="436">
        <f>IF(NFI_Expiration=1,IF($A440&lt;VLOOKUP(K$5,NFI,5,0),1,0)*Table_NFI[[#This Row],[Mosquito net]],Table_NFI[Mosquito net])</f>
        <v>0</v>
      </c>
      <c r="AA440" s="436">
        <f>IF(NFI_Expiration=1,IF($A440&lt;VLOOKUP(L$5,NFI,5,0),1,0)*Table_NFI[[#This Row],[Tarpaulin]],Table_NFI[[#This Row],[Tarpaulin]])</f>
        <v>0</v>
      </c>
      <c r="AB440" s="436">
        <f>IF(NFI_Expiration=1,IF($A440&lt;VLOOKUP(M$5,NFI,5,0),1,0)*Table_NFI[[#This Row],[Blanket]],Table_NFI[[#This Row],[Blanket]])</f>
        <v>0</v>
      </c>
      <c r="AC440" s="436">
        <f>IF(NFI_Expiration=1,IF($A440&lt;VLOOKUP(N$5,NFI,5,0),1,0)*Table_NFI[[#This Row],[Kitchen Set]],Table_NFI[Kitchen Set])</f>
        <v>0</v>
      </c>
      <c r="AD440" s="436">
        <f>IF(NFI_Expiration=1,IF($A440&lt;VLOOKUP(O$5,NFI,5,0),1,0)*Table_NFI[[#This Row],[Clothes Kit]],Table_NFI[Clothes Kit])</f>
        <v>0</v>
      </c>
      <c r="AE440" s="436">
        <f>IF(NFI_Expiration=1,IF($A440&lt;VLOOKUP(P$5,NFI,5,0),1,0)*Table_NFI[[#This Row],[Plastic Bucket]],Table_NFI[Plastic Bucket])</f>
        <v>0</v>
      </c>
      <c r="AF440" s="436">
        <f>IF(NFI_Expiration=1,IF($A440&lt;VLOOKUP(Q$5,NFI,5,0),1,0)*Table_NFI[[#This Row],[Plastic Mat]],Table_NFI[Plastic Mat])*IF(Table_NFI[[#This Row],[Distribution Date]]&gt;"2014-04-01",1,2.5)</f>
        <v>0</v>
      </c>
      <c r="AG440" s="436">
        <f>IF(NFI_Expiration=1,IF($A440&lt;VLOOKUP(R$5,NFI,5,0),1,0)*Table_NFI[[#This Row],[Winter Clothes Adult]],Table_NFI[Winter Clothes Adult])</f>
        <v>0</v>
      </c>
      <c r="AH440" s="436">
        <f>IF(NFI_Expiration=1,IF($A440&lt;VLOOKUP(S$5,NFI,5,0),1,0)*Table_NFI[[#This Row],[Winter Clothes Children]],Table_NFI[Winter Clothes Children])</f>
        <v>0</v>
      </c>
      <c r="AI440" s="436">
        <f>IF(NFI_Expiration=1,IF($A440&lt;VLOOKUP(T$5,NFI,5,0),1,0)*Table_NFI[[#This Row],[Winter Items Other]],Table_NFI[Winter Items Other])</f>
        <v>0</v>
      </c>
      <c r="AJ440" s="436">
        <f>IF(NFI_Expiration=1,IF($A440&lt;VLOOKUP(M$5,NFI,5,0),1,0)*Table_NFI[[#This Row],[Winter Blanket]],Table_NFI[[#This Row],[Winter Blanket]])</f>
        <v>0</v>
      </c>
      <c r="AK440" s="436">
        <f>IF(Table_NFI[[#This Row],[Winter Clothes Adult]]+Table_NFI[[#This Row],[Winter Clothes Children]]+Table_NFI[[#This Row],[Winter Items Other]]+Table_NFI[[#This Row],[Winter Blanket]]&gt;0,1,0)</f>
        <v>0</v>
      </c>
      <c r="AL440" s="439">
        <f>IF(NFI_Expiration=1,IF($A440&lt;VLOOKUP(V$5,NFI,5,0),1,0)*Table_NFI[[#This Row],[Jerry Can]],Table_NFI[Jerry Can])</f>
        <v>0</v>
      </c>
      <c r="AM440" s="781" t="str">
        <f>IFERROR(VLOOKUP(Table_NFI[[#This Row],[Camp Name]],CL,2,0),"")</f>
        <v>MMR001CMP193</v>
      </c>
      <c r="AN440" s="782">
        <f ca="1">IF(Table_NFI[[#This Row],[Pcode]]="","",IF(OFFSET(CampList[Opening Date],MATCH(Table_NFI[[#This Row],[Pcode]],CampList[CP_Pcode],0)-1,0,1,1)&gt;=NFI_Monitor_Date,1,0))</f>
        <v>0</v>
      </c>
      <c r="AO440" s="781" t="str">
        <f>IFERROR(VLOOKUP(Table_NFI[[#This Row],[Camp Name]],CL,3,0),"")</f>
        <v>Open</v>
      </c>
      <c r="AP440" s="436" t="str">
        <f ca="1">IF(Table_NFI[[#This Row],[Pcode]]="","",OFFSET(CampList[Priority],MATCH(Table_NFI[[#This Row],[Pcode]],CampList[CP_Pcode],0)-1,0,1,1))</f>
        <v>P4</v>
      </c>
      <c r="AQ440" s="438">
        <f>IFERROR(Table_NFI[[#This Row],[Kitchen Set]]/VLOOKUP(Table_NFI[[#This Row],[Camp Name]],CL,4,0),"")</f>
        <v>5.7324840764331211E-2</v>
      </c>
      <c r="AR440" s="779" t="s">
        <v>1099</v>
      </c>
      <c r="AS440" s="783"/>
    </row>
    <row r="441" spans="1:45" s="784" customFormat="1" x14ac:dyDescent="0.25">
      <c r="A441" s="455">
        <f t="shared" si="6"/>
        <v>23.7</v>
      </c>
      <c r="B441" s="778">
        <v>41598</v>
      </c>
      <c r="C441" s="779" t="s">
        <v>912</v>
      </c>
      <c r="D441" s="779" t="s">
        <v>912</v>
      </c>
      <c r="E441" s="779" t="s">
        <v>380</v>
      </c>
      <c r="F441" s="779" t="s">
        <v>5</v>
      </c>
      <c r="G441" s="779" t="s">
        <v>22</v>
      </c>
      <c r="H441" s="436"/>
      <c r="I441" s="436"/>
      <c r="J441" s="436"/>
      <c r="K441" s="436"/>
      <c r="L441" s="437"/>
      <c r="M441" s="437"/>
      <c r="N441" s="437"/>
      <c r="O441" s="437"/>
      <c r="P441" s="439"/>
      <c r="Q441" s="439"/>
      <c r="R441" s="436"/>
      <c r="S441" s="436">
        <v>19</v>
      </c>
      <c r="T441" s="436">
        <v>38</v>
      </c>
      <c r="U441" s="436">
        <v>19</v>
      </c>
      <c r="V441" s="436"/>
      <c r="W441" s="436">
        <f>IF(NFI_Expiration=1,IF($A441&lt;VLOOKUP(H$5,NFI,5,0),1,0)*Table_NFI[[#This Row],[Hygiene Kit]],Table_NFI[Hygiene Kit])</f>
        <v>0</v>
      </c>
      <c r="X441" s="436">
        <f>IF(NFI_Expiration=1,IF($A441&lt;VLOOKUP(I$5,NFI,5,0),1,0)*Table_NFI[[#This Row],[NFI Core Kit]],Table_NFI[NFI Core Kit])</f>
        <v>0</v>
      </c>
      <c r="Y441" s="436">
        <f>IF(NFI_Expiration=1,IF($A441&lt;VLOOKUP(J$5,NFI,5,0),1,0)*Table_NFI[[#This Row],[Sanitary Kit]],Table_NFI[Sanitary Kit])</f>
        <v>0</v>
      </c>
      <c r="Z441" s="436">
        <f>IF(NFI_Expiration=1,IF($A441&lt;VLOOKUP(K$5,NFI,5,0),1,0)*Table_NFI[[#This Row],[Mosquito net]],Table_NFI[Mosquito net])</f>
        <v>0</v>
      </c>
      <c r="AA441" s="436">
        <f>IF(NFI_Expiration=1,IF($A441&lt;VLOOKUP(L$5,NFI,5,0),1,0)*Table_NFI[[#This Row],[Tarpaulin]],Table_NFI[[#This Row],[Tarpaulin]])</f>
        <v>0</v>
      </c>
      <c r="AB441" s="436">
        <f>IF(NFI_Expiration=1,IF($A441&lt;VLOOKUP(M$5,NFI,5,0),1,0)*Table_NFI[[#This Row],[Blanket]],Table_NFI[[#This Row],[Blanket]])</f>
        <v>0</v>
      </c>
      <c r="AC441" s="436">
        <f>IF(NFI_Expiration=1,IF($A441&lt;VLOOKUP(N$5,NFI,5,0),1,0)*Table_NFI[[#This Row],[Kitchen Set]],Table_NFI[Kitchen Set])</f>
        <v>0</v>
      </c>
      <c r="AD441" s="436">
        <f>IF(NFI_Expiration=1,IF($A441&lt;VLOOKUP(O$5,NFI,5,0),1,0)*Table_NFI[[#This Row],[Clothes Kit]],Table_NFI[Clothes Kit])</f>
        <v>0</v>
      </c>
      <c r="AE441" s="436">
        <f>IF(NFI_Expiration=1,IF($A441&lt;VLOOKUP(P$5,NFI,5,0),1,0)*Table_NFI[[#This Row],[Plastic Bucket]],Table_NFI[Plastic Bucket])</f>
        <v>0</v>
      </c>
      <c r="AF441" s="436">
        <f>IF(NFI_Expiration=1,IF($A441&lt;VLOOKUP(Q$5,NFI,5,0),1,0)*Table_NFI[[#This Row],[Plastic Mat]],Table_NFI[Plastic Mat])*IF(Table_NFI[[#This Row],[Distribution Date]]&gt;"2014-04-01",1,2.5)</f>
        <v>0</v>
      </c>
      <c r="AG441" s="436">
        <f>IF(NFI_Expiration=1,IF($A441&lt;VLOOKUP(R$5,NFI,5,0),1,0)*Table_NFI[[#This Row],[Winter Clothes Adult]],Table_NFI[Winter Clothes Adult])</f>
        <v>0</v>
      </c>
      <c r="AH441" s="436">
        <f>IF(NFI_Expiration=1,IF($A441&lt;VLOOKUP(S$5,NFI,5,0),1,0)*Table_NFI[[#This Row],[Winter Clothes Children]],Table_NFI[Winter Clothes Children])</f>
        <v>0</v>
      </c>
      <c r="AI441" s="436">
        <f>IF(NFI_Expiration=1,IF($A441&lt;VLOOKUP(T$5,NFI,5,0),1,0)*Table_NFI[[#This Row],[Winter Items Other]],Table_NFI[Winter Items Other])</f>
        <v>0</v>
      </c>
      <c r="AJ441" s="436">
        <f>IF(NFI_Expiration=1,IF($A441&lt;VLOOKUP(M$5,NFI,5,0),1,0)*Table_NFI[[#This Row],[Winter Blanket]],Table_NFI[[#This Row],[Winter Blanket]])</f>
        <v>0</v>
      </c>
      <c r="AK441" s="436">
        <f>IF(Table_NFI[[#This Row],[Winter Clothes Adult]]+Table_NFI[[#This Row],[Winter Clothes Children]]+Table_NFI[[#This Row],[Winter Items Other]]+Table_NFI[[#This Row],[Winter Blanket]]&gt;0,1,0)</f>
        <v>1</v>
      </c>
      <c r="AL441" s="439">
        <f>IF(NFI_Expiration=1,IF($A441&lt;VLOOKUP(V$5,NFI,5,0),1,0)*Table_NFI[[#This Row],[Jerry Can]],Table_NFI[Jerry Can])</f>
        <v>0</v>
      </c>
      <c r="AM441" s="781" t="str">
        <f>IFERROR(VLOOKUP(Table_NFI[[#This Row],[Camp Name]],CL,2,0),"")</f>
        <v>MMR001CMP047</v>
      </c>
      <c r="AN441" s="782">
        <f ca="1">IF(Table_NFI[[#This Row],[Pcode]]="","",IF(OFFSET(CampList[Opening Date],MATCH(Table_NFI[[#This Row],[Pcode]],CampList[CP_Pcode],0)-1,0,1,1)&gt;=NFI_Monitor_Date,1,0))</f>
        <v>0</v>
      </c>
      <c r="AO441" s="781" t="str">
        <f>IFERROR(VLOOKUP(Table_NFI[[#This Row],[Camp Name]],CL,3,0),"")</f>
        <v>Open</v>
      </c>
      <c r="AP441" s="436" t="str">
        <f ca="1">IF(Table_NFI[[#This Row],[Pcode]]="","",OFFSET(CampList[Priority],MATCH(Table_NFI[[#This Row],[Pcode]],CampList[CP_Pcode],0)-1,0,1,1))</f>
        <v>P4</v>
      </c>
      <c r="AQ441" s="438">
        <f>IFERROR(Table_NFI[[#This Row],[Kitchen Set]]/VLOOKUP(Table_NFI[[#This Row],[Camp Name]],CL,4,0),"")</f>
        <v>0</v>
      </c>
      <c r="AR441" s="779"/>
      <c r="AS441" s="783"/>
    </row>
    <row r="442" spans="1:45" s="784" customFormat="1" x14ac:dyDescent="0.25">
      <c r="A442" s="455">
        <f t="shared" si="6"/>
        <v>23.733333333333334</v>
      </c>
      <c r="B442" s="778">
        <v>41597</v>
      </c>
      <c r="C442" s="442" t="s">
        <v>454</v>
      </c>
      <c r="D442" s="442" t="s">
        <v>454</v>
      </c>
      <c r="E442" s="785" t="s">
        <v>380</v>
      </c>
      <c r="F442" s="779" t="s">
        <v>5</v>
      </c>
      <c r="G442" s="435" t="s">
        <v>12</v>
      </c>
      <c r="H442" s="442"/>
      <c r="I442" s="442"/>
      <c r="J442" s="442"/>
      <c r="K442" s="785">
        <v>57</v>
      </c>
      <c r="L442" s="786">
        <v>33</v>
      </c>
      <c r="M442" s="443">
        <v>57</v>
      </c>
      <c r="N442" s="443">
        <v>33</v>
      </c>
      <c r="O442" s="443">
        <v>33</v>
      </c>
      <c r="P442" s="786"/>
      <c r="Q442" s="443"/>
      <c r="R442" s="442"/>
      <c r="S442" s="442"/>
      <c r="T442" s="442"/>
      <c r="U442" s="442"/>
      <c r="V442" s="442"/>
      <c r="W442" s="436">
        <f>IF(NFI_Expiration=1,IF($A442&lt;VLOOKUP(H$5,NFI,5,0),1,0)*Table_NFI[[#This Row],[Hygiene Kit]],Table_NFI[Hygiene Kit])</f>
        <v>0</v>
      </c>
      <c r="X442" s="436">
        <f>IF(NFI_Expiration=1,IF($A442&lt;VLOOKUP(I$5,NFI,5,0),1,0)*Table_NFI[[#This Row],[NFI Core Kit]],Table_NFI[NFI Core Kit])</f>
        <v>0</v>
      </c>
      <c r="Y442" s="436">
        <f>IF(NFI_Expiration=1,IF($A442&lt;VLOOKUP(J$5,NFI,5,0),1,0)*Table_NFI[[#This Row],[Sanitary Kit]],Table_NFI[Sanitary Kit])</f>
        <v>0</v>
      </c>
      <c r="Z442" s="436">
        <f>IF(NFI_Expiration=1,IF($A442&lt;VLOOKUP(K$5,NFI,5,0),1,0)*Table_NFI[[#This Row],[Mosquito net]],Table_NFI[Mosquito net])</f>
        <v>0</v>
      </c>
      <c r="AA442" s="436">
        <f>IF(NFI_Expiration=1,IF($A442&lt;VLOOKUP(L$5,NFI,5,0),1,0)*Table_NFI[[#This Row],[Tarpaulin]],Table_NFI[[#This Row],[Tarpaulin]])</f>
        <v>0</v>
      </c>
      <c r="AB442" s="436">
        <f>IF(NFI_Expiration=1,IF($A442&lt;VLOOKUP(M$5,NFI,5,0),1,0)*Table_NFI[[#This Row],[Blanket]],Table_NFI[[#This Row],[Blanket]])</f>
        <v>0</v>
      </c>
      <c r="AC442" s="436">
        <f>IF(NFI_Expiration=1,IF($A442&lt;VLOOKUP(N$5,NFI,5,0),1,0)*Table_NFI[[#This Row],[Kitchen Set]],Table_NFI[Kitchen Set])</f>
        <v>0</v>
      </c>
      <c r="AD442" s="436">
        <f>IF(NFI_Expiration=1,IF($A442&lt;VLOOKUP(O$5,NFI,5,0),1,0)*Table_NFI[[#This Row],[Clothes Kit]],Table_NFI[Clothes Kit])</f>
        <v>0</v>
      </c>
      <c r="AE442" s="436">
        <f>IF(NFI_Expiration=1,IF($A442&lt;VLOOKUP(P$5,NFI,5,0),1,0)*Table_NFI[[#This Row],[Plastic Bucket]],Table_NFI[Plastic Bucket])</f>
        <v>0</v>
      </c>
      <c r="AF442" s="436">
        <f>IF(NFI_Expiration=1,IF($A442&lt;VLOOKUP(Q$5,NFI,5,0),1,0)*Table_NFI[[#This Row],[Plastic Mat]],Table_NFI[Plastic Mat])*IF(Table_NFI[[#This Row],[Distribution Date]]&gt;"2014-04-01",1,2.5)</f>
        <v>0</v>
      </c>
      <c r="AG442" s="436">
        <f>IF(NFI_Expiration=1,IF($A442&lt;VLOOKUP(R$5,NFI,5,0),1,0)*Table_NFI[[#This Row],[Winter Clothes Adult]],Table_NFI[Winter Clothes Adult])</f>
        <v>0</v>
      </c>
      <c r="AH442" s="436">
        <f>IF(NFI_Expiration=1,IF($A442&lt;VLOOKUP(S$5,NFI,5,0),1,0)*Table_NFI[[#This Row],[Winter Clothes Children]],Table_NFI[Winter Clothes Children])</f>
        <v>0</v>
      </c>
      <c r="AI442" s="436">
        <f>IF(NFI_Expiration=1,IF($A442&lt;VLOOKUP(T$5,NFI,5,0),1,0)*Table_NFI[[#This Row],[Winter Items Other]],Table_NFI[Winter Items Other])</f>
        <v>0</v>
      </c>
      <c r="AJ442" s="436">
        <f>IF(NFI_Expiration=1,IF($A442&lt;VLOOKUP(M$5,NFI,5,0),1,0)*Table_NFI[[#This Row],[Winter Blanket]],Table_NFI[[#This Row],[Winter Blanket]])</f>
        <v>0</v>
      </c>
      <c r="AK442" s="436">
        <f>IF(Table_NFI[[#This Row],[Winter Clothes Adult]]+Table_NFI[[#This Row],[Winter Clothes Children]]+Table_NFI[[#This Row],[Winter Items Other]]+Table_NFI[[#This Row],[Winter Blanket]]&gt;0,1,0)</f>
        <v>0</v>
      </c>
      <c r="AL442" s="439">
        <f>IF(NFI_Expiration=1,IF($A442&lt;VLOOKUP(V$5,NFI,5,0),1,0)*Table_NFI[[#This Row],[Jerry Can]],Table_NFI[Jerry Can])</f>
        <v>0</v>
      </c>
      <c r="AM442" s="781" t="str">
        <f>IFERROR(VLOOKUP(Table_NFI[[#This Row],[Camp Name]],CL,2,0),"")</f>
        <v>MMR001CMP163</v>
      </c>
      <c r="AN442" s="782">
        <f ca="1">IF(Table_NFI[[#This Row],[Pcode]]="","",IF(OFFSET(CampList[Opening Date],MATCH(Table_NFI[[#This Row],[Pcode]],CampList[CP_Pcode],0)-1,0,1,1)&gt;=NFI_Monitor_Date,1,0))</f>
        <v>0</v>
      </c>
      <c r="AO442" s="781" t="str">
        <f>IFERROR(VLOOKUP(Table_NFI[[#This Row],[Camp Name]],CL,3,0),"")</f>
        <v>Open</v>
      </c>
      <c r="AP442" s="436" t="str">
        <f ca="1">IF(Table_NFI[[#This Row],[Pcode]]="","",OFFSET(CampList[Priority],MATCH(Table_NFI[[#This Row],[Pcode]],CampList[CP_Pcode],0)-1,0,1,1))</f>
        <v>P4</v>
      </c>
      <c r="AQ442" s="438">
        <f>IFERROR(Table_NFI[[#This Row],[Kitchen Set]]/VLOOKUP(Table_NFI[[#This Row],[Camp Name]],CL,4,0),"")</f>
        <v>0.15639810426540285</v>
      </c>
      <c r="AR442" s="779" t="s">
        <v>1099</v>
      </c>
      <c r="AS442" s="783"/>
    </row>
    <row r="443" spans="1:45" s="784" customFormat="1" x14ac:dyDescent="0.25">
      <c r="A443" s="455">
        <f t="shared" si="6"/>
        <v>23.733333333333334</v>
      </c>
      <c r="B443" s="778">
        <v>41597</v>
      </c>
      <c r="C443" s="779" t="s">
        <v>912</v>
      </c>
      <c r="D443" s="779" t="s">
        <v>462</v>
      </c>
      <c r="E443" s="779" t="s">
        <v>380</v>
      </c>
      <c r="F443" s="779" t="s">
        <v>310</v>
      </c>
      <c r="G443" s="779" t="s">
        <v>322</v>
      </c>
      <c r="H443" s="436"/>
      <c r="I443" s="436"/>
      <c r="J443" s="436"/>
      <c r="K443" s="436"/>
      <c r="L443" s="437"/>
      <c r="M443" s="437"/>
      <c r="N443" s="437"/>
      <c r="O443" s="437"/>
      <c r="P443" s="439"/>
      <c r="Q443" s="439"/>
      <c r="R443" s="436">
        <v>613</v>
      </c>
      <c r="S443" s="436">
        <v>1226</v>
      </c>
      <c r="T443" s="436">
        <v>3678</v>
      </c>
      <c r="U443" s="436">
        <v>1839</v>
      </c>
      <c r="V443" s="436"/>
      <c r="W443" s="436">
        <f>IF(NFI_Expiration=1,IF($A443&lt;VLOOKUP(H$5,NFI,5,0),1,0)*Table_NFI[[#This Row],[Hygiene Kit]],Table_NFI[Hygiene Kit])</f>
        <v>0</v>
      </c>
      <c r="X443" s="436">
        <f>IF(NFI_Expiration=1,IF($A443&lt;VLOOKUP(I$5,NFI,5,0),1,0)*Table_NFI[[#This Row],[NFI Core Kit]],Table_NFI[NFI Core Kit])</f>
        <v>0</v>
      </c>
      <c r="Y443" s="436">
        <f>IF(NFI_Expiration=1,IF($A443&lt;VLOOKUP(J$5,NFI,5,0),1,0)*Table_NFI[[#This Row],[Sanitary Kit]],Table_NFI[Sanitary Kit])</f>
        <v>0</v>
      </c>
      <c r="Z443" s="436">
        <f>IF(NFI_Expiration=1,IF($A443&lt;VLOOKUP(K$5,NFI,5,0),1,0)*Table_NFI[[#This Row],[Mosquito net]],Table_NFI[Mosquito net])</f>
        <v>0</v>
      </c>
      <c r="AA443" s="436">
        <f>IF(NFI_Expiration=1,IF($A443&lt;VLOOKUP(L$5,NFI,5,0),1,0)*Table_NFI[[#This Row],[Tarpaulin]],Table_NFI[[#This Row],[Tarpaulin]])</f>
        <v>0</v>
      </c>
      <c r="AB443" s="436">
        <f>IF(NFI_Expiration=1,IF($A443&lt;VLOOKUP(M$5,NFI,5,0),1,0)*Table_NFI[[#This Row],[Blanket]],Table_NFI[[#This Row],[Blanket]])</f>
        <v>0</v>
      </c>
      <c r="AC443" s="436">
        <f>IF(NFI_Expiration=1,IF($A443&lt;VLOOKUP(N$5,NFI,5,0),1,0)*Table_NFI[[#This Row],[Kitchen Set]],Table_NFI[Kitchen Set])</f>
        <v>0</v>
      </c>
      <c r="AD443" s="436">
        <f>IF(NFI_Expiration=1,IF($A443&lt;VLOOKUP(O$5,NFI,5,0),1,0)*Table_NFI[[#This Row],[Clothes Kit]],Table_NFI[Clothes Kit])</f>
        <v>0</v>
      </c>
      <c r="AE443" s="436">
        <f>IF(NFI_Expiration=1,IF($A443&lt;VLOOKUP(P$5,NFI,5,0),1,0)*Table_NFI[[#This Row],[Plastic Bucket]],Table_NFI[Plastic Bucket])</f>
        <v>0</v>
      </c>
      <c r="AF443" s="436">
        <f>IF(NFI_Expiration=1,IF($A443&lt;VLOOKUP(Q$5,NFI,5,0),1,0)*Table_NFI[[#This Row],[Plastic Mat]],Table_NFI[Plastic Mat])*IF(Table_NFI[[#This Row],[Distribution Date]]&gt;"2014-04-01",1,2.5)</f>
        <v>0</v>
      </c>
      <c r="AG443" s="436">
        <f>IF(NFI_Expiration=1,IF($A443&lt;VLOOKUP(R$5,NFI,5,0),1,0)*Table_NFI[[#This Row],[Winter Clothes Adult]],Table_NFI[Winter Clothes Adult])</f>
        <v>0</v>
      </c>
      <c r="AH443" s="436">
        <f>IF(NFI_Expiration=1,IF($A443&lt;VLOOKUP(S$5,NFI,5,0),1,0)*Table_NFI[[#This Row],[Winter Clothes Children]],Table_NFI[Winter Clothes Children])</f>
        <v>0</v>
      </c>
      <c r="AI443" s="436">
        <f>IF(NFI_Expiration=1,IF($A443&lt;VLOOKUP(T$5,NFI,5,0),1,0)*Table_NFI[[#This Row],[Winter Items Other]],Table_NFI[Winter Items Other])</f>
        <v>0</v>
      </c>
      <c r="AJ443" s="436">
        <f>IF(NFI_Expiration=1,IF($A443&lt;VLOOKUP(M$5,NFI,5,0),1,0)*Table_NFI[[#This Row],[Winter Blanket]],Table_NFI[[#This Row],[Winter Blanket]])</f>
        <v>0</v>
      </c>
      <c r="AK443" s="436">
        <f>IF(Table_NFI[[#This Row],[Winter Clothes Adult]]+Table_NFI[[#This Row],[Winter Clothes Children]]+Table_NFI[[#This Row],[Winter Items Other]]+Table_NFI[[#This Row],[Winter Blanket]]&gt;0,1,0)</f>
        <v>1</v>
      </c>
      <c r="AL443" s="439">
        <f>IF(NFI_Expiration=1,IF($A443&lt;VLOOKUP(V$5,NFI,5,0),1,0)*Table_NFI[[#This Row],[Jerry Can]],Table_NFI[Jerry Can])</f>
        <v>0</v>
      </c>
      <c r="AM443" s="781" t="str">
        <f>IFERROR(VLOOKUP(Table_NFI[[#This Row],[Camp Name]],CL,2,0),"")</f>
        <v>MMR001CMP119</v>
      </c>
      <c r="AN443" s="782">
        <f ca="1">IF(Table_NFI[[#This Row],[Pcode]]="","",IF(OFFSET(CampList[Opening Date],MATCH(Table_NFI[[#This Row],[Pcode]],CampList[CP_Pcode],0)-1,0,1,1)&gt;=NFI_Monitor_Date,1,0))</f>
        <v>0</v>
      </c>
      <c r="AO443" s="781" t="str">
        <f>IFERROR(VLOOKUP(Table_NFI[[#This Row],[Camp Name]],CL,3,0),"")</f>
        <v>Open</v>
      </c>
      <c r="AP443" s="436" t="str">
        <f ca="1">IF(Table_NFI[[#This Row],[Pcode]]="","",OFFSET(CampList[Priority],MATCH(Table_NFI[[#This Row],[Pcode]],CampList[CP_Pcode],0)-1,0,1,1))</f>
        <v>P2</v>
      </c>
      <c r="AQ443" s="438">
        <f>IFERROR(Table_NFI[[#This Row],[Kitchen Set]]/VLOOKUP(Table_NFI[[#This Row],[Camp Name]],CL,4,0),"")</f>
        <v>0</v>
      </c>
      <c r="AR443" s="779"/>
      <c r="AS443" s="783"/>
    </row>
    <row r="444" spans="1:45" s="784" customFormat="1" x14ac:dyDescent="0.25">
      <c r="A444" s="455">
        <f t="shared" si="6"/>
        <v>23.733333333333334</v>
      </c>
      <c r="B444" s="778">
        <v>41597</v>
      </c>
      <c r="C444" s="442" t="s">
        <v>454</v>
      </c>
      <c r="D444" s="442" t="s">
        <v>454</v>
      </c>
      <c r="E444" s="785" t="s">
        <v>380</v>
      </c>
      <c r="F444" s="785" t="s">
        <v>5</v>
      </c>
      <c r="G444" s="435" t="s">
        <v>22</v>
      </c>
      <c r="H444" s="442"/>
      <c r="I444" s="442"/>
      <c r="J444" s="442">
        <v>40</v>
      </c>
      <c r="K444" s="785">
        <v>38</v>
      </c>
      <c r="L444" s="786">
        <v>20</v>
      </c>
      <c r="M444" s="443">
        <v>38</v>
      </c>
      <c r="N444" s="443">
        <v>20</v>
      </c>
      <c r="O444" s="443">
        <v>20</v>
      </c>
      <c r="P444" s="786"/>
      <c r="Q444" s="443"/>
      <c r="R444" s="442"/>
      <c r="S444" s="442"/>
      <c r="T444" s="442"/>
      <c r="U444" s="442"/>
      <c r="V444" s="442"/>
      <c r="W444" s="436">
        <f>IF(NFI_Expiration=1,IF($A444&lt;VLOOKUP(H$5,NFI,5,0),1,0)*Table_NFI[[#This Row],[Hygiene Kit]],Table_NFI[Hygiene Kit])</f>
        <v>0</v>
      </c>
      <c r="X444" s="436">
        <f>IF(NFI_Expiration=1,IF($A444&lt;VLOOKUP(I$5,NFI,5,0),1,0)*Table_NFI[[#This Row],[NFI Core Kit]],Table_NFI[NFI Core Kit])</f>
        <v>0</v>
      </c>
      <c r="Y444" s="436">
        <f>IF(NFI_Expiration=1,IF($A444&lt;VLOOKUP(J$5,NFI,5,0),1,0)*Table_NFI[[#This Row],[Sanitary Kit]],Table_NFI[Sanitary Kit])</f>
        <v>0</v>
      </c>
      <c r="Z444" s="436">
        <f>IF(NFI_Expiration=1,IF($A444&lt;VLOOKUP(K$5,NFI,5,0),1,0)*Table_NFI[[#This Row],[Mosquito net]],Table_NFI[Mosquito net])</f>
        <v>0</v>
      </c>
      <c r="AA444" s="436">
        <f>IF(NFI_Expiration=1,IF($A444&lt;VLOOKUP(L$5,NFI,5,0),1,0)*Table_NFI[[#This Row],[Tarpaulin]],Table_NFI[[#This Row],[Tarpaulin]])</f>
        <v>0</v>
      </c>
      <c r="AB444" s="436">
        <f>IF(NFI_Expiration=1,IF($A444&lt;VLOOKUP(M$5,NFI,5,0),1,0)*Table_NFI[[#This Row],[Blanket]],Table_NFI[[#This Row],[Blanket]])</f>
        <v>0</v>
      </c>
      <c r="AC444" s="436">
        <f>IF(NFI_Expiration=1,IF($A444&lt;VLOOKUP(N$5,NFI,5,0),1,0)*Table_NFI[[#This Row],[Kitchen Set]],Table_NFI[Kitchen Set])</f>
        <v>0</v>
      </c>
      <c r="AD444" s="436">
        <f>IF(NFI_Expiration=1,IF($A444&lt;VLOOKUP(O$5,NFI,5,0),1,0)*Table_NFI[[#This Row],[Clothes Kit]],Table_NFI[Clothes Kit])</f>
        <v>0</v>
      </c>
      <c r="AE444" s="436">
        <f>IF(NFI_Expiration=1,IF($A444&lt;VLOOKUP(P$5,NFI,5,0),1,0)*Table_NFI[[#This Row],[Plastic Bucket]],Table_NFI[Plastic Bucket])</f>
        <v>0</v>
      </c>
      <c r="AF444" s="436">
        <f>IF(NFI_Expiration=1,IF($A444&lt;VLOOKUP(Q$5,NFI,5,0),1,0)*Table_NFI[[#This Row],[Plastic Mat]],Table_NFI[Plastic Mat])*IF(Table_NFI[[#This Row],[Distribution Date]]&gt;"2014-04-01",1,2.5)</f>
        <v>0</v>
      </c>
      <c r="AG444" s="436">
        <f>IF(NFI_Expiration=1,IF($A444&lt;VLOOKUP(R$5,NFI,5,0),1,0)*Table_NFI[[#This Row],[Winter Clothes Adult]],Table_NFI[Winter Clothes Adult])</f>
        <v>0</v>
      </c>
      <c r="AH444" s="436">
        <f>IF(NFI_Expiration=1,IF($A444&lt;VLOOKUP(S$5,NFI,5,0),1,0)*Table_NFI[[#This Row],[Winter Clothes Children]],Table_NFI[Winter Clothes Children])</f>
        <v>0</v>
      </c>
      <c r="AI444" s="436">
        <f>IF(NFI_Expiration=1,IF($A444&lt;VLOOKUP(T$5,NFI,5,0),1,0)*Table_NFI[[#This Row],[Winter Items Other]],Table_NFI[Winter Items Other])</f>
        <v>0</v>
      </c>
      <c r="AJ444" s="436">
        <f>IF(NFI_Expiration=1,IF($A444&lt;VLOOKUP(M$5,NFI,5,0),1,0)*Table_NFI[[#This Row],[Winter Blanket]],Table_NFI[[#This Row],[Winter Blanket]])</f>
        <v>0</v>
      </c>
      <c r="AK444" s="436">
        <f>IF(Table_NFI[[#This Row],[Winter Clothes Adult]]+Table_NFI[[#This Row],[Winter Clothes Children]]+Table_NFI[[#This Row],[Winter Items Other]]+Table_NFI[[#This Row],[Winter Blanket]]&gt;0,1,0)</f>
        <v>0</v>
      </c>
      <c r="AL444" s="439">
        <f>IF(NFI_Expiration=1,IF($A444&lt;VLOOKUP(V$5,NFI,5,0),1,0)*Table_NFI[[#This Row],[Jerry Can]],Table_NFI[Jerry Can])</f>
        <v>0</v>
      </c>
      <c r="AM444" s="781" t="str">
        <f>IFERROR(VLOOKUP(Table_NFI[[#This Row],[Camp Name]],CL,2,0),"")</f>
        <v>MMR001CMP047</v>
      </c>
      <c r="AN444" s="782">
        <f ca="1">IF(Table_NFI[[#This Row],[Pcode]]="","",IF(OFFSET(CampList[Opening Date],MATCH(Table_NFI[[#This Row],[Pcode]],CampList[CP_Pcode],0)-1,0,1,1)&gt;=NFI_Monitor_Date,1,0))</f>
        <v>0</v>
      </c>
      <c r="AO444" s="781" t="str">
        <f>IFERROR(VLOOKUP(Table_NFI[[#This Row],[Camp Name]],CL,3,0),"")</f>
        <v>Open</v>
      </c>
      <c r="AP444" s="436" t="str">
        <f ca="1">IF(Table_NFI[[#This Row],[Pcode]]="","",OFFSET(CampList[Priority],MATCH(Table_NFI[[#This Row],[Pcode]],CampList[CP_Pcode],0)-1,0,1,1))</f>
        <v>P4</v>
      </c>
      <c r="AQ444" s="438">
        <f>IFERROR(Table_NFI[[#This Row],[Kitchen Set]]/VLOOKUP(Table_NFI[[#This Row],[Camp Name]],CL,4,0),"")</f>
        <v>3.0674846625766871E-2</v>
      </c>
      <c r="AR444" s="779" t="s">
        <v>1099</v>
      </c>
      <c r="AS444" s="783"/>
    </row>
    <row r="445" spans="1:45" s="784" customFormat="1" x14ac:dyDescent="0.25">
      <c r="A445" s="455">
        <f t="shared" si="6"/>
        <v>23.733333333333334</v>
      </c>
      <c r="B445" s="778">
        <v>41597</v>
      </c>
      <c r="C445" s="442" t="s">
        <v>454</v>
      </c>
      <c r="D445" s="442" t="s">
        <v>454</v>
      </c>
      <c r="E445" s="785" t="s">
        <v>380</v>
      </c>
      <c r="F445" s="785" t="s">
        <v>5</v>
      </c>
      <c r="G445" s="435" t="s">
        <v>875</v>
      </c>
      <c r="H445" s="442"/>
      <c r="I445" s="442"/>
      <c r="J445" s="442"/>
      <c r="K445" s="785">
        <v>13</v>
      </c>
      <c r="L445" s="786">
        <v>9</v>
      </c>
      <c r="M445" s="443">
        <v>13</v>
      </c>
      <c r="N445" s="443">
        <v>9</v>
      </c>
      <c r="O445" s="443">
        <v>9</v>
      </c>
      <c r="P445" s="786"/>
      <c r="Q445" s="443"/>
      <c r="R445" s="442"/>
      <c r="S445" s="442"/>
      <c r="T445" s="442"/>
      <c r="U445" s="442"/>
      <c r="V445" s="442"/>
      <c r="W445" s="436">
        <f>IF(NFI_Expiration=1,IF($A445&lt;VLOOKUP(H$5,NFI,5,0),1,0)*Table_NFI[[#This Row],[Hygiene Kit]],Table_NFI[Hygiene Kit])</f>
        <v>0</v>
      </c>
      <c r="X445" s="436">
        <f>IF(NFI_Expiration=1,IF($A445&lt;VLOOKUP(I$5,NFI,5,0),1,0)*Table_NFI[[#This Row],[NFI Core Kit]],Table_NFI[NFI Core Kit])</f>
        <v>0</v>
      </c>
      <c r="Y445" s="436">
        <f>IF(NFI_Expiration=1,IF($A445&lt;VLOOKUP(J$5,NFI,5,0),1,0)*Table_NFI[[#This Row],[Sanitary Kit]],Table_NFI[Sanitary Kit])</f>
        <v>0</v>
      </c>
      <c r="Z445" s="436">
        <f>IF(NFI_Expiration=1,IF($A445&lt;VLOOKUP(K$5,NFI,5,0),1,0)*Table_NFI[[#This Row],[Mosquito net]],Table_NFI[Mosquito net])</f>
        <v>0</v>
      </c>
      <c r="AA445" s="436">
        <f>IF(NFI_Expiration=1,IF($A445&lt;VLOOKUP(L$5,NFI,5,0),1,0)*Table_NFI[[#This Row],[Tarpaulin]],Table_NFI[[#This Row],[Tarpaulin]])</f>
        <v>0</v>
      </c>
      <c r="AB445" s="436">
        <f>IF(NFI_Expiration=1,IF($A445&lt;VLOOKUP(M$5,NFI,5,0),1,0)*Table_NFI[[#This Row],[Blanket]],Table_NFI[[#This Row],[Blanket]])</f>
        <v>0</v>
      </c>
      <c r="AC445" s="436">
        <f>IF(NFI_Expiration=1,IF($A445&lt;VLOOKUP(N$5,NFI,5,0),1,0)*Table_NFI[[#This Row],[Kitchen Set]],Table_NFI[Kitchen Set])</f>
        <v>0</v>
      </c>
      <c r="AD445" s="436">
        <f>IF(NFI_Expiration=1,IF($A445&lt;VLOOKUP(O$5,NFI,5,0),1,0)*Table_NFI[[#This Row],[Clothes Kit]],Table_NFI[Clothes Kit])</f>
        <v>0</v>
      </c>
      <c r="AE445" s="436">
        <f>IF(NFI_Expiration=1,IF($A445&lt;VLOOKUP(P$5,NFI,5,0),1,0)*Table_NFI[[#This Row],[Plastic Bucket]],Table_NFI[Plastic Bucket])</f>
        <v>0</v>
      </c>
      <c r="AF445" s="436">
        <f>IF(NFI_Expiration=1,IF($A445&lt;VLOOKUP(Q$5,NFI,5,0),1,0)*Table_NFI[[#This Row],[Plastic Mat]],Table_NFI[Plastic Mat])*IF(Table_NFI[[#This Row],[Distribution Date]]&gt;"2014-04-01",1,2.5)</f>
        <v>0</v>
      </c>
      <c r="AG445" s="436">
        <f>IF(NFI_Expiration=1,IF($A445&lt;VLOOKUP(R$5,NFI,5,0),1,0)*Table_NFI[[#This Row],[Winter Clothes Adult]],Table_NFI[Winter Clothes Adult])</f>
        <v>0</v>
      </c>
      <c r="AH445" s="436">
        <f>IF(NFI_Expiration=1,IF($A445&lt;VLOOKUP(S$5,NFI,5,0),1,0)*Table_NFI[[#This Row],[Winter Clothes Children]],Table_NFI[Winter Clothes Children])</f>
        <v>0</v>
      </c>
      <c r="AI445" s="436">
        <f>IF(NFI_Expiration=1,IF($A445&lt;VLOOKUP(T$5,NFI,5,0),1,0)*Table_NFI[[#This Row],[Winter Items Other]],Table_NFI[Winter Items Other])</f>
        <v>0</v>
      </c>
      <c r="AJ445" s="436">
        <f>IF(NFI_Expiration=1,IF($A445&lt;VLOOKUP(M$5,NFI,5,0),1,0)*Table_NFI[[#This Row],[Winter Blanket]],Table_NFI[[#This Row],[Winter Blanket]])</f>
        <v>0</v>
      </c>
      <c r="AK445" s="436">
        <f>IF(Table_NFI[[#This Row],[Winter Clothes Adult]]+Table_NFI[[#This Row],[Winter Clothes Children]]+Table_NFI[[#This Row],[Winter Items Other]]+Table_NFI[[#This Row],[Winter Blanket]]&gt;0,1,0)</f>
        <v>0</v>
      </c>
      <c r="AL445" s="439">
        <f>IF(NFI_Expiration=1,IF($A445&lt;VLOOKUP(V$5,NFI,5,0),1,0)*Table_NFI[[#This Row],[Jerry Can]],Table_NFI[Jerry Can])</f>
        <v>0</v>
      </c>
      <c r="AM445" s="781" t="str">
        <f>IFERROR(VLOOKUP(Table_NFI[[#This Row],[Camp Name]],CL,2,0),"")</f>
        <v>MMR001CMP211</v>
      </c>
      <c r="AN445" s="782">
        <f ca="1">IF(Table_NFI[[#This Row],[Pcode]]="","",IF(OFFSET(CampList[Opening Date],MATCH(Table_NFI[[#This Row],[Pcode]],CampList[CP_Pcode],0)-1,0,1,1)&gt;=NFI_Monitor_Date,1,0))</f>
        <v>0</v>
      </c>
      <c r="AO445" s="781" t="str">
        <f>IFERROR(VLOOKUP(Table_NFI[[#This Row],[Camp Name]],CL,3,0),"")</f>
        <v>Closed</v>
      </c>
      <c r="AP445" s="436" t="str">
        <f ca="1">IF(Table_NFI[[#This Row],[Pcode]]="","",OFFSET(CampList[Priority],MATCH(Table_NFI[[#This Row],[Pcode]],CampList[CP_Pcode],0)-1,0,1,1))</f>
        <v/>
      </c>
      <c r="AQ445" s="438" t="str">
        <f>IFERROR(Table_NFI[[#This Row],[Kitchen Set]]/VLOOKUP(Table_NFI[[#This Row],[Camp Name]],CL,4,0),"")</f>
        <v/>
      </c>
      <c r="AR445" s="779" t="s">
        <v>1099</v>
      </c>
      <c r="AS445" s="783"/>
    </row>
    <row r="446" spans="1:45" s="784" customFormat="1" x14ac:dyDescent="0.25">
      <c r="A446" s="455">
        <f t="shared" si="6"/>
        <v>23.766666666666666</v>
      </c>
      <c r="B446" s="778">
        <v>41596</v>
      </c>
      <c r="C446" s="779" t="s">
        <v>455</v>
      </c>
      <c r="D446" s="779"/>
      <c r="E446" s="779" t="s">
        <v>380</v>
      </c>
      <c r="F446" s="779" t="s">
        <v>185</v>
      </c>
      <c r="G446" s="779" t="s">
        <v>190</v>
      </c>
      <c r="H446" s="436"/>
      <c r="I446" s="436"/>
      <c r="J446" s="436"/>
      <c r="K446" s="436"/>
      <c r="L446" s="437"/>
      <c r="M446" s="437">
        <v>395</v>
      </c>
      <c r="N446" s="437"/>
      <c r="O446" s="437"/>
      <c r="P446" s="439"/>
      <c r="Q446" s="439"/>
      <c r="R446" s="436"/>
      <c r="S446" s="436"/>
      <c r="T446" s="436"/>
      <c r="U446" s="436"/>
      <c r="V446" s="436"/>
      <c r="W446" s="444">
        <f>IF(NFI_Expiration=1,IF($A446&lt;VLOOKUP(H$5,NFI,5,0),1,0)*Table_NFI[[#This Row],[Hygiene Kit]],Table_NFI[Hygiene Kit])</f>
        <v>0</v>
      </c>
      <c r="X446" s="444">
        <f>IF(NFI_Expiration=1,IF($A446&lt;VLOOKUP(I$5,NFI,5,0),1,0)*Table_NFI[[#This Row],[NFI Core Kit]],Table_NFI[NFI Core Kit])</f>
        <v>0</v>
      </c>
      <c r="Y446" s="444">
        <f>IF(NFI_Expiration=1,IF($A446&lt;VLOOKUP(J$5,NFI,5,0),1,0)*Table_NFI[[#This Row],[Sanitary Kit]],Table_NFI[Sanitary Kit])</f>
        <v>0</v>
      </c>
      <c r="Z446" s="444">
        <f>IF(NFI_Expiration=1,IF($A446&lt;VLOOKUP(K$5,NFI,5,0),1,0)*Table_NFI[[#This Row],[Mosquito net]],Table_NFI[Mosquito net])</f>
        <v>0</v>
      </c>
      <c r="AA446" s="444">
        <f>IF(NFI_Expiration=1,IF($A446&lt;VLOOKUP(L$5,NFI,5,0),1,0)*Table_NFI[[#This Row],[Tarpaulin]],Table_NFI[[#This Row],[Tarpaulin]])</f>
        <v>0</v>
      </c>
      <c r="AB446" s="444">
        <f>IF(NFI_Expiration=1,IF($A446&lt;VLOOKUP(M$5,NFI,5,0),1,0)*Table_NFI[[#This Row],[Blanket]],Table_NFI[[#This Row],[Blanket]])</f>
        <v>0</v>
      </c>
      <c r="AC446" s="444">
        <f>IF(NFI_Expiration=1,IF($A446&lt;VLOOKUP(N$5,NFI,5,0),1,0)*Table_NFI[[#This Row],[Kitchen Set]],Table_NFI[Kitchen Set])</f>
        <v>0</v>
      </c>
      <c r="AD446" s="444">
        <f>IF(NFI_Expiration=1,IF($A446&lt;VLOOKUP(O$5,NFI,5,0),1,0)*Table_NFI[[#This Row],[Clothes Kit]],Table_NFI[Clothes Kit])</f>
        <v>0</v>
      </c>
      <c r="AE446" s="444">
        <f>IF(NFI_Expiration=1,IF($A446&lt;VLOOKUP(P$5,NFI,5,0),1,0)*Table_NFI[[#This Row],[Plastic Bucket]],Table_NFI[Plastic Bucket])</f>
        <v>0</v>
      </c>
      <c r="AF446" s="444">
        <f>IF(NFI_Expiration=1,IF($A446&lt;VLOOKUP(Q$5,NFI,5,0),1,0)*Table_NFI[[#This Row],[Plastic Mat]],Table_NFI[Plastic Mat])*IF(Table_NFI[[#This Row],[Distribution Date]]&gt;"2014-04-01",1,2.5)</f>
        <v>0</v>
      </c>
      <c r="AG446" s="444">
        <f>IF(NFI_Expiration=1,IF($A446&lt;VLOOKUP(R$5,NFI,5,0),1,0)*Table_NFI[[#This Row],[Winter Clothes Adult]],Table_NFI[Winter Clothes Adult])</f>
        <v>0</v>
      </c>
      <c r="AH446" s="444">
        <f>IF(NFI_Expiration=1,IF($A446&lt;VLOOKUP(S$5,NFI,5,0),1,0)*Table_NFI[[#This Row],[Winter Clothes Children]],Table_NFI[Winter Clothes Children])</f>
        <v>0</v>
      </c>
      <c r="AI446" s="444">
        <f>IF(NFI_Expiration=1,IF($A446&lt;VLOOKUP(T$5,NFI,5,0),1,0)*Table_NFI[[#This Row],[Winter Items Other]],Table_NFI[Winter Items Other])</f>
        <v>0</v>
      </c>
      <c r="AJ446" s="444">
        <f>IF(NFI_Expiration=1,IF($A446&lt;VLOOKUP(M$5,NFI,5,0),1,0)*Table_NFI[[#This Row],[Winter Blanket]],Table_NFI[[#This Row],[Winter Blanket]])</f>
        <v>0</v>
      </c>
      <c r="AK446" s="444">
        <f>IF(Table_NFI[[#This Row],[Winter Clothes Adult]]+Table_NFI[[#This Row],[Winter Clothes Children]]+Table_NFI[[#This Row],[Winter Items Other]]+Table_NFI[[#This Row],[Winter Blanket]]&gt;0,1,0)</f>
        <v>0</v>
      </c>
      <c r="AL446" s="439">
        <f>IF(NFI_Expiration=1,IF($A446&lt;VLOOKUP(V$5,NFI,5,0),1,0)*Table_NFI[[#This Row],[Jerry Can]],Table_NFI[Jerry Can])</f>
        <v>0</v>
      </c>
      <c r="AM446" s="787" t="str">
        <f>IFERROR(VLOOKUP(Table_NFI[[#This Row],[Camp Name]],CL,2,0),"")</f>
        <v>MMR001CMP070</v>
      </c>
      <c r="AN446" s="788">
        <f ca="1">IF(Table_NFI[[#This Row],[Pcode]]="","",IF(OFFSET(CampList[Opening Date],MATCH(Table_NFI[[#This Row],[Pcode]],CampList[CP_Pcode],0)-1,0,1,1)&gt;=NFI_Monitor_Date,1,0))</f>
        <v>0</v>
      </c>
      <c r="AO446" s="787" t="str">
        <f>IFERROR(VLOOKUP(Table_NFI[[#This Row],[Camp Name]],CL,3,0),"")</f>
        <v>Open</v>
      </c>
      <c r="AP446" s="444" t="str">
        <f ca="1">IF(Table_NFI[[#This Row],[Pcode]]="","",OFFSET(CampList[Priority],MATCH(Table_NFI[[#This Row],[Pcode]],CampList[CP_Pcode],0)-1,0,1,1))</f>
        <v>P3</v>
      </c>
      <c r="AQ446" s="445">
        <f>IFERROR(Table_NFI[[#This Row],[Kitchen Set]]/VLOOKUP(Table_NFI[[#This Row],[Camp Name]],CL,4,0),"")</f>
        <v>0</v>
      </c>
      <c r="AR446" s="779" t="s">
        <v>1099</v>
      </c>
      <c r="AS446" s="783"/>
    </row>
    <row r="447" spans="1:45" s="784" customFormat="1" x14ac:dyDescent="0.25">
      <c r="A447" s="455">
        <f t="shared" si="6"/>
        <v>23.8</v>
      </c>
      <c r="B447" s="778">
        <v>41595</v>
      </c>
      <c r="C447" s="779" t="s">
        <v>455</v>
      </c>
      <c r="D447" s="779"/>
      <c r="E447" s="779" t="s">
        <v>380</v>
      </c>
      <c r="F447" s="779" t="s">
        <v>185</v>
      </c>
      <c r="G447" s="779" t="s">
        <v>223</v>
      </c>
      <c r="H447" s="436"/>
      <c r="I447" s="436"/>
      <c r="J447" s="436"/>
      <c r="K447" s="436"/>
      <c r="L447" s="437"/>
      <c r="M447" s="437">
        <v>141</v>
      </c>
      <c r="N447" s="437"/>
      <c r="O447" s="437"/>
      <c r="P447" s="439"/>
      <c r="Q447" s="439"/>
      <c r="R447" s="436"/>
      <c r="S447" s="436"/>
      <c r="T447" s="436"/>
      <c r="U447" s="436"/>
      <c r="V447" s="436"/>
      <c r="W447" s="444">
        <f>IF(NFI_Expiration=1,IF($A447&lt;VLOOKUP(H$5,NFI,5,0),1,0)*Table_NFI[[#This Row],[Hygiene Kit]],Table_NFI[Hygiene Kit])</f>
        <v>0</v>
      </c>
      <c r="X447" s="444">
        <f>IF(NFI_Expiration=1,IF($A447&lt;VLOOKUP(I$5,NFI,5,0),1,0)*Table_NFI[[#This Row],[NFI Core Kit]],Table_NFI[NFI Core Kit])</f>
        <v>0</v>
      </c>
      <c r="Y447" s="444">
        <f>IF(NFI_Expiration=1,IF($A447&lt;VLOOKUP(J$5,NFI,5,0),1,0)*Table_NFI[[#This Row],[Sanitary Kit]],Table_NFI[Sanitary Kit])</f>
        <v>0</v>
      </c>
      <c r="Z447" s="444">
        <f>IF(NFI_Expiration=1,IF($A447&lt;VLOOKUP(K$5,NFI,5,0),1,0)*Table_NFI[[#This Row],[Mosquito net]],Table_NFI[Mosquito net])</f>
        <v>0</v>
      </c>
      <c r="AA447" s="444">
        <f>IF(NFI_Expiration=1,IF($A447&lt;VLOOKUP(L$5,NFI,5,0),1,0)*Table_NFI[[#This Row],[Tarpaulin]],Table_NFI[[#This Row],[Tarpaulin]])</f>
        <v>0</v>
      </c>
      <c r="AB447" s="444">
        <f>IF(NFI_Expiration=1,IF($A447&lt;VLOOKUP(M$5,NFI,5,0),1,0)*Table_NFI[[#This Row],[Blanket]],Table_NFI[[#This Row],[Blanket]])</f>
        <v>0</v>
      </c>
      <c r="AC447" s="444">
        <f>IF(NFI_Expiration=1,IF($A447&lt;VLOOKUP(N$5,NFI,5,0),1,0)*Table_NFI[[#This Row],[Kitchen Set]],Table_NFI[Kitchen Set])</f>
        <v>0</v>
      </c>
      <c r="AD447" s="444">
        <f>IF(NFI_Expiration=1,IF($A447&lt;VLOOKUP(O$5,NFI,5,0),1,0)*Table_NFI[[#This Row],[Clothes Kit]],Table_NFI[Clothes Kit])</f>
        <v>0</v>
      </c>
      <c r="AE447" s="444">
        <f>IF(NFI_Expiration=1,IF($A447&lt;VLOOKUP(P$5,NFI,5,0),1,0)*Table_NFI[[#This Row],[Plastic Bucket]],Table_NFI[Plastic Bucket])</f>
        <v>0</v>
      </c>
      <c r="AF447" s="444">
        <f>IF(NFI_Expiration=1,IF($A447&lt;VLOOKUP(Q$5,NFI,5,0),1,0)*Table_NFI[[#This Row],[Plastic Mat]],Table_NFI[Plastic Mat])*IF(Table_NFI[[#This Row],[Distribution Date]]&gt;"2014-04-01",1,2.5)</f>
        <v>0</v>
      </c>
      <c r="AG447" s="444">
        <f>IF(NFI_Expiration=1,IF($A447&lt;VLOOKUP(R$5,NFI,5,0),1,0)*Table_NFI[[#This Row],[Winter Clothes Adult]],Table_NFI[Winter Clothes Adult])</f>
        <v>0</v>
      </c>
      <c r="AH447" s="444">
        <f>IF(NFI_Expiration=1,IF($A447&lt;VLOOKUP(S$5,NFI,5,0),1,0)*Table_NFI[[#This Row],[Winter Clothes Children]],Table_NFI[Winter Clothes Children])</f>
        <v>0</v>
      </c>
      <c r="AI447" s="444">
        <f>IF(NFI_Expiration=1,IF($A447&lt;VLOOKUP(T$5,NFI,5,0),1,0)*Table_NFI[[#This Row],[Winter Items Other]],Table_NFI[Winter Items Other])</f>
        <v>0</v>
      </c>
      <c r="AJ447" s="444">
        <f>IF(NFI_Expiration=1,IF($A447&lt;VLOOKUP(M$5,NFI,5,0),1,0)*Table_NFI[[#This Row],[Winter Blanket]],Table_NFI[[#This Row],[Winter Blanket]])</f>
        <v>0</v>
      </c>
      <c r="AK447" s="444">
        <f>IF(Table_NFI[[#This Row],[Winter Clothes Adult]]+Table_NFI[[#This Row],[Winter Clothes Children]]+Table_NFI[[#This Row],[Winter Items Other]]+Table_NFI[[#This Row],[Winter Blanket]]&gt;0,1,0)</f>
        <v>0</v>
      </c>
      <c r="AL447" s="439">
        <f>IF(NFI_Expiration=1,IF($A447&lt;VLOOKUP(V$5,NFI,5,0),1,0)*Table_NFI[[#This Row],[Jerry Can]],Table_NFI[Jerry Can])</f>
        <v>0</v>
      </c>
      <c r="AM447" s="787" t="str">
        <f>IFERROR(VLOOKUP(Table_NFI[[#This Row],[Camp Name]],CL,2,0),"")</f>
        <v>MMR001CMP069</v>
      </c>
      <c r="AN447" s="788">
        <f ca="1">IF(Table_NFI[[#This Row],[Pcode]]="","",IF(OFFSET(CampList[Opening Date],MATCH(Table_NFI[[#This Row],[Pcode]],CampList[CP_Pcode],0)-1,0,1,1)&gt;=NFI_Monitor_Date,1,0))</f>
        <v>0</v>
      </c>
      <c r="AO447" s="787" t="str">
        <f>IFERROR(VLOOKUP(Table_NFI[[#This Row],[Camp Name]],CL,3,0),"")</f>
        <v>Open</v>
      </c>
      <c r="AP447" s="444" t="str">
        <f ca="1">IF(Table_NFI[[#This Row],[Pcode]]="","",OFFSET(CampList[Priority],MATCH(Table_NFI[[#This Row],[Pcode]],CampList[CP_Pcode],0)-1,0,1,1))</f>
        <v>P3</v>
      </c>
      <c r="AQ447" s="445">
        <f>IFERROR(Table_NFI[[#This Row],[Kitchen Set]]/VLOOKUP(Table_NFI[[#This Row],[Camp Name]],CL,4,0),"")</f>
        <v>0</v>
      </c>
      <c r="AR447" s="779" t="s">
        <v>1099</v>
      </c>
      <c r="AS447" s="783"/>
    </row>
    <row r="448" spans="1:45" s="784" customFormat="1" x14ac:dyDescent="0.25">
      <c r="A448" s="455">
        <f t="shared" si="6"/>
        <v>23.8</v>
      </c>
      <c r="B448" s="778">
        <v>41595</v>
      </c>
      <c r="C448" s="442" t="s">
        <v>454</v>
      </c>
      <c r="D448" s="442" t="s">
        <v>575</v>
      </c>
      <c r="E448" s="779" t="s">
        <v>380</v>
      </c>
      <c r="F448" s="435" t="s">
        <v>151</v>
      </c>
      <c r="G448" s="435" t="s">
        <v>154</v>
      </c>
      <c r="H448" s="442"/>
      <c r="I448" s="442"/>
      <c r="J448" s="442"/>
      <c r="K448" s="785">
        <v>700</v>
      </c>
      <c r="L448" s="786">
        <v>350</v>
      </c>
      <c r="M448" s="443">
        <v>700</v>
      </c>
      <c r="N448" s="443">
        <v>350</v>
      </c>
      <c r="O448" s="443">
        <v>350</v>
      </c>
      <c r="P448" s="786"/>
      <c r="Q448" s="443"/>
      <c r="R448" s="442"/>
      <c r="S448" s="442"/>
      <c r="T448" s="442"/>
      <c r="U448" s="442"/>
      <c r="V448" s="442"/>
      <c r="W448" s="436">
        <f>IF(NFI_Expiration=1,IF($A448&lt;VLOOKUP(H$5,NFI,5,0),1,0)*Table_NFI[[#This Row],[Hygiene Kit]],Table_NFI[Hygiene Kit])</f>
        <v>0</v>
      </c>
      <c r="X448" s="436">
        <f>IF(NFI_Expiration=1,IF($A448&lt;VLOOKUP(I$5,NFI,5,0),1,0)*Table_NFI[[#This Row],[NFI Core Kit]],Table_NFI[NFI Core Kit])</f>
        <v>0</v>
      </c>
      <c r="Y448" s="436">
        <f>IF(NFI_Expiration=1,IF($A448&lt;VLOOKUP(J$5,NFI,5,0),1,0)*Table_NFI[[#This Row],[Sanitary Kit]],Table_NFI[Sanitary Kit])</f>
        <v>0</v>
      </c>
      <c r="Z448" s="436">
        <f>IF(NFI_Expiration=1,IF($A448&lt;VLOOKUP(K$5,NFI,5,0),1,0)*Table_NFI[[#This Row],[Mosquito net]],Table_NFI[Mosquito net])</f>
        <v>0</v>
      </c>
      <c r="AA448" s="436">
        <f>IF(NFI_Expiration=1,IF($A448&lt;VLOOKUP(L$5,NFI,5,0),1,0)*Table_NFI[[#This Row],[Tarpaulin]],Table_NFI[[#This Row],[Tarpaulin]])</f>
        <v>0</v>
      </c>
      <c r="AB448" s="436">
        <f>IF(NFI_Expiration=1,IF($A448&lt;VLOOKUP(M$5,NFI,5,0),1,0)*Table_NFI[[#This Row],[Blanket]],Table_NFI[[#This Row],[Blanket]])</f>
        <v>0</v>
      </c>
      <c r="AC448" s="436">
        <f>IF(NFI_Expiration=1,IF($A448&lt;VLOOKUP(N$5,NFI,5,0),1,0)*Table_NFI[[#This Row],[Kitchen Set]],Table_NFI[Kitchen Set])</f>
        <v>0</v>
      </c>
      <c r="AD448" s="436">
        <f>IF(NFI_Expiration=1,IF($A448&lt;VLOOKUP(O$5,NFI,5,0),1,0)*Table_NFI[[#This Row],[Clothes Kit]],Table_NFI[Clothes Kit])</f>
        <v>0</v>
      </c>
      <c r="AE448" s="436">
        <f>IF(NFI_Expiration=1,IF($A448&lt;VLOOKUP(P$5,NFI,5,0),1,0)*Table_NFI[[#This Row],[Plastic Bucket]],Table_NFI[Plastic Bucket])</f>
        <v>0</v>
      </c>
      <c r="AF448" s="436">
        <f>IF(NFI_Expiration=1,IF($A448&lt;VLOOKUP(Q$5,NFI,5,0),1,0)*Table_NFI[[#This Row],[Plastic Mat]],Table_NFI[Plastic Mat])*IF(Table_NFI[[#This Row],[Distribution Date]]&gt;"2014-04-01",1,2.5)</f>
        <v>0</v>
      </c>
      <c r="AG448" s="436">
        <f>IF(NFI_Expiration=1,IF($A448&lt;VLOOKUP(R$5,NFI,5,0),1,0)*Table_NFI[[#This Row],[Winter Clothes Adult]],Table_NFI[Winter Clothes Adult])</f>
        <v>0</v>
      </c>
      <c r="AH448" s="436">
        <f>IF(NFI_Expiration=1,IF($A448&lt;VLOOKUP(S$5,NFI,5,0),1,0)*Table_NFI[[#This Row],[Winter Clothes Children]],Table_NFI[Winter Clothes Children])</f>
        <v>0</v>
      </c>
      <c r="AI448" s="436">
        <f>IF(NFI_Expiration=1,IF($A448&lt;VLOOKUP(T$5,NFI,5,0),1,0)*Table_NFI[[#This Row],[Winter Items Other]],Table_NFI[Winter Items Other])</f>
        <v>0</v>
      </c>
      <c r="AJ448" s="436">
        <f>IF(NFI_Expiration=1,IF($A448&lt;VLOOKUP(M$5,NFI,5,0),1,0)*Table_NFI[[#This Row],[Winter Blanket]],Table_NFI[[#This Row],[Winter Blanket]])</f>
        <v>0</v>
      </c>
      <c r="AK448" s="436">
        <f>IF(Table_NFI[[#This Row],[Winter Clothes Adult]]+Table_NFI[[#This Row],[Winter Clothes Children]]+Table_NFI[[#This Row],[Winter Items Other]]+Table_NFI[[#This Row],[Winter Blanket]]&gt;0,1,0)</f>
        <v>0</v>
      </c>
      <c r="AL448" s="439">
        <f>IF(NFI_Expiration=1,IF($A448&lt;VLOOKUP(V$5,NFI,5,0),1,0)*Table_NFI[[#This Row],[Jerry Can]],Table_NFI[Jerry Can])</f>
        <v>0</v>
      </c>
      <c r="AM448" s="781" t="str">
        <f>IFERROR(VLOOKUP(Table_NFI[[#This Row],[Camp Name]],CL,2,0),"")</f>
        <v>MMR001CMP132</v>
      </c>
      <c r="AN448" s="782">
        <f ca="1">IF(Table_NFI[[#This Row],[Pcode]]="","",IF(OFFSET(CampList[Opening Date],MATCH(Table_NFI[[#This Row],[Pcode]],CampList[CP_Pcode],0)-1,0,1,1)&gt;=NFI_Monitor_Date,1,0))</f>
        <v>0</v>
      </c>
      <c r="AO448" s="781" t="str">
        <f>IFERROR(VLOOKUP(Table_NFI[[#This Row],[Camp Name]],CL,3,0),"")</f>
        <v>Open</v>
      </c>
      <c r="AP448" s="436" t="str">
        <f ca="1">IF(Table_NFI[[#This Row],[Pcode]]="","",OFFSET(CampList[Priority],MATCH(Table_NFI[[#This Row],[Pcode]],CampList[CP_Pcode],0)-1,0,1,1))</f>
        <v>P4</v>
      </c>
      <c r="AQ448" s="438">
        <f>IFERROR(Table_NFI[[#This Row],[Kitchen Set]]/VLOOKUP(Table_NFI[[#This Row],[Camp Name]],CL,4,0),"")</f>
        <v>0.72016460905349799</v>
      </c>
      <c r="AR448" s="779" t="s">
        <v>1099</v>
      </c>
      <c r="AS448" s="783"/>
    </row>
    <row r="449" spans="1:45" s="784" customFormat="1" x14ac:dyDescent="0.25">
      <c r="A449" s="455">
        <f t="shared" si="6"/>
        <v>23.8</v>
      </c>
      <c r="B449" s="778">
        <v>41595</v>
      </c>
      <c r="C449" s="779" t="s">
        <v>455</v>
      </c>
      <c r="D449" s="779"/>
      <c r="E449" s="779" t="s">
        <v>380</v>
      </c>
      <c r="F449" s="779" t="s">
        <v>185</v>
      </c>
      <c r="G449" s="779" t="s">
        <v>229</v>
      </c>
      <c r="H449" s="436"/>
      <c r="I449" s="436"/>
      <c r="J449" s="436"/>
      <c r="K449" s="436"/>
      <c r="L449" s="437"/>
      <c r="M449" s="437">
        <v>145</v>
      </c>
      <c r="N449" s="437"/>
      <c r="O449" s="437"/>
      <c r="P449" s="439"/>
      <c r="Q449" s="439"/>
      <c r="R449" s="436"/>
      <c r="S449" s="436"/>
      <c r="T449" s="436"/>
      <c r="U449" s="436"/>
      <c r="V449" s="436"/>
      <c r="W449" s="444">
        <f>IF(NFI_Expiration=1,IF($A449&lt;VLOOKUP(H$5,NFI,5,0),1,0)*Table_NFI[[#This Row],[Hygiene Kit]],Table_NFI[Hygiene Kit])</f>
        <v>0</v>
      </c>
      <c r="X449" s="444">
        <f>IF(NFI_Expiration=1,IF($A449&lt;VLOOKUP(I$5,NFI,5,0),1,0)*Table_NFI[[#This Row],[NFI Core Kit]],Table_NFI[NFI Core Kit])</f>
        <v>0</v>
      </c>
      <c r="Y449" s="444">
        <f>IF(NFI_Expiration=1,IF($A449&lt;VLOOKUP(J$5,NFI,5,0),1,0)*Table_NFI[[#This Row],[Sanitary Kit]],Table_NFI[Sanitary Kit])</f>
        <v>0</v>
      </c>
      <c r="Z449" s="444">
        <f>IF(NFI_Expiration=1,IF($A449&lt;VLOOKUP(K$5,NFI,5,0),1,0)*Table_NFI[[#This Row],[Mosquito net]],Table_NFI[Mosquito net])</f>
        <v>0</v>
      </c>
      <c r="AA449" s="444">
        <f>IF(NFI_Expiration=1,IF($A449&lt;VLOOKUP(L$5,NFI,5,0),1,0)*Table_NFI[[#This Row],[Tarpaulin]],Table_NFI[[#This Row],[Tarpaulin]])</f>
        <v>0</v>
      </c>
      <c r="AB449" s="444">
        <f>IF(NFI_Expiration=1,IF($A449&lt;VLOOKUP(M$5,NFI,5,0),1,0)*Table_NFI[[#This Row],[Blanket]],Table_NFI[[#This Row],[Blanket]])</f>
        <v>0</v>
      </c>
      <c r="AC449" s="444">
        <f>IF(NFI_Expiration=1,IF($A449&lt;VLOOKUP(N$5,NFI,5,0),1,0)*Table_NFI[[#This Row],[Kitchen Set]],Table_NFI[Kitchen Set])</f>
        <v>0</v>
      </c>
      <c r="AD449" s="444">
        <f>IF(NFI_Expiration=1,IF($A449&lt;VLOOKUP(O$5,NFI,5,0),1,0)*Table_NFI[[#This Row],[Clothes Kit]],Table_NFI[Clothes Kit])</f>
        <v>0</v>
      </c>
      <c r="AE449" s="444">
        <f>IF(NFI_Expiration=1,IF($A449&lt;VLOOKUP(P$5,NFI,5,0),1,0)*Table_NFI[[#This Row],[Plastic Bucket]],Table_NFI[Plastic Bucket])</f>
        <v>0</v>
      </c>
      <c r="AF449" s="444">
        <f>IF(NFI_Expiration=1,IF($A449&lt;VLOOKUP(Q$5,NFI,5,0),1,0)*Table_NFI[[#This Row],[Plastic Mat]],Table_NFI[Plastic Mat])*IF(Table_NFI[[#This Row],[Distribution Date]]&gt;"2014-04-01",1,2.5)</f>
        <v>0</v>
      </c>
      <c r="AG449" s="444">
        <f>IF(NFI_Expiration=1,IF($A449&lt;VLOOKUP(R$5,NFI,5,0),1,0)*Table_NFI[[#This Row],[Winter Clothes Adult]],Table_NFI[Winter Clothes Adult])</f>
        <v>0</v>
      </c>
      <c r="AH449" s="444">
        <f>IF(NFI_Expiration=1,IF($A449&lt;VLOOKUP(S$5,NFI,5,0),1,0)*Table_NFI[[#This Row],[Winter Clothes Children]],Table_NFI[Winter Clothes Children])</f>
        <v>0</v>
      </c>
      <c r="AI449" s="444">
        <f>IF(NFI_Expiration=1,IF($A449&lt;VLOOKUP(T$5,NFI,5,0),1,0)*Table_NFI[[#This Row],[Winter Items Other]],Table_NFI[Winter Items Other])</f>
        <v>0</v>
      </c>
      <c r="AJ449" s="444">
        <f>IF(NFI_Expiration=1,IF($A449&lt;VLOOKUP(M$5,NFI,5,0),1,0)*Table_NFI[[#This Row],[Winter Blanket]],Table_NFI[[#This Row],[Winter Blanket]])</f>
        <v>0</v>
      </c>
      <c r="AK449" s="444">
        <f>IF(Table_NFI[[#This Row],[Winter Clothes Adult]]+Table_NFI[[#This Row],[Winter Clothes Children]]+Table_NFI[[#This Row],[Winter Items Other]]+Table_NFI[[#This Row],[Winter Blanket]]&gt;0,1,0)</f>
        <v>0</v>
      </c>
      <c r="AL449" s="439">
        <f>IF(NFI_Expiration=1,IF($A449&lt;VLOOKUP(V$5,NFI,5,0),1,0)*Table_NFI[[#This Row],[Jerry Can]],Table_NFI[Jerry Can])</f>
        <v>0</v>
      </c>
      <c r="AM449" s="787" t="str">
        <f>IFERROR(VLOOKUP(Table_NFI[[#This Row],[Camp Name]],CL,2,0),"")</f>
        <v>MMR001CMP072</v>
      </c>
      <c r="AN449" s="788">
        <f ca="1">IF(Table_NFI[[#This Row],[Pcode]]="","",IF(OFFSET(CampList[Opening Date],MATCH(Table_NFI[[#This Row],[Pcode]],CampList[CP_Pcode],0)-1,0,1,1)&gt;=NFI_Monitor_Date,1,0))</f>
        <v>0</v>
      </c>
      <c r="AO449" s="787" t="str">
        <f>IFERROR(VLOOKUP(Table_NFI[[#This Row],[Camp Name]],CL,3,0),"")</f>
        <v>Open</v>
      </c>
      <c r="AP449" s="444" t="str">
        <f ca="1">IF(Table_NFI[[#This Row],[Pcode]]="","",OFFSET(CampList[Priority],MATCH(Table_NFI[[#This Row],[Pcode]],CampList[CP_Pcode],0)-1,0,1,1))</f>
        <v>P3</v>
      </c>
      <c r="AQ449" s="445">
        <f>IFERROR(Table_NFI[[#This Row],[Kitchen Set]]/VLOOKUP(Table_NFI[[#This Row],[Camp Name]],CL,4,0),"")</f>
        <v>0</v>
      </c>
      <c r="AR449" s="779" t="s">
        <v>1099</v>
      </c>
      <c r="AS449" s="783"/>
    </row>
    <row r="450" spans="1:45" s="784" customFormat="1" x14ac:dyDescent="0.25">
      <c r="A450" s="455">
        <f t="shared" si="6"/>
        <v>23.833333333333332</v>
      </c>
      <c r="B450" s="778">
        <v>41594</v>
      </c>
      <c r="C450" s="779" t="s">
        <v>454</v>
      </c>
      <c r="D450" s="779" t="s">
        <v>575</v>
      </c>
      <c r="E450" s="779" t="s">
        <v>380</v>
      </c>
      <c r="F450" s="435" t="s">
        <v>5</v>
      </c>
      <c r="G450" s="435" t="s">
        <v>366</v>
      </c>
      <c r="H450" s="436"/>
      <c r="I450" s="436"/>
      <c r="J450" s="436"/>
      <c r="K450" s="436"/>
      <c r="L450" s="437">
        <v>11</v>
      </c>
      <c r="M450" s="437"/>
      <c r="N450" s="437"/>
      <c r="O450" s="437"/>
      <c r="P450" s="439"/>
      <c r="Q450" s="439"/>
      <c r="R450" s="436"/>
      <c r="S450" s="436"/>
      <c r="T450" s="436"/>
      <c r="U450" s="436"/>
      <c r="V450" s="436"/>
      <c r="W450" s="436">
        <f>IF(NFI_Expiration=1,IF($A450&lt;VLOOKUP(H$5,NFI,5,0),1,0)*Table_NFI[[#This Row],[Hygiene Kit]],Table_NFI[Hygiene Kit])</f>
        <v>0</v>
      </c>
      <c r="X450" s="436">
        <f>IF(NFI_Expiration=1,IF($A450&lt;VLOOKUP(I$5,NFI,5,0),1,0)*Table_NFI[[#This Row],[NFI Core Kit]],Table_NFI[NFI Core Kit])</f>
        <v>0</v>
      </c>
      <c r="Y450" s="436">
        <f>IF(NFI_Expiration=1,IF($A450&lt;VLOOKUP(J$5,NFI,5,0),1,0)*Table_NFI[[#This Row],[Sanitary Kit]],Table_NFI[Sanitary Kit])</f>
        <v>0</v>
      </c>
      <c r="Z450" s="436">
        <f>IF(NFI_Expiration=1,IF($A450&lt;VLOOKUP(K$5,NFI,5,0),1,0)*Table_NFI[[#This Row],[Mosquito net]],Table_NFI[Mosquito net])</f>
        <v>0</v>
      </c>
      <c r="AA450" s="436">
        <f>IF(NFI_Expiration=1,IF($A450&lt;VLOOKUP(L$5,NFI,5,0),1,0)*Table_NFI[[#This Row],[Tarpaulin]],Table_NFI[[#This Row],[Tarpaulin]])</f>
        <v>0</v>
      </c>
      <c r="AB450" s="436">
        <f>IF(NFI_Expiration=1,IF($A450&lt;VLOOKUP(M$5,NFI,5,0),1,0)*Table_NFI[[#This Row],[Blanket]],Table_NFI[[#This Row],[Blanket]])</f>
        <v>0</v>
      </c>
      <c r="AC450" s="436">
        <f>IF(NFI_Expiration=1,IF($A450&lt;VLOOKUP(N$5,NFI,5,0),1,0)*Table_NFI[[#This Row],[Kitchen Set]],Table_NFI[Kitchen Set])</f>
        <v>0</v>
      </c>
      <c r="AD450" s="436">
        <f>IF(NFI_Expiration=1,IF($A450&lt;VLOOKUP(O$5,NFI,5,0),1,0)*Table_NFI[[#This Row],[Clothes Kit]],Table_NFI[Clothes Kit])</f>
        <v>0</v>
      </c>
      <c r="AE450" s="436">
        <f>IF(NFI_Expiration=1,IF($A450&lt;VLOOKUP(P$5,NFI,5,0),1,0)*Table_NFI[[#This Row],[Plastic Bucket]],Table_NFI[Plastic Bucket])</f>
        <v>0</v>
      </c>
      <c r="AF450" s="436">
        <f>IF(NFI_Expiration=1,IF($A450&lt;VLOOKUP(Q$5,NFI,5,0),1,0)*Table_NFI[[#This Row],[Plastic Mat]],Table_NFI[Plastic Mat])*IF(Table_NFI[[#This Row],[Distribution Date]]&gt;"2014-04-01",1,2.5)</f>
        <v>0</v>
      </c>
      <c r="AG450" s="436">
        <f>IF(NFI_Expiration=1,IF($A450&lt;VLOOKUP(R$5,NFI,5,0),1,0)*Table_NFI[[#This Row],[Winter Clothes Adult]],Table_NFI[Winter Clothes Adult])</f>
        <v>0</v>
      </c>
      <c r="AH450" s="436">
        <f>IF(NFI_Expiration=1,IF($A450&lt;VLOOKUP(S$5,NFI,5,0),1,0)*Table_NFI[[#This Row],[Winter Clothes Children]],Table_NFI[Winter Clothes Children])</f>
        <v>0</v>
      </c>
      <c r="AI450" s="436">
        <f>IF(NFI_Expiration=1,IF($A450&lt;VLOOKUP(T$5,NFI,5,0),1,0)*Table_NFI[[#This Row],[Winter Items Other]],Table_NFI[Winter Items Other])</f>
        <v>0</v>
      </c>
      <c r="AJ450" s="436">
        <f>IF(NFI_Expiration=1,IF($A450&lt;VLOOKUP(M$5,NFI,5,0),1,0)*Table_NFI[[#This Row],[Winter Blanket]],Table_NFI[[#This Row],[Winter Blanket]])</f>
        <v>0</v>
      </c>
      <c r="AK450" s="436">
        <f>IF(Table_NFI[[#This Row],[Winter Clothes Adult]]+Table_NFI[[#This Row],[Winter Clothes Children]]+Table_NFI[[#This Row],[Winter Items Other]]+Table_NFI[[#This Row],[Winter Blanket]]&gt;0,1,0)</f>
        <v>0</v>
      </c>
      <c r="AL450" s="439">
        <f>IF(NFI_Expiration=1,IF($A450&lt;VLOOKUP(V$5,NFI,5,0),1,0)*Table_NFI[[#This Row],[Jerry Can]],Table_NFI[Jerry Can])</f>
        <v>0</v>
      </c>
      <c r="AM450" s="781" t="str">
        <f>IFERROR(VLOOKUP(Table_NFI[[#This Row],[Camp Name]],CL,2,0),"")</f>
        <v>MMR001CMP193</v>
      </c>
      <c r="AN450" s="782">
        <f ca="1">IF(Table_NFI[[#This Row],[Pcode]]="","",IF(OFFSET(CampList[Opening Date],MATCH(Table_NFI[[#This Row],[Pcode]],CampList[CP_Pcode],0)-1,0,1,1)&gt;=NFI_Monitor_Date,1,0))</f>
        <v>0</v>
      </c>
      <c r="AO450" s="781" t="str">
        <f>IFERROR(VLOOKUP(Table_NFI[[#This Row],[Camp Name]],CL,3,0),"")</f>
        <v>Open</v>
      </c>
      <c r="AP450" s="436" t="str">
        <f ca="1">IF(Table_NFI[[#This Row],[Pcode]]="","",OFFSET(CampList[Priority],MATCH(Table_NFI[[#This Row],[Pcode]],CampList[CP_Pcode],0)-1,0,1,1))</f>
        <v>P4</v>
      </c>
      <c r="AQ450" s="438">
        <f>IFERROR(Table_NFI[[#This Row],[Kitchen Set]]/VLOOKUP(Table_NFI[[#This Row],[Camp Name]],CL,4,0),"")</f>
        <v>0</v>
      </c>
      <c r="AR450" s="779" t="s">
        <v>1099</v>
      </c>
      <c r="AS450" s="783"/>
    </row>
    <row r="451" spans="1:45" s="784" customFormat="1" x14ac:dyDescent="0.25">
      <c r="A451" s="455">
        <f t="shared" si="6"/>
        <v>23.833333333333332</v>
      </c>
      <c r="B451" s="778">
        <v>41594</v>
      </c>
      <c r="C451" s="779" t="s">
        <v>454</v>
      </c>
      <c r="D451" s="779" t="s">
        <v>454</v>
      </c>
      <c r="E451" s="779" t="s">
        <v>380</v>
      </c>
      <c r="F451" s="435" t="s">
        <v>5</v>
      </c>
      <c r="G451" s="435" t="s">
        <v>22</v>
      </c>
      <c r="H451" s="436"/>
      <c r="I451" s="436"/>
      <c r="J451" s="436"/>
      <c r="K451" s="436"/>
      <c r="L451" s="437">
        <v>10</v>
      </c>
      <c r="M451" s="437"/>
      <c r="N451" s="437"/>
      <c r="O451" s="437"/>
      <c r="P451" s="439"/>
      <c r="Q451" s="439"/>
      <c r="R451" s="436"/>
      <c r="S451" s="436"/>
      <c r="T451" s="436"/>
      <c r="U451" s="436"/>
      <c r="V451" s="436"/>
      <c r="W451" s="436">
        <f>IF(NFI_Expiration=1,IF($A451&lt;VLOOKUP(H$5,NFI,5,0),1,0)*Table_NFI[[#This Row],[Hygiene Kit]],Table_NFI[Hygiene Kit])</f>
        <v>0</v>
      </c>
      <c r="X451" s="436">
        <f>IF(NFI_Expiration=1,IF($A451&lt;VLOOKUP(I$5,NFI,5,0),1,0)*Table_NFI[[#This Row],[NFI Core Kit]],Table_NFI[NFI Core Kit])</f>
        <v>0</v>
      </c>
      <c r="Y451" s="436">
        <f>IF(NFI_Expiration=1,IF($A451&lt;VLOOKUP(J$5,NFI,5,0),1,0)*Table_NFI[[#This Row],[Sanitary Kit]],Table_NFI[Sanitary Kit])</f>
        <v>0</v>
      </c>
      <c r="Z451" s="436">
        <f>IF(NFI_Expiration=1,IF($A451&lt;VLOOKUP(K$5,NFI,5,0),1,0)*Table_NFI[[#This Row],[Mosquito net]],Table_NFI[Mosquito net])</f>
        <v>0</v>
      </c>
      <c r="AA451" s="436">
        <f>IF(NFI_Expiration=1,IF($A451&lt;VLOOKUP(L$5,NFI,5,0),1,0)*Table_NFI[[#This Row],[Tarpaulin]],Table_NFI[[#This Row],[Tarpaulin]])</f>
        <v>0</v>
      </c>
      <c r="AB451" s="436">
        <f>IF(NFI_Expiration=1,IF($A451&lt;VLOOKUP(M$5,NFI,5,0),1,0)*Table_NFI[[#This Row],[Blanket]],Table_NFI[[#This Row],[Blanket]])</f>
        <v>0</v>
      </c>
      <c r="AC451" s="436">
        <f>IF(NFI_Expiration=1,IF($A451&lt;VLOOKUP(N$5,NFI,5,0),1,0)*Table_NFI[[#This Row],[Kitchen Set]],Table_NFI[Kitchen Set])</f>
        <v>0</v>
      </c>
      <c r="AD451" s="436">
        <f>IF(NFI_Expiration=1,IF($A451&lt;VLOOKUP(O$5,NFI,5,0),1,0)*Table_NFI[[#This Row],[Clothes Kit]],Table_NFI[Clothes Kit])</f>
        <v>0</v>
      </c>
      <c r="AE451" s="436">
        <f>IF(NFI_Expiration=1,IF($A451&lt;VLOOKUP(P$5,NFI,5,0),1,0)*Table_NFI[[#This Row],[Plastic Bucket]],Table_NFI[Plastic Bucket])</f>
        <v>0</v>
      </c>
      <c r="AF451" s="436">
        <f>IF(NFI_Expiration=1,IF($A451&lt;VLOOKUP(Q$5,NFI,5,0),1,0)*Table_NFI[[#This Row],[Plastic Mat]],Table_NFI[Plastic Mat])*IF(Table_NFI[[#This Row],[Distribution Date]]&gt;"2014-04-01",1,2.5)</f>
        <v>0</v>
      </c>
      <c r="AG451" s="436">
        <f>IF(NFI_Expiration=1,IF($A451&lt;VLOOKUP(R$5,NFI,5,0),1,0)*Table_NFI[[#This Row],[Winter Clothes Adult]],Table_NFI[Winter Clothes Adult])</f>
        <v>0</v>
      </c>
      <c r="AH451" s="436">
        <f>IF(NFI_Expiration=1,IF($A451&lt;VLOOKUP(S$5,NFI,5,0),1,0)*Table_NFI[[#This Row],[Winter Clothes Children]],Table_NFI[Winter Clothes Children])</f>
        <v>0</v>
      </c>
      <c r="AI451" s="436">
        <f>IF(NFI_Expiration=1,IF($A451&lt;VLOOKUP(T$5,NFI,5,0),1,0)*Table_NFI[[#This Row],[Winter Items Other]],Table_NFI[Winter Items Other])</f>
        <v>0</v>
      </c>
      <c r="AJ451" s="436">
        <f>IF(NFI_Expiration=1,IF($A451&lt;VLOOKUP(M$5,NFI,5,0),1,0)*Table_NFI[[#This Row],[Winter Blanket]],Table_NFI[[#This Row],[Winter Blanket]])</f>
        <v>0</v>
      </c>
      <c r="AK451" s="436">
        <f>IF(Table_NFI[[#This Row],[Winter Clothes Adult]]+Table_NFI[[#This Row],[Winter Clothes Children]]+Table_NFI[[#This Row],[Winter Items Other]]+Table_NFI[[#This Row],[Winter Blanket]]&gt;0,1,0)</f>
        <v>0</v>
      </c>
      <c r="AL451" s="439">
        <f>IF(NFI_Expiration=1,IF($A451&lt;VLOOKUP(V$5,NFI,5,0),1,0)*Table_NFI[[#This Row],[Jerry Can]],Table_NFI[Jerry Can])</f>
        <v>0</v>
      </c>
      <c r="AM451" s="781" t="str">
        <f>IFERROR(VLOOKUP(Table_NFI[[#This Row],[Camp Name]],CL,2,0),"")</f>
        <v>MMR001CMP047</v>
      </c>
      <c r="AN451" s="782">
        <f ca="1">IF(Table_NFI[[#This Row],[Pcode]]="","",IF(OFFSET(CampList[Opening Date],MATCH(Table_NFI[[#This Row],[Pcode]],CampList[CP_Pcode],0)-1,0,1,1)&gt;=NFI_Monitor_Date,1,0))</f>
        <v>0</v>
      </c>
      <c r="AO451" s="781" t="str">
        <f>IFERROR(VLOOKUP(Table_NFI[[#This Row],[Camp Name]],CL,3,0),"")</f>
        <v>Open</v>
      </c>
      <c r="AP451" s="436" t="str">
        <f ca="1">IF(Table_NFI[[#This Row],[Pcode]]="","",OFFSET(CampList[Priority],MATCH(Table_NFI[[#This Row],[Pcode]],CampList[CP_Pcode],0)-1,0,1,1))</f>
        <v>P4</v>
      </c>
      <c r="AQ451" s="438">
        <f>IFERROR(Table_NFI[[#This Row],[Kitchen Set]]/VLOOKUP(Table_NFI[[#This Row],[Camp Name]],CL,4,0),"")</f>
        <v>0</v>
      </c>
      <c r="AR451" s="779" t="s">
        <v>1099</v>
      </c>
      <c r="AS451" s="783"/>
    </row>
    <row r="452" spans="1:45" s="784" customFormat="1" x14ac:dyDescent="0.25">
      <c r="A452" s="455">
        <f t="shared" si="6"/>
        <v>23.866666666666667</v>
      </c>
      <c r="B452" s="778">
        <v>41593</v>
      </c>
      <c r="C452" s="779" t="s">
        <v>454</v>
      </c>
      <c r="D452" s="779" t="s">
        <v>575</v>
      </c>
      <c r="E452" s="779" t="s">
        <v>380</v>
      </c>
      <c r="F452" s="435" t="s">
        <v>5</v>
      </c>
      <c r="G452" s="435"/>
      <c r="H452" s="436"/>
      <c r="I452" s="436"/>
      <c r="J452" s="436"/>
      <c r="K452" s="436"/>
      <c r="L452" s="437">
        <v>12</v>
      </c>
      <c r="M452" s="437"/>
      <c r="N452" s="437"/>
      <c r="O452" s="437"/>
      <c r="P452" s="439"/>
      <c r="Q452" s="439"/>
      <c r="R452" s="436"/>
      <c r="S452" s="436"/>
      <c r="T452" s="436"/>
      <c r="U452" s="436"/>
      <c r="V452" s="436"/>
      <c r="W452" s="436">
        <f>IF(NFI_Expiration=1,IF($A452&lt;VLOOKUP(H$5,NFI,5,0),1,0)*Table_NFI[[#This Row],[Hygiene Kit]],Table_NFI[Hygiene Kit])</f>
        <v>0</v>
      </c>
      <c r="X452" s="436">
        <f>IF(NFI_Expiration=1,IF($A452&lt;VLOOKUP(I$5,NFI,5,0),1,0)*Table_NFI[[#This Row],[NFI Core Kit]],Table_NFI[NFI Core Kit])</f>
        <v>0</v>
      </c>
      <c r="Y452" s="436">
        <f>IF(NFI_Expiration=1,IF($A452&lt;VLOOKUP(J$5,NFI,5,0),1,0)*Table_NFI[[#This Row],[Sanitary Kit]],Table_NFI[Sanitary Kit])</f>
        <v>0</v>
      </c>
      <c r="Z452" s="436">
        <f>IF(NFI_Expiration=1,IF($A452&lt;VLOOKUP(K$5,NFI,5,0),1,0)*Table_NFI[[#This Row],[Mosquito net]],Table_NFI[Mosquito net])</f>
        <v>0</v>
      </c>
      <c r="AA452" s="436">
        <f>IF(NFI_Expiration=1,IF($A452&lt;VLOOKUP(L$5,NFI,5,0),1,0)*Table_NFI[[#This Row],[Tarpaulin]],Table_NFI[[#This Row],[Tarpaulin]])</f>
        <v>0</v>
      </c>
      <c r="AB452" s="436">
        <f>IF(NFI_Expiration=1,IF($A452&lt;VLOOKUP(M$5,NFI,5,0),1,0)*Table_NFI[[#This Row],[Blanket]],Table_NFI[[#This Row],[Blanket]])</f>
        <v>0</v>
      </c>
      <c r="AC452" s="436">
        <f>IF(NFI_Expiration=1,IF($A452&lt;VLOOKUP(N$5,NFI,5,0),1,0)*Table_NFI[[#This Row],[Kitchen Set]],Table_NFI[Kitchen Set])</f>
        <v>0</v>
      </c>
      <c r="AD452" s="436">
        <f>IF(NFI_Expiration=1,IF($A452&lt;VLOOKUP(O$5,NFI,5,0),1,0)*Table_NFI[[#This Row],[Clothes Kit]],Table_NFI[Clothes Kit])</f>
        <v>0</v>
      </c>
      <c r="AE452" s="436">
        <f>IF(NFI_Expiration=1,IF($A452&lt;VLOOKUP(P$5,NFI,5,0),1,0)*Table_NFI[[#This Row],[Plastic Bucket]],Table_NFI[Plastic Bucket])</f>
        <v>0</v>
      </c>
      <c r="AF452" s="436">
        <f>IF(NFI_Expiration=1,IF($A452&lt;VLOOKUP(Q$5,NFI,5,0),1,0)*Table_NFI[[#This Row],[Plastic Mat]],Table_NFI[Plastic Mat])*IF(Table_NFI[[#This Row],[Distribution Date]]&gt;"2014-04-01",1,2.5)</f>
        <v>0</v>
      </c>
      <c r="AG452" s="436">
        <f>IF(NFI_Expiration=1,IF($A452&lt;VLOOKUP(R$5,NFI,5,0),1,0)*Table_NFI[[#This Row],[Winter Clothes Adult]],Table_NFI[Winter Clothes Adult])</f>
        <v>0</v>
      </c>
      <c r="AH452" s="436">
        <f>IF(NFI_Expiration=1,IF($A452&lt;VLOOKUP(S$5,NFI,5,0),1,0)*Table_NFI[[#This Row],[Winter Clothes Children]],Table_NFI[Winter Clothes Children])</f>
        <v>0</v>
      </c>
      <c r="AI452" s="436">
        <f>IF(NFI_Expiration=1,IF($A452&lt;VLOOKUP(T$5,NFI,5,0),1,0)*Table_NFI[[#This Row],[Winter Items Other]],Table_NFI[Winter Items Other])</f>
        <v>0</v>
      </c>
      <c r="AJ452" s="436">
        <f>IF(NFI_Expiration=1,IF($A452&lt;VLOOKUP(M$5,NFI,5,0),1,0)*Table_NFI[[#This Row],[Winter Blanket]],Table_NFI[[#This Row],[Winter Blanket]])</f>
        <v>0</v>
      </c>
      <c r="AK452" s="436">
        <f>IF(Table_NFI[[#This Row],[Winter Clothes Adult]]+Table_NFI[[#This Row],[Winter Clothes Children]]+Table_NFI[[#This Row],[Winter Items Other]]+Table_NFI[[#This Row],[Winter Blanket]]&gt;0,1,0)</f>
        <v>0</v>
      </c>
      <c r="AL452" s="439">
        <f>IF(NFI_Expiration=1,IF($A452&lt;VLOOKUP(V$5,NFI,5,0),1,0)*Table_NFI[[#This Row],[Jerry Can]],Table_NFI[Jerry Can])</f>
        <v>0</v>
      </c>
      <c r="AM452" s="781" t="str">
        <f>IFERROR(VLOOKUP(Table_NFI[[#This Row],[Camp Name]],CL,2,0),"")</f>
        <v/>
      </c>
      <c r="AN452" s="782" t="str">
        <f ca="1">IF(Table_NFI[[#This Row],[Pcode]]="","",IF(OFFSET(CampList[Opening Date],MATCH(Table_NFI[[#This Row],[Pcode]],CampList[CP_Pcode],0)-1,0,1,1)&gt;=NFI_Monitor_Date,1,0))</f>
        <v/>
      </c>
      <c r="AO452" s="781" t="str">
        <f>IFERROR(VLOOKUP(Table_NFI[[#This Row],[Camp Name]],CL,3,0),"")</f>
        <v/>
      </c>
      <c r="AP452" s="436" t="str">
        <f ca="1">IF(Table_NFI[[#This Row],[Pcode]]="","",OFFSET(CampList[Priority],MATCH(Table_NFI[[#This Row],[Pcode]],CampList[CP_Pcode],0)-1,0,1,1))</f>
        <v/>
      </c>
      <c r="AQ452" s="438" t="str">
        <f>IFERROR(Table_NFI[[#This Row],[Kitchen Set]]/VLOOKUP(Table_NFI[[#This Row],[Camp Name]],CL,4,0),"")</f>
        <v/>
      </c>
      <c r="AR452" s="779" t="s">
        <v>1099</v>
      </c>
      <c r="AS452" s="783"/>
    </row>
    <row r="453" spans="1:45" s="784" customFormat="1" x14ac:dyDescent="0.25">
      <c r="A453" s="455">
        <f t="shared" si="6"/>
        <v>23.866666666666667</v>
      </c>
      <c r="B453" s="778">
        <v>41593</v>
      </c>
      <c r="C453" s="779" t="s">
        <v>912</v>
      </c>
      <c r="D453" s="779" t="s">
        <v>1009</v>
      </c>
      <c r="E453" s="779" t="s">
        <v>380</v>
      </c>
      <c r="F453" s="779" t="s">
        <v>151</v>
      </c>
      <c r="G453" s="779" t="s">
        <v>158</v>
      </c>
      <c r="H453" s="436"/>
      <c r="I453" s="436"/>
      <c r="J453" s="436"/>
      <c r="K453" s="436"/>
      <c r="L453" s="437"/>
      <c r="M453" s="437"/>
      <c r="N453" s="437"/>
      <c r="O453" s="437"/>
      <c r="P453" s="439"/>
      <c r="Q453" s="439"/>
      <c r="R453" s="436">
        <v>54</v>
      </c>
      <c r="S453" s="436">
        <v>106</v>
      </c>
      <c r="T453" s="436">
        <v>320</v>
      </c>
      <c r="U453" s="436">
        <v>160</v>
      </c>
      <c r="V453" s="436"/>
      <c r="W453" s="436">
        <f>IF(NFI_Expiration=1,IF($A453&lt;VLOOKUP(H$5,NFI,5,0),1,0)*Table_NFI[[#This Row],[Hygiene Kit]],Table_NFI[Hygiene Kit])</f>
        <v>0</v>
      </c>
      <c r="X453" s="436">
        <f>IF(NFI_Expiration=1,IF($A453&lt;VLOOKUP(I$5,NFI,5,0),1,0)*Table_NFI[[#This Row],[NFI Core Kit]],Table_NFI[NFI Core Kit])</f>
        <v>0</v>
      </c>
      <c r="Y453" s="436">
        <f>IF(NFI_Expiration=1,IF($A453&lt;VLOOKUP(J$5,NFI,5,0),1,0)*Table_NFI[[#This Row],[Sanitary Kit]],Table_NFI[Sanitary Kit])</f>
        <v>0</v>
      </c>
      <c r="Z453" s="436">
        <f>IF(NFI_Expiration=1,IF($A453&lt;VLOOKUP(K$5,NFI,5,0),1,0)*Table_NFI[[#This Row],[Mosquito net]],Table_NFI[Mosquito net])</f>
        <v>0</v>
      </c>
      <c r="AA453" s="436">
        <f>IF(NFI_Expiration=1,IF($A453&lt;VLOOKUP(L$5,NFI,5,0),1,0)*Table_NFI[[#This Row],[Tarpaulin]],Table_NFI[[#This Row],[Tarpaulin]])</f>
        <v>0</v>
      </c>
      <c r="AB453" s="436">
        <f>IF(NFI_Expiration=1,IF($A453&lt;VLOOKUP(M$5,NFI,5,0),1,0)*Table_NFI[[#This Row],[Blanket]],Table_NFI[[#This Row],[Blanket]])</f>
        <v>0</v>
      </c>
      <c r="AC453" s="436">
        <f>IF(NFI_Expiration=1,IF($A453&lt;VLOOKUP(N$5,NFI,5,0),1,0)*Table_NFI[[#This Row],[Kitchen Set]],Table_NFI[Kitchen Set])</f>
        <v>0</v>
      </c>
      <c r="AD453" s="436">
        <f>IF(NFI_Expiration=1,IF($A453&lt;VLOOKUP(O$5,NFI,5,0),1,0)*Table_NFI[[#This Row],[Clothes Kit]],Table_NFI[Clothes Kit])</f>
        <v>0</v>
      </c>
      <c r="AE453" s="436">
        <f>IF(NFI_Expiration=1,IF($A453&lt;VLOOKUP(P$5,NFI,5,0),1,0)*Table_NFI[[#This Row],[Plastic Bucket]],Table_NFI[Plastic Bucket])</f>
        <v>0</v>
      </c>
      <c r="AF453" s="436">
        <f>IF(NFI_Expiration=1,IF($A453&lt;VLOOKUP(Q$5,NFI,5,0),1,0)*Table_NFI[[#This Row],[Plastic Mat]],Table_NFI[Plastic Mat])*IF(Table_NFI[[#This Row],[Distribution Date]]&gt;"2014-04-01",1,2.5)</f>
        <v>0</v>
      </c>
      <c r="AG453" s="436">
        <f>IF(NFI_Expiration=1,IF($A453&lt;VLOOKUP(R$5,NFI,5,0),1,0)*Table_NFI[[#This Row],[Winter Clothes Adult]],Table_NFI[Winter Clothes Adult])</f>
        <v>0</v>
      </c>
      <c r="AH453" s="436">
        <f>IF(NFI_Expiration=1,IF($A453&lt;VLOOKUP(S$5,NFI,5,0),1,0)*Table_NFI[[#This Row],[Winter Clothes Children]],Table_NFI[Winter Clothes Children])</f>
        <v>0</v>
      </c>
      <c r="AI453" s="436">
        <f>IF(NFI_Expiration=1,IF($A453&lt;VLOOKUP(T$5,NFI,5,0),1,0)*Table_NFI[[#This Row],[Winter Items Other]],Table_NFI[Winter Items Other])</f>
        <v>0</v>
      </c>
      <c r="AJ453" s="436">
        <f>IF(NFI_Expiration=1,IF($A453&lt;VLOOKUP(M$5,NFI,5,0),1,0)*Table_NFI[[#This Row],[Winter Blanket]],Table_NFI[[#This Row],[Winter Blanket]])</f>
        <v>0</v>
      </c>
      <c r="AK453" s="436">
        <f>IF(Table_NFI[[#This Row],[Winter Clothes Adult]]+Table_NFI[[#This Row],[Winter Clothes Children]]+Table_NFI[[#This Row],[Winter Items Other]]+Table_NFI[[#This Row],[Winter Blanket]]&gt;0,1,0)</f>
        <v>1</v>
      </c>
      <c r="AL453" s="439">
        <f>IF(NFI_Expiration=1,IF($A453&lt;VLOOKUP(V$5,NFI,5,0),1,0)*Table_NFI[[#This Row],[Jerry Can]],Table_NFI[Jerry Can])</f>
        <v>0</v>
      </c>
      <c r="AM453" s="781" t="str">
        <f>IFERROR(VLOOKUP(Table_NFI[[#This Row],[Camp Name]],CL,2,0),"")</f>
        <v>MMR001CMP135</v>
      </c>
      <c r="AN453" s="782">
        <f ca="1">IF(Table_NFI[[#This Row],[Pcode]]="","",IF(OFFSET(CampList[Opening Date],MATCH(Table_NFI[[#This Row],[Pcode]],CampList[CP_Pcode],0)-1,0,1,1)&gt;=NFI_Monitor_Date,1,0))</f>
        <v>0</v>
      </c>
      <c r="AO453" s="781" t="str">
        <f>IFERROR(VLOOKUP(Table_NFI[[#This Row],[Camp Name]],CL,3,0),"")</f>
        <v>Closed</v>
      </c>
      <c r="AP453" s="436" t="str">
        <f ca="1">IF(Table_NFI[[#This Row],[Pcode]]="","",OFFSET(CampList[Priority],MATCH(Table_NFI[[#This Row],[Pcode]],CampList[CP_Pcode],0)-1,0,1,1))</f>
        <v>P2</v>
      </c>
      <c r="AQ453" s="438" t="str">
        <f>IFERROR(Table_NFI[[#This Row],[Kitchen Set]]/VLOOKUP(Table_NFI[[#This Row],[Camp Name]],CL,4,0),"")</f>
        <v/>
      </c>
      <c r="AR453" s="779"/>
      <c r="AS453" s="783"/>
    </row>
    <row r="454" spans="1:45" s="784" customFormat="1" x14ac:dyDescent="0.25">
      <c r="A454" s="455">
        <f t="shared" ref="A454:A517" si="7">IF(ISBLANK(B454),"",(Report_Date-B454)/30)</f>
        <v>23.866666666666667</v>
      </c>
      <c r="B454" s="778">
        <v>41593</v>
      </c>
      <c r="C454" s="779" t="s">
        <v>912</v>
      </c>
      <c r="D454" s="779" t="s">
        <v>1009</v>
      </c>
      <c r="E454" s="779" t="s">
        <v>380</v>
      </c>
      <c r="F454" s="779" t="s">
        <v>185</v>
      </c>
      <c r="G454" s="779" t="s">
        <v>215</v>
      </c>
      <c r="H454" s="436"/>
      <c r="I454" s="436"/>
      <c r="J454" s="436"/>
      <c r="K454" s="436"/>
      <c r="L454" s="437"/>
      <c r="M454" s="437"/>
      <c r="N454" s="437"/>
      <c r="O454" s="437"/>
      <c r="P454" s="439"/>
      <c r="Q454" s="439"/>
      <c r="R454" s="436">
        <v>387</v>
      </c>
      <c r="S454" s="436">
        <v>760</v>
      </c>
      <c r="T454" s="436">
        <v>2294</v>
      </c>
      <c r="U454" s="436">
        <v>1147</v>
      </c>
      <c r="V454" s="436"/>
      <c r="W454" s="436">
        <f>IF(NFI_Expiration=1,IF($A454&lt;VLOOKUP(H$5,NFI,5,0),1,0)*Table_NFI[[#This Row],[Hygiene Kit]],Table_NFI[Hygiene Kit])</f>
        <v>0</v>
      </c>
      <c r="X454" s="436">
        <f>IF(NFI_Expiration=1,IF($A454&lt;VLOOKUP(I$5,NFI,5,0),1,0)*Table_NFI[[#This Row],[NFI Core Kit]],Table_NFI[NFI Core Kit])</f>
        <v>0</v>
      </c>
      <c r="Y454" s="436">
        <f>IF(NFI_Expiration=1,IF($A454&lt;VLOOKUP(J$5,NFI,5,0),1,0)*Table_NFI[[#This Row],[Sanitary Kit]],Table_NFI[Sanitary Kit])</f>
        <v>0</v>
      </c>
      <c r="Z454" s="436">
        <f>IF(NFI_Expiration=1,IF($A454&lt;VLOOKUP(K$5,NFI,5,0),1,0)*Table_NFI[[#This Row],[Mosquito net]],Table_NFI[Mosquito net])</f>
        <v>0</v>
      </c>
      <c r="AA454" s="436">
        <f>IF(NFI_Expiration=1,IF($A454&lt;VLOOKUP(L$5,NFI,5,0),1,0)*Table_NFI[[#This Row],[Tarpaulin]],Table_NFI[[#This Row],[Tarpaulin]])</f>
        <v>0</v>
      </c>
      <c r="AB454" s="436">
        <f>IF(NFI_Expiration=1,IF($A454&lt;VLOOKUP(M$5,NFI,5,0),1,0)*Table_NFI[[#This Row],[Blanket]],Table_NFI[[#This Row],[Blanket]])</f>
        <v>0</v>
      </c>
      <c r="AC454" s="436">
        <f>IF(NFI_Expiration=1,IF($A454&lt;VLOOKUP(N$5,NFI,5,0),1,0)*Table_NFI[[#This Row],[Kitchen Set]],Table_NFI[Kitchen Set])</f>
        <v>0</v>
      </c>
      <c r="AD454" s="436">
        <f>IF(NFI_Expiration=1,IF($A454&lt;VLOOKUP(O$5,NFI,5,0),1,0)*Table_NFI[[#This Row],[Clothes Kit]],Table_NFI[Clothes Kit])</f>
        <v>0</v>
      </c>
      <c r="AE454" s="436">
        <f>IF(NFI_Expiration=1,IF($A454&lt;VLOOKUP(P$5,NFI,5,0),1,0)*Table_NFI[[#This Row],[Plastic Bucket]],Table_NFI[Plastic Bucket])</f>
        <v>0</v>
      </c>
      <c r="AF454" s="436">
        <f>IF(NFI_Expiration=1,IF($A454&lt;VLOOKUP(Q$5,NFI,5,0),1,0)*Table_NFI[[#This Row],[Plastic Mat]],Table_NFI[Plastic Mat])*IF(Table_NFI[[#This Row],[Distribution Date]]&gt;"2014-04-01",1,2.5)</f>
        <v>0</v>
      </c>
      <c r="AG454" s="436">
        <f>IF(NFI_Expiration=1,IF($A454&lt;VLOOKUP(R$5,NFI,5,0),1,0)*Table_NFI[[#This Row],[Winter Clothes Adult]],Table_NFI[Winter Clothes Adult])</f>
        <v>0</v>
      </c>
      <c r="AH454" s="436">
        <f>IF(NFI_Expiration=1,IF($A454&lt;VLOOKUP(S$5,NFI,5,0),1,0)*Table_NFI[[#This Row],[Winter Clothes Children]],Table_NFI[Winter Clothes Children])</f>
        <v>0</v>
      </c>
      <c r="AI454" s="436">
        <f>IF(NFI_Expiration=1,IF($A454&lt;VLOOKUP(T$5,NFI,5,0),1,0)*Table_NFI[[#This Row],[Winter Items Other]],Table_NFI[Winter Items Other])</f>
        <v>0</v>
      </c>
      <c r="AJ454" s="436">
        <f>IF(NFI_Expiration=1,IF($A454&lt;VLOOKUP(M$5,NFI,5,0),1,0)*Table_NFI[[#This Row],[Winter Blanket]],Table_NFI[[#This Row],[Winter Blanket]])</f>
        <v>0</v>
      </c>
      <c r="AK454" s="436">
        <f>IF(Table_NFI[[#This Row],[Winter Clothes Adult]]+Table_NFI[[#This Row],[Winter Clothes Children]]+Table_NFI[[#This Row],[Winter Items Other]]+Table_NFI[[#This Row],[Winter Blanket]]&gt;0,1,0)</f>
        <v>1</v>
      </c>
      <c r="AL454" s="439">
        <f>IF(NFI_Expiration=1,IF($A454&lt;VLOOKUP(V$5,NFI,5,0),1,0)*Table_NFI[[#This Row],[Jerry Can]],Table_NFI[Jerry Can])</f>
        <v>0</v>
      </c>
      <c r="AM454" s="781" t="str">
        <f>IFERROR(VLOOKUP(Table_NFI[[#This Row],[Camp Name]],CL,2,0),"")</f>
        <v>MMR001CMP131</v>
      </c>
      <c r="AN454" s="782">
        <f ca="1">IF(Table_NFI[[#This Row],[Pcode]]="","",IF(OFFSET(CampList[Opening Date],MATCH(Table_NFI[[#This Row],[Pcode]],CampList[CP_Pcode],0)-1,0,1,1)&gt;=NFI_Monitor_Date,1,0))</f>
        <v>0</v>
      </c>
      <c r="AO454" s="781" t="str">
        <f>IFERROR(VLOOKUP(Table_NFI[[#This Row],[Camp Name]],CL,3,0),"")</f>
        <v>Open</v>
      </c>
      <c r="AP454" s="436" t="str">
        <f ca="1">IF(Table_NFI[[#This Row],[Pcode]]="","",OFFSET(CampList[Priority],MATCH(Table_NFI[[#This Row],[Pcode]],CampList[CP_Pcode],0)-1,0,1,1))</f>
        <v>P1</v>
      </c>
      <c r="AQ454" s="438">
        <f>IFERROR(Table_NFI[[#This Row],[Kitchen Set]]/VLOOKUP(Table_NFI[[#This Row],[Camp Name]],CL,4,0),"")</f>
        <v>0</v>
      </c>
      <c r="AR454" s="779"/>
      <c r="AS454" s="783"/>
    </row>
    <row r="455" spans="1:45" s="784" customFormat="1" x14ac:dyDescent="0.25">
      <c r="A455" s="455">
        <f t="shared" si="7"/>
        <v>23.9</v>
      </c>
      <c r="B455" s="778">
        <v>41592</v>
      </c>
      <c r="C455" s="779" t="s">
        <v>454</v>
      </c>
      <c r="D455" s="779" t="s">
        <v>575</v>
      </c>
      <c r="E455" s="779" t="s">
        <v>380</v>
      </c>
      <c r="F455" s="435" t="s">
        <v>5</v>
      </c>
      <c r="G455" s="435" t="s">
        <v>514</v>
      </c>
      <c r="H455" s="436"/>
      <c r="I455" s="436"/>
      <c r="J455" s="436"/>
      <c r="K455" s="436">
        <v>12</v>
      </c>
      <c r="L455" s="437">
        <v>9</v>
      </c>
      <c r="M455" s="437">
        <v>12</v>
      </c>
      <c r="N455" s="437">
        <v>9</v>
      </c>
      <c r="O455" s="437">
        <v>9</v>
      </c>
      <c r="P455" s="439"/>
      <c r="Q455" s="439"/>
      <c r="R455" s="436"/>
      <c r="S455" s="436"/>
      <c r="T455" s="436"/>
      <c r="U455" s="436"/>
      <c r="V455" s="436"/>
      <c r="W455" s="436">
        <f>IF(NFI_Expiration=1,IF($A455&lt;VLOOKUP(H$5,NFI,5,0),1,0)*Table_NFI[[#This Row],[Hygiene Kit]],Table_NFI[Hygiene Kit])</f>
        <v>0</v>
      </c>
      <c r="X455" s="436">
        <f>IF(NFI_Expiration=1,IF($A455&lt;VLOOKUP(I$5,NFI,5,0),1,0)*Table_NFI[[#This Row],[NFI Core Kit]],Table_NFI[NFI Core Kit])</f>
        <v>0</v>
      </c>
      <c r="Y455" s="436">
        <f>IF(NFI_Expiration=1,IF($A455&lt;VLOOKUP(J$5,NFI,5,0),1,0)*Table_NFI[[#This Row],[Sanitary Kit]],Table_NFI[Sanitary Kit])</f>
        <v>0</v>
      </c>
      <c r="Z455" s="436">
        <f>IF(NFI_Expiration=1,IF($A455&lt;VLOOKUP(K$5,NFI,5,0),1,0)*Table_NFI[[#This Row],[Mosquito net]],Table_NFI[Mosquito net])</f>
        <v>0</v>
      </c>
      <c r="AA455" s="436">
        <f>IF(NFI_Expiration=1,IF($A455&lt;VLOOKUP(L$5,NFI,5,0),1,0)*Table_NFI[[#This Row],[Tarpaulin]],Table_NFI[[#This Row],[Tarpaulin]])</f>
        <v>0</v>
      </c>
      <c r="AB455" s="436">
        <f>IF(NFI_Expiration=1,IF($A455&lt;VLOOKUP(M$5,NFI,5,0),1,0)*Table_NFI[[#This Row],[Blanket]],Table_NFI[[#This Row],[Blanket]])</f>
        <v>0</v>
      </c>
      <c r="AC455" s="436">
        <f>IF(NFI_Expiration=1,IF($A455&lt;VLOOKUP(N$5,NFI,5,0),1,0)*Table_NFI[[#This Row],[Kitchen Set]],Table_NFI[Kitchen Set])</f>
        <v>0</v>
      </c>
      <c r="AD455" s="436">
        <f>IF(NFI_Expiration=1,IF($A455&lt;VLOOKUP(O$5,NFI,5,0),1,0)*Table_NFI[[#This Row],[Clothes Kit]],Table_NFI[Clothes Kit])</f>
        <v>0</v>
      </c>
      <c r="AE455" s="436">
        <f>IF(NFI_Expiration=1,IF($A455&lt;VLOOKUP(P$5,NFI,5,0),1,0)*Table_NFI[[#This Row],[Plastic Bucket]],Table_NFI[Plastic Bucket])</f>
        <v>0</v>
      </c>
      <c r="AF455" s="436">
        <f>IF(NFI_Expiration=1,IF($A455&lt;VLOOKUP(Q$5,NFI,5,0),1,0)*Table_NFI[[#This Row],[Plastic Mat]],Table_NFI[Plastic Mat])*IF(Table_NFI[[#This Row],[Distribution Date]]&gt;"2014-04-01",1,2.5)</f>
        <v>0</v>
      </c>
      <c r="AG455" s="436">
        <f>IF(NFI_Expiration=1,IF($A455&lt;VLOOKUP(R$5,NFI,5,0),1,0)*Table_NFI[[#This Row],[Winter Clothes Adult]],Table_NFI[Winter Clothes Adult])</f>
        <v>0</v>
      </c>
      <c r="AH455" s="436">
        <f>IF(NFI_Expiration=1,IF($A455&lt;VLOOKUP(S$5,NFI,5,0),1,0)*Table_NFI[[#This Row],[Winter Clothes Children]],Table_NFI[Winter Clothes Children])</f>
        <v>0</v>
      </c>
      <c r="AI455" s="436">
        <f>IF(NFI_Expiration=1,IF($A455&lt;VLOOKUP(T$5,NFI,5,0),1,0)*Table_NFI[[#This Row],[Winter Items Other]],Table_NFI[Winter Items Other])</f>
        <v>0</v>
      </c>
      <c r="AJ455" s="436">
        <f>IF(NFI_Expiration=1,IF($A455&lt;VLOOKUP(M$5,NFI,5,0),1,0)*Table_NFI[[#This Row],[Winter Blanket]],Table_NFI[[#This Row],[Winter Blanket]])</f>
        <v>0</v>
      </c>
      <c r="AK455" s="436">
        <f>IF(Table_NFI[[#This Row],[Winter Clothes Adult]]+Table_NFI[[#This Row],[Winter Clothes Children]]+Table_NFI[[#This Row],[Winter Items Other]]+Table_NFI[[#This Row],[Winter Blanket]]&gt;0,1,0)</f>
        <v>0</v>
      </c>
      <c r="AL455" s="439">
        <f>IF(NFI_Expiration=1,IF($A455&lt;VLOOKUP(V$5,NFI,5,0),1,0)*Table_NFI[[#This Row],[Jerry Can]],Table_NFI[Jerry Can])</f>
        <v>0</v>
      </c>
      <c r="AM455" s="781" t="str">
        <f>IFERROR(VLOOKUP(Table_NFI[[#This Row],[Camp Name]],CL,2,0),"")</f>
        <v>MMR001CMP194</v>
      </c>
      <c r="AN455" s="782">
        <f ca="1">IF(Table_NFI[[#This Row],[Pcode]]="","",IF(OFFSET(CampList[Opening Date],MATCH(Table_NFI[[#This Row],[Pcode]],CampList[CP_Pcode],0)-1,0,1,1)&gt;=NFI_Monitor_Date,1,0))</f>
        <v>0</v>
      </c>
      <c r="AO455" s="781" t="s">
        <v>849</v>
      </c>
      <c r="AP455" s="436" t="str">
        <f ca="1">IF(Table_NFI[[#This Row],[Pcode]]="","",OFFSET(CampList[Priority],MATCH(Table_NFI[[#This Row],[Pcode]],CampList[CP_Pcode],0)-1,0,1,1))</f>
        <v>P4</v>
      </c>
      <c r="AQ455" s="438">
        <f>IFERROR(Table_NFI[[#This Row],[Kitchen Set]]/VLOOKUP(Table_NFI[[#This Row],[Camp Name]],CL,4,0),"")</f>
        <v>0.75</v>
      </c>
      <c r="AR455" s="779" t="s">
        <v>1099</v>
      </c>
      <c r="AS455" s="783"/>
    </row>
    <row r="456" spans="1:45" s="784" customFormat="1" x14ac:dyDescent="0.25">
      <c r="A456" s="455">
        <f t="shared" si="7"/>
        <v>23.9</v>
      </c>
      <c r="B456" s="778">
        <v>41592</v>
      </c>
      <c r="C456" s="779" t="s">
        <v>912</v>
      </c>
      <c r="D456" s="779" t="s">
        <v>912</v>
      </c>
      <c r="E456" s="779" t="s">
        <v>380</v>
      </c>
      <c r="F456" s="779" t="s">
        <v>151</v>
      </c>
      <c r="G456" s="779" t="s">
        <v>518</v>
      </c>
      <c r="H456" s="436"/>
      <c r="I456" s="436"/>
      <c r="J456" s="436"/>
      <c r="K456" s="436"/>
      <c r="L456" s="437"/>
      <c r="M456" s="437"/>
      <c r="N456" s="437"/>
      <c r="O456" s="437"/>
      <c r="P456" s="439"/>
      <c r="Q456" s="439"/>
      <c r="R456" s="436">
        <v>120</v>
      </c>
      <c r="S456" s="436">
        <v>207</v>
      </c>
      <c r="T456" s="436">
        <v>654</v>
      </c>
      <c r="U456" s="436">
        <v>327</v>
      </c>
      <c r="V456" s="436"/>
      <c r="W456" s="436">
        <f>IF(NFI_Expiration=1,IF($A456&lt;VLOOKUP(H$5,NFI,5,0),1,0)*Table_NFI[[#This Row],[Hygiene Kit]],Table_NFI[Hygiene Kit])</f>
        <v>0</v>
      </c>
      <c r="X456" s="436">
        <f>IF(NFI_Expiration=1,IF($A456&lt;VLOOKUP(I$5,NFI,5,0),1,0)*Table_NFI[[#This Row],[NFI Core Kit]],Table_NFI[NFI Core Kit])</f>
        <v>0</v>
      </c>
      <c r="Y456" s="436">
        <f>IF(NFI_Expiration=1,IF($A456&lt;VLOOKUP(J$5,NFI,5,0),1,0)*Table_NFI[[#This Row],[Sanitary Kit]],Table_NFI[Sanitary Kit])</f>
        <v>0</v>
      </c>
      <c r="Z456" s="436">
        <f>IF(NFI_Expiration=1,IF($A456&lt;VLOOKUP(K$5,NFI,5,0),1,0)*Table_NFI[[#This Row],[Mosquito net]],Table_NFI[Mosquito net])</f>
        <v>0</v>
      </c>
      <c r="AA456" s="436">
        <f>IF(NFI_Expiration=1,IF($A456&lt;VLOOKUP(L$5,NFI,5,0),1,0)*Table_NFI[[#This Row],[Tarpaulin]],Table_NFI[[#This Row],[Tarpaulin]])</f>
        <v>0</v>
      </c>
      <c r="AB456" s="436">
        <f>IF(NFI_Expiration=1,IF($A456&lt;VLOOKUP(M$5,NFI,5,0),1,0)*Table_NFI[[#This Row],[Blanket]],Table_NFI[[#This Row],[Blanket]])</f>
        <v>0</v>
      </c>
      <c r="AC456" s="436">
        <f>IF(NFI_Expiration=1,IF($A456&lt;VLOOKUP(N$5,NFI,5,0),1,0)*Table_NFI[[#This Row],[Kitchen Set]],Table_NFI[Kitchen Set])</f>
        <v>0</v>
      </c>
      <c r="AD456" s="436">
        <f>IF(NFI_Expiration=1,IF($A456&lt;VLOOKUP(O$5,NFI,5,0),1,0)*Table_NFI[[#This Row],[Clothes Kit]],Table_NFI[Clothes Kit])</f>
        <v>0</v>
      </c>
      <c r="AE456" s="436">
        <f>IF(NFI_Expiration=1,IF($A456&lt;VLOOKUP(P$5,NFI,5,0),1,0)*Table_NFI[[#This Row],[Plastic Bucket]],Table_NFI[Plastic Bucket])</f>
        <v>0</v>
      </c>
      <c r="AF456" s="436">
        <f>IF(NFI_Expiration=1,IF($A456&lt;VLOOKUP(Q$5,NFI,5,0),1,0)*Table_NFI[[#This Row],[Plastic Mat]],Table_NFI[Plastic Mat])*IF(Table_NFI[[#This Row],[Distribution Date]]&gt;"2014-04-01",1,2.5)</f>
        <v>0</v>
      </c>
      <c r="AG456" s="436">
        <f>IF(NFI_Expiration=1,IF($A456&lt;VLOOKUP(R$5,NFI,5,0),1,0)*Table_NFI[[#This Row],[Winter Clothes Adult]],Table_NFI[Winter Clothes Adult])</f>
        <v>0</v>
      </c>
      <c r="AH456" s="436">
        <f>IF(NFI_Expiration=1,IF($A456&lt;VLOOKUP(S$5,NFI,5,0),1,0)*Table_NFI[[#This Row],[Winter Clothes Children]],Table_NFI[Winter Clothes Children])</f>
        <v>0</v>
      </c>
      <c r="AI456" s="436">
        <f>IF(NFI_Expiration=1,IF($A456&lt;VLOOKUP(T$5,NFI,5,0),1,0)*Table_NFI[[#This Row],[Winter Items Other]],Table_NFI[Winter Items Other])</f>
        <v>0</v>
      </c>
      <c r="AJ456" s="436">
        <f>IF(NFI_Expiration=1,IF($A456&lt;VLOOKUP(M$5,NFI,5,0),1,0)*Table_NFI[[#This Row],[Winter Blanket]],Table_NFI[[#This Row],[Winter Blanket]])</f>
        <v>0</v>
      </c>
      <c r="AK456" s="436">
        <f>IF(Table_NFI[[#This Row],[Winter Clothes Adult]]+Table_NFI[[#This Row],[Winter Clothes Children]]+Table_NFI[[#This Row],[Winter Items Other]]+Table_NFI[[#This Row],[Winter Blanket]]&gt;0,1,0)</f>
        <v>1</v>
      </c>
      <c r="AL456" s="439">
        <f>IF(NFI_Expiration=1,IF($A456&lt;VLOOKUP(V$5,NFI,5,0),1,0)*Table_NFI[[#This Row],[Jerry Can]],Table_NFI[Jerry Can])</f>
        <v>0</v>
      </c>
      <c r="AM456" s="781" t="str">
        <f>IFERROR(VLOOKUP(Table_NFI[[#This Row],[Camp Name]],CL,2,0),"")</f>
        <v>MMR001CMP202</v>
      </c>
      <c r="AN456" s="782">
        <f ca="1">IF(Table_NFI[[#This Row],[Pcode]]="","",IF(OFFSET(CampList[Opening Date],MATCH(Table_NFI[[#This Row],[Pcode]],CampList[CP_Pcode],0)-1,0,1,1)&gt;=NFI_Monitor_Date,1,0))</f>
        <v>0</v>
      </c>
      <c r="AO456" s="781" t="str">
        <f>IFERROR(VLOOKUP(Table_NFI[[#This Row],[Camp Name]],CL,3,0),"")</f>
        <v>Closed</v>
      </c>
      <c r="AP456" s="436" t="str">
        <f ca="1">IF(Table_NFI[[#This Row],[Pcode]]="","",OFFSET(CampList[Priority],MATCH(Table_NFI[[#This Row],[Pcode]],CampList[CP_Pcode],0)-1,0,1,1))</f>
        <v>P4</v>
      </c>
      <c r="AQ456" s="438" t="str">
        <f>IFERROR(Table_NFI[[#This Row],[Kitchen Set]]/VLOOKUP(Table_NFI[[#This Row],[Camp Name]],CL,4,0),"")</f>
        <v/>
      </c>
      <c r="AR456" s="779"/>
      <c r="AS456" s="783"/>
    </row>
    <row r="457" spans="1:45" s="784" customFormat="1" x14ac:dyDescent="0.25">
      <c r="A457" s="455">
        <f t="shared" si="7"/>
        <v>23.9</v>
      </c>
      <c r="B457" s="778">
        <v>41592</v>
      </c>
      <c r="C457" s="779" t="s">
        <v>912</v>
      </c>
      <c r="D457" s="779" t="s">
        <v>1009</v>
      </c>
      <c r="E457" s="779" t="s">
        <v>380</v>
      </c>
      <c r="F457" s="435" t="s">
        <v>151</v>
      </c>
      <c r="G457" s="779" t="s">
        <v>198</v>
      </c>
      <c r="H457" s="436"/>
      <c r="I457" s="436"/>
      <c r="J457" s="436"/>
      <c r="K457" s="436"/>
      <c r="L457" s="437"/>
      <c r="M457" s="437"/>
      <c r="N457" s="437"/>
      <c r="O457" s="437"/>
      <c r="P457" s="439"/>
      <c r="Q457" s="439"/>
      <c r="R457" s="436">
        <v>550</v>
      </c>
      <c r="S457" s="436">
        <v>1101</v>
      </c>
      <c r="T457" s="436">
        <v>3302</v>
      </c>
      <c r="U457" s="436">
        <v>1651</v>
      </c>
      <c r="V457" s="436"/>
      <c r="W457" s="436">
        <f>IF(NFI_Expiration=1,IF($A457&lt;VLOOKUP(H$5,NFI,5,0),1,0)*Table_NFI[[#This Row],[Hygiene Kit]],Table_NFI[Hygiene Kit])</f>
        <v>0</v>
      </c>
      <c r="X457" s="436">
        <f>IF(NFI_Expiration=1,IF($A457&lt;VLOOKUP(I$5,NFI,5,0),1,0)*Table_NFI[[#This Row],[NFI Core Kit]],Table_NFI[NFI Core Kit])</f>
        <v>0</v>
      </c>
      <c r="Y457" s="436">
        <f>IF(NFI_Expiration=1,IF($A457&lt;VLOOKUP(J$5,NFI,5,0),1,0)*Table_NFI[[#This Row],[Sanitary Kit]],Table_NFI[Sanitary Kit])</f>
        <v>0</v>
      </c>
      <c r="Z457" s="436">
        <f>IF(NFI_Expiration=1,IF($A457&lt;VLOOKUP(K$5,NFI,5,0),1,0)*Table_NFI[[#This Row],[Mosquito net]],Table_NFI[Mosquito net])</f>
        <v>0</v>
      </c>
      <c r="AA457" s="436">
        <f>IF(NFI_Expiration=1,IF($A457&lt;VLOOKUP(L$5,NFI,5,0),1,0)*Table_NFI[[#This Row],[Tarpaulin]],Table_NFI[[#This Row],[Tarpaulin]])</f>
        <v>0</v>
      </c>
      <c r="AB457" s="436">
        <f>IF(NFI_Expiration=1,IF($A457&lt;VLOOKUP(M$5,NFI,5,0),1,0)*Table_NFI[[#This Row],[Blanket]],Table_NFI[[#This Row],[Blanket]])</f>
        <v>0</v>
      </c>
      <c r="AC457" s="436">
        <f>IF(NFI_Expiration=1,IF($A457&lt;VLOOKUP(N$5,NFI,5,0),1,0)*Table_NFI[[#This Row],[Kitchen Set]],Table_NFI[Kitchen Set])</f>
        <v>0</v>
      </c>
      <c r="AD457" s="436">
        <f>IF(NFI_Expiration=1,IF($A457&lt;VLOOKUP(O$5,NFI,5,0),1,0)*Table_NFI[[#This Row],[Clothes Kit]],Table_NFI[Clothes Kit])</f>
        <v>0</v>
      </c>
      <c r="AE457" s="436">
        <f>IF(NFI_Expiration=1,IF($A457&lt;VLOOKUP(P$5,NFI,5,0),1,0)*Table_NFI[[#This Row],[Plastic Bucket]],Table_NFI[Plastic Bucket])</f>
        <v>0</v>
      </c>
      <c r="AF457" s="436">
        <f>IF(NFI_Expiration=1,IF($A457&lt;VLOOKUP(Q$5,NFI,5,0),1,0)*Table_NFI[[#This Row],[Plastic Mat]],Table_NFI[Plastic Mat])*IF(Table_NFI[[#This Row],[Distribution Date]]&gt;"2014-04-01",1,2.5)</f>
        <v>0</v>
      </c>
      <c r="AG457" s="436">
        <f>IF(NFI_Expiration=1,IF($A457&lt;VLOOKUP(R$5,NFI,5,0),1,0)*Table_NFI[[#This Row],[Winter Clothes Adult]],Table_NFI[Winter Clothes Adult])</f>
        <v>0</v>
      </c>
      <c r="AH457" s="436">
        <f>IF(NFI_Expiration=1,IF($A457&lt;VLOOKUP(S$5,NFI,5,0),1,0)*Table_NFI[[#This Row],[Winter Clothes Children]],Table_NFI[Winter Clothes Children])</f>
        <v>0</v>
      </c>
      <c r="AI457" s="436">
        <f>IF(NFI_Expiration=1,IF($A457&lt;VLOOKUP(T$5,NFI,5,0),1,0)*Table_NFI[[#This Row],[Winter Items Other]],Table_NFI[Winter Items Other])</f>
        <v>0</v>
      </c>
      <c r="AJ457" s="436">
        <f>IF(NFI_Expiration=1,IF($A457&lt;VLOOKUP(M$5,NFI,5,0),1,0)*Table_NFI[[#This Row],[Winter Blanket]],Table_NFI[[#This Row],[Winter Blanket]])</f>
        <v>0</v>
      </c>
      <c r="AK457" s="436">
        <f>IF(Table_NFI[[#This Row],[Winter Clothes Adult]]+Table_NFI[[#This Row],[Winter Clothes Children]]+Table_NFI[[#This Row],[Winter Items Other]]+Table_NFI[[#This Row],[Winter Blanket]]&gt;0,1,0)</f>
        <v>1</v>
      </c>
      <c r="AL457" s="439">
        <f>IF(NFI_Expiration=1,IF($A457&lt;VLOOKUP(V$5,NFI,5,0),1,0)*Table_NFI[[#This Row],[Jerry Can]],Table_NFI[Jerry Can])</f>
        <v>0</v>
      </c>
      <c r="AM457" s="781" t="str">
        <f>IFERROR(VLOOKUP(Table_NFI[[#This Row],[Camp Name]],CL,2,0),"")</f>
        <v>MMR001CMP128</v>
      </c>
      <c r="AN457" s="782">
        <f ca="1">IF(Table_NFI[[#This Row],[Pcode]]="","",IF(OFFSET(CampList[Opening Date],MATCH(Table_NFI[[#This Row],[Pcode]],CampList[CP_Pcode],0)-1,0,1,1)&gt;=NFI_Monitor_Date,1,0))</f>
        <v>0</v>
      </c>
      <c r="AO457" s="781" t="str">
        <f>IFERROR(VLOOKUP(Table_NFI[[#This Row],[Camp Name]],CL,3,0),"")</f>
        <v>Open</v>
      </c>
      <c r="AP457" s="436" t="str">
        <f ca="1">IF(Table_NFI[[#This Row],[Pcode]]="","",OFFSET(CampList[Priority],MATCH(Table_NFI[[#This Row],[Pcode]],CampList[CP_Pcode],0)-1,0,1,1))</f>
        <v>P2</v>
      </c>
      <c r="AQ457" s="438">
        <f>IFERROR(Table_NFI[[#This Row],[Kitchen Set]]/VLOOKUP(Table_NFI[[#This Row],[Camp Name]],CL,4,0),"")</f>
        <v>0</v>
      </c>
      <c r="AR457" s="779"/>
      <c r="AS457" s="783"/>
    </row>
    <row r="458" spans="1:45" s="784" customFormat="1" x14ac:dyDescent="0.25">
      <c r="A458" s="455">
        <f t="shared" si="7"/>
        <v>23.9</v>
      </c>
      <c r="B458" s="778">
        <v>41592</v>
      </c>
      <c r="C458" s="779" t="s">
        <v>455</v>
      </c>
      <c r="D458" s="779"/>
      <c r="E458" s="779" t="s">
        <v>380</v>
      </c>
      <c r="F458" s="779" t="s">
        <v>185</v>
      </c>
      <c r="G458" s="779" t="s">
        <v>186</v>
      </c>
      <c r="H458" s="436"/>
      <c r="I458" s="436"/>
      <c r="J458" s="436"/>
      <c r="K458" s="436"/>
      <c r="L458" s="437"/>
      <c r="M458" s="437">
        <v>75</v>
      </c>
      <c r="N458" s="437"/>
      <c r="O458" s="437"/>
      <c r="P458" s="439"/>
      <c r="Q458" s="439"/>
      <c r="R458" s="436"/>
      <c r="S458" s="436"/>
      <c r="T458" s="436"/>
      <c r="U458" s="436"/>
      <c r="V458" s="436"/>
      <c r="W458" s="444">
        <f>IF(NFI_Expiration=1,IF($A458&lt;VLOOKUP(H$5,NFI,5,0),1,0)*Table_NFI[[#This Row],[Hygiene Kit]],Table_NFI[Hygiene Kit])</f>
        <v>0</v>
      </c>
      <c r="X458" s="444">
        <f>IF(NFI_Expiration=1,IF($A458&lt;VLOOKUP(I$5,NFI,5,0),1,0)*Table_NFI[[#This Row],[NFI Core Kit]],Table_NFI[NFI Core Kit])</f>
        <v>0</v>
      </c>
      <c r="Y458" s="444">
        <f>IF(NFI_Expiration=1,IF($A458&lt;VLOOKUP(J$5,NFI,5,0),1,0)*Table_NFI[[#This Row],[Sanitary Kit]],Table_NFI[Sanitary Kit])</f>
        <v>0</v>
      </c>
      <c r="Z458" s="444">
        <f>IF(NFI_Expiration=1,IF($A458&lt;VLOOKUP(K$5,NFI,5,0),1,0)*Table_NFI[[#This Row],[Mosquito net]],Table_NFI[Mosquito net])</f>
        <v>0</v>
      </c>
      <c r="AA458" s="444">
        <f>IF(NFI_Expiration=1,IF($A458&lt;VLOOKUP(L$5,NFI,5,0),1,0)*Table_NFI[[#This Row],[Tarpaulin]],Table_NFI[[#This Row],[Tarpaulin]])</f>
        <v>0</v>
      </c>
      <c r="AB458" s="444">
        <f>IF(NFI_Expiration=1,IF($A458&lt;VLOOKUP(M$5,NFI,5,0),1,0)*Table_NFI[[#This Row],[Blanket]],Table_NFI[[#This Row],[Blanket]])</f>
        <v>0</v>
      </c>
      <c r="AC458" s="444">
        <f>IF(NFI_Expiration=1,IF($A458&lt;VLOOKUP(N$5,NFI,5,0),1,0)*Table_NFI[[#This Row],[Kitchen Set]],Table_NFI[Kitchen Set])</f>
        <v>0</v>
      </c>
      <c r="AD458" s="444">
        <f>IF(NFI_Expiration=1,IF($A458&lt;VLOOKUP(O$5,NFI,5,0),1,0)*Table_NFI[[#This Row],[Clothes Kit]],Table_NFI[Clothes Kit])</f>
        <v>0</v>
      </c>
      <c r="AE458" s="444">
        <f>IF(NFI_Expiration=1,IF($A458&lt;VLOOKUP(P$5,NFI,5,0),1,0)*Table_NFI[[#This Row],[Plastic Bucket]],Table_NFI[Plastic Bucket])</f>
        <v>0</v>
      </c>
      <c r="AF458" s="444">
        <f>IF(NFI_Expiration=1,IF($A458&lt;VLOOKUP(Q$5,NFI,5,0),1,0)*Table_NFI[[#This Row],[Plastic Mat]],Table_NFI[Plastic Mat])*IF(Table_NFI[[#This Row],[Distribution Date]]&gt;"2014-04-01",1,2.5)</f>
        <v>0</v>
      </c>
      <c r="AG458" s="444">
        <f>IF(NFI_Expiration=1,IF($A458&lt;VLOOKUP(R$5,NFI,5,0),1,0)*Table_NFI[[#This Row],[Winter Clothes Adult]],Table_NFI[Winter Clothes Adult])</f>
        <v>0</v>
      </c>
      <c r="AH458" s="444">
        <f>IF(NFI_Expiration=1,IF($A458&lt;VLOOKUP(S$5,NFI,5,0),1,0)*Table_NFI[[#This Row],[Winter Clothes Children]],Table_NFI[Winter Clothes Children])</f>
        <v>0</v>
      </c>
      <c r="AI458" s="444">
        <f>IF(NFI_Expiration=1,IF($A458&lt;VLOOKUP(T$5,NFI,5,0),1,0)*Table_NFI[[#This Row],[Winter Items Other]],Table_NFI[Winter Items Other])</f>
        <v>0</v>
      </c>
      <c r="AJ458" s="444">
        <f>IF(NFI_Expiration=1,IF($A458&lt;VLOOKUP(M$5,NFI,5,0),1,0)*Table_NFI[[#This Row],[Winter Blanket]],Table_NFI[[#This Row],[Winter Blanket]])</f>
        <v>0</v>
      </c>
      <c r="AK458" s="444">
        <f>IF(Table_NFI[[#This Row],[Winter Clothes Adult]]+Table_NFI[[#This Row],[Winter Clothes Children]]+Table_NFI[[#This Row],[Winter Items Other]]+Table_NFI[[#This Row],[Winter Blanket]]&gt;0,1,0)</f>
        <v>0</v>
      </c>
      <c r="AL458" s="439">
        <f>IF(NFI_Expiration=1,IF($A458&lt;VLOOKUP(V$5,NFI,5,0),1,0)*Table_NFI[[#This Row],[Jerry Can]],Table_NFI[Jerry Can])</f>
        <v>0</v>
      </c>
      <c r="AM458" s="787" t="str">
        <f>IFERROR(VLOOKUP(Table_NFI[[#This Row],[Camp Name]],CL,2,0),"")</f>
        <v>MMR001CMP071</v>
      </c>
      <c r="AN458" s="788">
        <f ca="1">IF(Table_NFI[[#This Row],[Pcode]]="","",IF(OFFSET(CampList[Opening Date],MATCH(Table_NFI[[#This Row],[Pcode]],CampList[CP_Pcode],0)-1,0,1,1)&gt;=NFI_Monitor_Date,1,0))</f>
        <v>0</v>
      </c>
      <c r="AO458" s="787" t="str">
        <f>IFERROR(VLOOKUP(Table_NFI[[#This Row],[Camp Name]],CL,3,0),"")</f>
        <v>Open</v>
      </c>
      <c r="AP458" s="444" t="str">
        <f ca="1">IF(Table_NFI[[#This Row],[Pcode]]="","",OFFSET(CampList[Priority],MATCH(Table_NFI[[#This Row],[Pcode]],CampList[CP_Pcode],0)-1,0,1,1))</f>
        <v>P3</v>
      </c>
      <c r="AQ458" s="445">
        <f>IFERROR(Table_NFI[[#This Row],[Kitchen Set]]/VLOOKUP(Table_NFI[[#This Row],[Camp Name]],CL,4,0),"")</f>
        <v>0</v>
      </c>
      <c r="AR458" s="779" t="s">
        <v>1099</v>
      </c>
      <c r="AS458" s="783"/>
    </row>
    <row r="459" spans="1:45" s="784" customFormat="1" x14ac:dyDescent="0.25">
      <c r="A459" s="455">
        <f t="shared" si="7"/>
        <v>23.9</v>
      </c>
      <c r="B459" s="778">
        <v>41592</v>
      </c>
      <c r="C459" s="779" t="s">
        <v>455</v>
      </c>
      <c r="D459" s="779"/>
      <c r="E459" s="779" t="s">
        <v>380</v>
      </c>
      <c r="F459" s="779" t="s">
        <v>151</v>
      </c>
      <c r="G459" s="779" t="s">
        <v>160</v>
      </c>
      <c r="H459" s="436"/>
      <c r="I459" s="436"/>
      <c r="J459" s="436"/>
      <c r="K459" s="436"/>
      <c r="L459" s="437"/>
      <c r="M459" s="437"/>
      <c r="N459" s="437"/>
      <c r="O459" s="437"/>
      <c r="P459" s="439"/>
      <c r="Q459" s="439"/>
      <c r="R459" s="436"/>
      <c r="S459" s="436">
        <v>32</v>
      </c>
      <c r="T459" s="436"/>
      <c r="U459" s="436"/>
      <c r="V459" s="436"/>
      <c r="W459" s="436">
        <f>IF(NFI_Expiration=1,IF($A459&lt;VLOOKUP(H$5,NFI,5,0),1,0)*Table_NFI[[#This Row],[Hygiene Kit]],Table_NFI[Hygiene Kit])</f>
        <v>0</v>
      </c>
      <c r="X459" s="436">
        <f>IF(NFI_Expiration=1,IF($A459&lt;VLOOKUP(I$5,NFI,5,0),1,0)*Table_NFI[[#This Row],[NFI Core Kit]],Table_NFI[NFI Core Kit])</f>
        <v>0</v>
      </c>
      <c r="Y459" s="436">
        <f>IF(NFI_Expiration=1,IF($A459&lt;VLOOKUP(J$5,NFI,5,0),1,0)*Table_NFI[[#This Row],[Sanitary Kit]],Table_NFI[Sanitary Kit])</f>
        <v>0</v>
      </c>
      <c r="Z459" s="436">
        <f>IF(NFI_Expiration=1,IF($A459&lt;VLOOKUP(K$5,NFI,5,0),1,0)*Table_NFI[[#This Row],[Mosquito net]],Table_NFI[Mosquito net])</f>
        <v>0</v>
      </c>
      <c r="AA459" s="436">
        <f>IF(NFI_Expiration=1,IF($A459&lt;VLOOKUP(L$5,NFI,5,0),1,0)*Table_NFI[[#This Row],[Tarpaulin]],Table_NFI[[#This Row],[Tarpaulin]])</f>
        <v>0</v>
      </c>
      <c r="AB459" s="436">
        <f>IF(NFI_Expiration=1,IF($A459&lt;VLOOKUP(M$5,NFI,5,0),1,0)*Table_NFI[[#This Row],[Blanket]],Table_NFI[[#This Row],[Blanket]])</f>
        <v>0</v>
      </c>
      <c r="AC459" s="436">
        <f>IF(NFI_Expiration=1,IF($A459&lt;VLOOKUP(N$5,NFI,5,0),1,0)*Table_NFI[[#This Row],[Kitchen Set]],Table_NFI[Kitchen Set])</f>
        <v>0</v>
      </c>
      <c r="AD459" s="436">
        <f>IF(NFI_Expiration=1,IF($A459&lt;VLOOKUP(O$5,NFI,5,0),1,0)*Table_NFI[[#This Row],[Clothes Kit]],Table_NFI[Clothes Kit])</f>
        <v>0</v>
      </c>
      <c r="AE459" s="436">
        <f>IF(NFI_Expiration=1,IF($A459&lt;VLOOKUP(P$5,NFI,5,0),1,0)*Table_NFI[[#This Row],[Plastic Bucket]],Table_NFI[Plastic Bucket])</f>
        <v>0</v>
      </c>
      <c r="AF459" s="436">
        <f>IF(NFI_Expiration=1,IF($A459&lt;VLOOKUP(Q$5,NFI,5,0),1,0)*Table_NFI[[#This Row],[Plastic Mat]],Table_NFI[Plastic Mat])*IF(Table_NFI[[#This Row],[Distribution Date]]&gt;"2014-04-01",1,2.5)</f>
        <v>0</v>
      </c>
      <c r="AG459" s="436">
        <f>IF(NFI_Expiration=1,IF($A459&lt;VLOOKUP(R$5,NFI,5,0),1,0)*Table_NFI[[#This Row],[Winter Clothes Adult]],Table_NFI[Winter Clothes Adult])</f>
        <v>0</v>
      </c>
      <c r="AH459" s="436">
        <f>IF(NFI_Expiration=1,IF($A459&lt;VLOOKUP(S$5,NFI,5,0),1,0)*Table_NFI[[#This Row],[Winter Clothes Children]],Table_NFI[Winter Clothes Children])</f>
        <v>0</v>
      </c>
      <c r="AI459" s="436">
        <f>IF(NFI_Expiration=1,IF($A459&lt;VLOOKUP(T$5,NFI,5,0),1,0)*Table_NFI[[#This Row],[Winter Items Other]],Table_NFI[Winter Items Other])</f>
        <v>0</v>
      </c>
      <c r="AJ459" s="436">
        <f>IF(NFI_Expiration=1,IF($A459&lt;VLOOKUP(M$5,NFI,5,0),1,0)*Table_NFI[[#This Row],[Winter Blanket]],Table_NFI[[#This Row],[Winter Blanket]])</f>
        <v>0</v>
      </c>
      <c r="AK459" s="436">
        <f>IF(Table_NFI[[#This Row],[Winter Clothes Adult]]+Table_NFI[[#This Row],[Winter Clothes Children]]+Table_NFI[[#This Row],[Winter Items Other]]+Table_NFI[[#This Row],[Winter Blanket]]&gt;0,1,0)</f>
        <v>1</v>
      </c>
      <c r="AL459" s="439">
        <f>IF(NFI_Expiration=1,IF($A459&lt;VLOOKUP(V$5,NFI,5,0),1,0)*Table_NFI[[#This Row],[Jerry Can]],Table_NFI[Jerry Can])</f>
        <v>0</v>
      </c>
      <c r="AM459" s="781" t="str">
        <f>IFERROR(VLOOKUP(Table_NFI[[#This Row],[Camp Name]],CL,2,0),"")</f>
        <v>MMR001CMP133</v>
      </c>
      <c r="AN459" s="782">
        <f ca="1">IF(Table_NFI[[#This Row],[Pcode]]="","",IF(OFFSET(CampList[Opening Date],MATCH(Table_NFI[[#This Row],[Pcode]],CampList[CP_Pcode],0)-1,0,1,1)&gt;=NFI_Monitor_Date,1,0))</f>
        <v>0</v>
      </c>
      <c r="AO459" s="781" t="str">
        <f>IFERROR(VLOOKUP(Table_NFI[[#This Row],[Camp Name]],CL,3,0),"")</f>
        <v>Open</v>
      </c>
      <c r="AP459" s="436" t="str">
        <f ca="1">IF(Table_NFI[[#This Row],[Pcode]]="","",OFFSET(CampList[Priority],MATCH(Table_NFI[[#This Row],[Pcode]],CampList[CP_Pcode],0)-1,0,1,1))</f>
        <v>P4</v>
      </c>
      <c r="AQ459" s="438">
        <f>IFERROR(Table_NFI[[#This Row],[Kitchen Set]]/VLOOKUP(Table_NFI[[#This Row],[Camp Name]],CL,4,0),"")</f>
        <v>0</v>
      </c>
      <c r="AR459" s="779" t="s">
        <v>1099</v>
      </c>
      <c r="AS459" s="783"/>
    </row>
    <row r="460" spans="1:45" s="784" customFormat="1" x14ac:dyDescent="0.25">
      <c r="A460" s="455">
        <f t="shared" si="7"/>
        <v>23.9</v>
      </c>
      <c r="B460" s="778">
        <v>41592</v>
      </c>
      <c r="C460" s="779" t="s">
        <v>912</v>
      </c>
      <c r="D460" s="779" t="s">
        <v>912</v>
      </c>
      <c r="E460" s="779" t="s">
        <v>380</v>
      </c>
      <c r="F460" s="779" t="s">
        <v>151</v>
      </c>
      <c r="G460" s="779" t="s">
        <v>154</v>
      </c>
      <c r="H460" s="436"/>
      <c r="I460" s="436"/>
      <c r="J460" s="436"/>
      <c r="K460" s="436"/>
      <c r="L460" s="437"/>
      <c r="M460" s="437"/>
      <c r="N460" s="437"/>
      <c r="O460" s="437"/>
      <c r="P460" s="439"/>
      <c r="Q460" s="439"/>
      <c r="R460" s="436"/>
      <c r="S460" s="436">
        <v>176</v>
      </c>
      <c r="T460" s="436">
        <v>352</v>
      </c>
      <c r="U460" s="436">
        <v>176</v>
      </c>
      <c r="V460" s="436"/>
      <c r="W460" s="436">
        <f>IF(NFI_Expiration=1,IF($A460&lt;VLOOKUP(H$5,NFI,5,0),1,0)*Table_NFI[[#This Row],[Hygiene Kit]],Table_NFI[Hygiene Kit])</f>
        <v>0</v>
      </c>
      <c r="X460" s="436">
        <f>IF(NFI_Expiration=1,IF($A460&lt;VLOOKUP(I$5,NFI,5,0),1,0)*Table_NFI[[#This Row],[NFI Core Kit]],Table_NFI[NFI Core Kit])</f>
        <v>0</v>
      </c>
      <c r="Y460" s="436">
        <f>IF(NFI_Expiration=1,IF($A460&lt;VLOOKUP(J$5,NFI,5,0),1,0)*Table_NFI[[#This Row],[Sanitary Kit]],Table_NFI[Sanitary Kit])</f>
        <v>0</v>
      </c>
      <c r="Z460" s="436">
        <f>IF(NFI_Expiration=1,IF($A460&lt;VLOOKUP(K$5,NFI,5,0),1,0)*Table_NFI[[#This Row],[Mosquito net]],Table_NFI[Mosquito net])</f>
        <v>0</v>
      </c>
      <c r="AA460" s="436">
        <f>IF(NFI_Expiration=1,IF($A460&lt;VLOOKUP(L$5,NFI,5,0),1,0)*Table_NFI[[#This Row],[Tarpaulin]],Table_NFI[[#This Row],[Tarpaulin]])</f>
        <v>0</v>
      </c>
      <c r="AB460" s="436">
        <f>IF(NFI_Expiration=1,IF($A460&lt;VLOOKUP(M$5,NFI,5,0),1,0)*Table_NFI[[#This Row],[Blanket]],Table_NFI[[#This Row],[Blanket]])</f>
        <v>0</v>
      </c>
      <c r="AC460" s="436">
        <f>IF(NFI_Expiration=1,IF($A460&lt;VLOOKUP(N$5,NFI,5,0),1,0)*Table_NFI[[#This Row],[Kitchen Set]],Table_NFI[Kitchen Set])</f>
        <v>0</v>
      </c>
      <c r="AD460" s="436">
        <f>IF(NFI_Expiration=1,IF($A460&lt;VLOOKUP(O$5,NFI,5,0),1,0)*Table_NFI[[#This Row],[Clothes Kit]],Table_NFI[Clothes Kit])</f>
        <v>0</v>
      </c>
      <c r="AE460" s="436">
        <f>IF(NFI_Expiration=1,IF($A460&lt;VLOOKUP(P$5,NFI,5,0),1,0)*Table_NFI[[#This Row],[Plastic Bucket]],Table_NFI[Plastic Bucket])</f>
        <v>0</v>
      </c>
      <c r="AF460" s="436">
        <f>IF(NFI_Expiration=1,IF($A460&lt;VLOOKUP(Q$5,NFI,5,0),1,0)*Table_NFI[[#This Row],[Plastic Mat]],Table_NFI[Plastic Mat])*IF(Table_NFI[[#This Row],[Distribution Date]]&gt;"2014-04-01",1,2.5)</f>
        <v>0</v>
      </c>
      <c r="AG460" s="436">
        <f>IF(NFI_Expiration=1,IF($A460&lt;VLOOKUP(R$5,NFI,5,0),1,0)*Table_NFI[[#This Row],[Winter Clothes Adult]],Table_NFI[Winter Clothes Adult])</f>
        <v>0</v>
      </c>
      <c r="AH460" s="436">
        <f>IF(NFI_Expiration=1,IF($A460&lt;VLOOKUP(S$5,NFI,5,0),1,0)*Table_NFI[[#This Row],[Winter Clothes Children]],Table_NFI[Winter Clothes Children])</f>
        <v>0</v>
      </c>
      <c r="AI460" s="436">
        <f>IF(NFI_Expiration=1,IF($A460&lt;VLOOKUP(T$5,NFI,5,0),1,0)*Table_NFI[[#This Row],[Winter Items Other]],Table_NFI[Winter Items Other])</f>
        <v>0</v>
      </c>
      <c r="AJ460" s="436">
        <f>IF(NFI_Expiration=1,IF($A460&lt;VLOOKUP(M$5,NFI,5,0),1,0)*Table_NFI[[#This Row],[Winter Blanket]],Table_NFI[[#This Row],[Winter Blanket]])</f>
        <v>0</v>
      </c>
      <c r="AK460" s="436">
        <f>IF(Table_NFI[[#This Row],[Winter Clothes Adult]]+Table_NFI[[#This Row],[Winter Clothes Children]]+Table_NFI[[#This Row],[Winter Items Other]]+Table_NFI[[#This Row],[Winter Blanket]]&gt;0,1,0)</f>
        <v>1</v>
      </c>
      <c r="AL460" s="439">
        <f>IF(NFI_Expiration=1,IF($A460&lt;VLOOKUP(V$5,NFI,5,0),1,0)*Table_NFI[[#This Row],[Jerry Can]],Table_NFI[Jerry Can])</f>
        <v>0</v>
      </c>
      <c r="AM460" s="781" t="str">
        <f>IFERROR(VLOOKUP(Table_NFI[[#This Row],[Camp Name]],CL,2,0),"")</f>
        <v>MMR001CMP132</v>
      </c>
      <c r="AN460" s="782">
        <f ca="1">IF(Table_NFI[[#This Row],[Pcode]]="","",IF(OFFSET(CampList[Opening Date],MATCH(Table_NFI[[#This Row],[Pcode]],CampList[CP_Pcode],0)-1,0,1,1)&gt;=NFI_Monitor_Date,1,0))</f>
        <v>0</v>
      </c>
      <c r="AO460" s="781" t="str">
        <f>IFERROR(VLOOKUP(Table_NFI[[#This Row],[Camp Name]],CL,3,0),"")</f>
        <v>Open</v>
      </c>
      <c r="AP460" s="436" t="str">
        <f ca="1">IF(Table_NFI[[#This Row],[Pcode]]="","",OFFSET(CampList[Priority],MATCH(Table_NFI[[#This Row],[Pcode]],CampList[CP_Pcode],0)-1,0,1,1))</f>
        <v>P4</v>
      </c>
      <c r="AQ460" s="438">
        <f>IFERROR(Table_NFI[[#This Row],[Kitchen Set]]/VLOOKUP(Table_NFI[[#This Row],[Camp Name]],CL,4,0),"")</f>
        <v>0</v>
      </c>
      <c r="AR460" s="779"/>
      <c r="AS460" s="783"/>
    </row>
    <row r="461" spans="1:45" s="784" customFormat="1" x14ac:dyDescent="0.25">
      <c r="A461" s="455">
        <f t="shared" si="7"/>
        <v>23.9</v>
      </c>
      <c r="B461" s="778">
        <v>41592</v>
      </c>
      <c r="C461" s="779" t="s">
        <v>454</v>
      </c>
      <c r="D461" s="779" t="s">
        <v>454</v>
      </c>
      <c r="E461" s="779" t="s">
        <v>380</v>
      </c>
      <c r="F461" s="435" t="s">
        <v>151</v>
      </c>
      <c r="G461" s="435" t="s">
        <v>152</v>
      </c>
      <c r="H461" s="436"/>
      <c r="I461" s="436"/>
      <c r="J461" s="436">
        <v>18</v>
      </c>
      <c r="K461" s="436">
        <v>31</v>
      </c>
      <c r="L461" s="437">
        <v>18</v>
      </c>
      <c r="M461" s="437">
        <v>31</v>
      </c>
      <c r="N461" s="437">
        <v>18</v>
      </c>
      <c r="O461" s="437">
        <v>18</v>
      </c>
      <c r="P461" s="439"/>
      <c r="Q461" s="439"/>
      <c r="R461" s="436"/>
      <c r="S461" s="436"/>
      <c r="T461" s="436"/>
      <c r="U461" s="436"/>
      <c r="V461" s="436"/>
      <c r="W461" s="436">
        <f>IF(NFI_Expiration=1,IF($A461&lt;VLOOKUP(H$5,NFI,5,0),1,0)*Table_NFI[[#This Row],[Hygiene Kit]],Table_NFI[Hygiene Kit])</f>
        <v>0</v>
      </c>
      <c r="X461" s="436">
        <f>IF(NFI_Expiration=1,IF($A461&lt;VLOOKUP(I$5,NFI,5,0),1,0)*Table_NFI[[#This Row],[NFI Core Kit]],Table_NFI[NFI Core Kit])</f>
        <v>0</v>
      </c>
      <c r="Y461" s="436">
        <f>IF(NFI_Expiration=1,IF($A461&lt;VLOOKUP(J$5,NFI,5,0),1,0)*Table_NFI[[#This Row],[Sanitary Kit]],Table_NFI[Sanitary Kit])</f>
        <v>0</v>
      </c>
      <c r="Z461" s="436">
        <f>IF(NFI_Expiration=1,IF($A461&lt;VLOOKUP(K$5,NFI,5,0),1,0)*Table_NFI[[#This Row],[Mosquito net]],Table_NFI[Mosquito net])</f>
        <v>0</v>
      </c>
      <c r="AA461" s="436">
        <f>IF(NFI_Expiration=1,IF($A461&lt;VLOOKUP(L$5,NFI,5,0),1,0)*Table_NFI[[#This Row],[Tarpaulin]],Table_NFI[[#This Row],[Tarpaulin]])</f>
        <v>0</v>
      </c>
      <c r="AB461" s="436">
        <f>IF(NFI_Expiration=1,IF($A461&lt;VLOOKUP(M$5,NFI,5,0),1,0)*Table_NFI[[#This Row],[Blanket]],Table_NFI[[#This Row],[Blanket]])</f>
        <v>0</v>
      </c>
      <c r="AC461" s="436">
        <f>IF(NFI_Expiration=1,IF($A461&lt;VLOOKUP(N$5,NFI,5,0),1,0)*Table_NFI[[#This Row],[Kitchen Set]],Table_NFI[Kitchen Set])</f>
        <v>0</v>
      </c>
      <c r="AD461" s="436">
        <f>IF(NFI_Expiration=1,IF($A461&lt;VLOOKUP(O$5,NFI,5,0),1,0)*Table_NFI[[#This Row],[Clothes Kit]],Table_NFI[Clothes Kit])</f>
        <v>0</v>
      </c>
      <c r="AE461" s="436">
        <f>IF(NFI_Expiration=1,IF($A461&lt;VLOOKUP(P$5,NFI,5,0),1,0)*Table_NFI[[#This Row],[Plastic Bucket]],Table_NFI[Plastic Bucket])</f>
        <v>0</v>
      </c>
      <c r="AF461" s="436">
        <f>IF(NFI_Expiration=1,IF($A461&lt;VLOOKUP(Q$5,NFI,5,0),1,0)*Table_NFI[[#This Row],[Plastic Mat]],Table_NFI[Plastic Mat])*IF(Table_NFI[[#This Row],[Distribution Date]]&gt;"2014-04-01",1,2.5)</f>
        <v>0</v>
      </c>
      <c r="AG461" s="436">
        <f>IF(NFI_Expiration=1,IF($A461&lt;VLOOKUP(R$5,NFI,5,0),1,0)*Table_NFI[[#This Row],[Winter Clothes Adult]],Table_NFI[Winter Clothes Adult])</f>
        <v>0</v>
      </c>
      <c r="AH461" s="436">
        <f>IF(NFI_Expiration=1,IF($A461&lt;VLOOKUP(S$5,NFI,5,0),1,0)*Table_NFI[[#This Row],[Winter Clothes Children]],Table_NFI[Winter Clothes Children])</f>
        <v>0</v>
      </c>
      <c r="AI461" s="436">
        <f>IF(NFI_Expiration=1,IF($A461&lt;VLOOKUP(T$5,NFI,5,0),1,0)*Table_NFI[[#This Row],[Winter Items Other]],Table_NFI[Winter Items Other])</f>
        <v>0</v>
      </c>
      <c r="AJ461" s="436">
        <f>IF(NFI_Expiration=1,IF($A461&lt;VLOOKUP(M$5,NFI,5,0),1,0)*Table_NFI[[#This Row],[Winter Blanket]],Table_NFI[[#This Row],[Winter Blanket]])</f>
        <v>0</v>
      </c>
      <c r="AK461" s="436">
        <f>IF(Table_NFI[[#This Row],[Winter Clothes Adult]]+Table_NFI[[#This Row],[Winter Clothes Children]]+Table_NFI[[#This Row],[Winter Items Other]]+Table_NFI[[#This Row],[Winter Blanket]]&gt;0,1,0)</f>
        <v>0</v>
      </c>
      <c r="AL461" s="439">
        <f>IF(NFI_Expiration=1,IF($A461&lt;VLOOKUP(V$5,NFI,5,0),1,0)*Table_NFI[[#This Row],[Jerry Can]],Table_NFI[Jerry Can])</f>
        <v>0</v>
      </c>
      <c r="AM461" s="781" t="str">
        <f>IFERROR(VLOOKUP(Table_NFI[[#This Row],[Camp Name]],CL,2,0),"")</f>
        <v>MMR001CMP066</v>
      </c>
      <c r="AN461" s="782">
        <f ca="1">IF(Table_NFI[[#This Row],[Pcode]]="","",IF(OFFSET(CampList[Opening Date],MATCH(Table_NFI[[#This Row],[Pcode]],CampList[CP_Pcode],0)-1,0,1,1)&gt;=NFI_Monitor_Date,1,0))</f>
        <v>0</v>
      </c>
      <c r="AO461" s="781" t="str">
        <f>IFERROR(VLOOKUP(Table_NFI[[#This Row],[Camp Name]],CL,3,0),"")</f>
        <v>Open</v>
      </c>
      <c r="AP461" s="436" t="str">
        <f ca="1">IF(Table_NFI[[#This Row],[Pcode]]="","",OFFSET(CampList[Priority],MATCH(Table_NFI[[#This Row],[Pcode]],CampList[CP_Pcode],0)-1,0,1,1))</f>
        <v>P4</v>
      </c>
      <c r="AQ461" s="438">
        <f>IFERROR(Table_NFI[[#This Row],[Kitchen Set]]/VLOOKUP(Table_NFI[[#This Row],[Camp Name]],CL,4,0),"")</f>
        <v>8.1447963800904979E-2</v>
      </c>
      <c r="AR461" s="779" t="s">
        <v>1099</v>
      </c>
      <c r="AS461" s="783"/>
    </row>
    <row r="462" spans="1:45" s="784" customFormat="1" x14ac:dyDescent="0.25">
      <c r="A462" s="455">
        <f t="shared" si="7"/>
        <v>23.9</v>
      </c>
      <c r="B462" s="778">
        <v>41592</v>
      </c>
      <c r="C462" s="779" t="s">
        <v>455</v>
      </c>
      <c r="D462" s="779"/>
      <c r="E462" s="779" t="s">
        <v>380</v>
      </c>
      <c r="F462" s="779" t="s">
        <v>185</v>
      </c>
      <c r="G462" s="779" t="s">
        <v>225</v>
      </c>
      <c r="H462" s="436"/>
      <c r="I462" s="436"/>
      <c r="J462" s="436"/>
      <c r="K462" s="436"/>
      <c r="L462" s="437"/>
      <c r="M462" s="437">
        <v>110</v>
      </c>
      <c r="N462" s="437"/>
      <c r="O462" s="437"/>
      <c r="P462" s="439"/>
      <c r="Q462" s="439"/>
      <c r="R462" s="436"/>
      <c r="S462" s="436"/>
      <c r="T462" s="436"/>
      <c r="U462" s="436"/>
      <c r="V462" s="436"/>
      <c r="W462" s="436">
        <f>IF(NFI_Expiration=1,IF($A462&lt;VLOOKUP(H$5,NFI,5,0),1,0)*Table_NFI[[#This Row],[Hygiene Kit]],Table_NFI[Hygiene Kit])</f>
        <v>0</v>
      </c>
      <c r="X462" s="436">
        <f>IF(NFI_Expiration=1,IF($A462&lt;VLOOKUP(I$5,NFI,5,0),1,0)*Table_NFI[[#This Row],[NFI Core Kit]],Table_NFI[NFI Core Kit])</f>
        <v>0</v>
      </c>
      <c r="Y462" s="436">
        <f>IF(NFI_Expiration=1,IF($A462&lt;VLOOKUP(J$5,NFI,5,0),1,0)*Table_NFI[[#This Row],[Sanitary Kit]],Table_NFI[Sanitary Kit])</f>
        <v>0</v>
      </c>
      <c r="Z462" s="436">
        <f>IF(NFI_Expiration=1,IF($A462&lt;VLOOKUP(K$5,NFI,5,0),1,0)*Table_NFI[[#This Row],[Mosquito net]],Table_NFI[Mosquito net])</f>
        <v>0</v>
      </c>
      <c r="AA462" s="436">
        <f>IF(NFI_Expiration=1,IF($A462&lt;VLOOKUP(L$5,NFI,5,0),1,0)*Table_NFI[[#This Row],[Tarpaulin]],Table_NFI[[#This Row],[Tarpaulin]])</f>
        <v>0</v>
      </c>
      <c r="AB462" s="436">
        <f>IF(NFI_Expiration=1,IF($A462&lt;VLOOKUP(M$5,NFI,5,0),1,0)*Table_NFI[[#This Row],[Blanket]],Table_NFI[[#This Row],[Blanket]])</f>
        <v>0</v>
      </c>
      <c r="AC462" s="436">
        <f>IF(NFI_Expiration=1,IF($A462&lt;VLOOKUP(N$5,NFI,5,0),1,0)*Table_NFI[[#This Row],[Kitchen Set]],Table_NFI[Kitchen Set])</f>
        <v>0</v>
      </c>
      <c r="AD462" s="436">
        <f>IF(NFI_Expiration=1,IF($A462&lt;VLOOKUP(O$5,NFI,5,0),1,0)*Table_NFI[[#This Row],[Clothes Kit]],Table_NFI[Clothes Kit])</f>
        <v>0</v>
      </c>
      <c r="AE462" s="436">
        <f>IF(NFI_Expiration=1,IF($A462&lt;VLOOKUP(P$5,NFI,5,0),1,0)*Table_NFI[[#This Row],[Plastic Bucket]],Table_NFI[Plastic Bucket])</f>
        <v>0</v>
      </c>
      <c r="AF462" s="436">
        <f>IF(NFI_Expiration=1,IF($A462&lt;VLOOKUP(Q$5,NFI,5,0),1,0)*Table_NFI[[#This Row],[Plastic Mat]],Table_NFI[Plastic Mat])*IF(Table_NFI[[#This Row],[Distribution Date]]&gt;"2014-04-01",1,2.5)</f>
        <v>0</v>
      </c>
      <c r="AG462" s="436">
        <f>IF(NFI_Expiration=1,IF($A462&lt;VLOOKUP(R$5,NFI,5,0),1,0)*Table_NFI[[#This Row],[Winter Clothes Adult]],Table_NFI[Winter Clothes Adult])</f>
        <v>0</v>
      </c>
      <c r="AH462" s="436">
        <f>IF(NFI_Expiration=1,IF($A462&lt;VLOOKUP(S$5,NFI,5,0),1,0)*Table_NFI[[#This Row],[Winter Clothes Children]],Table_NFI[Winter Clothes Children])</f>
        <v>0</v>
      </c>
      <c r="AI462" s="436">
        <f>IF(NFI_Expiration=1,IF($A462&lt;VLOOKUP(T$5,NFI,5,0),1,0)*Table_NFI[[#This Row],[Winter Items Other]],Table_NFI[Winter Items Other])</f>
        <v>0</v>
      </c>
      <c r="AJ462" s="436">
        <f>IF(NFI_Expiration=1,IF($A462&lt;VLOOKUP(M$5,NFI,5,0),1,0)*Table_NFI[[#This Row],[Winter Blanket]],Table_NFI[[#This Row],[Winter Blanket]])</f>
        <v>0</v>
      </c>
      <c r="AK462" s="436">
        <f>IF(Table_NFI[[#This Row],[Winter Clothes Adult]]+Table_NFI[[#This Row],[Winter Clothes Children]]+Table_NFI[[#This Row],[Winter Items Other]]+Table_NFI[[#This Row],[Winter Blanket]]&gt;0,1,0)</f>
        <v>0</v>
      </c>
      <c r="AL462" s="439">
        <f>IF(NFI_Expiration=1,IF($A462&lt;VLOOKUP(V$5,NFI,5,0),1,0)*Table_NFI[[#This Row],[Jerry Can]],Table_NFI[Jerry Can])</f>
        <v>0</v>
      </c>
      <c r="AM462" s="781" t="str">
        <f>IFERROR(VLOOKUP(Table_NFI[[#This Row],[Camp Name]],CL,2,0),"")</f>
        <v>MMR001CMP073</v>
      </c>
      <c r="AN462" s="782">
        <f ca="1">IF(Table_NFI[[#This Row],[Pcode]]="","",IF(OFFSET(CampList[Opening Date],MATCH(Table_NFI[[#This Row],[Pcode]],CampList[CP_Pcode],0)-1,0,1,1)&gt;=NFI_Monitor_Date,1,0))</f>
        <v>0</v>
      </c>
      <c r="AO462" s="781" t="str">
        <f>IFERROR(VLOOKUP(Table_NFI[[#This Row],[Camp Name]],CL,3,0),"")</f>
        <v>Open</v>
      </c>
      <c r="AP462" s="436" t="str">
        <f ca="1">IF(Table_NFI[[#This Row],[Pcode]]="","",OFFSET(CampList[Priority],MATCH(Table_NFI[[#This Row],[Pcode]],CampList[CP_Pcode],0)-1,0,1,1))</f>
        <v>P3</v>
      </c>
      <c r="AQ462" s="438">
        <f>IFERROR(Table_NFI[[#This Row],[Kitchen Set]]/VLOOKUP(Table_NFI[[#This Row],[Camp Name]],CL,4,0),"")</f>
        <v>0</v>
      </c>
      <c r="AR462" s="779" t="s">
        <v>1099</v>
      </c>
      <c r="AS462" s="783"/>
    </row>
    <row r="463" spans="1:45" s="784" customFormat="1" x14ac:dyDescent="0.25">
      <c r="A463" s="455">
        <f t="shared" si="7"/>
        <v>23.933333333333334</v>
      </c>
      <c r="B463" s="778">
        <v>41591</v>
      </c>
      <c r="C463" s="779" t="s">
        <v>912</v>
      </c>
      <c r="D463" s="779" t="s">
        <v>912</v>
      </c>
      <c r="E463" s="779" t="s">
        <v>380</v>
      </c>
      <c r="F463" s="779" t="s">
        <v>151</v>
      </c>
      <c r="G463" s="779" t="s">
        <v>160</v>
      </c>
      <c r="H463" s="436"/>
      <c r="I463" s="436"/>
      <c r="J463" s="436"/>
      <c r="K463" s="436"/>
      <c r="L463" s="437"/>
      <c r="M463" s="437"/>
      <c r="N463" s="437"/>
      <c r="O463" s="437"/>
      <c r="P463" s="439"/>
      <c r="Q463" s="439"/>
      <c r="R463" s="436"/>
      <c r="S463" s="436">
        <v>160</v>
      </c>
      <c r="T463" s="436">
        <v>320</v>
      </c>
      <c r="U463" s="436">
        <v>160</v>
      </c>
      <c r="V463" s="436"/>
      <c r="W463" s="436">
        <f>IF(NFI_Expiration=1,IF($A463&lt;VLOOKUP(H$5,NFI,5,0),1,0)*Table_NFI[[#This Row],[Hygiene Kit]],Table_NFI[Hygiene Kit])</f>
        <v>0</v>
      </c>
      <c r="X463" s="436">
        <f>IF(NFI_Expiration=1,IF($A463&lt;VLOOKUP(I$5,NFI,5,0),1,0)*Table_NFI[[#This Row],[NFI Core Kit]],Table_NFI[NFI Core Kit])</f>
        <v>0</v>
      </c>
      <c r="Y463" s="436">
        <f>IF(NFI_Expiration=1,IF($A463&lt;VLOOKUP(J$5,NFI,5,0),1,0)*Table_NFI[[#This Row],[Sanitary Kit]],Table_NFI[Sanitary Kit])</f>
        <v>0</v>
      </c>
      <c r="Z463" s="436">
        <f>IF(NFI_Expiration=1,IF($A463&lt;VLOOKUP(K$5,NFI,5,0),1,0)*Table_NFI[[#This Row],[Mosquito net]],Table_NFI[Mosquito net])</f>
        <v>0</v>
      </c>
      <c r="AA463" s="436">
        <f>IF(NFI_Expiration=1,IF($A463&lt;VLOOKUP(L$5,NFI,5,0),1,0)*Table_NFI[[#This Row],[Tarpaulin]],Table_NFI[[#This Row],[Tarpaulin]])</f>
        <v>0</v>
      </c>
      <c r="AB463" s="436">
        <f>IF(NFI_Expiration=1,IF($A463&lt;VLOOKUP(M$5,NFI,5,0),1,0)*Table_NFI[[#This Row],[Blanket]],Table_NFI[[#This Row],[Blanket]])</f>
        <v>0</v>
      </c>
      <c r="AC463" s="436">
        <f>IF(NFI_Expiration=1,IF($A463&lt;VLOOKUP(N$5,NFI,5,0),1,0)*Table_NFI[[#This Row],[Kitchen Set]],Table_NFI[Kitchen Set])</f>
        <v>0</v>
      </c>
      <c r="AD463" s="436">
        <f>IF(NFI_Expiration=1,IF($A463&lt;VLOOKUP(O$5,NFI,5,0),1,0)*Table_NFI[[#This Row],[Clothes Kit]],Table_NFI[Clothes Kit])</f>
        <v>0</v>
      </c>
      <c r="AE463" s="436">
        <f>IF(NFI_Expiration=1,IF($A463&lt;VLOOKUP(P$5,NFI,5,0),1,0)*Table_NFI[[#This Row],[Plastic Bucket]],Table_NFI[Plastic Bucket])</f>
        <v>0</v>
      </c>
      <c r="AF463" s="436">
        <f>IF(NFI_Expiration=1,IF($A463&lt;VLOOKUP(Q$5,NFI,5,0),1,0)*Table_NFI[[#This Row],[Plastic Mat]],Table_NFI[Plastic Mat])*IF(Table_NFI[[#This Row],[Distribution Date]]&gt;"2014-04-01",1,2.5)</f>
        <v>0</v>
      </c>
      <c r="AG463" s="436">
        <f>IF(NFI_Expiration=1,IF($A463&lt;VLOOKUP(R$5,NFI,5,0),1,0)*Table_NFI[[#This Row],[Winter Clothes Adult]],Table_NFI[Winter Clothes Adult])</f>
        <v>0</v>
      </c>
      <c r="AH463" s="436">
        <f>IF(NFI_Expiration=1,IF($A463&lt;VLOOKUP(S$5,NFI,5,0),1,0)*Table_NFI[[#This Row],[Winter Clothes Children]],Table_NFI[Winter Clothes Children])</f>
        <v>0</v>
      </c>
      <c r="AI463" s="436">
        <f>IF(NFI_Expiration=1,IF($A463&lt;VLOOKUP(T$5,NFI,5,0),1,0)*Table_NFI[[#This Row],[Winter Items Other]],Table_NFI[Winter Items Other])</f>
        <v>0</v>
      </c>
      <c r="AJ463" s="436">
        <f>IF(NFI_Expiration=1,IF($A463&lt;VLOOKUP(M$5,NFI,5,0),1,0)*Table_NFI[[#This Row],[Winter Blanket]],Table_NFI[[#This Row],[Winter Blanket]])</f>
        <v>0</v>
      </c>
      <c r="AK463" s="436">
        <f>IF(Table_NFI[[#This Row],[Winter Clothes Adult]]+Table_NFI[[#This Row],[Winter Clothes Children]]+Table_NFI[[#This Row],[Winter Items Other]]+Table_NFI[[#This Row],[Winter Blanket]]&gt;0,1,0)</f>
        <v>1</v>
      </c>
      <c r="AL463" s="439">
        <f>IF(NFI_Expiration=1,IF($A463&lt;VLOOKUP(V$5,NFI,5,0),1,0)*Table_NFI[[#This Row],[Jerry Can]],Table_NFI[Jerry Can])</f>
        <v>0</v>
      </c>
      <c r="AM463" s="781" t="str">
        <f>IFERROR(VLOOKUP(Table_NFI[[#This Row],[Camp Name]],CL,2,0),"")</f>
        <v>MMR001CMP133</v>
      </c>
      <c r="AN463" s="782">
        <f ca="1">IF(Table_NFI[[#This Row],[Pcode]]="","",IF(OFFSET(CampList[Opening Date],MATCH(Table_NFI[[#This Row],[Pcode]],CampList[CP_Pcode],0)-1,0,1,1)&gt;=NFI_Monitor_Date,1,0))</f>
        <v>0</v>
      </c>
      <c r="AO463" s="781" t="str">
        <f>IFERROR(VLOOKUP(Table_NFI[[#This Row],[Camp Name]],CL,3,0),"")</f>
        <v>Open</v>
      </c>
      <c r="AP463" s="436" t="str">
        <f ca="1">IF(Table_NFI[[#This Row],[Pcode]]="","",OFFSET(CampList[Priority],MATCH(Table_NFI[[#This Row],[Pcode]],CampList[CP_Pcode],0)-1,0,1,1))</f>
        <v>P4</v>
      </c>
      <c r="AQ463" s="438">
        <f>IFERROR(Table_NFI[[#This Row],[Kitchen Set]]/VLOOKUP(Table_NFI[[#This Row],[Camp Name]],CL,4,0),"")</f>
        <v>0</v>
      </c>
      <c r="AR463" s="779"/>
      <c r="AS463" s="783"/>
    </row>
    <row r="464" spans="1:45" s="784" customFormat="1" x14ac:dyDescent="0.25">
      <c r="A464" s="455">
        <f t="shared" si="7"/>
        <v>23.933333333333334</v>
      </c>
      <c r="B464" s="778">
        <v>41591</v>
      </c>
      <c r="C464" s="779" t="s">
        <v>912</v>
      </c>
      <c r="D464" s="779" t="s">
        <v>1009</v>
      </c>
      <c r="E464" s="779" t="s">
        <v>380</v>
      </c>
      <c r="F464" s="779" t="s">
        <v>185</v>
      </c>
      <c r="G464" s="779" t="s">
        <v>219</v>
      </c>
      <c r="H464" s="436"/>
      <c r="I464" s="436"/>
      <c r="J464" s="436"/>
      <c r="K464" s="436"/>
      <c r="L464" s="437"/>
      <c r="M464" s="437"/>
      <c r="N464" s="437"/>
      <c r="O464" s="437"/>
      <c r="P464" s="439"/>
      <c r="Q464" s="439"/>
      <c r="R464" s="436">
        <v>514</v>
      </c>
      <c r="S464" s="436">
        <v>1016</v>
      </c>
      <c r="T464" s="436">
        <v>3060</v>
      </c>
      <c r="U464" s="436">
        <v>1530</v>
      </c>
      <c r="V464" s="436"/>
      <c r="W464" s="436">
        <f>IF(NFI_Expiration=1,IF($A464&lt;VLOOKUP(H$5,NFI,5,0),1,0)*Table_NFI[[#This Row],[Hygiene Kit]],Table_NFI[Hygiene Kit])</f>
        <v>0</v>
      </c>
      <c r="X464" s="436">
        <f>IF(NFI_Expiration=1,IF($A464&lt;VLOOKUP(I$5,NFI,5,0),1,0)*Table_NFI[[#This Row],[NFI Core Kit]],Table_NFI[NFI Core Kit])</f>
        <v>0</v>
      </c>
      <c r="Y464" s="436">
        <f>IF(NFI_Expiration=1,IF($A464&lt;VLOOKUP(J$5,NFI,5,0),1,0)*Table_NFI[[#This Row],[Sanitary Kit]],Table_NFI[Sanitary Kit])</f>
        <v>0</v>
      </c>
      <c r="Z464" s="436">
        <f>IF(NFI_Expiration=1,IF($A464&lt;VLOOKUP(K$5,NFI,5,0),1,0)*Table_NFI[[#This Row],[Mosquito net]],Table_NFI[Mosquito net])</f>
        <v>0</v>
      </c>
      <c r="AA464" s="436">
        <f>IF(NFI_Expiration=1,IF($A464&lt;VLOOKUP(L$5,NFI,5,0),1,0)*Table_NFI[[#This Row],[Tarpaulin]],Table_NFI[[#This Row],[Tarpaulin]])</f>
        <v>0</v>
      </c>
      <c r="AB464" s="436">
        <f>IF(NFI_Expiration=1,IF($A464&lt;VLOOKUP(M$5,NFI,5,0),1,0)*Table_NFI[[#This Row],[Blanket]],Table_NFI[[#This Row],[Blanket]])</f>
        <v>0</v>
      </c>
      <c r="AC464" s="436">
        <f>IF(NFI_Expiration=1,IF($A464&lt;VLOOKUP(N$5,NFI,5,0),1,0)*Table_NFI[[#This Row],[Kitchen Set]],Table_NFI[Kitchen Set])</f>
        <v>0</v>
      </c>
      <c r="AD464" s="436">
        <f>IF(NFI_Expiration=1,IF($A464&lt;VLOOKUP(O$5,NFI,5,0),1,0)*Table_NFI[[#This Row],[Clothes Kit]],Table_NFI[Clothes Kit])</f>
        <v>0</v>
      </c>
      <c r="AE464" s="436">
        <f>IF(NFI_Expiration=1,IF($A464&lt;VLOOKUP(P$5,NFI,5,0),1,0)*Table_NFI[[#This Row],[Plastic Bucket]],Table_NFI[Plastic Bucket])</f>
        <v>0</v>
      </c>
      <c r="AF464" s="436">
        <f>IF(NFI_Expiration=1,IF($A464&lt;VLOOKUP(Q$5,NFI,5,0),1,0)*Table_NFI[[#This Row],[Plastic Mat]],Table_NFI[Plastic Mat])*IF(Table_NFI[[#This Row],[Distribution Date]]&gt;"2014-04-01",1,2.5)</f>
        <v>0</v>
      </c>
      <c r="AG464" s="436">
        <f>IF(NFI_Expiration=1,IF($A464&lt;VLOOKUP(R$5,NFI,5,0),1,0)*Table_NFI[[#This Row],[Winter Clothes Adult]],Table_NFI[Winter Clothes Adult])</f>
        <v>0</v>
      </c>
      <c r="AH464" s="436">
        <f>IF(NFI_Expiration=1,IF($A464&lt;VLOOKUP(S$5,NFI,5,0),1,0)*Table_NFI[[#This Row],[Winter Clothes Children]],Table_NFI[Winter Clothes Children])</f>
        <v>0</v>
      </c>
      <c r="AI464" s="436">
        <f>IF(NFI_Expiration=1,IF($A464&lt;VLOOKUP(T$5,NFI,5,0),1,0)*Table_NFI[[#This Row],[Winter Items Other]],Table_NFI[Winter Items Other])</f>
        <v>0</v>
      </c>
      <c r="AJ464" s="436">
        <f>IF(NFI_Expiration=1,IF($A464&lt;VLOOKUP(M$5,NFI,5,0),1,0)*Table_NFI[[#This Row],[Winter Blanket]],Table_NFI[[#This Row],[Winter Blanket]])</f>
        <v>0</v>
      </c>
      <c r="AK464" s="436">
        <f>IF(Table_NFI[[#This Row],[Winter Clothes Adult]]+Table_NFI[[#This Row],[Winter Clothes Children]]+Table_NFI[[#This Row],[Winter Items Other]]+Table_NFI[[#This Row],[Winter Blanket]]&gt;0,1,0)</f>
        <v>1</v>
      </c>
      <c r="AL464" s="439">
        <f>IF(NFI_Expiration=1,IF($A464&lt;VLOOKUP(V$5,NFI,5,0),1,0)*Table_NFI[[#This Row],[Jerry Can]],Table_NFI[Jerry Can])</f>
        <v>0</v>
      </c>
      <c r="AM464" s="781" t="str">
        <f>IFERROR(VLOOKUP(Table_NFI[[#This Row],[Camp Name]],CL,2,0),"")</f>
        <v>MMR001CMP126</v>
      </c>
      <c r="AN464" s="782">
        <f ca="1">IF(Table_NFI[[#This Row],[Pcode]]="","",IF(OFFSET(CampList[Opening Date],MATCH(Table_NFI[[#This Row],[Pcode]],CampList[CP_Pcode],0)-1,0,1,1)&gt;=NFI_Monitor_Date,1,0))</f>
        <v>0</v>
      </c>
      <c r="AO464" s="781" t="str">
        <f>IFERROR(VLOOKUP(Table_NFI[[#This Row],[Camp Name]],CL,3,0),"")</f>
        <v>Open</v>
      </c>
      <c r="AP464" s="436" t="str">
        <f ca="1">IF(Table_NFI[[#This Row],[Pcode]]="","",OFFSET(CampList[Priority],MATCH(Table_NFI[[#This Row],[Pcode]],CampList[CP_Pcode],0)-1,0,1,1))</f>
        <v>P2</v>
      </c>
      <c r="AQ464" s="438">
        <f>IFERROR(Table_NFI[[#This Row],[Kitchen Set]]/VLOOKUP(Table_NFI[[#This Row],[Camp Name]],CL,4,0),"")</f>
        <v>0</v>
      </c>
      <c r="AR464" s="779"/>
      <c r="AS464" s="783"/>
    </row>
    <row r="465" spans="1:45" s="784" customFormat="1" x14ac:dyDescent="0.25">
      <c r="A465" s="455">
        <f t="shared" si="7"/>
        <v>24</v>
      </c>
      <c r="B465" s="778">
        <v>41589</v>
      </c>
      <c r="C465" s="779" t="s">
        <v>454</v>
      </c>
      <c r="D465" s="779" t="s">
        <v>575</v>
      </c>
      <c r="E465" s="779" t="s">
        <v>380</v>
      </c>
      <c r="F465" s="435" t="s">
        <v>185</v>
      </c>
      <c r="G465" s="435" t="s">
        <v>215</v>
      </c>
      <c r="H465" s="436"/>
      <c r="I465" s="436"/>
      <c r="J465" s="436">
        <v>36</v>
      </c>
      <c r="K465" s="436">
        <v>200</v>
      </c>
      <c r="L465" s="437">
        <v>100</v>
      </c>
      <c r="M465" s="437"/>
      <c r="N465" s="437">
        <v>100</v>
      </c>
      <c r="O465" s="437">
        <v>100</v>
      </c>
      <c r="P465" s="439"/>
      <c r="Q465" s="439"/>
      <c r="R465" s="436"/>
      <c r="S465" s="436"/>
      <c r="T465" s="436"/>
      <c r="U465" s="436"/>
      <c r="V465" s="436"/>
      <c r="W465" s="436">
        <f>IF(NFI_Expiration=1,IF($A465&lt;VLOOKUP(H$5,NFI,5,0),1,0)*Table_NFI[[#This Row],[Hygiene Kit]],Table_NFI[Hygiene Kit])</f>
        <v>0</v>
      </c>
      <c r="X465" s="436">
        <f>IF(NFI_Expiration=1,IF($A465&lt;VLOOKUP(I$5,NFI,5,0),1,0)*Table_NFI[[#This Row],[NFI Core Kit]],Table_NFI[NFI Core Kit])</f>
        <v>0</v>
      </c>
      <c r="Y465" s="436">
        <f>IF(NFI_Expiration=1,IF($A465&lt;VLOOKUP(J$5,NFI,5,0),1,0)*Table_NFI[[#This Row],[Sanitary Kit]],Table_NFI[Sanitary Kit])</f>
        <v>0</v>
      </c>
      <c r="Z465" s="436">
        <f>IF(NFI_Expiration=1,IF($A465&lt;VLOOKUP(K$5,NFI,5,0),1,0)*Table_NFI[[#This Row],[Mosquito net]],Table_NFI[Mosquito net])</f>
        <v>0</v>
      </c>
      <c r="AA465" s="436">
        <f>IF(NFI_Expiration=1,IF($A465&lt;VLOOKUP(L$5,NFI,5,0),1,0)*Table_NFI[[#This Row],[Tarpaulin]],Table_NFI[[#This Row],[Tarpaulin]])</f>
        <v>0</v>
      </c>
      <c r="AB465" s="436">
        <f>IF(NFI_Expiration=1,IF($A465&lt;VLOOKUP(M$5,NFI,5,0),1,0)*Table_NFI[[#This Row],[Blanket]],Table_NFI[[#This Row],[Blanket]])</f>
        <v>0</v>
      </c>
      <c r="AC465" s="436">
        <f>IF(NFI_Expiration=1,IF($A465&lt;VLOOKUP(N$5,NFI,5,0),1,0)*Table_NFI[[#This Row],[Kitchen Set]],Table_NFI[Kitchen Set])</f>
        <v>0</v>
      </c>
      <c r="AD465" s="436">
        <f>IF(NFI_Expiration=1,IF($A465&lt;VLOOKUP(O$5,NFI,5,0),1,0)*Table_NFI[[#This Row],[Clothes Kit]],Table_NFI[Clothes Kit])</f>
        <v>0</v>
      </c>
      <c r="AE465" s="436">
        <f>IF(NFI_Expiration=1,IF($A465&lt;VLOOKUP(P$5,NFI,5,0),1,0)*Table_NFI[[#This Row],[Plastic Bucket]],Table_NFI[Plastic Bucket])</f>
        <v>0</v>
      </c>
      <c r="AF465" s="436">
        <f>IF(NFI_Expiration=1,IF($A465&lt;VLOOKUP(Q$5,NFI,5,0),1,0)*Table_NFI[[#This Row],[Plastic Mat]],Table_NFI[Plastic Mat])*IF(Table_NFI[[#This Row],[Distribution Date]]&gt;"2014-04-01",1,2.5)</f>
        <v>0</v>
      </c>
      <c r="AG465" s="436">
        <f>IF(NFI_Expiration=1,IF($A465&lt;VLOOKUP(R$5,NFI,5,0),1,0)*Table_NFI[[#This Row],[Winter Clothes Adult]],Table_NFI[Winter Clothes Adult])</f>
        <v>0</v>
      </c>
      <c r="AH465" s="436">
        <f>IF(NFI_Expiration=1,IF($A465&lt;VLOOKUP(S$5,NFI,5,0),1,0)*Table_NFI[[#This Row],[Winter Clothes Children]],Table_NFI[Winter Clothes Children])</f>
        <v>0</v>
      </c>
      <c r="AI465" s="436">
        <f>IF(NFI_Expiration=1,IF($A465&lt;VLOOKUP(T$5,NFI,5,0),1,0)*Table_NFI[[#This Row],[Winter Items Other]],Table_NFI[Winter Items Other])</f>
        <v>0</v>
      </c>
      <c r="AJ465" s="436">
        <f>IF(NFI_Expiration=1,IF($A465&lt;VLOOKUP(M$5,NFI,5,0),1,0)*Table_NFI[[#This Row],[Winter Blanket]],Table_NFI[[#This Row],[Winter Blanket]])</f>
        <v>0</v>
      </c>
      <c r="AK465" s="436">
        <f>IF(Table_NFI[[#This Row],[Winter Clothes Adult]]+Table_NFI[[#This Row],[Winter Clothes Children]]+Table_NFI[[#This Row],[Winter Items Other]]+Table_NFI[[#This Row],[Winter Blanket]]&gt;0,1,0)</f>
        <v>0</v>
      </c>
      <c r="AL465" s="439">
        <f>IF(NFI_Expiration=1,IF($A465&lt;VLOOKUP(V$5,NFI,5,0),1,0)*Table_NFI[[#This Row],[Jerry Can]],Table_NFI[Jerry Can])</f>
        <v>0</v>
      </c>
      <c r="AM465" s="781" t="str">
        <f>IFERROR(VLOOKUP(Table_NFI[[#This Row],[Camp Name]],CL,2,0),"")</f>
        <v>MMR001CMP131</v>
      </c>
      <c r="AN465" s="782">
        <f ca="1">IF(Table_NFI[[#This Row],[Pcode]]="","",IF(OFFSET(CampList[Opening Date],MATCH(Table_NFI[[#This Row],[Pcode]],CampList[CP_Pcode],0)-1,0,1,1)&gt;=NFI_Monitor_Date,1,0))</f>
        <v>0</v>
      </c>
      <c r="AO465" s="781" t="str">
        <f>IFERROR(VLOOKUP(Table_NFI[[#This Row],[Camp Name]],CL,3,0),"")</f>
        <v>Open</v>
      </c>
      <c r="AP465" s="436" t="str">
        <f ca="1">IF(Table_NFI[[#This Row],[Pcode]]="","",OFFSET(CampList[Priority],MATCH(Table_NFI[[#This Row],[Pcode]],CampList[CP_Pcode],0)-1,0,1,1))</f>
        <v>P1</v>
      </c>
      <c r="AQ465" s="438">
        <f>IFERROR(Table_NFI[[#This Row],[Kitchen Set]]/VLOOKUP(Table_NFI[[#This Row],[Camp Name]],CL,4,0),"")</f>
        <v>0.24271844660194175</v>
      </c>
      <c r="AR465" s="779" t="s">
        <v>1099</v>
      </c>
      <c r="AS465" s="783"/>
    </row>
    <row r="466" spans="1:45" s="784" customFormat="1" x14ac:dyDescent="0.25">
      <c r="A466" s="455">
        <f t="shared" si="7"/>
        <v>24.133333333333333</v>
      </c>
      <c r="B466" s="778">
        <v>41585</v>
      </c>
      <c r="C466" s="779" t="s">
        <v>912</v>
      </c>
      <c r="D466" s="779" t="s">
        <v>912</v>
      </c>
      <c r="E466" s="779" t="s">
        <v>380</v>
      </c>
      <c r="F466" s="779" t="s">
        <v>5</v>
      </c>
      <c r="G466" s="779" t="s">
        <v>514</v>
      </c>
      <c r="H466" s="436"/>
      <c r="I466" s="436"/>
      <c r="J466" s="436"/>
      <c r="K466" s="436"/>
      <c r="L466" s="437"/>
      <c r="M466" s="437"/>
      <c r="N466" s="437"/>
      <c r="O466" s="437"/>
      <c r="P466" s="439"/>
      <c r="Q466" s="439"/>
      <c r="R466" s="436">
        <v>25</v>
      </c>
      <c r="S466" s="436">
        <v>73</v>
      </c>
      <c r="T466" s="436">
        <v>196</v>
      </c>
      <c r="U466" s="436">
        <v>98</v>
      </c>
      <c r="V466" s="436"/>
      <c r="W466" s="436">
        <f>IF(NFI_Expiration=1,IF($A466&lt;VLOOKUP(H$5,NFI,5,0),1,0)*Table_NFI[[#This Row],[Hygiene Kit]],Table_NFI[Hygiene Kit])</f>
        <v>0</v>
      </c>
      <c r="X466" s="436">
        <f>IF(NFI_Expiration=1,IF($A466&lt;VLOOKUP(I$5,NFI,5,0),1,0)*Table_NFI[[#This Row],[NFI Core Kit]],Table_NFI[NFI Core Kit])</f>
        <v>0</v>
      </c>
      <c r="Y466" s="436">
        <f>IF(NFI_Expiration=1,IF($A466&lt;VLOOKUP(J$5,NFI,5,0),1,0)*Table_NFI[[#This Row],[Sanitary Kit]],Table_NFI[Sanitary Kit])</f>
        <v>0</v>
      </c>
      <c r="Z466" s="436">
        <f>IF(NFI_Expiration=1,IF($A466&lt;VLOOKUP(K$5,NFI,5,0),1,0)*Table_NFI[[#This Row],[Mosquito net]],Table_NFI[Mosquito net])</f>
        <v>0</v>
      </c>
      <c r="AA466" s="436">
        <f>IF(NFI_Expiration=1,IF($A466&lt;VLOOKUP(L$5,NFI,5,0),1,0)*Table_NFI[[#This Row],[Tarpaulin]],Table_NFI[[#This Row],[Tarpaulin]])</f>
        <v>0</v>
      </c>
      <c r="AB466" s="436">
        <f>IF(NFI_Expiration=1,IF($A466&lt;VLOOKUP(M$5,NFI,5,0),1,0)*Table_NFI[[#This Row],[Blanket]],Table_NFI[[#This Row],[Blanket]])</f>
        <v>0</v>
      </c>
      <c r="AC466" s="436">
        <f>IF(NFI_Expiration=1,IF($A466&lt;VLOOKUP(N$5,NFI,5,0),1,0)*Table_NFI[[#This Row],[Kitchen Set]],Table_NFI[Kitchen Set])</f>
        <v>0</v>
      </c>
      <c r="AD466" s="436">
        <f>IF(NFI_Expiration=1,IF($A466&lt;VLOOKUP(O$5,NFI,5,0),1,0)*Table_NFI[[#This Row],[Clothes Kit]],Table_NFI[Clothes Kit])</f>
        <v>0</v>
      </c>
      <c r="AE466" s="436">
        <f>IF(NFI_Expiration=1,IF($A466&lt;VLOOKUP(P$5,NFI,5,0),1,0)*Table_NFI[[#This Row],[Plastic Bucket]],Table_NFI[Plastic Bucket])</f>
        <v>0</v>
      </c>
      <c r="AF466" s="436">
        <f>IF(NFI_Expiration=1,IF($A466&lt;VLOOKUP(Q$5,NFI,5,0),1,0)*Table_NFI[[#This Row],[Plastic Mat]],Table_NFI[Plastic Mat])*IF(Table_NFI[[#This Row],[Distribution Date]]&gt;"2014-04-01",1,2.5)</f>
        <v>0</v>
      </c>
      <c r="AG466" s="436">
        <f>IF(NFI_Expiration=1,IF($A466&lt;VLOOKUP(R$5,NFI,5,0),1,0)*Table_NFI[[#This Row],[Winter Clothes Adult]],Table_NFI[Winter Clothes Adult])</f>
        <v>0</v>
      </c>
      <c r="AH466" s="436">
        <f>IF(NFI_Expiration=1,IF($A466&lt;VLOOKUP(S$5,NFI,5,0),1,0)*Table_NFI[[#This Row],[Winter Clothes Children]],Table_NFI[Winter Clothes Children])</f>
        <v>0</v>
      </c>
      <c r="AI466" s="436">
        <f>IF(NFI_Expiration=1,IF($A466&lt;VLOOKUP(T$5,NFI,5,0),1,0)*Table_NFI[[#This Row],[Winter Items Other]],Table_NFI[Winter Items Other])</f>
        <v>0</v>
      </c>
      <c r="AJ466" s="436">
        <f>IF(NFI_Expiration=1,IF($A466&lt;VLOOKUP(M$5,NFI,5,0),1,0)*Table_NFI[[#This Row],[Winter Blanket]],Table_NFI[[#This Row],[Winter Blanket]])</f>
        <v>0</v>
      </c>
      <c r="AK466" s="436">
        <f>IF(Table_NFI[[#This Row],[Winter Clothes Adult]]+Table_NFI[[#This Row],[Winter Clothes Children]]+Table_NFI[[#This Row],[Winter Items Other]]+Table_NFI[[#This Row],[Winter Blanket]]&gt;0,1,0)</f>
        <v>1</v>
      </c>
      <c r="AL466" s="439">
        <f>IF(NFI_Expiration=1,IF($A466&lt;VLOOKUP(V$5,NFI,5,0),1,0)*Table_NFI[[#This Row],[Jerry Can]],Table_NFI[Jerry Can])</f>
        <v>0</v>
      </c>
      <c r="AM466" s="781" t="str">
        <f>IFERROR(VLOOKUP(Table_NFI[[#This Row],[Camp Name]],CL,2,0),"")</f>
        <v>MMR001CMP194</v>
      </c>
      <c r="AN466" s="782">
        <f ca="1">IF(Table_NFI[[#This Row],[Pcode]]="","",IF(OFFSET(CampList[Opening Date],MATCH(Table_NFI[[#This Row],[Pcode]],CampList[CP_Pcode],0)-1,0,1,1)&gt;=NFI_Monitor_Date,1,0))</f>
        <v>0</v>
      </c>
      <c r="AO466" s="781" t="s">
        <v>849</v>
      </c>
      <c r="AP466" s="436" t="str">
        <f ca="1">IF(Table_NFI[[#This Row],[Pcode]]="","",OFFSET(CampList[Priority],MATCH(Table_NFI[[#This Row],[Pcode]],CampList[CP_Pcode],0)-1,0,1,1))</f>
        <v>P4</v>
      </c>
      <c r="AQ466" s="438">
        <f>IFERROR(Table_NFI[[#This Row],[Kitchen Set]]/VLOOKUP(Table_NFI[[#This Row],[Camp Name]],CL,4,0),"")</f>
        <v>0</v>
      </c>
      <c r="AR466" s="779"/>
      <c r="AS466" s="783"/>
    </row>
    <row r="467" spans="1:45" s="784" customFormat="1" x14ac:dyDescent="0.25">
      <c r="A467" s="455">
        <f t="shared" si="7"/>
        <v>24.133333333333333</v>
      </c>
      <c r="B467" s="778">
        <v>41585</v>
      </c>
      <c r="C467" s="779" t="s">
        <v>454</v>
      </c>
      <c r="D467" s="779" t="s">
        <v>454</v>
      </c>
      <c r="E467" s="779" t="s">
        <v>380</v>
      </c>
      <c r="F467" s="435" t="s">
        <v>529</v>
      </c>
      <c r="G467" s="435" t="s">
        <v>58</v>
      </c>
      <c r="H467" s="436"/>
      <c r="I467" s="436"/>
      <c r="J467" s="436">
        <v>13</v>
      </c>
      <c r="K467" s="436">
        <v>32</v>
      </c>
      <c r="L467" s="437">
        <v>15</v>
      </c>
      <c r="M467" s="437">
        <v>32</v>
      </c>
      <c r="N467" s="437">
        <v>15</v>
      </c>
      <c r="O467" s="437"/>
      <c r="P467" s="439">
        <v>15</v>
      </c>
      <c r="Q467" s="439">
        <v>32</v>
      </c>
      <c r="R467" s="436"/>
      <c r="S467" s="436"/>
      <c r="T467" s="436"/>
      <c r="U467" s="436"/>
      <c r="V467" s="436"/>
      <c r="W467" s="436">
        <f>IF(NFI_Expiration=1,IF($A467&lt;VLOOKUP(H$5,NFI,5,0),1,0)*Table_NFI[[#This Row],[Hygiene Kit]],Table_NFI[Hygiene Kit])</f>
        <v>0</v>
      </c>
      <c r="X467" s="436">
        <f>IF(NFI_Expiration=1,IF($A467&lt;VLOOKUP(I$5,NFI,5,0),1,0)*Table_NFI[[#This Row],[NFI Core Kit]],Table_NFI[NFI Core Kit])</f>
        <v>0</v>
      </c>
      <c r="Y467" s="436">
        <f>IF(NFI_Expiration=1,IF($A467&lt;VLOOKUP(J$5,NFI,5,0),1,0)*Table_NFI[[#This Row],[Sanitary Kit]],Table_NFI[Sanitary Kit])</f>
        <v>0</v>
      </c>
      <c r="Z467" s="436">
        <f>IF(NFI_Expiration=1,IF($A467&lt;VLOOKUP(K$5,NFI,5,0),1,0)*Table_NFI[[#This Row],[Mosquito net]],Table_NFI[Mosquito net])</f>
        <v>0</v>
      </c>
      <c r="AA467" s="436">
        <f>IF(NFI_Expiration=1,IF($A467&lt;VLOOKUP(L$5,NFI,5,0),1,0)*Table_NFI[[#This Row],[Tarpaulin]],Table_NFI[[#This Row],[Tarpaulin]])</f>
        <v>0</v>
      </c>
      <c r="AB467" s="436">
        <f>IF(NFI_Expiration=1,IF($A467&lt;VLOOKUP(M$5,NFI,5,0),1,0)*Table_NFI[[#This Row],[Blanket]],Table_NFI[[#This Row],[Blanket]])</f>
        <v>0</v>
      </c>
      <c r="AC467" s="436">
        <f>IF(NFI_Expiration=1,IF($A467&lt;VLOOKUP(N$5,NFI,5,0),1,0)*Table_NFI[[#This Row],[Kitchen Set]],Table_NFI[Kitchen Set])</f>
        <v>0</v>
      </c>
      <c r="AD467" s="436">
        <f>IF(NFI_Expiration=1,IF($A467&lt;VLOOKUP(O$5,NFI,5,0),1,0)*Table_NFI[[#This Row],[Clothes Kit]],Table_NFI[Clothes Kit])</f>
        <v>0</v>
      </c>
      <c r="AE467" s="436">
        <f>IF(NFI_Expiration=1,IF($A467&lt;VLOOKUP(P$5,NFI,5,0),1,0)*Table_NFI[[#This Row],[Plastic Bucket]],Table_NFI[Plastic Bucket])</f>
        <v>0</v>
      </c>
      <c r="AF467" s="436">
        <f>IF(NFI_Expiration=1,IF($A467&lt;VLOOKUP(Q$5,NFI,5,0),1,0)*Table_NFI[[#This Row],[Plastic Mat]],Table_NFI[Plastic Mat])*IF(Table_NFI[[#This Row],[Distribution Date]]&gt;"2014-04-01",1,2.5)</f>
        <v>0</v>
      </c>
      <c r="AG467" s="436">
        <f>IF(NFI_Expiration=1,IF($A467&lt;VLOOKUP(R$5,NFI,5,0),1,0)*Table_NFI[[#This Row],[Winter Clothes Adult]],Table_NFI[Winter Clothes Adult])</f>
        <v>0</v>
      </c>
      <c r="AH467" s="436">
        <f>IF(NFI_Expiration=1,IF($A467&lt;VLOOKUP(S$5,NFI,5,0),1,0)*Table_NFI[[#This Row],[Winter Clothes Children]],Table_NFI[Winter Clothes Children])</f>
        <v>0</v>
      </c>
      <c r="AI467" s="436">
        <f>IF(NFI_Expiration=1,IF($A467&lt;VLOOKUP(T$5,NFI,5,0),1,0)*Table_NFI[[#This Row],[Winter Items Other]],Table_NFI[Winter Items Other])</f>
        <v>0</v>
      </c>
      <c r="AJ467" s="436">
        <f>IF(NFI_Expiration=1,IF($A467&lt;VLOOKUP(M$5,NFI,5,0),1,0)*Table_NFI[[#This Row],[Winter Blanket]],Table_NFI[[#This Row],[Winter Blanket]])</f>
        <v>0</v>
      </c>
      <c r="AK467" s="436">
        <f>IF(Table_NFI[[#This Row],[Winter Clothes Adult]]+Table_NFI[[#This Row],[Winter Clothes Children]]+Table_NFI[[#This Row],[Winter Items Other]]+Table_NFI[[#This Row],[Winter Blanket]]&gt;0,1,0)</f>
        <v>0</v>
      </c>
      <c r="AL467" s="439">
        <f>IF(NFI_Expiration=1,IF($A467&lt;VLOOKUP(V$5,NFI,5,0),1,0)*Table_NFI[[#This Row],[Jerry Can]],Table_NFI[Jerry Can])</f>
        <v>0</v>
      </c>
      <c r="AM467" s="781" t="str">
        <f>IFERROR(VLOOKUP(Table_NFI[[#This Row],[Camp Name]],CL,2,0),"")</f>
        <v>MMR001CMP188</v>
      </c>
      <c r="AN467" s="782">
        <f ca="1">IF(Table_NFI[[#This Row],[Pcode]]="","",IF(OFFSET(CampList[Opening Date],MATCH(Table_NFI[[#This Row],[Pcode]],CampList[CP_Pcode],0)-1,0,1,1)&gt;=NFI_Monitor_Date,1,0))</f>
        <v>0</v>
      </c>
      <c r="AO467" s="781" t="str">
        <f>IFERROR(VLOOKUP(Table_NFI[[#This Row],[Camp Name]],CL,3,0),"")</f>
        <v>Closed</v>
      </c>
      <c r="AP467" s="436" t="str">
        <f ca="1">IF(Table_NFI[[#This Row],[Pcode]]="","",OFFSET(CampList[Priority],MATCH(Table_NFI[[#This Row],[Pcode]],CampList[CP_Pcode],0)-1,0,1,1))</f>
        <v>P4</v>
      </c>
      <c r="AQ467" s="438" t="str">
        <f>IFERROR(Table_NFI[[#This Row],[Kitchen Set]]/VLOOKUP(Table_NFI[[#This Row],[Camp Name]],CL,4,0),"")</f>
        <v/>
      </c>
      <c r="AR467" s="779" t="s">
        <v>1099</v>
      </c>
      <c r="AS467" s="783"/>
    </row>
    <row r="468" spans="1:45" s="784" customFormat="1" x14ac:dyDescent="0.25">
      <c r="A468" s="455">
        <f t="shared" si="7"/>
        <v>24.133333333333333</v>
      </c>
      <c r="B468" s="778">
        <v>41585</v>
      </c>
      <c r="C468" s="779" t="s">
        <v>912</v>
      </c>
      <c r="D468" s="779" t="s">
        <v>912</v>
      </c>
      <c r="E468" s="779" t="s">
        <v>380</v>
      </c>
      <c r="F468" s="779" t="s">
        <v>5</v>
      </c>
      <c r="G468" s="779" t="s">
        <v>366</v>
      </c>
      <c r="H468" s="436"/>
      <c r="I468" s="436"/>
      <c r="J468" s="436"/>
      <c r="K468" s="436"/>
      <c r="L468" s="437"/>
      <c r="M468" s="437"/>
      <c r="N468" s="437"/>
      <c r="O468" s="437"/>
      <c r="P468" s="439"/>
      <c r="Q468" s="439"/>
      <c r="R468" s="436">
        <v>23</v>
      </c>
      <c r="S468" s="436">
        <v>41</v>
      </c>
      <c r="T468" s="436">
        <v>128</v>
      </c>
      <c r="U468" s="436">
        <v>64</v>
      </c>
      <c r="V468" s="436"/>
      <c r="W468" s="436">
        <f>IF(NFI_Expiration=1,IF($A468&lt;VLOOKUP(H$5,NFI,5,0),1,0)*Table_NFI[[#This Row],[Hygiene Kit]],Table_NFI[Hygiene Kit])</f>
        <v>0</v>
      </c>
      <c r="X468" s="436">
        <f>IF(NFI_Expiration=1,IF($A468&lt;VLOOKUP(I$5,NFI,5,0),1,0)*Table_NFI[[#This Row],[NFI Core Kit]],Table_NFI[NFI Core Kit])</f>
        <v>0</v>
      </c>
      <c r="Y468" s="436">
        <f>IF(NFI_Expiration=1,IF($A468&lt;VLOOKUP(J$5,NFI,5,0),1,0)*Table_NFI[[#This Row],[Sanitary Kit]],Table_NFI[Sanitary Kit])</f>
        <v>0</v>
      </c>
      <c r="Z468" s="436">
        <f>IF(NFI_Expiration=1,IF($A468&lt;VLOOKUP(K$5,NFI,5,0),1,0)*Table_NFI[[#This Row],[Mosquito net]],Table_NFI[Mosquito net])</f>
        <v>0</v>
      </c>
      <c r="AA468" s="436">
        <f>IF(NFI_Expiration=1,IF($A468&lt;VLOOKUP(L$5,NFI,5,0),1,0)*Table_NFI[[#This Row],[Tarpaulin]],Table_NFI[[#This Row],[Tarpaulin]])</f>
        <v>0</v>
      </c>
      <c r="AB468" s="436">
        <f>IF(NFI_Expiration=1,IF($A468&lt;VLOOKUP(M$5,NFI,5,0),1,0)*Table_NFI[[#This Row],[Blanket]],Table_NFI[[#This Row],[Blanket]])</f>
        <v>0</v>
      </c>
      <c r="AC468" s="436">
        <f>IF(NFI_Expiration=1,IF($A468&lt;VLOOKUP(N$5,NFI,5,0),1,0)*Table_NFI[[#This Row],[Kitchen Set]],Table_NFI[Kitchen Set])</f>
        <v>0</v>
      </c>
      <c r="AD468" s="436">
        <f>IF(NFI_Expiration=1,IF($A468&lt;VLOOKUP(O$5,NFI,5,0),1,0)*Table_NFI[[#This Row],[Clothes Kit]],Table_NFI[Clothes Kit])</f>
        <v>0</v>
      </c>
      <c r="AE468" s="436">
        <f>IF(NFI_Expiration=1,IF($A468&lt;VLOOKUP(P$5,NFI,5,0),1,0)*Table_NFI[[#This Row],[Plastic Bucket]],Table_NFI[Plastic Bucket])</f>
        <v>0</v>
      </c>
      <c r="AF468" s="436">
        <f>IF(NFI_Expiration=1,IF($A468&lt;VLOOKUP(Q$5,NFI,5,0),1,0)*Table_NFI[[#This Row],[Plastic Mat]],Table_NFI[Plastic Mat])*IF(Table_NFI[[#This Row],[Distribution Date]]&gt;"2014-04-01",1,2.5)</f>
        <v>0</v>
      </c>
      <c r="AG468" s="436">
        <f>IF(NFI_Expiration=1,IF($A468&lt;VLOOKUP(R$5,NFI,5,0),1,0)*Table_NFI[[#This Row],[Winter Clothes Adult]],Table_NFI[Winter Clothes Adult])</f>
        <v>0</v>
      </c>
      <c r="AH468" s="436">
        <f>IF(NFI_Expiration=1,IF($A468&lt;VLOOKUP(S$5,NFI,5,0),1,0)*Table_NFI[[#This Row],[Winter Clothes Children]],Table_NFI[Winter Clothes Children])</f>
        <v>0</v>
      </c>
      <c r="AI468" s="436">
        <f>IF(NFI_Expiration=1,IF($A468&lt;VLOOKUP(T$5,NFI,5,0),1,0)*Table_NFI[[#This Row],[Winter Items Other]],Table_NFI[Winter Items Other])</f>
        <v>0</v>
      </c>
      <c r="AJ468" s="436">
        <f>IF(NFI_Expiration=1,IF($A468&lt;VLOOKUP(M$5,NFI,5,0),1,0)*Table_NFI[[#This Row],[Winter Blanket]],Table_NFI[[#This Row],[Winter Blanket]])</f>
        <v>0</v>
      </c>
      <c r="AK468" s="436">
        <f>IF(Table_NFI[[#This Row],[Winter Clothes Adult]]+Table_NFI[[#This Row],[Winter Clothes Children]]+Table_NFI[[#This Row],[Winter Items Other]]+Table_NFI[[#This Row],[Winter Blanket]]&gt;0,1,0)</f>
        <v>1</v>
      </c>
      <c r="AL468" s="439">
        <f>IF(NFI_Expiration=1,IF($A468&lt;VLOOKUP(V$5,NFI,5,0),1,0)*Table_NFI[[#This Row],[Jerry Can]],Table_NFI[Jerry Can])</f>
        <v>0</v>
      </c>
      <c r="AM468" s="781" t="str">
        <f>IFERROR(VLOOKUP(Table_NFI[[#This Row],[Camp Name]],CL,2,0),"")</f>
        <v>MMR001CMP193</v>
      </c>
      <c r="AN468" s="782">
        <f ca="1">IF(Table_NFI[[#This Row],[Pcode]]="","",IF(OFFSET(CampList[Opening Date],MATCH(Table_NFI[[#This Row],[Pcode]],CampList[CP_Pcode],0)-1,0,1,1)&gt;=NFI_Monitor_Date,1,0))</f>
        <v>0</v>
      </c>
      <c r="AO468" s="781" t="str">
        <f>IFERROR(VLOOKUP(Table_NFI[[#This Row],[Camp Name]],CL,3,0),"")</f>
        <v>Open</v>
      </c>
      <c r="AP468" s="436" t="str">
        <f ca="1">IF(Table_NFI[[#This Row],[Pcode]]="","",OFFSET(CampList[Priority],MATCH(Table_NFI[[#This Row],[Pcode]],CampList[CP_Pcode],0)-1,0,1,1))</f>
        <v>P4</v>
      </c>
      <c r="AQ468" s="438">
        <f>IFERROR(Table_NFI[[#This Row],[Kitchen Set]]/VLOOKUP(Table_NFI[[#This Row],[Camp Name]],CL,4,0),"")</f>
        <v>0</v>
      </c>
      <c r="AR468" s="779"/>
      <c r="AS468" s="783"/>
    </row>
    <row r="469" spans="1:45" s="784" customFormat="1" x14ac:dyDescent="0.25">
      <c r="A469" s="455">
        <f t="shared" si="7"/>
        <v>24.133333333333333</v>
      </c>
      <c r="B469" s="778">
        <v>41585</v>
      </c>
      <c r="C469" s="779" t="s">
        <v>454</v>
      </c>
      <c r="D469" s="779" t="s">
        <v>454</v>
      </c>
      <c r="E469" s="779" t="s">
        <v>380</v>
      </c>
      <c r="F469" s="435" t="s">
        <v>5</v>
      </c>
      <c r="G469" s="435" t="s">
        <v>366</v>
      </c>
      <c r="H469" s="436"/>
      <c r="I469" s="436"/>
      <c r="J469" s="436">
        <v>58</v>
      </c>
      <c r="K469" s="436">
        <v>46</v>
      </c>
      <c r="L469" s="437">
        <v>29</v>
      </c>
      <c r="M469" s="437">
        <v>46</v>
      </c>
      <c r="N469" s="437">
        <v>29</v>
      </c>
      <c r="O469" s="437">
        <v>29</v>
      </c>
      <c r="P469" s="439"/>
      <c r="Q469" s="439"/>
      <c r="R469" s="436"/>
      <c r="S469" s="436"/>
      <c r="T469" s="436"/>
      <c r="U469" s="436"/>
      <c r="V469" s="436"/>
      <c r="W469" s="436">
        <f>IF(NFI_Expiration=1,IF($A469&lt;VLOOKUP(H$5,NFI,5,0),1,0)*Table_NFI[[#This Row],[Hygiene Kit]],Table_NFI[Hygiene Kit])</f>
        <v>0</v>
      </c>
      <c r="X469" s="436">
        <f>IF(NFI_Expiration=1,IF($A469&lt;VLOOKUP(I$5,NFI,5,0),1,0)*Table_NFI[[#This Row],[NFI Core Kit]],Table_NFI[NFI Core Kit])</f>
        <v>0</v>
      </c>
      <c r="Y469" s="436">
        <f>IF(NFI_Expiration=1,IF($A469&lt;VLOOKUP(J$5,NFI,5,0),1,0)*Table_NFI[[#This Row],[Sanitary Kit]],Table_NFI[Sanitary Kit])</f>
        <v>0</v>
      </c>
      <c r="Z469" s="436">
        <f>IF(NFI_Expiration=1,IF($A469&lt;VLOOKUP(K$5,NFI,5,0),1,0)*Table_NFI[[#This Row],[Mosquito net]],Table_NFI[Mosquito net])</f>
        <v>0</v>
      </c>
      <c r="AA469" s="436">
        <f>IF(NFI_Expiration=1,IF($A469&lt;VLOOKUP(L$5,NFI,5,0),1,0)*Table_NFI[[#This Row],[Tarpaulin]],Table_NFI[[#This Row],[Tarpaulin]])</f>
        <v>0</v>
      </c>
      <c r="AB469" s="436">
        <f>IF(NFI_Expiration=1,IF($A469&lt;VLOOKUP(M$5,NFI,5,0),1,0)*Table_NFI[[#This Row],[Blanket]],Table_NFI[[#This Row],[Blanket]])</f>
        <v>0</v>
      </c>
      <c r="AC469" s="436">
        <f>IF(NFI_Expiration=1,IF($A469&lt;VLOOKUP(N$5,NFI,5,0),1,0)*Table_NFI[[#This Row],[Kitchen Set]],Table_NFI[Kitchen Set])</f>
        <v>0</v>
      </c>
      <c r="AD469" s="436">
        <f>IF(NFI_Expiration=1,IF($A469&lt;VLOOKUP(O$5,NFI,5,0),1,0)*Table_NFI[[#This Row],[Clothes Kit]],Table_NFI[Clothes Kit])</f>
        <v>0</v>
      </c>
      <c r="AE469" s="436">
        <f>IF(NFI_Expiration=1,IF($A469&lt;VLOOKUP(P$5,NFI,5,0),1,0)*Table_NFI[[#This Row],[Plastic Bucket]],Table_NFI[Plastic Bucket])</f>
        <v>0</v>
      </c>
      <c r="AF469" s="436">
        <f>IF(NFI_Expiration=1,IF($A469&lt;VLOOKUP(Q$5,NFI,5,0),1,0)*Table_NFI[[#This Row],[Plastic Mat]],Table_NFI[Plastic Mat])*IF(Table_NFI[[#This Row],[Distribution Date]]&gt;"2014-04-01",1,2.5)</f>
        <v>0</v>
      </c>
      <c r="AG469" s="436">
        <f>IF(NFI_Expiration=1,IF($A469&lt;VLOOKUP(R$5,NFI,5,0),1,0)*Table_NFI[[#This Row],[Winter Clothes Adult]],Table_NFI[Winter Clothes Adult])</f>
        <v>0</v>
      </c>
      <c r="AH469" s="436">
        <f>IF(NFI_Expiration=1,IF($A469&lt;VLOOKUP(S$5,NFI,5,0),1,0)*Table_NFI[[#This Row],[Winter Clothes Children]],Table_NFI[Winter Clothes Children])</f>
        <v>0</v>
      </c>
      <c r="AI469" s="436">
        <f>IF(NFI_Expiration=1,IF($A469&lt;VLOOKUP(T$5,NFI,5,0),1,0)*Table_NFI[[#This Row],[Winter Items Other]],Table_NFI[Winter Items Other])</f>
        <v>0</v>
      </c>
      <c r="AJ469" s="436">
        <f>IF(NFI_Expiration=1,IF($A469&lt;VLOOKUP(M$5,NFI,5,0),1,0)*Table_NFI[[#This Row],[Winter Blanket]],Table_NFI[[#This Row],[Winter Blanket]])</f>
        <v>0</v>
      </c>
      <c r="AK469" s="436">
        <f>IF(Table_NFI[[#This Row],[Winter Clothes Adult]]+Table_NFI[[#This Row],[Winter Clothes Children]]+Table_NFI[[#This Row],[Winter Items Other]]+Table_NFI[[#This Row],[Winter Blanket]]&gt;0,1,0)</f>
        <v>0</v>
      </c>
      <c r="AL469" s="439">
        <f>IF(NFI_Expiration=1,IF($A469&lt;VLOOKUP(V$5,NFI,5,0),1,0)*Table_NFI[[#This Row],[Jerry Can]],Table_NFI[Jerry Can])</f>
        <v>0</v>
      </c>
      <c r="AM469" s="781" t="str">
        <f>IFERROR(VLOOKUP(Table_NFI[[#This Row],[Camp Name]],CL,2,0),"")</f>
        <v>MMR001CMP193</v>
      </c>
      <c r="AN469" s="782">
        <f ca="1">IF(Table_NFI[[#This Row],[Pcode]]="","",IF(OFFSET(CampList[Opening Date],MATCH(Table_NFI[[#This Row],[Pcode]],CampList[CP_Pcode],0)-1,0,1,1)&gt;=NFI_Monitor_Date,1,0))</f>
        <v>0</v>
      </c>
      <c r="AO469" s="781" t="str">
        <f>IFERROR(VLOOKUP(Table_NFI[[#This Row],[Camp Name]],CL,3,0),"")</f>
        <v>Open</v>
      </c>
      <c r="AP469" s="436" t="str">
        <f ca="1">IF(Table_NFI[[#This Row],[Pcode]]="","",OFFSET(CampList[Priority],MATCH(Table_NFI[[#This Row],[Pcode]],CampList[CP_Pcode],0)-1,0,1,1))</f>
        <v>P4</v>
      </c>
      <c r="AQ469" s="438">
        <f>IFERROR(Table_NFI[[#This Row],[Kitchen Set]]/VLOOKUP(Table_NFI[[#This Row],[Camp Name]],CL,4,0),"")</f>
        <v>0.18471337579617833</v>
      </c>
      <c r="AR469" s="779" t="s">
        <v>1099</v>
      </c>
      <c r="AS469" s="783"/>
    </row>
    <row r="470" spans="1:45" s="784" customFormat="1" x14ac:dyDescent="0.25">
      <c r="A470" s="455">
        <f t="shared" si="7"/>
        <v>24.133333333333333</v>
      </c>
      <c r="B470" s="778">
        <v>41585</v>
      </c>
      <c r="C470" s="779" t="s">
        <v>912</v>
      </c>
      <c r="D470" s="779" t="s">
        <v>912</v>
      </c>
      <c r="E470" s="779" t="s">
        <v>380</v>
      </c>
      <c r="F470" s="779" t="s">
        <v>5</v>
      </c>
      <c r="G470" s="779" t="s">
        <v>24</v>
      </c>
      <c r="H470" s="436"/>
      <c r="I470" s="436"/>
      <c r="J470" s="436"/>
      <c r="K470" s="436"/>
      <c r="L470" s="437"/>
      <c r="M470" s="437"/>
      <c r="N470" s="437"/>
      <c r="O470" s="437"/>
      <c r="P470" s="439"/>
      <c r="Q470" s="439"/>
      <c r="R470" s="436">
        <v>64</v>
      </c>
      <c r="S470" s="436">
        <v>118</v>
      </c>
      <c r="T470" s="436">
        <v>364</v>
      </c>
      <c r="U470" s="436">
        <v>182</v>
      </c>
      <c r="V470" s="436"/>
      <c r="W470" s="436">
        <f>IF(NFI_Expiration=1,IF($A470&lt;VLOOKUP(H$5,NFI,5,0),1,0)*Table_NFI[[#This Row],[Hygiene Kit]],Table_NFI[Hygiene Kit])</f>
        <v>0</v>
      </c>
      <c r="X470" s="436">
        <f>IF(NFI_Expiration=1,IF($A470&lt;VLOOKUP(I$5,NFI,5,0),1,0)*Table_NFI[[#This Row],[NFI Core Kit]],Table_NFI[NFI Core Kit])</f>
        <v>0</v>
      </c>
      <c r="Y470" s="436">
        <f>IF(NFI_Expiration=1,IF($A470&lt;VLOOKUP(J$5,NFI,5,0),1,0)*Table_NFI[[#This Row],[Sanitary Kit]],Table_NFI[Sanitary Kit])</f>
        <v>0</v>
      </c>
      <c r="Z470" s="436">
        <f>IF(NFI_Expiration=1,IF($A470&lt;VLOOKUP(K$5,NFI,5,0),1,0)*Table_NFI[[#This Row],[Mosquito net]],Table_NFI[Mosquito net])</f>
        <v>0</v>
      </c>
      <c r="AA470" s="436">
        <f>IF(NFI_Expiration=1,IF($A470&lt;VLOOKUP(L$5,NFI,5,0),1,0)*Table_NFI[[#This Row],[Tarpaulin]],Table_NFI[[#This Row],[Tarpaulin]])</f>
        <v>0</v>
      </c>
      <c r="AB470" s="436">
        <f>IF(NFI_Expiration=1,IF($A470&lt;VLOOKUP(M$5,NFI,5,0),1,0)*Table_NFI[[#This Row],[Blanket]],Table_NFI[[#This Row],[Blanket]])</f>
        <v>0</v>
      </c>
      <c r="AC470" s="436">
        <f>IF(NFI_Expiration=1,IF($A470&lt;VLOOKUP(N$5,NFI,5,0),1,0)*Table_NFI[[#This Row],[Kitchen Set]],Table_NFI[Kitchen Set])</f>
        <v>0</v>
      </c>
      <c r="AD470" s="436">
        <f>IF(NFI_Expiration=1,IF($A470&lt;VLOOKUP(O$5,NFI,5,0),1,0)*Table_NFI[[#This Row],[Clothes Kit]],Table_NFI[Clothes Kit])</f>
        <v>0</v>
      </c>
      <c r="AE470" s="436">
        <f>IF(NFI_Expiration=1,IF($A470&lt;VLOOKUP(P$5,NFI,5,0),1,0)*Table_NFI[[#This Row],[Plastic Bucket]],Table_NFI[Plastic Bucket])</f>
        <v>0</v>
      </c>
      <c r="AF470" s="436">
        <f>IF(NFI_Expiration=1,IF($A470&lt;VLOOKUP(Q$5,NFI,5,0),1,0)*Table_NFI[[#This Row],[Plastic Mat]],Table_NFI[Plastic Mat])*IF(Table_NFI[[#This Row],[Distribution Date]]&gt;"2014-04-01",1,2.5)</f>
        <v>0</v>
      </c>
      <c r="AG470" s="436">
        <f>IF(NFI_Expiration=1,IF($A470&lt;VLOOKUP(R$5,NFI,5,0),1,0)*Table_NFI[[#This Row],[Winter Clothes Adult]],Table_NFI[Winter Clothes Adult])</f>
        <v>0</v>
      </c>
      <c r="AH470" s="436">
        <f>IF(NFI_Expiration=1,IF($A470&lt;VLOOKUP(S$5,NFI,5,0),1,0)*Table_NFI[[#This Row],[Winter Clothes Children]],Table_NFI[Winter Clothes Children])</f>
        <v>0</v>
      </c>
      <c r="AI470" s="436">
        <f>IF(NFI_Expiration=1,IF($A470&lt;VLOOKUP(T$5,NFI,5,0),1,0)*Table_NFI[[#This Row],[Winter Items Other]],Table_NFI[Winter Items Other])</f>
        <v>0</v>
      </c>
      <c r="AJ470" s="436">
        <f>IF(NFI_Expiration=1,IF($A470&lt;VLOOKUP(M$5,NFI,5,0),1,0)*Table_NFI[[#This Row],[Winter Blanket]],Table_NFI[[#This Row],[Winter Blanket]])</f>
        <v>0</v>
      </c>
      <c r="AK470" s="436">
        <f>IF(Table_NFI[[#This Row],[Winter Clothes Adult]]+Table_NFI[[#This Row],[Winter Clothes Children]]+Table_NFI[[#This Row],[Winter Items Other]]+Table_NFI[[#This Row],[Winter Blanket]]&gt;0,1,0)</f>
        <v>1</v>
      </c>
      <c r="AL470" s="439">
        <f>IF(NFI_Expiration=1,IF($A470&lt;VLOOKUP(V$5,NFI,5,0),1,0)*Table_NFI[[#This Row],[Jerry Can]],Table_NFI[Jerry Can])</f>
        <v>0</v>
      </c>
      <c r="AM470" s="781" t="str">
        <f>IFERROR(VLOOKUP(Table_NFI[[#This Row],[Camp Name]],CL,2,0),"")</f>
        <v>MMR001CMP055</v>
      </c>
      <c r="AN470" s="782">
        <f ca="1">IF(Table_NFI[[#This Row],[Pcode]]="","",IF(OFFSET(CampList[Opening Date],MATCH(Table_NFI[[#This Row],[Pcode]],CampList[CP_Pcode],0)-1,0,1,1)&gt;=NFI_Monitor_Date,1,0))</f>
        <v>0</v>
      </c>
      <c r="AO470" s="781" t="str">
        <f>IFERROR(VLOOKUP(Table_NFI[[#This Row],[Camp Name]],CL,3,0),"")</f>
        <v>Open</v>
      </c>
      <c r="AP470" s="436" t="str">
        <f ca="1">IF(Table_NFI[[#This Row],[Pcode]]="","",OFFSET(CampList[Priority],MATCH(Table_NFI[[#This Row],[Pcode]],CampList[CP_Pcode],0)-1,0,1,1))</f>
        <v>P4</v>
      </c>
      <c r="AQ470" s="438">
        <f>IFERROR(Table_NFI[[#This Row],[Kitchen Set]]/VLOOKUP(Table_NFI[[#This Row],[Camp Name]],CL,4,0),"")</f>
        <v>0</v>
      </c>
      <c r="AR470" s="779"/>
      <c r="AS470" s="783"/>
    </row>
    <row r="471" spans="1:45" s="784" customFormat="1" x14ac:dyDescent="0.25">
      <c r="A471" s="455">
        <f t="shared" si="7"/>
        <v>24.2</v>
      </c>
      <c r="B471" s="778">
        <v>41583</v>
      </c>
      <c r="C471" s="779" t="s">
        <v>454</v>
      </c>
      <c r="D471" s="779" t="s">
        <v>454</v>
      </c>
      <c r="E471" s="779" t="s">
        <v>380</v>
      </c>
      <c r="F471" s="435" t="s">
        <v>151</v>
      </c>
      <c r="G471" s="435" t="s">
        <v>152</v>
      </c>
      <c r="H471" s="436"/>
      <c r="I471" s="436"/>
      <c r="J471" s="436">
        <v>60</v>
      </c>
      <c r="K471" s="436">
        <v>54</v>
      </c>
      <c r="L471" s="437">
        <v>30</v>
      </c>
      <c r="M471" s="437">
        <v>54</v>
      </c>
      <c r="N471" s="437">
        <v>30</v>
      </c>
      <c r="O471" s="437">
        <v>30</v>
      </c>
      <c r="P471" s="439"/>
      <c r="Q471" s="439"/>
      <c r="R471" s="436"/>
      <c r="S471" s="436"/>
      <c r="T471" s="436"/>
      <c r="U471" s="436"/>
      <c r="V471" s="436"/>
      <c r="W471" s="436">
        <f>IF(NFI_Expiration=1,IF($A471&lt;VLOOKUP(H$5,NFI,5,0),1,0)*Table_NFI[[#This Row],[Hygiene Kit]],Table_NFI[Hygiene Kit])</f>
        <v>0</v>
      </c>
      <c r="X471" s="436">
        <f>IF(NFI_Expiration=1,IF($A471&lt;VLOOKUP(I$5,NFI,5,0),1,0)*Table_NFI[[#This Row],[NFI Core Kit]],Table_NFI[NFI Core Kit])</f>
        <v>0</v>
      </c>
      <c r="Y471" s="436">
        <f>IF(NFI_Expiration=1,IF($A471&lt;VLOOKUP(J$5,NFI,5,0),1,0)*Table_NFI[[#This Row],[Sanitary Kit]],Table_NFI[Sanitary Kit])</f>
        <v>0</v>
      </c>
      <c r="Z471" s="436">
        <f>IF(NFI_Expiration=1,IF($A471&lt;VLOOKUP(K$5,NFI,5,0),1,0)*Table_NFI[[#This Row],[Mosquito net]],Table_NFI[Mosquito net])</f>
        <v>0</v>
      </c>
      <c r="AA471" s="436">
        <f>IF(NFI_Expiration=1,IF($A471&lt;VLOOKUP(L$5,NFI,5,0),1,0)*Table_NFI[[#This Row],[Tarpaulin]],Table_NFI[[#This Row],[Tarpaulin]])</f>
        <v>0</v>
      </c>
      <c r="AB471" s="436">
        <f>IF(NFI_Expiration=1,IF($A471&lt;VLOOKUP(M$5,NFI,5,0),1,0)*Table_NFI[[#This Row],[Blanket]],Table_NFI[[#This Row],[Blanket]])</f>
        <v>0</v>
      </c>
      <c r="AC471" s="436">
        <f>IF(NFI_Expiration=1,IF($A471&lt;VLOOKUP(N$5,NFI,5,0),1,0)*Table_NFI[[#This Row],[Kitchen Set]],Table_NFI[Kitchen Set])</f>
        <v>0</v>
      </c>
      <c r="AD471" s="436">
        <f>IF(NFI_Expiration=1,IF($A471&lt;VLOOKUP(O$5,NFI,5,0),1,0)*Table_NFI[[#This Row],[Clothes Kit]],Table_NFI[Clothes Kit])</f>
        <v>0</v>
      </c>
      <c r="AE471" s="436">
        <f>IF(NFI_Expiration=1,IF($A471&lt;VLOOKUP(P$5,NFI,5,0),1,0)*Table_NFI[[#This Row],[Plastic Bucket]],Table_NFI[Plastic Bucket])</f>
        <v>0</v>
      </c>
      <c r="AF471" s="436">
        <f>IF(NFI_Expiration=1,IF($A471&lt;VLOOKUP(Q$5,NFI,5,0),1,0)*Table_NFI[[#This Row],[Plastic Mat]],Table_NFI[Plastic Mat])*IF(Table_NFI[[#This Row],[Distribution Date]]&gt;"2014-04-01",1,2.5)</f>
        <v>0</v>
      </c>
      <c r="AG471" s="436">
        <f>IF(NFI_Expiration=1,IF($A471&lt;VLOOKUP(R$5,NFI,5,0),1,0)*Table_NFI[[#This Row],[Winter Clothes Adult]],Table_NFI[Winter Clothes Adult])</f>
        <v>0</v>
      </c>
      <c r="AH471" s="436">
        <f>IF(NFI_Expiration=1,IF($A471&lt;VLOOKUP(S$5,NFI,5,0),1,0)*Table_NFI[[#This Row],[Winter Clothes Children]],Table_NFI[Winter Clothes Children])</f>
        <v>0</v>
      </c>
      <c r="AI471" s="436">
        <f>IF(NFI_Expiration=1,IF($A471&lt;VLOOKUP(T$5,NFI,5,0),1,0)*Table_NFI[[#This Row],[Winter Items Other]],Table_NFI[Winter Items Other])</f>
        <v>0</v>
      </c>
      <c r="AJ471" s="436">
        <f>IF(NFI_Expiration=1,IF($A471&lt;VLOOKUP(M$5,NFI,5,0),1,0)*Table_NFI[[#This Row],[Winter Blanket]],Table_NFI[[#This Row],[Winter Blanket]])</f>
        <v>0</v>
      </c>
      <c r="AK471" s="436">
        <f>IF(Table_NFI[[#This Row],[Winter Clothes Adult]]+Table_NFI[[#This Row],[Winter Clothes Children]]+Table_NFI[[#This Row],[Winter Items Other]]+Table_NFI[[#This Row],[Winter Blanket]]&gt;0,1,0)</f>
        <v>0</v>
      </c>
      <c r="AL471" s="439">
        <f>IF(NFI_Expiration=1,IF($A471&lt;VLOOKUP(V$5,NFI,5,0),1,0)*Table_NFI[[#This Row],[Jerry Can]],Table_NFI[Jerry Can])</f>
        <v>0</v>
      </c>
      <c r="AM471" s="781" t="str">
        <f>IFERROR(VLOOKUP(Table_NFI[[#This Row],[Camp Name]],CL,2,0),"")</f>
        <v>MMR001CMP066</v>
      </c>
      <c r="AN471" s="782">
        <f ca="1">IF(Table_NFI[[#This Row],[Pcode]]="","",IF(OFFSET(CampList[Opening Date],MATCH(Table_NFI[[#This Row],[Pcode]],CampList[CP_Pcode],0)-1,0,1,1)&gt;=NFI_Monitor_Date,1,0))</f>
        <v>0</v>
      </c>
      <c r="AO471" s="781" t="str">
        <f>IFERROR(VLOOKUP(Table_NFI[[#This Row],[Camp Name]],CL,3,0),"")</f>
        <v>Open</v>
      </c>
      <c r="AP471" s="436" t="str">
        <f ca="1">IF(Table_NFI[[#This Row],[Pcode]]="","",OFFSET(CampList[Priority],MATCH(Table_NFI[[#This Row],[Pcode]],CampList[CP_Pcode],0)-1,0,1,1))</f>
        <v>P4</v>
      </c>
      <c r="AQ471" s="438">
        <f>IFERROR(Table_NFI[[#This Row],[Kitchen Set]]/VLOOKUP(Table_NFI[[#This Row],[Camp Name]],CL,4,0),"")</f>
        <v>0.13574660633484162</v>
      </c>
      <c r="AR471" s="779" t="s">
        <v>1099</v>
      </c>
      <c r="AS471" s="783"/>
    </row>
    <row r="472" spans="1:45" s="784" customFormat="1" x14ac:dyDescent="0.25">
      <c r="A472" s="455">
        <f t="shared" si="7"/>
        <v>24.266666666666666</v>
      </c>
      <c r="B472" s="778">
        <v>41581</v>
      </c>
      <c r="C472" s="779" t="s">
        <v>907</v>
      </c>
      <c r="D472" s="779" t="s">
        <v>907</v>
      </c>
      <c r="E472" s="779" t="s">
        <v>380</v>
      </c>
      <c r="F472" s="435" t="s">
        <v>5</v>
      </c>
      <c r="G472" s="435" t="s">
        <v>6</v>
      </c>
      <c r="H472" s="436"/>
      <c r="I472" s="436"/>
      <c r="J472" s="436">
        <v>21</v>
      </c>
      <c r="K472" s="436"/>
      <c r="L472" s="437"/>
      <c r="M472" s="437"/>
      <c r="N472" s="437">
        <v>21</v>
      </c>
      <c r="O472" s="437"/>
      <c r="P472" s="439"/>
      <c r="Q472" s="439"/>
      <c r="R472" s="436"/>
      <c r="S472" s="436"/>
      <c r="T472" s="436"/>
      <c r="U472" s="436"/>
      <c r="V472" s="436"/>
      <c r="W472" s="436">
        <f>IF(NFI_Expiration=1,IF($A472&lt;VLOOKUP(H$5,NFI,5,0),1,0)*Table_NFI[[#This Row],[Hygiene Kit]],Table_NFI[Hygiene Kit])</f>
        <v>0</v>
      </c>
      <c r="X472" s="436">
        <f>IF(NFI_Expiration=1,IF($A472&lt;VLOOKUP(I$5,NFI,5,0),1,0)*Table_NFI[[#This Row],[NFI Core Kit]],Table_NFI[NFI Core Kit])</f>
        <v>0</v>
      </c>
      <c r="Y472" s="436">
        <f>IF(NFI_Expiration=1,IF($A472&lt;VLOOKUP(J$5,NFI,5,0),1,0)*Table_NFI[[#This Row],[Sanitary Kit]],Table_NFI[Sanitary Kit])</f>
        <v>0</v>
      </c>
      <c r="Z472" s="436">
        <f>IF(NFI_Expiration=1,IF($A472&lt;VLOOKUP(K$5,NFI,5,0),1,0)*Table_NFI[[#This Row],[Mosquito net]],Table_NFI[Mosquito net])</f>
        <v>0</v>
      </c>
      <c r="AA472" s="436">
        <f>IF(NFI_Expiration=1,IF($A472&lt;VLOOKUP(L$5,NFI,5,0),1,0)*Table_NFI[[#This Row],[Tarpaulin]],Table_NFI[[#This Row],[Tarpaulin]])</f>
        <v>0</v>
      </c>
      <c r="AB472" s="436">
        <f>IF(NFI_Expiration=1,IF($A472&lt;VLOOKUP(M$5,NFI,5,0),1,0)*Table_NFI[[#This Row],[Blanket]],Table_NFI[[#This Row],[Blanket]])</f>
        <v>0</v>
      </c>
      <c r="AC472" s="436">
        <f>IF(NFI_Expiration=1,IF($A472&lt;VLOOKUP(N$5,NFI,5,0),1,0)*Table_NFI[[#This Row],[Kitchen Set]],Table_NFI[Kitchen Set])</f>
        <v>0</v>
      </c>
      <c r="AD472" s="436">
        <f>IF(NFI_Expiration=1,IF($A472&lt;VLOOKUP(O$5,NFI,5,0),1,0)*Table_NFI[[#This Row],[Clothes Kit]],Table_NFI[Clothes Kit])</f>
        <v>0</v>
      </c>
      <c r="AE472" s="436">
        <f>IF(NFI_Expiration=1,IF($A472&lt;VLOOKUP(P$5,NFI,5,0),1,0)*Table_NFI[[#This Row],[Plastic Bucket]],Table_NFI[Plastic Bucket])</f>
        <v>0</v>
      </c>
      <c r="AF472" s="436">
        <f>IF(NFI_Expiration=1,IF($A472&lt;VLOOKUP(Q$5,NFI,5,0),1,0)*Table_NFI[[#This Row],[Plastic Mat]],Table_NFI[Plastic Mat])*IF(Table_NFI[[#This Row],[Distribution Date]]&gt;"2014-04-01",1,2.5)</f>
        <v>0</v>
      </c>
      <c r="AG472" s="436">
        <f>IF(NFI_Expiration=1,IF($A472&lt;VLOOKUP(R$5,NFI,5,0),1,0)*Table_NFI[[#This Row],[Winter Clothes Adult]],Table_NFI[Winter Clothes Adult])</f>
        <v>0</v>
      </c>
      <c r="AH472" s="436">
        <f>IF(NFI_Expiration=1,IF($A472&lt;VLOOKUP(S$5,NFI,5,0),1,0)*Table_NFI[[#This Row],[Winter Clothes Children]],Table_NFI[Winter Clothes Children])</f>
        <v>0</v>
      </c>
      <c r="AI472" s="436">
        <f>IF(NFI_Expiration=1,IF($A472&lt;VLOOKUP(T$5,NFI,5,0),1,0)*Table_NFI[[#This Row],[Winter Items Other]],Table_NFI[Winter Items Other])</f>
        <v>0</v>
      </c>
      <c r="AJ472" s="436">
        <f>IF(NFI_Expiration=1,IF($A472&lt;VLOOKUP(M$5,NFI,5,0),1,0)*Table_NFI[[#This Row],[Winter Blanket]],Table_NFI[[#This Row],[Winter Blanket]])</f>
        <v>0</v>
      </c>
      <c r="AK472" s="436">
        <f>IF(Table_NFI[[#This Row],[Winter Clothes Adult]]+Table_NFI[[#This Row],[Winter Clothes Children]]+Table_NFI[[#This Row],[Winter Items Other]]+Table_NFI[[#This Row],[Winter Blanket]]&gt;0,1,0)</f>
        <v>0</v>
      </c>
      <c r="AL472" s="439">
        <f>IF(NFI_Expiration=1,IF($A472&lt;VLOOKUP(V$5,NFI,5,0),1,0)*Table_NFI[[#This Row],[Jerry Can]],Table_NFI[Jerry Can])</f>
        <v>0</v>
      </c>
      <c r="AM472" s="781" t="str">
        <f>IFERROR(VLOOKUP(Table_NFI[[#This Row],[Camp Name]],CL,2,0),"")</f>
        <v>MMR001CMP050</v>
      </c>
      <c r="AN472" s="782">
        <f ca="1">IF(Table_NFI[[#This Row],[Pcode]]="","",IF(OFFSET(CampList[Opening Date],MATCH(Table_NFI[[#This Row],[Pcode]],CampList[CP_Pcode],0)-1,0,1,1)&gt;=NFI_Monitor_Date,1,0))</f>
        <v>0</v>
      </c>
      <c r="AO472" s="781" t="str">
        <f>IFERROR(VLOOKUP(Table_NFI[[#This Row],[Camp Name]],CL,3,0),"")</f>
        <v>Open</v>
      </c>
      <c r="AP472" s="436" t="str">
        <f ca="1">IF(Table_NFI[[#This Row],[Pcode]]="","",OFFSET(CampList[Priority],MATCH(Table_NFI[[#This Row],[Pcode]],CampList[CP_Pcode],0)-1,0,1,1))</f>
        <v>P4</v>
      </c>
      <c r="AQ472" s="438">
        <f>IFERROR(Table_NFI[[#This Row],[Kitchen Set]]/VLOOKUP(Table_NFI[[#This Row],[Camp Name]],CL,4,0),"")</f>
        <v>6.9767441860465115E-2</v>
      </c>
      <c r="AR472" s="779" t="s">
        <v>1099</v>
      </c>
      <c r="AS472" s="783"/>
    </row>
    <row r="473" spans="1:45" s="784" customFormat="1" x14ac:dyDescent="0.25">
      <c r="A473" s="455">
        <f t="shared" si="7"/>
        <v>24.266666666666666</v>
      </c>
      <c r="B473" s="778">
        <v>41581</v>
      </c>
      <c r="C473" s="779" t="s">
        <v>454</v>
      </c>
      <c r="D473" s="779" t="s">
        <v>575</v>
      </c>
      <c r="E473" s="779" t="s">
        <v>380</v>
      </c>
      <c r="F473" s="435" t="s">
        <v>151</v>
      </c>
      <c r="G473" s="435" t="s">
        <v>188</v>
      </c>
      <c r="H473" s="436"/>
      <c r="I473" s="436"/>
      <c r="J473" s="436">
        <v>130</v>
      </c>
      <c r="K473" s="436">
        <v>130</v>
      </c>
      <c r="L473" s="437">
        <v>65</v>
      </c>
      <c r="M473" s="437">
        <v>65</v>
      </c>
      <c r="N473" s="437">
        <v>65</v>
      </c>
      <c r="O473" s="437">
        <v>65</v>
      </c>
      <c r="P473" s="439"/>
      <c r="Q473" s="439"/>
      <c r="R473" s="436"/>
      <c r="S473" s="436"/>
      <c r="T473" s="436"/>
      <c r="U473" s="436"/>
      <c r="V473" s="436"/>
      <c r="W473" s="436">
        <f>IF(NFI_Expiration=1,IF($A473&lt;VLOOKUP(H$5,NFI,5,0),1,0)*Table_NFI[[#This Row],[Hygiene Kit]],Table_NFI[Hygiene Kit])</f>
        <v>0</v>
      </c>
      <c r="X473" s="436">
        <f>IF(NFI_Expiration=1,IF($A473&lt;VLOOKUP(I$5,NFI,5,0),1,0)*Table_NFI[[#This Row],[NFI Core Kit]],Table_NFI[NFI Core Kit])</f>
        <v>0</v>
      </c>
      <c r="Y473" s="436">
        <f>IF(NFI_Expiration=1,IF($A473&lt;VLOOKUP(J$5,NFI,5,0),1,0)*Table_NFI[[#This Row],[Sanitary Kit]],Table_NFI[Sanitary Kit])</f>
        <v>0</v>
      </c>
      <c r="Z473" s="436">
        <f>IF(NFI_Expiration=1,IF($A473&lt;VLOOKUP(K$5,NFI,5,0),1,0)*Table_NFI[[#This Row],[Mosquito net]],Table_NFI[Mosquito net])</f>
        <v>0</v>
      </c>
      <c r="AA473" s="436">
        <f>IF(NFI_Expiration=1,IF($A473&lt;VLOOKUP(L$5,NFI,5,0),1,0)*Table_NFI[[#This Row],[Tarpaulin]],Table_NFI[[#This Row],[Tarpaulin]])</f>
        <v>0</v>
      </c>
      <c r="AB473" s="436">
        <f>IF(NFI_Expiration=1,IF($A473&lt;VLOOKUP(M$5,NFI,5,0),1,0)*Table_NFI[[#This Row],[Blanket]],Table_NFI[[#This Row],[Blanket]])</f>
        <v>0</v>
      </c>
      <c r="AC473" s="436">
        <f>IF(NFI_Expiration=1,IF($A473&lt;VLOOKUP(N$5,NFI,5,0),1,0)*Table_NFI[[#This Row],[Kitchen Set]],Table_NFI[Kitchen Set])</f>
        <v>0</v>
      </c>
      <c r="AD473" s="436">
        <f>IF(NFI_Expiration=1,IF($A473&lt;VLOOKUP(O$5,NFI,5,0),1,0)*Table_NFI[[#This Row],[Clothes Kit]],Table_NFI[Clothes Kit])</f>
        <v>0</v>
      </c>
      <c r="AE473" s="436">
        <f>IF(NFI_Expiration=1,IF($A473&lt;VLOOKUP(P$5,NFI,5,0),1,0)*Table_NFI[[#This Row],[Plastic Bucket]],Table_NFI[Plastic Bucket])</f>
        <v>0</v>
      </c>
      <c r="AF473" s="436">
        <f>IF(NFI_Expiration=1,IF($A473&lt;VLOOKUP(Q$5,NFI,5,0),1,0)*Table_NFI[[#This Row],[Plastic Mat]],Table_NFI[Plastic Mat])*IF(Table_NFI[[#This Row],[Distribution Date]]&gt;"2014-04-01",1,2.5)</f>
        <v>0</v>
      </c>
      <c r="AG473" s="436">
        <f>IF(NFI_Expiration=1,IF($A473&lt;VLOOKUP(R$5,NFI,5,0),1,0)*Table_NFI[[#This Row],[Winter Clothes Adult]],Table_NFI[Winter Clothes Adult])</f>
        <v>0</v>
      </c>
      <c r="AH473" s="436">
        <f>IF(NFI_Expiration=1,IF($A473&lt;VLOOKUP(S$5,NFI,5,0),1,0)*Table_NFI[[#This Row],[Winter Clothes Children]],Table_NFI[Winter Clothes Children])</f>
        <v>0</v>
      </c>
      <c r="AI473" s="436">
        <f>IF(NFI_Expiration=1,IF($A473&lt;VLOOKUP(T$5,NFI,5,0),1,0)*Table_NFI[[#This Row],[Winter Items Other]],Table_NFI[Winter Items Other])</f>
        <v>0</v>
      </c>
      <c r="AJ473" s="436">
        <f>IF(NFI_Expiration=1,IF($A473&lt;VLOOKUP(M$5,NFI,5,0),1,0)*Table_NFI[[#This Row],[Winter Blanket]],Table_NFI[[#This Row],[Winter Blanket]])</f>
        <v>0</v>
      </c>
      <c r="AK473" s="436">
        <f>IF(Table_NFI[[#This Row],[Winter Clothes Adult]]+Table_NFI[[#This Row],[Winter Clothes Children]]+Table_NFI[[#This Row],[Winter Items Other]]+Table_NFI[[#This Row],[Winter Blanket]]&gt;0,1,0)</f>
        <v>0</v>
      </c>
      <c r="AL473" s="439">
        <f>IF(NFI_Expiration=1,IF($A473&lt;VLOOKUP(V$5,NFI,5,0),1,0)*Table_NFI[[#This Row],[Jerry Can]],Table_NFI[Jerry Can])</f>
        <v>0</v>
      </c>
      <c r="AM473" s="781" t="str">
        <f>IFERROR(VLOOKUP(Table_NFI[[#This Row],[Camp Name]],CL,2,0),"")</f>
        <v>MMR001CMP129</v>
      </c>
      <c r="AN473" s="782">
        <f ca="1">IF(Table_NFI[[#This Row],[Pcode]]="","",IF(OFFSET(CampList[Opening Date],MATCH(Table_NFI[[#This Row],[Pcode]],CampList[CP_Pcode],0)-1,0,1,1)&gt;=NFI_Monitor_Date,1,0))</f>
        <v>0</v>
      </c>
      <c r="AO473" s="781" t="str">
        <f>IFERROR(VLOOKUP(Table_NFI[[#This Row],[Camp Name]],CL,3,0),"")</f>
        <v>Open</v>
      </c>
      <c r="AP473" s="436" t="str">
        <f ca="1">IF(Table_NFI[[#This Row],[Pcode]]="","",OFFSET(CampList[Priority],MATCH(Table_NFI[[#This Row],[Pcode]],CampList[CP_Pcode],0)-1,0,1,1))</f>
        <v>P2</v>
      </c>
      <c r="AQ473" s="438">
        <f>IFERROR(Table_NFI[[#This Row],[Kitchen Set]]/VLOOKUP(Table_NFI[[#This Row],[Camp Name]],CL,4,0),"")</f>
        <v>0.37356321839080459</v>
      </c>
      <c r="AR473" s="779" t="s">
        <v>1099</v>
      </c>
      <c r="AS473" s="783"/>
    </row>
    <row r="474" spans="1:45" s="784" customFormat="1" x14ac:dyDescent="0.25">
      <c r="A474" s="455">
        <f t="shared" si="7"/>
        <v>24.266666666666666</v>
      </c>
      <c r="B474" s="778">
        <v>41581</v>
      </c>
      <c r="C474" s="779" t="s">
        <v>907</v>
      </c>
      <c r="D474" s="780" t="s">
        <v>907</v>
      </c>
      <c r="E474" s="779" t="s">
        <v>380</v>
      </c>
      <c r="F474" s="435" t="s">
        <v>5</v>
      </c>
      <c r="G474" s="435" t="s">
        <v>14</v>
      </c>
      <c r="H474" s="436"/>
      <c r="I474" s="436"/>
      <c r="J474" s="436">
        <v>41</v>
      </c>
      <c r="K474" s="436"/>
      <c r="L474" s="437"/>
      <c r="M474" s="437"/>
      <c r="N474" s="437">
        <v>41</v>
      </c>
      <c r="O474" s="437"/>
      <c r="P474" s="437"/>
      <c r="Q474" s="437"/>
      <c r="R474" s="436"/>
      <c r="S474" s="436"/>
      <c r="T474" s="436"/>
      <c r="U474" s="436"/>
      <c r="V474" s="436"/>
      <c r="W474" s="436">
        <f>IF(NFI_Expiration=1,IF($A474&lt;VLOOKUP(H$5,NFI,5,0),1,0)*Table_NFI[[#This Row],[Hygiene Kit]],Table_NFI[Hygiene Kit])</f>
        <v>0</v>
      </c>
      <c r="X474" s="436">
        <f>IF(NFI_Expiration=1,IF($A474&lt;VLOOKUP(I$5,NFI,5,0),1,0)*Table_NFI[[#This Row],[NFI Core Kit]],Table_NFI[NFI Core Kit])</f>
        <v>0</v>
      </c>
      <c r="Y474" s="436">
        <f>IF(NFI_Expiration=1,IF($A474&lt;VLOOKUP(J$5,NFI,5,0),1,0)*Table_NFI[[#This Row],[Sanitary Kit]],Table_NFI[Sanitary Kit])</f>
        <v>0</v>
      </c>
      <c r="Z474" s="436">
        <f>IF(NFI_Expiration=1,IF($A474&lt;VLOOKUP(K$5,NFI,5,0),1,0)*Table_NFI[[#This Row],[Mosquito net]],Table_NFI[Mosquito net])</f>
        <v>0</v>
      </c>
      <c r="AA474" s="436">
        <f>IF(NFI_Expiration=1,IF($A474&lt;VLOOKUP(L$5,NFI,5,0),1,0)*Table_NFI[[#This Row],[Tarpaulin]],Table_NFI[[#This Row],[Tarpaulin]])</f>
        <v>0</v>
      </c>
      <c r="AB474" s="436">
        <f>IF(NFI_Expiration=1,IF($A474&lt;VLOOKUP(M$5,NFI,5,0),1,0)*Table_NFI[[#This Row],[Blanket]],Table_NFI[[#This Row],[Blanket]])</f>
        <v>0</v>
      </c>
      <c r="AC474" s="436">
        <f>IF(NFI_Expiration=1,IF($A474&lt;VLOOKUP(N$5,NFI,5,0),1,0)*Table_NFI[[#This Row],[Kitchen Set]],Table_NFI[Kitchen Set])</f>
        <v>0</v>
      </c>
      <c r="AD474" s="436">
        <f>IF(NFI_Expiration=1,IF($A474&lt;VLOOKUP(O$5,NFI,5,0),1,0)*Table_NFI[[#This Row],[Clothes Kit]],Table_NFI[Clothes Kit])</f>
        <v>0</v>
      </c>
      <c r="AE474" s="436">
        <f>IF(NFI_Expiration=1,IF($A474&lt;VLOOKUP(P$5,NFI,5,0),1,0)*Table_NFI[[#This Row],[Plastic Bucket]],Table_NFI[Plastic Bucket])</f>
        <v>0</v>
      </c>
      <c r="AF474" s="436">
        <f>IF(NFI_Expiration=1,IF($A474&lt;VLOOKUP(Q$5,NFI,5,0),1,0)*Table_NFI[[#This Row],[Plastic Mat]],Table_NFI[Plastic Mat])*IF(Table_NFI[[#This Row],[Distribution Date]]&gt;"2014-04-01",1,2.5)</f>
        <v>0</v>
      </c>
      <c r="AG474" s="436">
        <f>IF(NFI_Expiration=1,IF($A474&lt;VLOOKUP(R$5,NFI,5,0),1,0)*Table_NFI[[#This Row],[Winter Clothes Adult]],Table_NFI[Winter Clothes Adult])</f>
        <v>0</v>
      </c>
      <c r="AH474" s="436">
        <f>IF(NFI_Expiration=1,IF($A474&lt;VLOOKUP(S$5,NFI,5,0),1,0)*Table_NFI[[#This Row],[Winter Clothes Children]],Table_NFI[Winter Clothes Children])</f>
        <v>0</v>
      </c>
      <c r="AI474" s="436">
        <f>IF(NFI_Expiration=1,IF($A474&lt;VLOOKUP(T$5,NFI,5,0),1,0)*Table_NFI[[#This Row],[Winter Items Other]],Table_NFI[Winter Items Other])</f>
        <v>0</v>
      </c>
      <c r="AJ474" s="436">
        <f>IF(NFI_Expiration=1,IF($A474&lt;VLOOKUP(M$5,NFI,5,0),1,0)*Table_NFI[[#This Row],[Winter Blanket]],Table_NFI[[#This Row],[Winter Blanket]])</f>
        <v>0</v>
      </c>
      <c r="AK474" s="436">
        <f>IF(Table_NFI[[#This Row],[Winter Clothes Adult]]+Table_NFI[[#This Row],[Winter Clothes Children]]+Table_NFI[[#This Row],[Winter Items Other]]+Table_NFI[[#This Row],[Winter Blanket]]&gt;0,1,0)</f>
        <v>0</v>
      </c>
      <c r="AL474" s="439">
        <f>IF(NFI_Expiration=1,IF($A474&lt;VLOOKUP(V$5,NFI,5,0),1,0)*Table_NFI[[#This Row],[Jerry Can]],Table_NFI[Jerry Can])</f>
        <v>0</v>
      </c>
      <c r="AM474" s="781" t="str">
        <f>IFERROR(VLOOKUP(Table_NFI[[#This Row],[Camp Name]],CL,2,0),"")</f>
        <v>MMR001CMP052</v>
      </c>
      <c r="AN474" s="782">
        <f ca="1">IF(Table_NFI[[#This Row],[Pcode]]="","",IF(OFFSET(CampList[Opening Date],MATCH(Table_NFI[[#This Row],[Pcode]],CampList[CP_Pcode],0)-1,0,1,1)&gt;=NFI_Monitor_Date,1,0))</f>
        <v>0</v>
      </c>
      <c r="AO474" s="781" t="str">
        <f>IFERROR(VLOOKUP(Table_NFI[[#This Row],[Camp Name]],CL,3,0),"")</f>
        <v>Open</v>
      </c>
      <c r="AP474" s="436" t="str">
        <f ca="1">IF(Table_NFI[[#This Row],[Pcode]]="","",OFFSET(CampList[Priority],MATCH(Table_NFI[[#This Row],[Pcode]],CampList[CP_Pcode],0)-1,0,1,1))</f>
        <v>P4</v>
      </c>
      <c r="AQ474" s="438">
        <f>IFERROR(Table_NFI[[#This Row],[Kitchen Set]]/VLOOKUP(Table_NFI[[#This Row],[Camp Name]],CL,4,0),"")</f>
        <v>0.95348837209302328</v>
      </c>
      <c r="AR474" s="779" t="s">
        <v>1099</v>
      </c>
      <c r="AS474" s="783"/>
    </row>
    <row r="475" spans="1:45" s="784" customFormat="1" x14ac:dyDescent="0.25">
      <c r="A475" s="455">
        <f t="shared" si="7"/>
        <v>24.266666666666666</v>
      </c>
      <c r="B475" s="778">
        <v>41581</v>
      </c>
      <c r="C475" s="779" t="s">
        <v>454</v>
      </c>
      <c r="D475" s="779" t="s">
        <v>575</v>
      </c>
      <c r="E475" s="779" t="s">
        <v>380</v>
      </c>
      <c r="F475" s="435" t="s">
        <v>151</v>
      </c>
      <c r="G475" s="435" t="s">
        <v>198</v>
      </c>
      <c r="H475" s="436"/>
      <c r="I475" s="436"/>
      <c r="J475" s="436">
        <v>592</v>
      </c>
      <c r="K475" s="436">
        <v>592</v>
      </c>
      <c r="L475" s="437">
        <v>296</v>
      </c>
      <c r="M475" s="437">
        <v>296</v>
      </c>
      <c r="N475" s="437">
        <v>296</v>
      </c>
      <c r="O475" s="437">
        <v>296</v>
      </c>
      <c r="P475" s="439"/>
      <c r="Q475" s="439"/>
      <c r="R475" s="436"/>
      <c r="S475" s="436"/>
      <c r="T475" s="436"/>
      <c r="U475" s="436"/>
      <c r="V475" s="436"/>
      <c r="W475" s="436">
        <f>IF(NFI_Expiration=1,IF($A475&lt;VLOOKUP(H$5,NFI,5,0),1,0)*Table_NFI[[#This Row],[Hygiene Kit]],Table_NFI[Hygiene Kit])</f>
        <v>0</v>
      </c>
      <c r="X475" s="436">
        <f>IF(NFI_Expiration=1,IF($A475&lt;VLOOKUP(I$5,NFI,5,0),1,0)*Table_NFI[[#This Row],[NFI Core Kit]],Table_NFI[NFI Core Kit])</f>
        <v>0</v>
      </c>
      <c r="Y475" s="436">
        <f>IF(NFI_Expiration=1,IF($A475&lt;VLOOKUP(J$5,NFI,5,0),1,0)*Table_NFI[[#This Row],[Sanitary Kit]],Table_NFI[Sanitary Kit])</f>
        <v>0</v>
      </c>
      <c r="Z475" s="436">
        <f>IF(NFI_Expiration=1,IF($A475&lt;VLOOKUP(K$5,NFI,5,0),1,0)*Table_NFI[[#This Row],[Mosquito net]],Table_NFI[Mosquito net])</f>
        <v>0</v>
      </c>
      <c r="AA475" s="436">
        <f>IF(NFI_Expiration=1,IF($A475&lt;VLOOKUP(L$5,NFI,5,0),1,0)*Table_NFI[[#This Row],[Tarpaulin]],Table_NFI[[#This Row],[Tarpaulin]])</f>
        <v>0</v>
      </c>
      <c r="AB475" s="436">
        <f>IF(NFI_Expiration=1,IF($A475&lt;VLOOKUP(M$5,NFI,5,0),1,0)*Table_NFI[[#This Row],[Blanket]],Table_NFI[[#This Row],[Blanket]])</f>
        <v>0</v>
      </c>
      <c r="AC475" s="436">
        <f>IF(NFI_Expiration=1,IF($A475&lt;VLOOKUP(N$5,NFI,5,0),1,0)*Table_NFI[[#This Row],[Kitchen Set]],Table_NFI[Kitchen Set])</f>
        <v>0</v>
      </c>
      <c r="AD475" s="436">
        <f>IF(NFI_Expiration=1,IF($A475&lt;VLOOKUP(O$5,NFI,5,0),1,0)*Table_NFI[[#This Row],[Clothes Kit]],Table_NFI[Clothes Kit])</f>
        <v>0</v>
      </c>
      <c r="AE475" s="436">
        <f>IF(NFI_Expiration=1,IF($A475&lt;VLOOKUP(P$5,NFI,5,0),1,0)*Table_NFI[[#This Row],[Plastic Bucket]],Table_NFI[Plastic Bucket])</f>
        <v>0</v>
      </c>
      <c r="AF475" s="436">
        <f>IF(NFI_Expiration=1,IF($A475&lt;VLOOKUP(Q$5,NFI,5,0),1,0)*Table_NFI[[#This Row],[Plastic Mat]],Table_NFI[Plastic Mat])*IF(Table_NFI[[#This Row],[Distribution Date]]&gt;"2014-04-01",1,2.5)</f>
        <v>0</v>
      </c>
      <c r="AG475" s="436">
        <f>IF(NFI_Expiration=1,IF($A475&lt;VLOOKUP(R$5,NFI,5,0),1,0)*Table_NFI[[#This Row],[Winter Clothes Adult]],Table_NFI[Winter Clothes Adult])</f>
        <v>0</v>
      </c>
      <c r="AH475" s="436">
        <f>IF(NFI_Expiration=1,IF($A475&lt;VLOOKUP(S$5,NFI,5,0),1,0)*Table_NFI[[#This Row],[Winter Clothes Children]],Table_NFI[Winter Clothes Children])</f>
        <v>0</v>
      </c>
      <c r="AI475" s="436">
        <f>IF(NFI_Expiration=1,IF($A475&lt;VLOOKUP(T$5,NFI,5,0),1,0)*Table_NFI[[#This Row],[Winter Items Other]],Table_NFI[Winter Items Other])</f>
        <v>0</v>
      </c>
      <c r="AJ475" s="436">
        <f>IF(NFI_Expiration=1,IF($A475&lt;VLOOKUP(M$5,NFI,5,0),1,0)*Table_NFI[[#This Row],[Winter Blanket]],Table_NFI[[#This Row],[Winter Blanket]])</f>
        <v>0</v>
      </c>
      <c r="AK475" s="436">
        <f>IF(Table_NFI[[#This Row],[Winter Clothes Adult]]+Table_NFI[[#This Row],[Winter Clothes Children]]+Table_NFI[[#This Row],[Winter Items Other]]+Table_NFI[[#This Row],[Winter Blanket]]&gt;0,1,0)</f>
        <v>0</v>
      </c>
      <c r="AL475" s="439">
        <f>IF(NFI_Expiration=1,IF($A475&lt;VLOOKUP(V$5,NFI,5,0),1,0)*Table_NFI[[#This Row],[Jerry Can]],Table_NFI[Jerry Can])</f>
        <v>0</v>
      </c>
      <c r="AM475" s="781" t="str">
        <f>IFERROR(VLOOKUP(Table_NFI[[#This Row],[Camp Name]],CL,2,0),"")</f>
        <v>MMR001CMP128</v>
      </c>
      <c r="AN475" s="782">
        <f ca="1">IF(Table_NFI[[#This Row],[Pcode]]="","",IF(OFFSET(CampList[Opening Date],MATCH(Table_NFI[[#This Row],[Pcode]],CampList[CP_Pcode],0)-1,0,1,1)&gt;=NFI_Monitor_Date,1,0))</f>
        <v>0</v>
      </c>
      <c r="AO475" s="781" t="str">
        <f>IFERROR(VLOOKUP(Table_NFI[[#This Row],[Camp Name]],CL,3,0),"")</f>
        <v>Open</v>
      </c>
      <c r="AP475" s="436" t="str">
        <f ca="1">IF(Table_NFI[[#This Row],[Pcode]]="","",OFFSET(CampList[Priority],MATCH(Table_NFI[[#This Row],[Pcode]],CampList[CP_Pcode],0)-1,0,1,1))</f>
        <v>P2</v>
      </c>
      <c r="AQ475" s="438">
        <f>IFERROR(Table_NFI[[#This Row],[Kitchen Set]]/VLOOKUP(Table_NFI[[#This Row],[Camp Name]],CL,4,0),"")</f>
        <v>0.5471349353049908</v>
      </c>
      <c r="AR475" s="779" t="s">
        <v>1099</v>
      </c>
      <c r="AS475" s="783"/>
    </row>
    <row r="476" spans="1:45" s="784" customFormat="1" x14ac:dyDescent="0.25">
      <c r="A476" s="455">
        <f t="shared" si="7"/>
        <v>24.266666666666666</v>
      </c>
      <c r="B476" s="778">
        <v>41581</v>
      </c>
      <c r="C476" s="779" t="s">
        <v>454</v>
      </c>
      <c r="D476" s="779" t="s">
        <v>575</v>
      </c>
      <c r="E476" s="779" t="s">
        <v>380</v>
      </c>
      <c r="F476" s="435" t="s">
        <v>185</v>
      </c>
      <c r="G476" s="435" t="s">
        <v>190</v>
      </c>
      <c r="H476" s="436"/>
      <c r="I476" s="436"/>
      <c r="J476" s="436">
        <v>24</v>
      </c>
      <c r="K476" s="436">
        <v>24</v>
      </c>
      <c r="L476" s="437">
        <v>12</v>
      </c>
      <c r="M476" s="437">
        <v>12</v>
      </c>
      <c r="N476" s="437">
        <v>12</v>
      </c>
      <c r="O476" s="437">
        <v>12</v>
      </c>
      <c r="P476" s="439"/>
      <c r="Q476" s="439"/>
      <c r="R476" s="436"/>
      <c r="S476" s="436"/>
      <c r="T476" s="436"/>
      <c r="U476" s="436"/>
      <c r="V476" s="436"/>
      <c r="W476" s="436">
        <f>IF(NFI_Expiration=1,IF($A476&lt;VLOOKUP(H$5,NFI,5,0),1,0)*Table_NFI[[#This Row],[Hygiene Kit]],Table_NFI[Hygiene Kit])</f>
        <v>0</v>
      </c>
      <c r="X476" s="436">
        <f>IF(NFI_Expiration=1,IF($A476&lt;VLOOKUP(I$5,NFI,5,0),1,0)*Table_NFI[[#This Row],[NFI Core Kit]],Table_NFI[NFI Core Kit])</f>
        <v>0</v>
      </c>
      <c r="Y476" s="436">
        <f>IF(NFI_Expiration=1,IF($A476&lt;VLOOKUP(J$5,NFI,5,0),1,0)*Table_NFI[[#This Row],[Sanitary Kit]],Table_NFI[Sanitary Kit])</f>
        <v>0</v>
      </c>
      <c r="Z476" s="436">
        <f>IF(NFI_Expiration=1,IF($A476&lt;VLOOKUP(K$5,NFI,5,0),1,0)*Table_NFI[[#This Row],[Mosquito net]],Table_NFI[Mosquito net])</f>
        <v>0</v>
      </c>
      <c r="AA476" s="436">
        <f>IF(NFI_Expiration=1,IF($A476&lt;VLOOKUP(L$5,NFI,5,0),1,0)*Table_NFI[[#This Row],[Tarpaulin]],Table_NFI[[#This Row],[Tarpaulin]])</f>
        <v>0</v>
      </c>
      <c r="AB476" s="436">
        <f>IF(NFI_Expiration=1,IF($A476&lt;VLOOKUP(M$5,NFI,5,0),1,0)*Table_NFI[[#This Row],[Blanket]],Table_NFI[[#This Row],[Blanket]])</f>
        <v>0</v>
      </c>
      <c r="AC476" s="436">
        <f>IF(NFI_Expiration=1,IF($A476&lt;VLOOKUP(N$5,NFI,5,0),1,0)*Table_NFI[[#This Row],[Kitchen Set]],Table_NFI[Kitchen Set])</f>
        <v>0</v>
      </c>
      <c r="AD476" s="436">
        <f>IF(NFI_Expiration=1,IF($A476&lt;VLOOKUP(O$5,NFI,5,0),1,0)*Table_NFI[[#This Row],[Clothes Kit]],Table_NFI[Clothes Kit])</f>
        <v>0</v>
      </c>
      <c r="AE476" s="436">
        <f>IF(NFI_Expiration=1,IF($A476&lt;VLOOKUP(P$5,NFI,5,0),1,0)*Table_NFI[[#This Row],[Plastic Bucket]],Table_NFI[Plastic Bucket])</f>
        <v>0</v>
      </c>
      <c r="AF476" s="436">
        <f>IF(NFI_Expiration=1,IF($A476&lt;VLOOKUP(Q$5,NFI,5,0),1,0)*Table_NFI[[#This Row],[Plastic Mat]],Table_NFI[Plastic Mat])*IF(Table_NFI[[#This Row],[Distribution Date]]&gt;"2014-04-01",1,2.5)</f>
        <v>0</v>
      </c>
      <c r="AG476" s="436">
        <f>IF(NFI_Expiration=1,IF($A476&lt;VLOOKUP(R$5,NFI,5,0),1,0)*Table_NFI[[#This Row],[Winter Clothes Adult]],Table_NFI[Winter Clothes Adult])</f>
        <v>0</v>
      </c>
      <c r="AH476" s="436">
        <f>IF(NFI_Expiration=1,IF($A476&lt;VLOOKUP(S$5,NFI,5,0),1,0)*Table_NFI[[#This Row],[Winter Clothes Children]],Table_NFI[Winter Clothes Children])</f>
        <v>0</v>
      </c>
      <c r="AI476" s="436">
        <f>IF(NFI_Expiration=1,IF($A476&lt;VLOOKUP(T$5,NFI,5,0),1,0)*Table_NFI[[#This Row],[Winter Items Other]],Table_NFI[Winter Items Other])</f>
        <v>0</v>
      </c>
      <c r="AJ476" s="436">
        <f>IF(NFI_Expiration=1,IF($A476&lt;VLOOKUP(M$5,NFI,5,0),1,0)*Table_NFI[[#This Row],[Winter Blanket]],Table_NFI[[#This Row],[Winter Blanket]])</f>
        <v>0</v>
      </c>
      <c r="AK476" s="436">
        <f>IF(Table_NFI[[#This Row],[Winter Clothes Adult]]+Table_NFI[[#This Row],[Winter Clothes Children]]+Table_NFI[[#This Row],[Winter Items Other]]+Table_NFI[[#This Row],[Winter Blanket]]&gt;0,1,0)</f>
        <v>0</v>
      </c>
      <c r="AL476" s="439">
        <f>IF(NFI_Expiration=1,IF($A476&lt;VLOOKUP(V$5,NFI,5,0),1,0)*Table_NFI[[#This Row],[Jerry Can]],Table_NFI[Jerry Can])</f>
        <v>0</v>
      </c>
      <c r="AM476" s="781" t="str">
        <f>IFERROR(VLOOKUP(Table_NFI[[#This Row],[Camp Name]],CL,2,0),"")</f>
        <v>MMR001CMP070</v>
      </c>
      <c r="AN476" s="782">
        <f ca="1">IF(Table_NFI[[#This Row],[Pcode]]="","",IF(OFFSET(CampList[Opening Date],MATCH(Table_NFI[[#This Row],[Pcode]],CampList[CP_Pcode],0)-1,0,1,1)&gt;=NFI_Monitor_Date,1,0))</f>
        <v>0</v>
      </c>
      <c r="AO476" s="781" t="str">
        <f>IFERROR(VLOOKUP(Table_NFI[[#This Row],[Camp Name]],CL,3,0),"")</f>
        <v>Open</v>
      </c>
      <c r="AP476" s="436" t="str">
        <f ca="1">IF(Table_NFI[[#This Row],[Pcode]]="","",OFFSET(CampList[Priority],MATCH(Table_NFI[[#This Row],[Pcode]],CampList[CP_Pcode],0)-1,0,1,1))</f>
        <v>P3</v>
      </c>
      <c r="AQ476" s="438">
        <f>IFERROR(Table_NFI[[#This Row],[Kitchen Set]]/VLOOKUP(Table_NFI[[#This Row],[Camp Name]],CL,4,0),"")</f>
        <v>6.3829787234042548E-2</v>
      </c>
      <c r="AR476" s="779" t="s">
        <v>1099</v>
      </c>
      <c r="AS476" s="783"/>
    </row>
    <row r="477" spans="1:45" s="784" customFormat="1" x14ac:dyDescent="0.25">
      <c r="A477" s="455">
        <f t="shared" si="7"/>
        <v>24.266666666666666</v>
      </c>
      <c r="B477" s="778">
        <v>41581</v>
      </c>
      <c r="C477" s="779" t="s">
        <v>907</v>
      </c>
      <c r="D477" s="780" t="s">
        <v>907</v>
      </c>
      <c r="E477" s="779" t="s">
        <v>380</v>
      </c>
      <c r="F477" s="435" t="s">
        <v>151</v>
      </c>
      <c r="G477" s="435" t="s">
        <v>152</v>
      </c>
      <c r="H477" s="436"/>
      <c r="I477" s="436"/>
      <c r="J477" s="436">
        <v>29</v>
      </c>
      <c r="K477" s="436"/>
      <c r="L477" s="437"/>
      <c r="M477" s="437"/>
      <c r="N477" s="437">
        <v>29</v>
      </c>
      <c r="O477" s="437"/>
      <c r="P477" s="437"/>
      <c r="Q477" s="437"/>
      <c r="R477" s="436"/>
      <c r="S477" s="436"/>
      <c r="T477" s="436"/>
      <c r="U477" s="436"/>
      <c r="V477" s="436"/>
      <c r="W477" s="436">
        <f>IF(NFI_Expiration=1,IF($A477&lt;VLOOKUP(H$5,NFI,5,0),1,0)*Table_NFI[[#This Row],[Hygiene Kit]],Table_NFI[Hygiene Kit])</f>
        <v>0</v>
      </c>
      <c r="X477" s="436">
        <f>IF(NFI_Expiration=1,IF($A477&lt;VLOOKUP(I$5,NFI,5,0),1,0)*Table_NFI[[#This Row],[NFI Core Kit]],Table_NFI[NFI Core Kit])</f>
        <v>0</v>
      </c>
      <c r="Y477" s="436">
        <f>IF(NFI_Expiration=1,IF($A477&lt;VLOOKUP(J$5,NFI,5,0),1,0)*Table_NFI[[#This Row],[Sanitary Kit]],Table_NFI[Sanitary Kit])</f>
        <v>0</v>
      </c>
      <c r="Z477" s="436">
        <f>IF(NFI_Expiration=1,IF($A477&lt;VLOOKUP(K$5,NFI,5,0),1,0)*Table_NFI[[#This Row],[Mosquito net]],Table_NFI[Mosquito net])</f>
        <v>0</v>
      </c>
      <c r="AA477" s="436">
        <f>IF(NFI_Expiration=1,IF($A477&lt;VLOOKUP(L$5,NFI,5,0),1,0)*Table_NFI[[#This Row],[Tarpaulin]],Table_NFI[[#This Row],[Tarpaulin]])</f>
        <v>0</v>
      </c>
      <c r="AB477" s="436">
        <f>IF(NFI_Expiration=1,IF($A477&lt;VLOOKUP(M$5,NFI,5,0),1,0)*Table_NFI[[#This Row],[Blanket]],Table_NFI[[#This Row],[Blanket]])</f>
        <v>0</v>
      </c>
      <c r="AC477" s="436">
        <f>IF(NFI_Expiration=1,IF($A477&lt;VLOOKUP(N$5,NFI,5,0),1,0)*Table_NFI[[#This Row],[Kitchen Set]],Table_NFI[Kitchen Set])</f>
        <v>0</v>
      </c>
      <c r="AD477" s="436">
        <f>IF(NFI_Expiration=1,IF($A477&lt;VLOOKUP(O$5,NFI,5,0),1,0)*Table_NFI[[#This Row],[Clothes Kit]],Table_NFI[Clothes Kit])</f>
        <v>0</v>
      </c>
      <c r="AE477" s="436">
        <f>IF(NFI_Expiration=1,IF($A477&lt;VLOOKUP(P$5,NFI,5,0),1,0)*Table_NFI[[#This Row],[Plastic Bucket]],Table_NFI[Plastic Bucket])</f>
        <v>0</v>
      </c>
      <c r="AF477" s="436">
        <f>IF(NFI_Expiration=1,IF($A477&lt;VLOOKUP(Q$5,NFI,5,0),1,0)*Table_NFI[[#This Row],[Plastic Mat]],Table_NFI[Plastic Mat])*IF(Table_NFI[[#This Row],[Distribution Date]]&gt;"2014-04-01",1,2.5)</f>
        <v>0</v>
      </c>
      <c r="AG477" s="436">
        <f>IF(NFI_Expiration=1,IF($A477&lt;VLOOKUP(R$5,NFI,5,0),1,0)*Table_NFI[[#This Row],[Winter Clothes Adult]],Table_NFI[Winter Clothes Adult])</f>
        <v>0</v>
      </c>
      <c r="AH477" s="436">
        <f>IF(NFI_Expiration=1,IF($A477&lt;VLOOKUP(S$5,NFI,5,0),1,0)*Table_NFI[[#This Row],[Winter Clothes Children]],Table_NFI[Winter Clothes Children])</f>
        <v>0</v>
      </c>
      <c r="AI477" s="436">
        <f>IF(NFI_Expiration=1,IF($A477&lt;VLOOKUP(T$5,NFI,5,0),1,0)*Table_NFI[[#This Row],[Winter Items Other]],Table_NFI[Winter Items Other])</f>
        <v>0</v>
      </c>
      <c r="AJ477" s="436">
        <f>IF(NFI_Expiration=1,IF($A477&lt;VLOOKUP(M$5,NFI,5,0),1,0)*Table_NFI[[#This Row],[Winter Blanket]],Table_NFI[[#This Row],[Winter Blanket]])</f>
        <v>0</v>
      </c>
      <c r="AK477" s="436">
        <f>IF(Table_NFI[[#This Row],[Winter Clothes Adult]]+Table_NFI[[#This Row],[Winter Clothes Children]]+Table_NFI[[#This Row],[Winter Items Other]]+Table_NFI[[#This Row],[Winter Blanket]]&gt;0,1,0)</f>
        <v>0</v>
      </c>
      <c r="AL477" s="439">
        <f>IF(NFI_Expiration=1,IF($A477&lt;VLOOKUP(V$5,NFI,5,0),1,0)*Table_NFI[[#This Row],[Jerry Can]],Table_NFI[Jerry Can])</f>
        <v>0</v>
      </c>
      <c r="AM477" s="781" t="str">
        <f>IFERROR(VLOOKUP(Table_NFI[[#This Row],[Camp Name]],CL,2,0),"")</f>
        <v>MMR001CMP066</v>
      </c>
      <c r="AN477" s="782">
        <f ca="1">IF(Table_NFI[[#This Row],[Pcode]]="","",IF(OFFSET(CampList[Opening Date],MATCH(Table_NFI[[#This Row],[Pcode]],CampList[CP_Pcode],0)-1,0,1,1)&gt;=NFI_Monitor_Date,1,0))</f>
        <v>0</v>
      </c>
      <c r="AO477" s="781" t="str">
        <f>IFERROR(VLOOKUP(Table_NFI[[#This Row],[Camp Name]],CL,3,0),"")</f>
        <v>Open</v>
      </c>
      <c r="AP477" s="436" t="str">
        <f ca="1">IF(Table_NFI[[#This Row],[Pcode]]="","",OFFSET(CampList[Priority],MATCH(Table_NFI[[#This Row],[Pcode]],CampList[CP_Pcode],0)-1,0,1,1))</f>
        <v>P4</v>
      </c>
      <c r="AQ477" s="438">
        <f>IFERROR(Table_NFI[[#This Row],[Kitchen Set]]/VLOOKUP(Table_NFI[[#This Row],[Camp Name]],CL,4,0),"")</f>
        <v>0.13122171945701358</v>
      </c>
      <c r="AR477" s="779" t="s">
        <v>1099</v>
      </c>
      <c r="AS477" s="783"/>
    </row>
    <row r="478" spans="1:45" s="784" customFormat="1" x14ac:dyDescent="0.25">
      <c r="A478" s="455">
        <f t="shared" si="7"/>
        <v>24.266666666666666</v>
      </c>
      <c r="B478" s="778">
        <v>41581</v>
      </c>
      <c r="C478" s="779" t="s">
        <v>907</v>
      </c>
      <c r="D478" s="780" t="s">
        <v>907</v>
      </c>
      <c r="E478" s="779" t="s">
        <v>380</v>
      </c>
      <c r="F478" s="435" t="s">
        <v>5</v>
      </c>
      <c r="G478" s="435" t="s">
        <v>366</v>
      </c>
      <c r="H478" s="436"/>
      <c r="I478" s="436"/>
      <c r="J478" s="436">
        <v>49</v>
      </c>
      <c r="K478" s="436"/>
      <c r="L478" s="437"/>
      <c r="M478" s="437"/>
      <c r="N478" s="437">
        <v>49</v>
      </c>
      <c r="O478" s="437"/>
      <c r="P478" s="437"/>
      <c r="Q478" s="437"/>
      <c r="R478" s="436"/>
      <c r="S478" s="436"/>
      <c r="T478" s="436"/>
      <c r="U478" s="436"/>
      <c r="V478" s="436"/>
      <c r="W478" s="436">
        <f>IF(NFI_Expiration=1,IF($A478&lt;VLOOKUP(H$5,NFI,5,0),1,0)*Table_NFI[[#This Row],[Hygiene Kit]],Table_NFI[Hygiene Kit])</f>
        <v>0</v>
      </c>
      <c r="X478" s="436">
        <f>IF(NFI_Expiration=1,IF($A478&lt;VLOOKUP(I$5,NFI,5,0),1,0)*Table_NFI[[#This Row],[NFI Core Kit]],Table_NFI[NFI Core Kit])</f>
        <v>0</v>
      </c>
      <c r="Y478" s="436">
        <f>IF(NFI_Expiration=1,IF($A478&lt;VLOOKUP(J$5,NFI,5,0),1,0)*Table_NFI[[#This Row],[Sanitary Kit]],Table_NFI[Sanitary Kit])</f>
        <v>0</v>
      </c>
      <c r="Z478" s="436">
        <f>IF(NFI_Expiration=1,IF($A478&lt;VLOOKUP(K$5,NFI,5,0),1,0)*Table_NFI[[#This Row],[Mosquito net]],Table_NFI[Mosquito net])</f>
        <v>0</v>
      </c>
      <c r="AA478" s="436">
        <f>IF(NFI_Expiration=1,IF($A478&lt;VLOOKUP(L$5,NFI,5,0),1,0)*Table_NFI[[#This Row],[Tarpaulin]],Table_NFI[[#This Row],[Tarpaulin]])</f>
        <v>0</v>
      </c>
      <c r="AB478" s="436">
        <f>IF(NFI_Expiration=1,IF($A478&lt;VLOOKUP(M$5,NFI,5,0),1,0)*Table_NFI[[#This Row],[Blanket]],Table_NFI[[#This Row],[Blanket]])</f>
        <v>0</v>
      </c>
      <c r="AC478" s="436">
        <f>IF(NFI_Expiration=1,IF($A478&lt;VLOOKUP(N$5,NFI,5,0),1,0)*Table_NFI[[#This Row],[Kitchen Set]],Table_NFI[Kitchen Set])</f>
        <v>0</v>
      </c>
      <c r="AD478" s="436">
        <f>IF(NFI_Expiration=1,IF($A478&lt;VLOOKUP(O$5,NFI,5,0),1,0)*Table_NFI[[#This Row],[Clothes Kit]],Table_NFI[Clothes Kit])</f>
        <v>0</v>
      </c>
      <c r="AE478" s="436">
        <f>IF(NFI_Expiration=1,IF($A478&lt;VLOOKUP(P$5,NFI,5,0),1,0)*Table_NFI[[#This Row],[Plastic Bucket]],Table_NFI[Plastic Bucket])</f>
        <v>0</v>
      </c>
      <c r="AF478" s="436">
        <f>IF(NFI_Expiration=1,IF($A478&lt;VLOOKUP(Q$5,NFI,5,0),1,0)*Table_NFI[[#This Row],[Plastic Mat]],Table_NFI[Plastic Mat])*IF(Table_NFI[[#This Row],[Distribution Date]]&gt;"2014-04-01",1,2.5)</f>
        <v>0</v>
      </c>
      <c r="AG478" s="436">
        <f>IF(NFI_Expiration=1,IF($A478&lt;VLOOKUP(R$5,NFI,5,0),1,0)*Table_NFI[[#This Row],[Winter Clothes Adult]],Table_NFI[Winter Clothes Adult])</f>
        <v>0</v>
      </c>
      <c r="AH478" s="436">
        <f>IF(NFI_Expiration=1,IF($A478&lt;VLOOKUP(S$5,NFI,5,0),1,0)*Table_NFI[[#This Row],[Winter Clothes Children]],Table_NFI[Winter Clothes Children])</f>
        <v>0</v>
      </c>
      <c r="AI478" s="436">
        <f>IF(NFI_Expiration=1,IF($A478&lt;VLOOKUP(T$5,NFI,5,0),1,0)*Table_NFI[[#This Row],[Winter Items Other]],Table_NFI[Winter Items Other])</f>
        <v>0</v>
      </c>
      <c r="AJ478" s="436">
        <f>IF(NFI_Expiration=1,IF($A478&lt;VLOOKUP(M$5,NFI,5,0),1,0)*Table_NFI[[#This Row],[Winter Blanket]],Table_NFI[[#This Row],[Winter Blanket]])</f>
        <v>0</v>
      </c>
      <c r="AK478" s="436">
        <f>IF(Table_NFI[[#This Row],[Winter Clothes Adult]]+Table_NFI[[#This Row],[Winter Clothes Children]]+Table_NFI[[#This Row],[Winter Items Other]]+Table_NFI[[#This Row],[Winter Blanket]]&gt;0,1,0)</f>
        <v>0</v>
      </c>
      <c r="AL478" s="439">
        <f>IF(NFI_Expiration=1,IF($A478&lt;VLOOKUP(V$5,NFI,5,0),1,0)*Table_NFI[[#This Row],[Jerry Can]],Table_NFI[Jerry Can])</f>
        <v>0</v>
      </c>
      <c r="AM478" s="781" t="str">
        <f>IFERROR(VLOOKUP(Table_NFI[[#This Row],[Camp Name]],CL,2,0),"")</f>
        <v>MMR001CMP193</v>
      </c>
      <c r="AN478" s="782">
        <f ca="1">IF(Table_NFI[[#This Row],[Pcode]]="","",IF(OFFSET(CampList[Opening Date],MATCH(Table_NFI[[#This Row],[Pcode]],CampList[CP_Pcode],0)-1,0,1,1)&gt;=NFI_Monitor_Date,1,0))</f>
        <v>0</v>
      </c>
      <c r="AO478" s="781" t="str">
        <f>IFERROR(VLOOKUP(Table_NFI[[#This Row],[Camp Name]],CL,3,0),"")</f>
        <v>Open</v>
      </c>
      <c r="AP478" s="436" t="str">
        <f ca="1">IF(Table_NFI[[#This Row],[Pcode]]="","",OFFSET(CampList[Priority],MATCH(Table_NFI[[#This Row],[Pcode]],CampList[CP_Pcode],0)-1,0,1,1))</f>
        <v>P4</v>
      </c>
      <c r="AQ478" s="438">
        <f>IFERROR(Table_NFI[[#This Row],[Kitchen Set]]/VLOOKUP(Table_NFI[[#This Row],[Camp Name]],CL,4,0),"")</f>
        <v>0.31210191082802546</v>
      </c>
      <c r="AR478" s="779" t="s">
        <v>1099</v>
      </c>
      <c r="AS478" s="783"/>
    </row>
    <row r="479" spans="1:45" s="784" customFormat="1" x14ac:dyDescent="0.25">
      <c r="A479" s="455">
        <f t="shared" si="7"/>
        <v>24.333333333333332</v>
      </c>
      <c r="B479" s="778">
        <v>41579</v>
      </c>
      <c r="C479" s="779" t="s">
        <v>454</v>
      </c>
      <c r="D479" s="779" t="s">
        <v>454</v>
      </c>
      <c r="E479" s="779" t="s">
        <v>380</v>
      </c>
      <c r="F479" s="435" t="s">
        <v>5</v>
      </c>
      <c r="G479" s="435" t="s">
        <v>514</v>
      </c>
      <c r="H479" s="436"/>
      <c r="I479" s="436"/>
      <c r="J479" s="436">
        <v>8</v>
      </c>
      <c r="K479" s="436">
        <v>6</v>
      </c>
      <c r="L479" s="437">
        <v>4</v>
      </c>
      <c r="M479" s="437">
        <v>6</v>
      </c>
      <c r="N479" s="437">
        <v>4</v>
      </c>
      <c r="O479" s="437">
        <v>4</v>
      </c>
      <c r="P479" s="439"/>
      <c r="Q479" s="439"/>
      <c r="R479" s="436"/>
      <c r="S479" s="436"/>
      <c r="T479" s="436"/>
      <c r="U479" s="436"/>
      <c r="V479" s="436"/>
      <c r="W479" s="436">
        <f>IF(NFI_Expiration=1,IF($A479&lt;VLOOKUP(H$5,NFI,5,0),1,0)*Table_NFI[[#This Row],[Hygiene Kit]],Table_NFI[Hygiene Kit])</f>
        <v>0</v>
      </c>
      <c r="X479" s="436">
        <f>IF(NFI_Expiration=1,IF($A479&lt;VLOOKUP(I$5,NFI,5,0),1,0)*Table_NFI[[#This Row],[NFI Core Kit]],Table_NFI[NFI Core Kit])</f>
        <v>0</v>
      </c>
      <c r="Y479" s="436">
        <f>IF(NFI_Expiration=1,IF($A479&lt;VLOOKUP(J$5,NFI,5,0),1,0)*Table_NFI[[#This Row],[Sanitary Kit]],Table_NFI[Sanitary Kit])</f>
        <v>0</v>
      </c>
      <c r="Z479" s="436">
        <f>IF(NFI_Expiration=1,IF($A479&lt;VLOOKUP(K$5,NFI,5,0),1,0)*Table_NFI[[#This Row],[Mosquito net]],Table_NFI[Mosquito net])</f>
        <v>0</v>
      </c>
      <c r="AA479" s="436">
        <f>IF(NFI_Expiration=1,IF($A479&lt;VLOOKUP(L$5,NFI,5,0),1,0)*Table_NFI[[#This Row],[Tarpaulin]],Table_NFI[[#This Row],[Tarpaulin]])</f>
        <v>0</v>
      </c>
      <c r="AB479" s="436">
        <f>IF(NFI_Expiration=1,IF($A479&lt;VLOOKUP(M$5,NFI,5,0),1,0)*Table_NFI[[#This Row],[Blanket]],Table_NFI[[#This Row],[Blanket]])</f>
        <v>0</v>
      </c>
      <c r="AC479" s="436">
        <f>IF(NFI_Expiration=1,IF($A479&lt;VLOOKUP(N$5,NFI,5,0),1,0)*Table_NFI[[#This Row],[Kitchen Set]],Table_NFI[Kitchen Set])</f>
        <v>0</v>
      </c>
      <c r="AD479" s="436">
        <f>IF(NFI_Expiration=1,IF($A479&lt;VLOOKUP(O$5,NFI,5,0),1,0)*Table_NFI[[#This Row],[Clothes Kit]],Table_NFI[Clothes Kit])</f>
        <v>0</v>
      </c>
      <c r="AE479" s="436">
        <f>IF(NFI_Expiration=1,IF($A479&lt;VLOOKUP(P$5,NFI,5,0),1,0)*Table_NFI[[#This Row],[Plastic Bucket]],Table_NFI[Plastic Bucket])</f>
        <v>0</v>
      </c>
      <c r="AF479" s="436">
        <f>IF(NFI_Expiration=1,IF($A479&lt;VLOOKUP(Q$5,NFI,5,0),1,0)*Table_NFI[[#This Row],[Plastic Mat]],Table_NFI[Plastic Mat])*IF(Table_NFI[[#This Row],[Distribution Date]]&gt;"2014-04-01",1,2.5)</f>
        <v>0</v>
      </c>
      <c r="AG479" s="436">
        <f>IF(NFI_Expiration=1,IF($A479&lt;VLOOKUP(R$5,NFI,5,0),1,0)*Table_NFI[[#This Row],[Winter Clothes Adult]],Table_NFI[Winter Clothes Adult])</f>
        <v>0</v>
      </c>
      <c r="AH479" s="436">
        <f>IF(NFI_Expiration=1,IF($A479&lt;VLOOKUP(S$5,NFI,5,0),1,0)*Table_NFI[[#This Row],[Winter Clothes Children]],Table_NFI[Winter Clothes Children])</f>
        <v>0</v>
      </c>
      <c r="AI479" s="436">
        <f>IF(NFI_Expiration=1,IF($A479&lt;VLOOKUP(T$5,NFI,5,0),1,0)*Table_NFI[[#This Row],[Winter Items Other]],Table_NFI[Winter Items Other])</f>
        <v>0</v>
      </c>
      <c r="AJ479" s="436">
        <f>IF(NFI_Expiration=1,IF($A479&lt;VLOOKUP(M$5,NFI,5,0),1,0)*Table_NFI[[#This Row],[Winter Blanket]],Table_NFI[[#This Row],[Winter Blanket]])</f>
        <v>0</v>
      </c>
      <c r="AK479" s="436">
        <f>IF(Table_NFI[[#This Row],[Winter Clothes Adult]]+Table_NFI[[#This Row],[Winter Clothes Children]]+Table_NFI[[#This Row],[Winter Items Other]]+Table_NFI[[#This Row],[Winter Blanket]]&gt;0,1,0)</f>
        <v>0</v>
      </c>
      <c r="AL479" s="439">
        <f>IF(NFI_Expiration=1,IF($A479&lt;VLOOKUP(V$5,NFI,5,0),1,0)*Table_NFI[[#This Row],[Jerry Can]],Table_NFI[Jerry Can])</f>
        <v>0</v>
      </c>
      <c r="AM479" s="781" t="str">
        <f>IFERROR(VLOOKUP(Table_NFI[[#This Row],[Camp Name]],CL,2,0),"")</f>
        <v>MMR001CMP194</v>
      </c>
      <c r="AN479" s="782">
        <f ca="1">IF(Table_NFI[[#This Row],[Pcode]]="","",IF(OFFSET(CampList[Opening Date],MATCH(Table_NFI[[#This Row],[Pcode]],CampList[CP_Pcode],0)-1,0,1,1)&gt;=NFI_Monitor_Date,1,0))</f>
        <v>0</v>
      </c>
      <c r="AO479" s="781" t="s">
        <v>849</v>
      </c>
      <c r="AP479" s="436" t="str">
        <f ca="1">IF(Table_NFI[[#This Row],[Pcode]]="","",OFFSET(CampList[Priority],MATCH(Table_NFI[[#This Row],[Pcode]],CampList[CP_Pcode],0)-1,0,1,1))</f>
        <v>P4</v>
      </c>
      <c r="AQ479" s="438">
        <f>IFERROR(Table_NFI[[#This Row],[Kitchen Set]]/VLOOKUP(Table_NFI[[#This Row],[Camp Name]],CL,4,0),"")</f>
        <v>0.33333333333333331</v>
      </c>
      <c r="AR479" s="779" t="s">
        <v>1099</v>
      </c>
      <c r="AS479" s="783"/>
    </row>
    <row r="480" spans="1:45" s="784" customFormat="1" x14ac:dyDescent="0.25">
      <c r="A480" s="455">
        <f t="shared" si="7"/>
        <v>24.333333333333332</v>
      </c>
      <c r="B480" s="778">
        <v>41579</v>
      </c>
      <c r="C480" s="779" t="s">
        <v>454</v>
      </c>
      <c r="D480" s="779" t="s">
        <v>454</v>
      </c>
      <c r="E480" s="779" t="s">
        <v>380</v>
      </c>
      <c r="F480" s="435" t="s">
        <v>5</v>
      </c>
      <c r="G480" s="435" t="s">
        <v>14</v>
      </c>
      <c r="H480" s="436"/>
      <c r="I480" s="436"/>
      <c r="J480" s="436">
        <v>12</v>
      </c>
      <c r="K480" s="436">
        <v>9</v>
      </c>
      <c r="L480" s="437">
        <v>6</v>
      </c>
      <c r="M480" s="437">
        <v>9</v>
      </c>
      <c r="N480" s="437">
        <v>6</v>
      </c>
      <c r="O480" s="437">
        <v>6</v>
      </c>
      <c r="P480" s="439">
        <v>6</v>
      </c>
      <c r="Q480" s="439"/>
      <c r="R480" s="436"/>
      <c r="S480" s="436"/>
      <c r="T480" s="436"/>
      <c r="U480" s="436"/>
      <c r="V480" s="436"/>
      <c r="W480" s="436">
        <f>IF(NFI_Expiration=1,IF($A480&lt;VLOOKUP(H$5,NFI,5,0),1,0)*Table_NFI[[#This Row],[Hygiene Kit]],Table_NFI[Hygiene Kit])</f>
        <v>0</v>
      </c>
      <c r="X480" s="436">
        <f>IF(NFI_Expiration=1,IF($A480&lt;VLOOKUP(I$5,NFI,5,0),1,0)*Table_NFI[[#This Row],[NFI Core Kit]],Table_NFI[NFI Core Kit])</f>
        <v>0</v>
      </c>
      <c r="Y480" s="436">
        <f>IF(NFI_Expiration=1,IF($A480&lt;VLOOKUP(J$5,NFI,5,0),1,0)*Table_NFI[[#This Row],[Sanitary Kit]],Table_NFI[Sanitary Kit])</f>
        <v>0</v>
      </c>
      <c r="Z480" s="436">
        <f>IF(NFI_Expiration=1,IF($A480&lt;VLOOKUP(K$5,NFI,5,0),1,0)*Table_NFI[[#This Row],[Mosquito net]],Table_NFI[Mosquito net])</f>
        <v>0</v>
      </c>
      <c r="AA480" s="436">
        <f>IF(NFI_Expiration=1,IF($A480&lt;VLOOKUP(L$5,NFI,5,0),1,0)*Table_NFI[[#This Row],[Tarpaulin]],Table_NFI[[#This Row],[Tarpaulin]])</f>
        <v>0</v>
      </c>
      <c r="AB480" s="436">
        <f>IF(NFI_Expiration=1,IF($A480&lt;VLOOKUP(M$5,NFI,5,0),1,0)*Table_NFI[[#This Row],[Blanket]],Table_NFI[[#This Row],[Blanket]])</f>
        <v>0</v>
      </c>
      <c r="AC480" s="436">
        <f>IF(NFI_Expiration=1,IF($A480&lt;VLOOKUP(N$5,NFI,5,0),1,0)*Table_NFI[[#This Row],[Kitchen Set]],Table_NFI[Kitchen Set])</f>
        <v>0</v>
      </c>
      <c r="AD480" s="436">
        <f>IF(NFI_Expiration=1,IF($A480&lt;VLOOKUP(O$5,NFI,5,0),1,0)*Table_NFI[[#This Row],[Clothes Kit]],Table_NFI[Clothes Kit])</f>
        <v>0</v>
      </c>
      <c r="AE480" s="436">
        <f>IF(NFI_Expiration=1,IF($A480&lt;VLOOKUP(P$5,NFI,5,0),1,0)*Table_NFI[[#This Row],[Plastic Bucket]],Table_NFI[Plastic Bucket])</f>
        <v>0</v>
      </c>
      <c r="AF480" s="436">
        <f>IF(NFI_Expiration=1,IF($A480&lt;VLOOKUP(Q$5,NFI,5,0),1,0)*Table_NFI[[#This Row],[Plastic Mat]],Table_NFI[Plastic Mat])*IF(Table_NFI[[#This Row],[Distribution Date]]&gt;"2014-04-01",1,2.5)</f>
        <v>0</v>
      </c>
      <c r="AG480" s="436">
        <f>IF(NFI_Expiration=1,IF($A480&lt;VLOOKUP(R$5,NFI,5,0),1,0)*Table_NFI[[#This Row],[Winter Clothes Adult]],Table_NFI[Winter Clothes Adult])</f>
        <v>0</v>
      </c>
      <c r="AH480" s="436">
        <f>IF(NFI_Expiration=1,IF($A480&lt;VLOOKUP(S$5,NFI,5,0),1,0)*Table_NFI[[#This Row],[Winter Clothes Children]],Table_NFI[Winter Clothes Children])</f>
        <v>0</v>
      </c>
      <c r="AI480" s="436">
        <f>IF(NFI_Expiration=1,IF($A480&lt;VLOOKUP(T$5,NFI,5,0),1,0)*Table_NFI[[#This Row],[Winter Items Other]],Table_NFI[Winter Items Other])</f>
        <v>0</v>
      </c>
      <c r="AJ480" s="436">
        <f>IF(NFI_Expiration=1,IF($A480&lt;VLOOKUP(M$5,NFI,5,0),1,0)*Table_NFI[[#This Row],[Winter Blanket]],Table_NFI[[#This Row],[Winter Blanket]])</f>
        <v>0</v>
      </c>
      <c r="AK480" s="436">
        <f>IF(Table_NFI[[#This Row],[Winter Clothes Adult]]+Table_NFI[[#This Row],[Winter Clothes Children]]+Table_NFI[[#This Row],[Winter Items Other]]+Table_NFI[[#This Row],[Winter Blanket]]&gt;0,1,0)</f>
        <v>0</v>
      </c>
      <c r="AL480" s="439">
        <f>IF(NFI_Expiration=1,IF($A480&lt;VLOOKUP(V$5,NFI,5,0),1,0)*Table_NFI[[#This Row],[Jerry Can]],Table_NFI[Jerry Can])</f>
        <v>0</v>
      </c>
      <c r="AM480" s="781" t="str">
        <f>IFERROR(VLOOKUP(Table_NFI[[#This Row],[Camp Name]],CL,2,0),"")</f>
        <v>MMR001CMP052</v>
      </c>
      <c r="AN480" s="782">
        <f ca="1">IF(Table_NFI[[#This Row],[Pcode]]="","",IF(OFFSET(CampList[Opening Date],MATCH(Table_NFI[[#This Row],[Pcode]],CampList[CP_Pcode],0)-1,0,1,1)&gt;=NFI_Monitor_Date,1,0))</f>
        <v>0</v>
      </c>
      <c r="AO480" s="781" t="str">
        <f>IFERROR(VLOOKUP(Table_NFI[[#This Row],[Camp Name]],CL,3,0),"")</f>
        <v>Open</v>
      </c>
      <c r="AP480" s="436" t="str">
        <f ca="1">IF(Table_NFI[[#This Row],[Pcode]]="","",OFFSET(CampList[Priority],MATCH(Table_NFI[[#This Row],[Pcode]],CampList[CP_Pcode],0)-1,0,1,1))</f>
        <v>P4</v>
      </c>
      <c r="AQ480" s="438">
        <f>IFERROR(Table_NFI[[#This Row],[Kitchen Set]]/VLOOKUP(Table_NFI[[#This Row],[Camp Name]],CL,4,0),"")</f>
        <v>0.13953488372093023</v>
      </c>
      <c r="AR480" s="779" t="s">
        <v>1099</v>
      </c>
      <c r="AS480" s="783"/>
    </row>
    <row r="481" spans="1:45" s="784" customFormat="1" x14ac:dyDescent="0.25">
      <c r="A481" s="455">
        <f t="shared" si="7"/>
        <v>24.333333333333332</v>
      </c>
      <c r="B481" s="778">
        <v>41579</v>
      </c>
      <c r="C481" s="779" t="s">
        <v>454</v>
      </c>
      <c r="D481" s="779" t="s">
        <v>454</v>
      </c>
      <c r="E481" s="779" t="s">
        <v>380</v>
      </c>
      <c r="F481" s="435" t="s">
        <v>5</v>
      </c>
      <c r="G481" s="435" t="s">
        <v>22</v>
      </c>
      <c r="H481" s="436"/>
      <c r="I481" s="436"/>
      <c r="J481" s="436">
        <v>40</v>
      </c>
      <c r="K481" s="436">
        <v>48</v>
      </c>
      <c r="L481" s="437">
        <v>20</v>
      </c>
      <c r="M481" s="437">
        <v>48</v>
      </c>
      <c r="N481" s="437">
        <v>20</v>
      </c>
      <c r="O481" s="437">
        <v>20</v>
      </c>
      <c r="P481" s="439">
        <v>500</v>
      </c>
      <c r="Q481" s="439">
        <v>500</v>
      </c>
      <c r="R481" s="436"/>
      <c r="S481" s="436"/>
      <c r="T481" s="436"/>
      <c r="U481" s="436"/>
      <c r="V481" s="436"/>
      <c r="W481" s="436">
        <f>IF(NFI_Expiration=1,IF($A481&lt;VLOOKUP(H$5,NFI,5,0),1,0)*Table_NFI[[#This Row],[Hygiene Kit]],Table_NFI[Hygiene Kit])</f>
        <v>0</v>
      </c>
      <c r="X481" s="436">
        <f>IF(NFI_Expiration=1,IF($A481&lt;VLOOKUP(I$5,NFI,5,0),1,0)*Table_NFI[[#This Row],[NFI Core Kit]],Table_NFI[NFI Core Kit])</f>
        <v>0</v>
      </c>
      <c r="Y481" s="436">
        <f>IF(NFI_Expiration=1,IF($A481&lt;VLOOKUP(J$5,NFI,5,0),1,0)*Table_NFI[[#This Row],[Sanitary Kit]],Table_NFI[Sanitary Kit])</f>
        <v>0</v>
      </c>
      <c r="Z481" s="436">
        <f>IF(NFI_Expiration=1,IF($A481&lt;VLOOKUP(K$5,NFI,5,0),1,0)*Table_NFI[[#This Row],[Mosquito net]],Table_NFI[Mosquito net])</f>
        <v>0</v>
      </c>
      <c r="AA481" s="436">
        <f>IF(NFI_Expiration=1,IF($A481&lt;VLOOKUP(L$5,NFI,5,0),1,0)*Table_NFI[[#This Row],[Tarpaulin]],Table_NFI[[#This Row],[Tarpaulin]])</f>
        <v>0</v>
      </c>
      <c r="AB481" s="436">
        <f>IF(NFI_Expiration=1,IF($A481&lt;VLOOKUP(M$5,NFI,5,0),1,0)*Table_NFI[[#This Row],[Blanket]],Table_NFI[[#This Row],[Blanket]])</f>
        <v>0</v>
      </c>
      <c r="AC481" s="436">
        <f>IF(NFI_Expiration=1,IF($A481&lt;VLOOKUP(N$5,NFI,5,0),1,0)*Table_NFI[[#This Row],[Kitchen Set]],Table_NFI[Kitchen Set])</f>
        <v>0</v>
      </c>
      <c r="AD481" s="436">
        <f>IF(NFI_Expiration=1,IF($A481&lt;VLOOKUP(O$5,NFI,5,0),1,0)*Table_NFI[[#This Row],[Clothes Kit]],Table_NFI[Clothes Kit])</f>
        <v>0</v>
      </c>
      <c r="AE481" s="436">
        <f>IF(NFI_Expiration=1,IF($A481&lt;VLOOKUP(P$5,NFI,5,0),1,0)*Table_NFI[[#This Row],[Plastic Bucket]],Table_NFI[Plastic Bucket])</f>
        <v>0</v>
      </c>
      <c r="AF481" s="436">
        <f>IF(NFI_Expiration=1,IF($A481&lt;VLOOKUP(Q$5,NFI,5,0),1,0)*Table_NFI[[#This Row],[Plastic Mat]],Table_NFI[Plastic Mat])*IF(Table_NFI[[#This Row],[Distribution Date]]&gt;"2014-04-01",1,2.5)</f>
        <v>0</v>
      </c>
      <c r="AG481" s="436">
        <f>IF(NFI_Expiration=1,IF($A481&lt;VLOOKUP(R$5,NFI,5,0),1,0)*Table_NFI[[#This Row],[Winter Clothes Adult]],Table_NFI[Winter Clothes Adult])</f>
        <v>0</v>
      </c>
      <c r="AH481" s="436">
        <f>IF(NFI_Expiration=1,IF($A481&lt;VLOOKUP(S$5,NFI,5,0),1,0)*Table_NFI[[#This Row],[Winter Clothes Children]],Table_NFI[Winter Clothes Children])</f>
        <v>0</v>
      </c>
      <c r="AI481" s="436">
        <f>IF(NFI_Expiration=1,IF($A481&lt;VLOOKUP(T$5,NFI,5,0),1,0)*Table_NFI[[#This Row],[Winter Items Other]],Table_NFI[Winter Items Other])</f>
        <v>0</v>
      </c>
      <c r="AJ481" s="436">
        <f>IF(NFI_Expiration=1,IF($A481&lt;VLOOKUP(M$5,NFI,5,0),1,0)*Table_NFI[[#This Row],[Winter Blanket]],Table_NFI[[#This Row],[Winter Blanket]])</f>
        <v>0</v>
      </c>
      <c r="AK481" s="436">
        <f>IF(Table_NFI[[#This Row],[Winter Clothes Adult]]+Table_NFI[[#This Row],[Winter Clothes Children]]+Table_NFI[[#This Row],[Winter Items Other]]+Table_NFI[[#This Row],[Winter Blanket]]&gt;0,1,0)</f>
        <v>0</v>
      </c>
      <c r="AL481" s="439">
        <f>IF(NFI_Expiration=1,IF($A481&lt;VLOOKUP(V$5,NFI,5,0),1,0)*Table_NFI[[#This Row],[Jerry Can]],Table_NFI[Jerry Can])</f>
        <v>0</v>
      </c>
      <c r="AM481" s="781" t="str">
        <f>IFERROR(VLOOKUP(Table_NFI[[#This Row],[Camp Name]],CL,2,0),"")</f>
        <v>MMR001CMP047</v>
      </c>
      <c r="AN481" s="782">
        <f ca="1">IF(Table_NFI[[#This Row],[Pcode]]="","",IF(OFFSET(CampList[Opening Date],MATCH(Table_NFI[[#This Row],[Pcode]],CampList[CP_Pcode],0)-1,0,1,1)&gt;=NFI_Monitor_Date,1,0))</f>
        <v>0</v>
      </c>
      <c r="AO481" s="781" t="str">
        <f>IFERROR(VLOOKUP(Table_NFI[[#This Row],[Camp Name]],CL,3,0),"")</f>
        <v>Open</v>
      </c>
      <c r="AP481" s="436" t="str">
        <f ca="1">IF(Table_NFI[[#This Row],[Pcode]]="","",OFFSET(CampList[Priority],MATCH(Table_NFI[[#This Row],[Pcode]],CampList[CP_Pcode],0)-1,0,1,1))</f>
        <v>P4</v>
      </c>
      <c r="AQ481" s="438">
        <f>IFERROR(Table_NFI[[#This Row],[Kitchen Set]]/VLOOKUP(Table_NFI[[#This Row],[Camp Name]],CL,4,0),"")</f>
        <v>3.0674846625766871E-2</v>
      </c>
      <c r="AR481" s="779" t="s">
        <v>1099</v>
      </c>
      <c r="AS481" s="783"/>
    </row>
    <row r="482" spans="1:45" s="784" customFormat="1" x14ac:dyDescent="0.25">
      <c r="A482" s="455">
        <f t="shared" si="7"/>
        <v>24.4</v>
      </c>
      <c r="B482" s="778">
        <v>41577</v>
      </c>
      <c r="C482" s="779" t="s">
        <v>454</v>
      </c>
      <c r="D482" s="779" t="s">
        <v>454</v>
      </c>
      <c r="E482" s="779" t="s">
        <v>380</v>
      </c>
      <c r="F482" s="435" t="s">
        <v>5</v>
      </c>
      <c r="G482" s="435" t="s">
        <v>6</v>
      </c>
      <c r="H482" s="436"/>
      <c r="I482" s="436"/>
      <c r="J482" s="436">
        <v>22</v>
      </c>
      <c r="K482" s="436">
        <v>40</v>
      </c>
      <c r="L482" s="437">
        <v>21</v>
      </c>
      <c r="M482" s="437">
        <v>40</v>
      </c>
      <c r="N482" s="437">
        <v>21</v>
      </c>
      <c r="O482" s="437">
        <v>21</v>
      </c>
      <c r="P482" s="439">
        <v>21</v>
      </c>
      <c r="Q482" s="439">
        <v>21</v>
      </c>
      <c r="R482" s="436"/>
      <c r="S482" s="436"/>
      <c r="T482" s="436"/>
      <c r="U482" s="436"/>
      <c r="V482" s="436"/>
      <c r="W482" s="436">
        <f>IF(NFI_Expiration=1,IF($A482&lt;VLOOKUP(H$5,NFI,5,0),1,0)*Table_NFI[[#This Row],[Hygiene Kit]],Table_NFI[Hygiene Kit])</f>
        <v>0</v>
      </c>
      <c r="X482" s="436">
        <f>IF(NFI_Expiration=1,IF($A482&lt;VLOOKUP(I$5,NFI,5,0),1,0)*Table_NFI[[#This Row],[NFI Core Kit]],Table_NFI[NFI Core Kit])</f>
        <v>0</v>
      </c>
      <c r="Y482" s="436">
        <f>IF(NFI_Expiration=1,IF($A482&lt;VLOOKUP(J$5,NFI,5,0),1,0)*Table_NFI[[#This Row],[Sanitary Kit]],Table_NFI[Sanitary Kit])</f>
        <v>0</v>
      </c>
      <c r="Z482" s="436">
        <f>IF(NFI_Expiration=1,IF($A482&lt;VLOOKUP(K$5,NFI,5,0),1,0)*Table_NFI[[#This Row],[Mosquito net]],Table_NFI[Mosquito net])</f>
        <v>0</v>
      </c>
      <c r="AA482" s="436">
        <f>IF(NFI_Expiration=1,IF($A482&lt;VLOOKUP(L$5,NFI,5,0),1,0)*Table_NFI[[#This Row],[Tarpaulin]],Table_NFI[[#This Row],[Tarpaulin]])</f>
        <v>0</v>
      </c>
      <c r="AB482" s="436">
        <f>IF(NFI_Expiration=1,IF($A482&lt;VLOOKUP(M$5,NFI,5,0),1,0)*Table_NFI[[#This Row],[Blanket]],Table_NFI[[#This Row],[Blanket]])</f>
        <v>0</v>
      </c>
      <c r="AC482" s="436">
        <f>IF(NFI_Expiration=1,IF($A482&lt;VLOOKUP(N$5,NFI,5,0),1,0)*Table_NFI[[#This Row],[Kitchen Set]],Table_NFI[Kitchen Set])</f>
        <v>0</v>
      </c>
      <c r="AD482" s="436">
        <f>IF(NFI_Expiration=1,IF($A482&lt;VLOOKUP(O$5,NFI,5,0),1,0)*Table_NFI[[#This Row],[Clothes Kit]],Table_NFI[Clothes Kit])</f>
        <v>0</v>
      </c>
      <c r="AE482" s="436">
        <f>IF(NFI_Expiration=1,IF($A482&lt;VLOOKUP(P$5,NFI,5,0),1,0)*Table_NFI[[#This Row],[Plastic Bucket]],Table_NFI[Plastic Bucket])</f>
        <v>0</v>
      </c>
      <c r="AF482" s="436">
        <f>IF(NFI_Expiration=1,IF($A482&lt;VLOOKUP(Q$5,NFI,5,0),1,0)*Table_NFI[[#This Row],[Plastic Mat]],Table_NFI[Plastic Mat])*IF(Table_NFI[[#This Row],[Distribution Date]]&gt;"2014-04-01",1,2.5)</f>
        <v>0</v>
      </c>
      <c r="AG482" s="436">
        <f>IF(NFI_Expiration=1,IF($A482&lt;VLOOKUP(R$5,NFI,5,0),1,0)*Table_NFI[[#This Row],[Winter Clothes Adult]],Table_NFI[Winter Clothes Adult])</f>
        <v>0</v>
      </c>
      <c r="AH482" s="436">
        <f>IF(NFI_Expiration=1,IF($A482&lt;VLOOKUP(S$5,NFI,5,0),1,0)*Table_NFI[[#This Row],[Winter Clothes Children]],Table_NFI[Winter Clothes Children])</f>
        <v>0</v>
      </c>
      <c r="AI482" s="436">
        <f>IF(NFI_Expiration=1,IF($A482&lt;VLOOKUP(T$5,NFI,5,0),1,0)*Table_NFI[[#This Row],[Winter Items Other]],Table_NFI[Winter Items Other])</f>
        <v>0</v>
      </c>
      <c r="AJ482" s="436">
        <f>IF(NFI_Expiration=1,IF($A482&lt;VLOOKUP(M$5,NFI,5,0),1,0)*Table_NFI[[#This Row],[Winter Blanket]],Table_NFI[[#This Row],[Winter Blanket]])</f>
        <v>0</v>
      </c>
      <c r="AK482" s="436">
        <f>IF(Table_NFI[[#This Row],[Winter Clothes Adult]]+Table_NFI[[#This Row],[Winter Clothes Children]]+Table_NFI[[#This Row],[Winter Items Other]]+Table_NFI[[#This Row],[Winter Blanket]]&gt;0,1,0)</f>
        <v>0</v>
      </c>
      <c r="AL482" s="439">
        <f>IF(NFI_Expiration=1,IF($A482&lt;VLOOKUP(V$5,NFI,5,0),1,0)*Table_NFI[[#This Row],[Jerry Can]],Table_NFI[Jerry Can])</f>
        <v>0</v>
      </c>
      <c r="AM482" s="781" t="str">
        <f>IFERROR(VLOOKUP(Table_NFI[[#This Row],[Camp Name]],CL,2,0),"")</f>
        <v>MMR001CMP050</v>
      </c>
      <c r="AN482" s="782">
        <f ca="1">IF(Table_NFI[[#This Row],[Pcode]]="","",IF(OFFSET(CampList[Opening Date],MATCH(Table_NFI[[#This Row],[Pcode]],CampList[CP_Pcode],0)-1,0,1,1)&gt;=NFI_Monitor_Date,1,0))</f>
        <v>0</v>
      </c>
      <c r="AO482" s="781" t="str">
        <f>IFERROR(VLOOKUP(Table_NFI[[#This Row],[Camp Name]],CL,3,0),"")</f>
        <v>Open</v>
      </c>
      <c r="AP482" s="436" t="str">
        <f ca="1">IF(Table_NFI[[#This Row],[Pcode]]="","",OFFSET(CampList[Priority],MATCH(Table_NFI[[#This Row],[Pcode]],CampList[CP_Pcode],0)-1,0,1,1))</f>
        <v>P4</v>
      </c>
      <c r="AQ482" s="438">
        <f>IFERROR(Table_NFI[[#This Row],[Kitchen Set]]/VLOOKUP(Table_NFI[[#This Row],[Camp Name]],CL,4,0),"")</f>
        <v>6.9767441860465115E-2</v>
      </c>
      <c r="AR482" s="779" t="s">
        <v>1099</v>
      </c>
      <c r="AS482" s="783"/>
    </row>
    <row r="483" spans="1:45" s="784" customFormat="1" x14ac:dyDescent="0.25">
      <c r="A483" s="455">
        <f t="shared" si="7"/>
        <v>24.4</v>
      </c>
      <c r="B483" s="778">
        <v>41577</v>
      </c>
      <c r="C483" s="779" t="s">
        <v>454</v>
      </c>
      <c r="D483" s="779" t="s">
        <v>454</v>
      </c>
      <c r="E483" s="779" t="s">
        <v>380</v>
      </c>
      <c r="F483" s="435" t="s">
        <v>5</v>
      </c>
      <c r="G483" s="435" t="s">
        <v>14</v>
      </c>
      <c r="H483" s="436"/>
      <c r="I483" s="436"/>
      <c r="J483" s="436">
        <v>72</v>
      </c>
      <c r="K483" s="436">
        <v>61</v>
      </c>
      <c r="L483" s="437">
        <v>36</v>
      </c>
      <c r="M483" s="437">
        <v>61</v>
      </c>
      <c r="N483" s="437">
        <v>36</v>
      </c>
      <c r="O483" s="437">
        <v>36</v>
      </c>
      <c r="P483" s="439">
        <v>36</v>
      </c>
      <c r="Q483" s="439">
        <v>36</v>
      </c>
      <c r="R483" s="436"/>
      <c r="S483" s="436"/>
      <c r="T483" s="436"/>
      <c r="U483" s="436"/>
      <c r="V483" s="436"/>
      <c r="W483" s="436">
        <f>IF(NFI_Expiration=1,IF($A483&lt;VLOOKUP(H$5,NFI,5,0),1,0)*Table_NFI[[#This Row],[Hygiene Kit]],Table_NFI[Hygiene Kit])</f>
        <v>0</v>
      </c>
      <c r="X483" s="436">
        <f>IF(NFI_Expiration=1,IF($A483&lt;VLOOKUP(I$5,NFI,5,0),1,0)*Table_NFI[[#This Row],[NFI Core Kit]],Table_NFI[NFI Core Kit])</f>
        <v>0</v>
      </c>
      <c r="Y483" s="436">
        <f>IF(NFI_Expiration=1,IF($A483&lt;VLOOKUP(J$5,NFI,5,0),1,0)*Table_NFI[[#This Row],[Sanitary Kit]],Table_NFI[Sanitary Kit])</f>
        <v>0</v>
      </c>
      <c r="Z483" s="436">
        <f>IF(NFI_Expiration=1,IF($A483&lt;VLOOKUP(K$5,NFI,5,0),1,0)*Table_NFI[[#This Row],[Mosquito net]],Table_NFI[Mosquito net])</f>
        <v>0</v>
      </c>
      <c r="AA483" s="436">
        <f>IF(NFI_Expiration=1,IF($A483&lt;VLOOKUP(L$5,NFI,5,0),1,0)*Table_NFI[[#This Row],[Tarpaulin]],Table_NFI[[#This Row],[Tarpaulin]])</f>
        <v>0</v>
      </c>
      <c r="AB483" s="436">
        <f>IF(NFI_Expiration=1,IF($A483&lt;VLOOKUP(M$5,NFI,5,0),1,0)*Table_NFI[[#This Row],[Blanket]],Table_NFI[[#This Row],[Blanket]])</f>
        <v>0</v>
      </c>
      <c r="AC483" s="436">
        <f>IF(NFI_Expiration=1,IF($A483&lt;VLOOKUP(N$5,NFI,5,0),1,0)*Table_NFI[[#This Row],[Kitchen Set]],Table_NFI[Kitchen Set])</f>
        <v>0</v>
      </c>
      <c r="AD483" s="436">
        <f>IF(NFI_Expiration=1,IF($A483&lt;VLOOKUP(O$5,NFI,5,0),1,0)*Table_NFI[[#This Row],[Clothes Kit]],Table_NFI[Clothes Kit])</f>
        <v>0</v>
      </c>
      <c r="AE483" s="436">
        <f>IF(NFI_Expiration=1,IF($A483&lt;VLOOKUP(P$5,NFI,5,0),1,0)*Table_NFI[[#This Row],[Plastic Bucket]],Table_NFI[Plastic Bucket])</f>
        <v>0</v>
      </c>
      <c r="AF483" s="436">
        <f>IF(NFI_Expiration=1,IF($A483&lt;VLOOKUP(Q$5,NFI,5,0),1,0)*Table_NFI[[#This Row],[Plastic Mat]],Table_NFI[Plastic Mat])*IF(Table_NFI[[#This Row],[Distribution Date]]&gt;"2014-04-01",1,2.5)</f>
        <v>0</v>
      </c>
      <c r="AG483" s="436">
        <f>IF(NFI_Expiration=1,IF($A483&lt;VLOOKUP(R$5,NFI,5,0),1,0)*Table_NFI[[#This Row],[Winter Clothes Adult]],Table_NFI[Winter Clothes Adult])</f>
        <v>0</v>
      </c>
      <c r="AH483" s="436">
        <f>IF(NFI_Expiration=1,IF($A483&lt;VLOOKUP(S$5,NFI,5,0),1,0)*Table_NFI[[#This Row],[Winter Clothes Children]],Table_NFI[Winter Clothes Children])</f>
        <v>0</v>
      </c>
      <c r="AI483" s="436">
        <f>IF(NFI_Expiration=1,IF($A483&lt;VLOOKUP(T$5,NFI,5,0),1,0)*Table_NFI[[#This Row],[Winter Items Other]],Table_NFI[Winter Items Other])</f>
        <v>0</v>
      </c>
      <c r="AJ483" s="436">
        <f>IF(NFI_Expiration=1,IF($A483&lt;VLOOKUP(M$5,NFI,5,0),1,0)*Table_NFI[[#This Row],[Winter Blanket]],Table_NFI[[#This Row],[Winter Blanket]])</f>
        <v>0</v>
      </c>
      <c r="AK483" s="436">
        <f>IF(Table_NFI[[#This Row],[Winter Clothes Adult]]+Table_NFI[[#This Row],[Winter Clothes Children]]+Table_NFI[[#This Row],[Winter Items Other]]+Table_NFI[[#This Row],[Winter Blanket]]&gt;0,1,0)</f>
        <v>0</v>
      </c>
      <c r="AL483" s="439">
        <f>IF(NFI_Expiration=1,IF($A483&lt;VLOOKUP(V$5,NFI,5,0),1,0)*Table_NFI[[#This Row],[Jerry Can]],Table_NFI[Jerry Can])</f>
        <v>0</v>
      </c>
      <c r="AM483" s="781" t="str">
        <f>IFERROR(VLOOKUP(Table_NFI[[#This Row],[Camp Name]],CL,2,0),"")</f>
        <v>MMR001CMP052</v>
      </c>
      <c r="AN483" s="782">
        <f ca="1">IF(Table_NFI[[#This Row],[Pcode]]="","",IF(OFFSET(CampList[Opening Date],MATCH(Table_NFI[[#This Row],[Pcode]],CampList[CP_Pcode],0)-1,0,1,1)&gt;=NFI_Monitor_Date,1,0))</f>
        <v>0</v>
      </c>
      <c r="AO483" s="781" t="str">
        <f>IFERROR(VLOOKUP(Table_NFI[[#This Row],[Camp Name]],CL,3,0),"")</f>
        <v>Open</v>
      </c>
      <c r="AP483" s="436" t="str">
        <f ca="1">IF(Table_NFI[[#This Row],[Pcode]]="","",OFFSET(CampList[Priority],MATCH(Table_NFI[[#This Row],[Pcode]],CampList[CP_Pcode],0)-1,0,1,1))</f>
        <v>P4</v>
      </c>
      <c r="AQ483" s="438">
        <f>IFERROR(Table_NFI[[#This Row],[Kitchen Set]]/VLOOKUP(Table_NFI[[#This Row],[Camp Name]],CL,4,0),"")</f>
        <v>0.83720930232558144</v>
      </c>
      <c r="AR483" s="779" t="s">
        <v>1099</v>
      </c>
      <c r="AS483" s="783"/>
    </row>
    <row r="484" spans="1:45" s="784" customFormat="1" x14ac:dyDescent="0.25">
      <c r="A484" s="455">
        <f t="shared" si="7"/>
        <v>24.4</v>
      </c>
      <c r="B484" s="778">
        <v>41577</v>
      </c>
      <c r="C484" s="779" t="s">
        <v>454</v>
      </c>
      <c r="D484" s="779" t="s">
        <v>454</v>
      </c>
      <c r="E484" s="779" t="s">
        <v>380</v>
      </c>
      <c r="F484" s="435" t="s">
        <v>5</v>
      </c>
      <c r="G484" s="435" t="s">
        <v>366</v>
      </c>
      <c r="H484" s="436"/>
      <c r="I484" s="436"/>
      <c r="J484" s="436">
        <v>81</v>
      </c>
      <c r="K484" s="436">
        <v>94</v>
      </c>
      <c r="L484" s="437">
        <v>50</v>
      </c>
      <c r="M484" s="437">
        <v>94</v>
      </c>
      <c r="N484" s="437">
        <v>50</v>
      </c>
      <c r="O484" s="437">
        <v>50</v>
      </c>
      <c r="P484" s="439">
        <v>50</v>
      </c>
      <c r="Q484" s="439">
        <v>50</v>
      </c>
      <c r="R484" s="436"/>
      <c r="S484" s="436"/>
      <c r="T484" s="436"/>
      <c r="U484" s="436"/>
      <c r="V484" s="436"/>
      <c r="W484" s="436">
        <f>IF(NFI_Expiration=1,IF($A484&lt;VLOOKUP(H$5,NFI,5,0),1,0)*Table_NFI[[#This Row],[Hygiene Kit]],Table_NFI[Hygiene Kit])</f>
        <v>0</v>
      </c>
      <c r="X484" s="436">
        <f>IF(NFI_Expiration=1,IF($A484&lt;VLOOKUP(I$5,NFI,5,0),1,0)*Table_NFI[[#This Row],[NFI Core Kit]],Table_NFI[NFI Core Kit])</f>
        <v>0</v>
      </c>
      <c r="Y484" s="436">
        <f>IF(NFI_Expiration=1,IF($A484&lt;VLOOKUP(J$5,NFI,5,0),1,0)*Table_NFI[[#This Row],[Sanitary Kit]],Table_NFI[Sanitary Kit])</f>
        <v>0</v>
      </c>
      <c r="Z484" s="436">
        <f>IF(NFI_Expiration=1,IF($A484&lt;VLOOKUP(K$5,NFI,5,0),1,0)*Table_NFI[[#This Row],[Mosquito net]],Table_NFI[Mosquito net])</f>
        <v>0</v>
      </c>
      <c r="AA484" s="436">
        <f>IF(NFI_Expiration=1,IF($A484&lt;VLOOKUP(L$5,NFI,5,0),1,0)*Table_NFI[[#This Row],[Tarpaulin]],Table_NFI[[#This Row],[Tarpaulin]])</f>
        <v>0</v>
      </c>
      <c r="AB484" s="436">
        <f>IF(NFI_Expiration=1,IF($A484&lt;VLOOKUP(M$5,NFI,5,0),1,0)*Table_NFI[[#This Row],[Blanket]],Table_NFI[[#This Row],[Blanket]])</f>
        <v>0</v>
      </c>
      <c r="AC484" s="436">
        <f>IF(NFI_Expiration=1,IF($A484&lt;VLOOKUP(N$5,NFI,5,0),1,0)*Table_NFI[[#This Row],[Kitchen Set]],Table_NFI[Kitchen Set])</f>
        <v>0</v>
      </c>
      <c r="AD484" s="436">
        <f>IF(NFI_Expiration=1,IF($A484&lt;VLOOKUP(O$5,NFI,5,0),1,0)*Table_NFI[[#This Row],[Clothes Kit]],Table_NFI[Clothes Kit])</f>
        <v>0</v>
      </c>
      <c r="AE484" s="436">
        <f>IF(NFI_Expiration=1,IF($A484&lt;VLOOKUP(P$5,NFI,5,0),1,0)*Table_NFI[[#This Row],[Plastic Bucket]],Table_NFI[Plastic Bucket])</f>
        <v>0</v>
      </c>
      <c r="AF484" s="436">
        <f>IF(NFI_Expiration=1,IF($A484&lt;VLOOKUP(Q$5,NFI,5,0),1,0)*Table_NFI[[#This Row],[Plastic Mat]],Table_NFI[Plastic Mat])*IF(Table_NFI[[#This Row],[Distribution Date]]&gt;"2014-04-01",1,2.5)</f>
        <v>0</v>
      </c>
      <c r="AG484" s="436">
        <f>IF(NFI_Expiration=1,IF($A484&lt;VLOOKUP(R$5,NFI,5,0),1,0)*Table_NFI[[#This Row],[Winter Clothes Adult]],Table_NFI[Winter Clothes Adult])</f>
        <v>0</v>
      </c>
      <c r="AH484" s="436">
        <f>IF(NFI_Expiration=1,IF($A484&lt;VLOOKUP(S$5,NFI,5,0),1,0)*Table_NFI[[#This Row],[Winter Clothes Children]],Table_NFI[Winter Clothes Children])</f>
        <v>0</v>
      </c>
      <c r="AI484" s="436">
        <f>IF(NFI_Expiration=1,IF($A484&lt;VLOOKUP(T$5,NFI,5,0),1,0)*Table_NFI[[#This Row],[Winter Items Other]],Table_NFI[Winter Items Other])</f>
        <v>0</v>
      </c>
      <c r="AJ484" s="436">
        <f>IF(NFI_Expiration=1,IF($A484&lt;VLOOKUP(M$5,NFI,5,0),1,0)*Table_NFI[[#This Row],[Winter Blanket]],Table_NFI[[#This Row],[Winter Blanket]])</f>
        <v>0</v>
      </c>
      <c r="AK484" s="436">
        <f>IF(Table_NFI[[#This Row],[Winter Clothes Adult]]+Table_NFI[[#This Row],[Winter Clothes Children]]+Table_NFI[[#This Row],[Winter Items Other]]+Table_NFI[[#This Row],[Winter Blanket]]&gt;0,1,0)</f>
        <v>0</v>
      </c>
      <c r="AL484" s="439">
        <f>IF(NFI_Expiration=1,IF($A484&lt;VLOOKUP(V$5,NFI,5,0),1,0)*Table_NFI[[#This Row],[Jerry Can]],Table_NFI[Jerry Can])</f>
        <v>0</v>
      </c>
      <c r="AM484" s="781" t="str">
        <f>IFERROR(VLOOKUP(Table_NFI[[#This Row],[Camp Name]],CL,2,0),"")</f>
        <v>MMR001CMP193</v>
      </c>
      <c r="AN484" s="782">
        <f ca="1">IF(Table_NFI[[#This Row],[Pcode]]="","",IF(OFFSET(CampList[Opening Date],MATCH(Table_NFI[[#This Row],[Pcode]],CampList[CP_Pcode],0)-1,0,1,1)&gt;=NFI_Monitor_Date,1,0))</f>
        <v>0</v>
      </c>
      <c r="AO484" s="781" t="str">
        <f>IFERROR(VLOOKUP(Table_NFI[[#This Row],[Camp Name]],CL,3,0),"")</f>
        <v>Open</v>
      </c>
      <c r="AP484" s="436" t="str">
        <f ca="1">IF(Table_NFI[[#This Row],[Pcode]]="","",OFFSET(CampList[Priority],MATCH(Table_NFI[[#This Row],[Pcode]],CampList[CP_Pcode],0)-1,0,1,1))</f>
        <v>P4</v>
      </c>
      <c r="AQ484" s="438">
        <f>IFERROR(Table_NFI[[#This Row],[Kitchen Set]]/VLOOKUP(Table_NFI[[#This Row],[Camp Name]],CL,4,0),"")</f>
        <v>0.31847133757961782</v>
      </c>
      <c r="AR484" s="779" t="s">
        <v>1099</v>
      </c>
      <c r="AS484" s="783"/>
    </row>
    <row r="485" spans="1:45" s="784" customFormat="1" x14ac:dyDescent="0.25">
      <c r="A485" s="455">
        <f t="shared" si="7"/>
        <v>25.533333333333335</v>
      </c>
      <c r="B485" s="778">
        <v>41543</v>
      </c>
      <c r="C485" s="779" t="s">
        <v>454</v>
      </c>
      <c r="D485" s="779" t="s">
        <v>454</v>
      </c>
      <c r="E485" s="779" t="s">
        <v>380</v>
      </c>
      <c r="F485" s="435" t="s">
        <v>185</v>
      </c>
      <c r="G485" s="435" t="s">
        <v>194</v>
      </c>
      <c r="H485" s="436"/>
      <c r="I485" s="436"/>
      <c r="J485" s="436">
        <v>882</v>
      </c>
      <c r="K485" s="436">
        <v>882</v>
      </c>
      <c r="L485" s="437">
        <v>441</v>
      </c>
      <c r="M485" s="437">
        <v>882</v>
      </c>
      <c r="N485" s="437">
        <v>441</v>
      </c>
      <c r="O485" s="437"/>
      <c r="P485" s="439">
        <v>441</v>
      </c>
      <c r="Q485" s="439">
        <v>882</v>
      </c>
      <c r="R485" s="436"/>
      <c r="S485" s="436"/>
      <c r="T485" s="436"/>
      <c r="U485" s="436"/>
      <c r="V485" s="436"/>
      <c r="W485" s="436">
        <f>IF(NFI_Expiration=1,IF($A485&lt;VLOOKUP(H$5,NFI,5,0),1,0)*Table_NFI[[#This Row],[Hygiene Kit]],Table_NFI[Hygiene Kit])</f>
        <v>0</v>
      </c>
      <c r="X485" s="436">
        <f>IF(NFI_Expiration=1,IF($A485&lt;VLOOKUP(I$5,NFI,5,0),1,0)*Table_NFI[[#This Row],[NFI Core Kit]],Table_NFI[NFI Core Kit])</f>
        <v>0</v>
      </c>
      <c r="Y485" s="436">
        <f>IF(NFI_Expiration=1,IF($A485&lt;VLOOKUP(J$5,NFI,5,0),1,0)*Table_NFI[[#This Row],[Sanitary Kit]],Table_NFI[Sanitary Kit])</f>
        <v>0</v>
      </c>
      <c r="Z485" s="436">
        <f>IF(NFI_Expiration=1,IF($A485&lt;VLOOKUP(K$5,NFI,5,0),1,0)*Table_NFI[[#This Row],[Mosquito net]],Table_NFI[Mosquito net])</f>
        <v>0</v>
      </c>
      <c r="AA485" s="436">
        <f>IF(NFI_Expiration=1,IF($A485&lt;VLOOKUP(L$5,NFI,5,0),1,0)*Table_NFI[[#This Row],[Tarpaulin]],Table_NFI[[#This Row],[Tarpaulin]])</f>
        <v>0</v>
      </c>
      <c r="AB485" s="436">
        <f>IF(NFI_Expiration=1,IF($A485&lt;VLOOKUP(M$5,NFI,5,0),1,0)*Table_NFI[[#This Row],[Blanket]],Table_NFI[[#This Row],[Blanket]])</f>
        <v>0</v>
      </c>
      <c r="AC485" s="436">
        <f>IF(NFI_Expiration=1,IF($A485&lt;VLOOKUP(N$5,NFI,5,0),1,0)*Table_NFI[[#This Row],[Kitchen Set]],Table_NFI[Kitchen Set])</f>
        <v>0</v>
      </c>
      <c r="AD485" s="436">
        <f>IF(NFI_Expiration=1,IF($A485&lt;VLOOKUP(O$5,NFI,5,0),1,0)*Table_NFI[[#This Row],[Clothes Kit]],Table_NFI[Clothes Kit])</f>
        <v>0</v>
      </c>
      <c r="AE485" s="436">
        <f>IF(NFI_Expiration=1,IF($A485&lt;VLOOKUP(P$5,NFI,5,0),1,0)*Table_NFI[[#This Row],[Plastic Bucket]],Table_NFI[Plastic Bucket])</f>
        <v>0</v>
      </c>
      <c r="AF485" s="436">
        <f>IF(NFI_Expiration=1,IF($A485&lt;VLOOKUP(Q$5,NFI,5,0),1,0)*Table_NFI[[#This Row],[Plastic Mat]],Table_NFI[Plastic Mat])*IF(Table_NFI[[#This Row],[Distribution Date]]&gt;"2014-04-01",1,2.5)</f>
        <v>0</v>
      </c>
      <c r="AG485" s="436">
        <f>IF(NFI_Expiration=1,IF($A485&lt;VLOOKUP(R$5,NFI,5,0),1,0)*Table_NFI[[#This Row],[Winter Clothes Adult]],Table_NFI[Winter Clothes Adult])</f>
        <v>0</v>
      </c>
      <c r="AH485" s="436">
        <f>IF(NFI_Expiration=1,IF($A485&lt;VLOOKUP(S$5,NFI,5,0),1,0)*Table_NFI[[#This Row],[Winter Clothes Children]],Table_NFI[Winter Clothes Children])</f>
        <v>0</v>
      </c>
      <c r="AI485" s="436">
        <f>IF(NFI_Expiration=1,IF($A485&lt;VLOOKUP(T$5,NFI,5,0),1,0)*Table_NFI[[#This Row],[Winter Items Other]],Table_NFI[Winter Items Other])</f>
        <v>0</v>
      </c>
      <c r="AJ485" s="436">
        <f>IF(NFI_Expiration=1,IF($A485&lt;VLOOKUP(M$5,NFI,5,0),1,0)*Table_NFI[[#This Row],[Winter Blanket]],Table_NFI[[#This Row],[Winter Blanket]])</f>
        <v>0</v>
      </c>
      <c r="AK485" s="436">
        <f>IF(Table_NFI[[#This Row],[Winter Clothes Adult]]+Table_NFI[[#This Row],[Winter Clothes Children]]+Table_NFI[[#This Row],[Winter Items Other]]+Table_NFI[[#This Row],[Winter Blanket]]&gt;0,1,0)</f>
        <v>0</v>
      </c>
      <c r="AL485" s="439">
        <f>IF(NFI_Expiration=1,IF($A485&lt;VLOOKUP(V$5,NFI,5,0),1,0)*Table_NFI[[#This Row],[Jerry Can]],Table_NFI[Jerry Can])</f>
        <v>0</v>
      </c>
      <c r="AM485" s="781" t="str">
        <f>IFERROR(VLOOKUP(Table_NFI[[#This Row],[Camp Name]],CL,2,0),"")</f>
        <v>MMR001CMP122</v>
      </c>
      <c r="AN485" s="782">
        <f ca="1">IF(Table_NFI[[#This Row],[Pcode]]="","",IF(OFFSET(CampList[Opening Date],MATCH(Table_NFI[[#This Row],[Pcode]],CampList[CP_Pcode],0)-1,0,1,1)&gt;=NFI_Monitor_Date,1,0))</f>
        <v>0</v>
      </c>
      <c r="AO485" s="781" t="str">
        <f>IFERROR(VLOOKUP(Table_NFI[[#This Row],[Camp Name]],CL,3,0),"")</f>
        <v>Open</v>
      </c>
      <c r="AP485" s="436" t="str">
        <f ca="1">IF(Table_NFI[[#This Row],[Pcode]]="","",OFFSET(CampList[Priority],MATCH(Table_NFI[[#This Row],[Pcode]],CampList[CP_Pcode],0)-1,0,1,1))</f>
        <v>P2</v>
      </c>
      <c r="AQ485" s="438">
        <f>IFERROR(Table_NFI[[#This Row],[Kitchen Set]]/VLOOKUP(Table_NFI[[#This Row],[Camp Name]],CL,4,0),"")</f>
        <v>0.71941272430668846</v>
      </c>
      <c r="AR485" s="779" t="s">
        <v>1099</v>
      </c>
      <c r="AS485" s="783"/>
    </row>
    <row r="486" spans="1:45" s="784" customFormat="1" x14ac:dyDescent="0.25">
      <c r="A486" s="455">
        <f t="shared" si="7"/>
        <v>25.533333333333335</v>
      </c>
      <c r="B486" s="778">
        <v>41543</v>
      </c>
      <c r="C486" s="779" t="s">
        <v>454</v>
      </c>
      <c r="D486" s="779" t="s">
        <v>454</v>
      </c>
      <c r="E486" s="779" t="s">
        <v>380</v>
      </c>
      <c r="F486" s="779" t="s">
        <v>185</v>
      </c>
      <c r="G486" s="435" t="s">
        <v>196</v>
      </c>
      <c r="H486" s="436"/>
      <c r="I486" s="436"/>
      <c r="J486" s="436">
        <v>1628</v>
      </c>
      <c r="K486" s="436">
        <v>3256</v>
      </c>
      <c r="L486" s="437">
        <v>1628</v>
      </c>
      <c r="M486" s="437">
        <v>3256</v>
      </c>
      <c r="N486" s="437">
        <v>1628</v>
      </c>
      <c r="O486" s="437"/>
      <c r="P486" s="437">
        <v>1628</v>
      </c>
      <c r="Q486" s="437">
        <v>3256</v>
      </c>
      <c r="R486" s="436"/>
      <c r="S486" s="436"/>
      <c r="T486" s="436"/>
      <c r="U486" s="436"/>
      <c r="V486" s="436"/>
      <c r="W486" s="436">
        <f>IF(NFI_Expiration=1,IF($A486&lt;VLOOKUP(H$5,NFI,5,0),1,0)*Table_NFI[[#This Row],[Hygiene Kit]],Table_NFI[Hygiene Kit])</f>
        <v>0</v>
      </c>
      <c r="X486" s="436">
        <f>IF(NFI_Expiration=1,IF($A486&lt;VLOOKUP(I$5,NFI,5,0),1,0)*Table_NFI[[#This Row],[NFI Core Kit]],Table_NFI[NFI Core Kit])</f>
        <v>0</v>
      </c>
      <c r="Y486" s="436">
        <f>IF(NFI_Expiration=1,IF($A486&lt;VLOOKUP(J$5,NFI,5,0),1,0)*Table_NFI[[#This Row],[Sanitary Kit]],Table_NFI[Sanitary Kit])</f>
        <v>0</v>
      </c>
      <c r="Z486" s="436">
        <f>IF(NFI_Expiration=1,IF($A486&lt;VLOOKUP(K$5,NFI,5,0),1,0)*Table_NFI[[#This Row],[Mosquito net]],Table_NFI[Mosquito net])</f>
        <v>0</v>
      </c>
      <c r="AA486" s="436">
        <f>IF(NFI_Expiration=1,IF($A486&lt;VLOOKUP(L$5,NFI,5,0),1,0)*Table_NFI[[#This Row],[Tarpaulin]],Table_NFI[[#This Row],[Tarpaulin]])</f>
        <v>0</v>
      </c>
      <c r="AB486" s="436">
        <f>IF(NFI_Expiration=1,IF($A486&lt;VLOOKUP(M$5,NFI,5,0),1,0)*Table_NFI[[#This Row],[Blanket]],Table_NFI[[#This Row],[Blanket]])</f>
        <v>0</v>
      </c>
      <c r="AC486" s="436">
        <f>IF(NFI_Expiration=1,IF($A486&lt;VLOOKUP(N$5,NFI,5,0),1,0)*Table_NFI[[#This Row],[Kitchen Set]],Table_NFI[Kitchen Set])</f>
        <v>0</v>
      </c>
      <c r="AD486" s="436">
        <f>IF(NFI_Expiration=1,IF($A486&lt;VLOOKUP(O$5,NFI,5,0),1,0)*Table_NFI[[#This Row],[Clothes Kit]],Table_NFI[Clothes Kit])</f>
        <v>0</v>
      </c>
      <c r="AE486" s="436">
        <f>IF(NFI_Expiration=1,IF($A486&lt;VLOOKUP(P$5,NFI,5,0),1,0)*Table_NFI[[#This Row],[Plastic Bucket]],Table_NFI[Plastic Bucket])</f>
        <v>0</v>
      </c>
      <c r="AF486" s="436">
        <f>IF(NFI_Expiration=1,IF($A486&lt;VLOOKUP(Q$5,NFI,5,0),1,0)*Table_NFI[[#This Row],[Plastic Mat]],Table_NFI[Plastic Mat])*IF(Table_NFI[[#This Row],[Distribution Date]]&gt;"2014-04-01",1,2.5)</f>
        <v>0</v>
      </c>
      <c r="AG486" s="436">
        <f>IF(NFI_Expiration=1,IF($A486&lt;VLOOKUP(R$5,NFI,5,0),1,0)*Table_NFI[[#This Row],[Winter Clothes Adult]],Table_NFI[Winter Clothes Adult])</f>
        <v>0</v>
      </c>
      <c r="AH486" s="436">
        <f>IF(NFI_Expiration=1,IF($A486&lt;VLOOKUP(S$5,NFI,5,0),1,0)*Table_NFI[[#This Row],[Winter Clothes Children]],Table_NFI[Winter Clothes Children])</f>
        <v>0</v>
      </c>
      <c r="AI486" s="436">
        <f>IF(NFI_Expiration=1,IF($A486&lt;VLOOKUP(T$5,NFI,5,0),1,0)*Table_NFI[[#This Row],[Winter Items Other]],Table_NFI[Winter Items Other])</f>
        <v>0</v>
      </c>
      <c r="AJ486" s="436">
        <f>IF(NFI_Expiration=1,IF($A486&lt;VLOOKUP(M$5,NFI,5,0),1,0)*Table_NFI[[#This Row],[Winter Blanket]],Table_NFI[[#This Row],[Winter Blanket]])</f>
        <v>0</v>
      </c>
      <c r="AK486" s="436">
        <f>IF(Table_NFI[[#This Row],[Winter Clothes Adult]]+Table_NFI[[#This Row],[Winter Clothes Children]]+Table_NFI[[#This Row],[Winter Items Other]]+Table_NFI[[#This Row],[Winter Blanket]]&gt;0,1,0)</f>
        <v>0</v>
      </c>
      <c r="AL486" s="439">
        <f>IF(NFI_Expiration=1,IF($A486&lt;VLOOKUP(V$5,NFI,5,0),1,0)*Table_NFI[[#This Row],[Jerry Can]],Table_NFI[Jerry Can])</f>
        <v>0</v>
      </c>
      <c r="AM486" s="781" t="str">
        <f>IFERROR(VLOOKUP(Table_NFI[[#This Row],[Camp Name]],CL,2,0),"")</f>
        <v>MMR001CMP121</v>
      </c>
      <c r="AN486" s="782">
        <f ca="1">IF(Table_NFI[[#This Row],[Pcode]]="","",IF(OFFSET(CampList[Opening Date],MATCH(Table_NFI[[#This Row],[Pcode]],CampList[CP_Pcode],0)-1,0,1,1)&gt;=NFI_Monitor_Date,1,0))</f>
        <v>0</v>
      </c>
      <c r="AO486" s="781" t="str">
        <f>IFERROR(VLOOKUP(Table_NFI[[#This Row],[Camp Name]],CL,3,0),"")</f>
        <v>Open</v>
      </c>
      <c r="AP486" s="436" t="str">
        <f ca="1">IF(Table_NFI[[#This Row],[Pcode]]="","",OFFSET(CampList[Priority],MATCH(Table_NFI[[#This Row],[Pcode]],CampList[CP_Pcode],0)-1,0,1,1))</f>
        <v>P2</v>
      </c>
      <c r="AQ486" s="438">
        <f>IFERROR(Table_NFI[[#This Row],[Kitchen Set]]/VLOOKUP(Table_NFI[[#This Row],[Camp Name]],CL,4,0),"")</f>
        <v>0.9621749408983451</v>
      </c>
      <c r="AR486" s="779" t="s">
        <v>1099</v>
      </c>
      <c r="AS486" s="783"/>
    </row>
    <row r="487" spans="1:45" s="784" customFormat="1" x14ac:dyDescent="0.25">
      <c r="A487" s="455">
        <f t="shared" si="7"/>
        <v>25.533333333333335</v>
      </c>
      <c r="B487" s="778">
        <v>41543</v>
      </c>
      <c r="C487" s="779" t="s">
        <v>454</v>
      </c>
      <c r="D487" s="779" t="s">
        <v>454</v>
      </c>
      <c r="E487" s="779" t="s">
        <v>380</v>
      </c>
      <c r="F487" s="435" t="s">
        <v>310</v>
      </c>
      <c r="G487" s="435" t="s">
        <v>1271</v>
      </c>
      <c r="H487" s="436"/>
      <c r="I487" s="436"/>
      <c r="J487" s="436">
        <v>437</v>
      </c>
      <c r="K487" s="436">
        <v>874</v>
      </c>
      <c r="L487" s="437">
        <v>437</v>
      </c>
      <c r="M487" s="437">
        <v>874</v>
      </c>
      <c r="N487" s="437">
        <v>437</v>
      </c>
      <c r="O487" s="437">
        <v>54</v>
      </c>
      <c r="P487" s="439">
        <v>383</v>
      </c>
      <c r="Q487" s="439">
        <v>766</v>
      </c>
      <c r="R487" s="436"/>
      <c r="S487" s="436"/>
      <c r="T487" s="436"/>
      <c r="U487" s="436"/>
      <c r="V487" s="436"/>
      <c r="W487" s="436">
        <f>IF(NFI_Expiration=1,IF($A487&lt;VLOOKUP(H$5,NFI,5,0),1,0)*Table_NFI[[#This Row],[Hygiene Kit]],Table_NFI[Hygiene Kit])</f>
        <v>0</v>
      </c>
      <c r="X487" s="436">
        <f>IF(NFI_Expiration=1,IF($A487&lt;VLOOKUP(I$5,NFI,5,0),1,0)*Table_NFI[[#This Row],[NFI Core Kit]],Table_NFI[NFI Core Kit])</f>
        <v>0</v>
      </c>
      <c r="Y487" s="436">
        <f>IF(NFI_Expiration=1,IF($A487&lt;VLOOKUP(J$5,NFI,5,0),1,0)*Table_NFI[[#This Row],[Sanitary Kit]],Table_NFI[Sanitary Kit])</f>
        <v>0</v>
      </c>
      <c r="Z487" s="436">
        <f>IF(NFI_Expiration=1,IF($A487&lt;VLOOKUP(K$5,NFI,5,0),1,0)*Table_NFI[[#This Row],[Mosquito net]],Table_NFI[Mosquito net])</f>
        <v>0</v>
      </c>
      <c r="AA487" s="436">
        <f>IF(NFI_Expiration=1,IF($A487&lt;VLOOKUP(L$5,NFI,5,0),1,0)*Table_NFI[[#This Row],[Tarpaulin]],Table_NFI[[#This Row],[Tarpaulin]])</f>
        <v>0</v>
      </c>
      <c r="AB487" s="436">
        <f>IF(NFI_Expiration=1,IF($A487&lt;VLOOKUP(M$5,NFI,5,0),1,0)*Table_NFI[[#This Row],[Blanket]],Table_NFI[[#This Row],[Blanket]])</f>
        <v>0</v>
      </c>
      <c r="AC487" s="436">
        <f>IF(NFI_Expiration=1,IF($A487&lt;VLOOKUP(N$5,NFI,5,0),1,0)*Table_NFI[[#This Row],[Kitchen Set]],Table_NFI[Kitchen Set])</f>
        <v>0</v>
      </c>
      <c r="AD487" s="436">
        <f>IF(NFI_Expiration=1,IF($A487&lt;VLOOKUP(O$5,NFI,5,0),1,0)*Table_NFI[[#This Row],[Clothes Kit]],Table_NFI[Clothes Kit])</f>
        <v>0</v>
      </c>
      <c r="AE487" s="436">
        <f>IF(NFI_Expiration=1,IF($A487&lt;VLOOKUP(P$5,NFI,5,0),1,0)*Table_NFI[[#This Row],[Plastic Bucket]],Table_NFI[Plastic Bucket])</f>
        <v>0</v>
      </c>
      <c r="AF487" s="436">
        <f>IF(NFI_Expiration=1,IF($A487&lt;VLOOKUP(Q$5,NFI,5,0),1,0)*Table_NFI[[#This Row],[Plastic Mat]],Table_NFI[Plastic Mat])*IF(Table_NFI[[#This Row],[Distribution Date]]&gt;"2014-04-01",1,2.5)</f>
        <v>0</v>
      </c>
      <c r="AG487" s="436">
        <f>IF(NFI_Expiration=1,IF($A487&lt;VLOOKUP(R$5,NFI,5,0),1,0)*Table_NFI[[#This Row],[Winter Clothes Adult]],Table_NFI[Winter Clothes Adult])</f>
        <v>0</v>
      </c>
      <c r="AH487" s="436">
        <f>IF(NFI_Expiration=1,IF($A487&lt;VLOOKUP(S$5,NFI,5,0),1,0)*Table_NFI[[#This Row],[Winter Clothes Children]],Table_NFI[Winter Clothes Children])</f>
        <v>0</v>
      </c>
      <c r="AI487" s="436">
        <f>IF(NFI_Expiration=1,IF($A487&lt;VLOOKUP(T$5,NFI,5,0),1,0)*Table_NFI[[#This Row],[Winter Items Other]],Table_NFI[Winter Items Other])</f>
        <v>0</v>
      </c>
      <c r="AJ487" s="436">
        <f>IF(NFI_Expiration=1,IF($A487&lt;VLOOKUP(M$5,NFI,5,0),1,0)*Table_NFI[[#This Row],[Winter Blanket]],Table_NFI[[#This Row],[Winter Blanket]])</f>
        <v>0</v>
      </c>
      <c r="AK487" s="436">
        <f>IF(Table_NFI[[#This Row],[Winter Clothes Adult]]+Table_NFI[[#This Row],[Winter Clothes Children]]+Table_NFI[[#This Row],[Winter Items Other]]+Table_NFI[[#This Row],[Winter Blanket]]&gt;0,1,0)</f>
        <v>0</v>
      </c>
      <c r="AL487" s="439">
        <f>IF(NFI_Expiration=1,IF($A487&lt;VLOOKUP(V$5,NFI,5,0),1,0)*Table_NFI[[#This Row],[Jerry Can]],Table_NFI[Jerry Can])</f>
        <v>0</v>
      </c>
      <c r="AM487" s="781" t="str">
        <f>IFERROR(VLOOKUP(Table_NFI[[#This Row],[Camp Name]],CL,2,0),"")</f>
        <v>MMR001CMP117</v>
      </c>
      <c r="AN487" s="782">
        <f ca="1">IF(Table_NFI[[#This Row],[Pcode]]="","",IF(OFFSET(CampList[Opening Date],MATCH(Table_NFI[[#This Row],[Pcode]],CampList[CP_Pcode],0)-1,0,1,1)&gt;=NFI_Monitor_Date,1,0))</f>
        <v>0</v>
      </c>
      <c r="AO487" s="781" t="str">
        <f>IFERROR(VLOOKUP(Table_NFI[[#This Row],[Camp Name]],CL,3,0),"")</f>
        <v>Closed</v>
      </c>
      <c r="AP487" s="436" t="str">
        <f ca="1">IF(Table_NFI[[#This Row],[Pcode]]="","",OFFSET(CampList[Priority],MATCH(Table_NFI[[#This Row],[Pcode]],CampList[CP_Pcode],0)-1,0,1,1))</f>
        <v>P2</v>
      </c>
      <c r="AQ487" s="438" t="str">
        <f>IFERROR(Table_NFI[[#This Row],[Kitchen Set]]/VLOOKUP(Table_NFI[[#This Row],[Camp Name]],CL,4,0),"")</f>
        <v/>
      </c>
      <c r="AR487" s="779" t="s">
        <v>1099</v>
      </c>
      <c r="AS487" s="783"/>
    </row>
    <row r="488" spans="1:45" s="784" customFormat="1" x14ac:dyDescent="0.25">
      <c r="A488" s="455">
        <f t="shared" si="7"/>
        <v>25.8</v>
      </c>
      <c r="B488" s="778">
        <v>41535</v>
      </c>
      <c r="C488" s="779" t="s">
        <v>454</v>
      </c>
      <c r="D488" s="779" t="s">
        <v>454</v>
      </c>
      <c r="E488" s="779" t="s">
        <v>380</v>
      </c>
      <c r="F488" s="435" t="s">
        <v>310</v>
      </c>
      <c r="G488" s="435" t="s">
        <v>353</v>
      </c>
      <c r="H488" s="436"/>
      <c r="I488" s="436"/>
      <c r="J488" s="436">
        <v>1520</v>
      </c>
      <c r="K488" s="436">
        <v>1520</v>
      </c>
      <c r="L488" s="437">
        <v>760</v>
      </c>
      <c r="M488" s="437">
        <v>1520</v>
      </c>
      <c r="N488" s="437">
        <v>760</v>
      </c>
      <c r="O488" s="437">
        <v>760</v>
      </c>
      <c r="P488" s="439"/>
      <c r="Q488" s="439"/>
      <c r="R488" s="436"/>
      <c r="S488" s="436"/>
      <c r="T488" s="436"/>
      <c r="U488" s="436"/>
      <c r="V488" s="436"/>
      <c r="W488" s="436">
        <f>IF(NFI_Expiration=1,IF($A488&lt;VLOOKUP(H$5,NFI,5,0),1,0)*Table_NFI[[#This Row],[Hygiene Kit]],Table_NFI[Hygiene Kit])</f>
        <v>0</v>
      </c>
      <c r="X488" s="436">
        <f>IF(NFI_Expiration=1,IF($A488&lt;VLOOKUP(I$5,NFI,5,0),1,0)*Table_NFI[[#This Row],[NFI Core Kit]],Table_NFI[NFI Core Kit])</f>
        <v>0</v>
      </c>
      <c r="Y488" s="436">
        <f>IF(NFI_Expiration=1,IF($A488&lt;VLOOKUP(J$5,NFI,5,0),1,0)*Table_NFI[[#This Row],[Sanitary Kit]],Table_NFI[Sanitary Kit])</f>
        <v>0</v>
      </c>
      <c r="Z488" s="436">
        <f>IF(NFI_Expiration=1,IF($A488&lt;VLOOKUP(K$5,NFI,5,0),1,0)*Table_NFI[[#This Row],[Mosquito net]],Table_NFI[Mosquito net])</f>
        <v>0</v>
      </c>
      <c r="AA488" s="436">
        <f>IF(NFI_Expiration=1,IF($A488&lt;VLOOKUP(L$5,NFI,5,0),1,0)*Table_NFI[[#This Row],[Tarpaulin]],Table_NFI[[#This Row],[Tarpaulin]])</f>
        <v>0</v>
      </c>
      <c r="AB488" s="436">
        <f>IF(NFI_Expiration=1,IF($A488&lt;VLOOKUP(M$5,NFI,5,0),1,0)*Table_NFI[[#This Row],[Blanket]],Table_NFI[[#This Row],[Blanket]])</f>
        <v>0</v>
      </c>
      <c r="AC488" s="436">
        <f>IF(NFI_Expiration=1,IF($A488&lt;VLOOKUP(N$5,NFI,5,0),1,0)*Table_NFI[[#This Row],[Kitchen Set]],Table_NFI[Kitchen Set])</f>
        <v>0</v>
      </c>
      <c r="AD488" s="436">
        <f>IF(NFI_Expiration=1,IF($A488&lt;VLOOKUP(O$5,NFI,5,0),1,0)*Table_NFI[[#This Row],[Clothes Kit]],Table_NFI[Clothes Kit])</f>
        <v>0</v>
      </c>
      <c r="AE488" s="436">
        <f>IF(NFI_Expiration=1,IF($A488&lt;VLOOKUP(P$5,NFI,5,0),1,0)*Table_NFI[[#This Row],[Plastic Bucket]],Table_NFI[Plastic Bucket])</f>
        <v>0</v>
      </c>
      <c r="AF488" s="436">
        <f>IF(NFI_Expiration=1,IF($A488&lt;VLOOKUP(Q$5,NFI,5,0),1,0)*Table_NFI[[#This Row],[Plastic Mat]],Table_NFI[Plastic Mat])*IF(Table_NFI[[#This Row],[Distribution Date]]&gt;"2014-04-01",1,2.5)</f>
        <v>0</v>
      </c>
      <c r="AG488" s="436">
        <f>IF(NFI_Expiration=1,IF($A488&lt;VLOOKUP(R$5,NFI,5,0),1,0)*Table_NFI[[#This Row],[Winter Clothes Adult]],Table_NFI[Winter Clothes Adult])</f>
        <v>0</v>
      </c>
      <c r="AH488" s="436">
        <f>IF(NFI_Expiration=1,IF($A488&lt;VLOOKUP(S$5,NFI,5,0),1,0)*Table_NFI[[#This Row],[Winter Clothes Children]],Table_NFI[Winter Clothes Children])</f>
        <v>0</v>
      </c>
      <c r="AI488" s="436">
        <f>IF(NFI_Expiration=1,IF($A488&lt;VLOOKUP(T$5,NFI,5,0),1,0)*Table_NFI[[#This Row],[Winter Items Other]],Table_NFI[Winter Items Other])</f>
        <v>0</v>
      </c>
      <c r="AJ488" s="436">
        <f>IF(NFI_Expiration=1,IF($A488&lt;VLOOKUP(M$5,NFI,5,0),1,0)*Table_NFI[[#This Row],[Winter Blanket]],Table_NFI[[#This Row],[Winter Blanket]])</f>
        <v>0</v>
      </c>
      <c r="AK488" s="436">
        <f>IF(Table_NFI[[#This Row],[Winter Clothes Adult]]+Table_NFI[[#This Row],[Winter Clothes Children]]+Table_NFI[[#This Row],[Winter Items Other]]+Table_NFI[[#This Row],[Winter Blanket]]&gt;0,1,0)</f>
        <v>0</v>
      </c>
      <c r="AL488" s="439">
        <f>IF(NFI_Expiration=1,IF($A488&lt;VLOOKUP(V$5,NFI,5,0),1,0)*Table_NFI[[#This Row],[Jerry Can]],Table_NFI[Jerry Can])</f>
        <v>0</v>
      </c>
      <c r="AM488" s="781" t="str">
        <f>IFERROR(VLOOKUP(Table_NFI[[#This Row],[Camp Name]],CL,2,0),"")</f>
        <v>MMR001CMP116</v>
      </c>
      <c r="AN488" s="782">
        <f ca="1">IF(Table_NFI[[#This Row],[Pcode]]="","",IF(OFFSET(CampList[Opening Date],MATCH(Table_NFI[[#This Row],[Pcode]],CampList[CP_Pcode],0)-1,0,1,1)&gt;=NFI_Monitor_Date,1,0))</f>
        <v>0</v>
      </c>
      <c r="AO488" s="781" t="str">
        <f>IFERROR(VLOOKUP(Table_NFI[[#This Row],[Camp Name]],CL,3,0),"")</f>
        <v>Open</v>
      </c>
      <c r="AP488" s="436" t="str">
        <f ca="1">IF(Table_NFI[[#This Row],[Pcode]]="","",OFFSET(CampList[Priority],MATCH(Table_NFI[[#This Row],[Pcode]],CampList[CP_Pcode],0)-1,0,1,1))</f>
        <v>P4</v>
      </c>
      <c r="AQ488" s="438">
        <f>IFERROR(Table_NFI[[#This Row],[Kitchen Set]]/VLOOKUP(Table_NFI[[#This Row],[Camp Name]],CL,4,0),"")</f>
        <v>0.56505576208178443</v>
      </c>
      <c r="AR488" s="779" t="s">
        <v>1099</v>
      </c>
      <c r="AS488" s="783"/>
    </row>
    <row r="489" spans="1:45" s="784" customFormat="1" x14ac:dyDescent="0.25">
      <c r="A489" s="455">
        <f t="shared" si="7"/>
        <v>26</v>
      </c>
      <c r="B489" s="778">
        <v>41529</v>
      </c>
      <c r="C489" s="779" t="s">
        <v>454</v>
      </c>
      <c r="D489" s="779" t="s">
        <v>454</v>
      </c>
      <c r="E489" s="779" t="s">
        <v>380</v>
      </c>
      <c r="F489" s="435" t="s">
        <v>185</v>
      </c>
      <c r="G489" s="435" t="s">
        <v>215</v>
      </c>
      <c r="H489" s="436"/>
      <c r="I489" s="436"/>
      <c r="J489" s="436">
        <v>640</v>
      </c>
      <c r="K489" s="436">
        <v>640</v>
      </c>
      <c r="L489" s="437">
        <v>320</v>
      </c>
      <c r="M489" s="437">
        <v>320</v>
      </c>
      <c r="N489" s="437">
        <v>320</v>
      </c>
      <c r="O489" s="437">
        <v>320</v>
      </c>
      <c r="P489" s="439">
        <v>640</v>
      </c>
      <c r="Q489" s="439">
        <v>320</v>
      </c>
      <c r="R489" s="436"/>
      <c r="S489" s="436"/>
      <c r="T489" s="436"/>
      <c r="U489" s="436"/>
      <c r="V489" s="436"/>
      <c r="W489" s="436">
        <f>IF(NFI_Expiration=1,IF($A489&lt;VLOOKUP(H$5,NFI,5,0),1,0)*Table_NFI[[#This Row],[Hygiene Kit]],Table_NFI[Hygiene Kit])</f>
        <v>0</v>
      </c>
      <c r="X489" s="436">
        <f>IF(NFI_Expiration=1,IF($A489&lt;VLOOKUP(I$5,NFI,5,0),1,0)*Table_NFI[[#This Row],[NFI Core Kit]],Table_NFI[NFI Core Kit])</f>
        <v>0</v>
      </c>
      <c r="Y489" s="436">
        <f>IF(NFI_Expiration=1,IF($A489&lt;VLOOKUP(J$5,NFI,5,0),1,0)*Table_NFI[[#This Row],[Sanitary Kit]],Table_NFI[Sanitary Kit])</f>
        <v>0</v>
      </c>
      <c r="Z489" s="436">
        <f>IF(NFI_Expiration=1,IF($A489&lt;VLOOKUP(K$5,NFI,5,0),1,0)*Table_NFI[[#This Row],[Mosquito net]],Table_NFI[Mosquito net])</f>
        <v>0</v>
      </c>
      <c r="AA489" s="436">
        <f>IF(NFI_Expiration=1,IF($A489&lt;VLOOKUP(L$5,NFI,5,0),1,0)*Table_NFI[[#This Row],[Tarpaulin]],Table_NFI[[#This Row],[Tarpaulin]])</f>
        <v>0</v>
      </c>
      <c r="AB489" s="436">
        <f>IF(NFI_Expiration=1,IF($A489&lt;VLOOKUP(M$5,NFI,5,0),1,0)*Table_NFI[[#This Row],[Blanket]],Table_NFI[[#This Row],[Blanket]])</f>
        <v>0</v>
      </c>
      <c r="AC489" s="436">
        <f>IF(NFI_Expiration=1,IF($A489&lt;VLOOKUP(N$5,NFI,5,0),1,0)*Table_NFI[[#This Row],[Kitchen Set]],Table_NFI[Kitchen Set])</f>
        <v>0</v>
      </c>
      <c r="AD489" s="436">
        <f>IF(NFI_Expiration=1,IF($A489&lt;VLOOKUP(O$5,NFI,5,0),1,0)*Table_NFI[[#This Row],[Clothes Kit]],Table_NFI[Clothes Kit])</f>
        <v>0</v>
      </c>
      <c r="AE489" s="436">
        <f>IF(NFI_Expiration=1,IF($A489&lt;VLOOKUP(P$5,NFI,5,0),1,0)*Table_NFI[[#This Row],[Plastic Bucket]],Table_NFI[Plastic Bucket])</f>
        <v>0</v>
      </c>
      <c r="AF489" s="436">
        <f>IF(NFI_Expiration=1,IF($A489&lt;VLOOKUP(Q$5,NFI,5,0),1,0)*Table_NFI[[#This Row],[Plastic Mat]],Table_NFI[Plastic Mat])*IF(Table_NFI[[#This Row],[Distribution Date]]&gt;"2014-04-01",1,2.5)</f>
        <v>0</v>
      </c>
      <c r="AG489" s="436">
        <f>IF(NFI_Expiration=1,IF($A489&lt;VLOOKUP(R$5,NFI,5,0),1,0)*Table_NFI[[#This Row],[Winter Clothes Adult]],Table_NFI[Winter Clothes Adult])</f>
        <v>0</v>
      </c>
      <c r="AH489" s="436">
        <f>IF(NFI_Expiration=1,IF($A489&lt;VLOOKUP(S$5,NFI,5,0),1,0)*Table_NFI[[#This Row],[Winter Clothes Children]],Table_NFI[Winter Clothes Children])</f>
        <v>0</v>
      </c>
      <c r="AI489" s="436">
        <f>IF(NFI_Expiration=1,IF($A489&lt;VLOOKUP(T$5,NFI,5,0),1,0)*Table_NFI[[#This Row],[Winter Items Other]],Table_NFI[Winter Items Other])</f>
        <v>0</v>
      </c>
      <c r="AJ489" s="436">
        <f>IF(NFI_Expiration=1,IF($A489&lt;VLOOKUP(M$5,NFI,5,0),1,0)*Table_NFI[[#This Row],[Winter Blanket]],Table_NFI[[#This Row],[Winter Blanket]])</f>
        <v>0</v>
      </c>
      <c r="AK489" s="436">
        <f>IF(Table_NFI[[#This Row],[Winter Clothes Adult]]+Table_NFI[[#This Row],[Winter Clothes Children]]+Table_NFI[[#This Row],[Winter Items Other]]+Table_NFI[[#This Row],[Winter Blanket]]&gt;0,1,0)</f>
        <v>0</v>
      </c>
      <c r="AL489" s="439">
        <f>IF(NFI_Expiration=1,IF($A489&lt;VLOOKUP(V$5,NFI,5,0),1,0)*Table_NFI[[#This Row],[Jerry Can]],Table_NFI[Jerry Can])</f>
        <v>0</v>
      </c>
      <c r="AM489" s="781" t="str">
        <f>IFERROR(VLOOKUP(Table_NFI[[#This Row],[Camp Name]],CL,2,0),"")</f>
        <v>MMR001CMP131</v>
      </c>
      <c r="AN489" s="782">
        <f ca="1">IF(Table_NFI[[#This Row],[Pcode]]="","",IF(OFFSET(CampList[Opening Date],MATCH(Table_NFI[[#This Row],[Pcode]],CampList[CP_Pcode],0)-1,0,1,1)&gt;=NFI_Monitor_Date,1,0))</f>
        <v>0</v>
      </c>
      <c r="AO489" s="781" t="str">
        <f>IFERROR(VLOOKUP(Table_NFI[[#This Row],[Camp Name]],CL,3,0),"")</f>
        <v>Open</v>
      </c>
      <c r="AP489" s="436" t="str">
        <f ca="1">IF(Table_NFI[[#This Row],[Pcode]]="","",OFFSET(CampList[Priority],MATCH(Table_NFI[[#This Row],[Pcode]],CampList[CP_Pcode],0)-1,0,1,1))</f>
        <v>P1</v>
      </c>
      <c r="AQ489" s="438">
        <f>IFERROR(Table_NFI[[#This Row],[Kitchen Set]]/VLOOKUP(Table_NFI[[#This Row],[Camp Name]],CL,4,0),"")</f>
        <v>0.77669902912621358</v>
      </c>
      <c r="AR489" s="779" t="s">
        <v>1099</v>
      </c>
      <c r="AS489" s="783"/>
    </row>
    <row r="490" spans="1:45" s="784" customFormat="1" x14ac:dyDescent="0.25">
      <c r="A490" s="455">
        <f t="shared" si="7"/>
        <v>27</v>
      </c>
      <c r="B490" s="778">
        <v>41499</v>
      </c>
      <c r="C490" s="779" t="s">
        <v>454</v>
      </c>
      <c r="D490" s="779" t="s">
        <v>462</v>
      </c>
      <c r="E490" s="779" t="s">
        <v>555</v>
      </c>
      <c r="F490" s="779" t="s">
        <v>784</v>
      </c>
      <c r="G490" s="435" t="s">
        <v>921</v>
      </c>
      <c r="H490" s="436"/>
      <c r="I490" s="436"/>
      <c r="J490" s="436">
        <v>67</v>
      </c>
      <c r="K490" s="436">
        <v>90</v>
      </c>
      <c r="L490" s="437">
        <v>30</v>
      </c>
      <c r="M490" s="437">
        <v>90</v>
      </c>
      <c r="N490" s="437">
        <v>30</v>
      </c>
      <c r="O490" s="437">
        <v>30</v>
      </c>
      <c r="P490" s="437">
        <v>30</v>
      </c>
      <c r="Q490" s="437">
        <v>30</v>
      </c>
      <c r="R490" s="436"/>
      <c r="S490" s="436"/>
      <c r="T490" s="436"/>
      <c r="U490" s="436"/>
      <c r="V490" s="436"/>
      <c r="W490" s="436">
        <f>IF(NFI_Expiration=1,IF($A490&lt;VLOOKUP(H$5,NFI,5,0),1,0)*Table_NFI[[#This Row],[Hygiene Kit]],Table_NFI[Hygiene Kit])</f>
        <v>0</v>
      </c>
      <c r="X490" s="436">
        <f>IF(NFI_Expiration=1,IF($A490&lt;VLOOKUP(I$5,NFI,5,0),1,0)*Table_NFI[[#This Row],[NFI Core Kit]],Table_NFI[NFI Core Kit])</f>
        <v>0</v>
      </c>
      <c r="Y490" s="436">
        <f>IF(NFI_Expiration=1,IF($A490&lt;VLOOKUP(J$5,NFI,5,0),1,0)*Table_NFI[[#This Row],[Sanitary Kit]],Table_NFI[Sanitary Kit])</f>
        <v>0</v>
      </c>
      <c r="Z490" s="436">
        <f>IF(NFI_Expiration=1,IF($A490&lt;VLOOKUP(K$5,NFI,5,0),1,0)*Table_NFI[[#This Row],[Mosquito net]],Table_NFI[Mosquito net])</f>
        <v>0</v>
      </c>
      <c r="AA490" s="436">
        <f>IF(NFI_Expiration=1,IF($A490&lt;VLOOKUP(L$5,NFI,5,0),1,0)*Table_NFI[[#This Row],[Tarpaulin]],Table_NFI[[#This Row],[Tarpaulin]])</f>
        <v>0</v>
      </c>
      <c r="AB490" s="436">
        <f>IF(NFI_Expiration=1,IF($A490&lt;VLOOKUP(M$5,NFI,5,0),1,0)*Table_NFI[[#This Row],[Blanket]],Table_NFI[[#This Row],[Blanket]])</f>
        <v>0</v>
      </c>
      <c r="AC490" s="436">
        <f>IF(NFI_Expiration=1,IF($A490&lt;VLOOKUP(N$5,NFI,5,0),1,0)*Table_NFI[[#This Row],[Kitchen Set]],Table_NFI[Kitchen Set])</f>
        <v>0</v>
      </c>
      <c r="AD490" s="436">
        <f>IF(NFI_Expiration=1,IF($A490&lt;VLOOKUP(O$5,NFI,5,0),1,0)*Table_NFI[[#This Row],[Clothes Kit]],Table_NFI[Clothes Kit])</f>
        <v>0</v>
      </c>
      <c r="AE490" s="436">
        <f>IF(NFI_Expiration=1,IF($A490&lt;VLOOKUP(P$5,NFI,5,0),1,0)*Table_NFI[[#This Row],[Plastic Bucket]],Table_NFI[Plastic Bucket])</f>
        <v>0</v>
      </c>
      <c r="AF490" s="436">
        <f>IF(NFI_Expiration=1,IF($A490&lt;VLOOKUP(Q$5,NFI,5,0),1,0)*Table_NFI[[#This Row],[Plastic Mat]],Table_NFI[Plastic Mat])*IF(Table_NFI[[#This Row],[Distribution Date]]&gt;"2014-04-01",1,2.5)</f>
        <v>0</v>
      </c>
      <c r="AG490" s="436">
        <f>IF(NFI_Expiration=1,IF($A490&lt;VLOOKUP(R$5,NFI,5,0),1,0)*Table_NFI[[#This Row],[Winter Clothes Adult]],Table_NFI[Winter Clothes Adult])</f>
        <v>0</v>
      </c>
      <c r="AH490" s="436">
        <f>IF(NFI_Expiration=1,IF($A490&lt;VLOOKUP(S$5,NFI,5,0),1,0)*Table_NFI[[#This Row],[Winter Clothes Children]],Table_NFI[Winter Clothes Children])</f>
        <v>0</v>
      </c>
      <c r="AI490" s="436">
        <f>IF(NFI_Expiration=1,IF($A490&lt;VLOOKUP(T$5,NFI,5,0),1,0)*Table_NFI[[#This Row],[Winter Items Other]],Table_NFI[Winter Items Other])</f>
        <v>0</v>
      </c>
      <c r="AJ490" s="436">
        <f>IF(NFI_Expiration=1,IF($A490&lt;VLOOKUP(M$5,NFI,5,0),1,0)*Table_NFI[[#This Row],[Winter Blanket]],Table_NFI[[#This Row],[Winter Blanket]])</f>
        <v>0</v>
      </c>
      <c r="AK490" s="436">
        <f>IF(Table_NFI[[#This Row],[Winter Clothes Adult]]+Table_NFI[[#This Row],[Winter Clothes Children]]+Table_NFI[[#This Row],[Winter Items Other]]+Table_NFI[[#This Row],[Winter Blanket]]&gt;0,1,0)</f>
        <v>0</v>
      </c>
      <c r="AL490" s="439">
        <f>IF(NFI_Expiration=1,IF($A490&lt;VLOOKUP(V$5,NFI,5,0),1,0)*Table_NFI[[#This Row],[Jerry Can]],Table_NFI[Jerry Can])</f>
        <v>0</v>
      </c>
      <c r="AM490" s="781" t="str">
        <f>IFERROR(VLOOKUP(Table_NFI[[#This Row],[Camp Name]],CL,2,0),"")</f>
        <v/>
      </c>
      <c r="AN490" s="782" t="str">
        <f ca="1">IF(Table_NFI[[#This Row],[Pcode]]="","",IF(OFFSET(CampList[Opening Date],MATCH(Table_NFI[[#This Row],[Pcode]],CampList[CP_Pcode],0)-1,0,1,1)&gt;=NFI_Monitor_Date,1,0))</f>
        <v/>
      </c>
      <c r="AO490" s="781" t="str">
        <f>IFERROR(VLOOKUP(Table_NFI[[#This Row],[Camp Name]],CL,3,0),"")</f>
        <v/>
      </c>
      <c r="AP490" s="436" t="str">
        <f ca="1">IF(Table_NFI[[#This Row],[Pcode]]="","",OFFSET(CampList[Priority],MATCH(Table_NFI[[#This Row],[Pcode]],CampList[CP_Pcode],0)-1,0,1,1))</f>
        <v/>
      </c>
      <c r="AQ490" s="438" t="str">
        <f>IFERROR(Table_NFI[[#This Row],[Kitchen Set]]/VLOOKUP(Table_NFI[[#This Row],[Camp Name]],CL,4,0),"")</f>
        <v/>
      </c>
      <c r="AR490" s="779" t="s">
        <v>1099</v>
      </c>
      <c r="AS490" s="783"/>
    </row>
    <row r="491" spans="1:45" s="784" customFormat="1" x14ac:dyDescent="0.25">
      <c r="A491" s="455">
        <f t="shared" si="7"/>
        <v>27</v>
      </c>
      <c r="B491" s="778">
        <v>41499</v>
      </c>
      <c r="C491" s="779" t="s">
        <v>454</v>
      </c>
      <c r="D491" s="779" t="s">
        <v>508</v>
      </c>
      <c r="E491" s="779" t="s">
        <v>555</v>
      </c>
      <c r="F491" s="779" t="s">
        <v>166</v>
      </c>
      <c r="G491" s="435" t="s">
        <v>12</v>
      </c>
      <c r="H491" s="436"/>
      <c r="I491" s="436"/>
      <c r="J491" s="436">
        <v>49</v>
      </c>
      <c r="K491" s="436">
        <v>90</v>
      </c>
      <c r="L491" s="437">
        <v>30</v>
      </c>
      <c r="M491" s="437">
        <v>90</v>
      </c>
      <c r="N491" s="437">
        <v>30</v>
      </c>
      <c r="O491" s="437">
        <v>30</v>
      </c>
      <c r="P491" s="437">
        <v>30</v>
      </c>
      <c r="Q491" s="437">
        <v>30</v>
      </c>
      <c r="R491" s="436"/>
      <c r="S491" s="436"/>
      <c r="T491" s="436"/>
      <c r="U491" s="436"/>
      <c r="V491" s="436"/>
      <c r="W491" s="436">
        <f>IF(NFI_Expiration=1,IF($A491&lt;VLOOKUP(H$5,NFI,5,0),1,0)*Table_NFI[[#This Row],[Hygiene Kit]],Table_NFI[Hygiene Kit])</f>
        <v>0</v>
      </c>
      <c r="X491" s="436">
        <f>IF(NFI_Expiration=1,IF($A491&lt;VLOOKUP(I$5,NFI,5,0),1,0)*Table_NFI[[#This Row],[NFI Core Kit]],Table_NFI[NFI Core Kit])</f>
        <v>0</v>
      </c>
      <c r="Y491" s="436">
        <f>IF(NFI_Expiration=1,IF($A491&lt;VLOOKUP(J$5,NFI,5,0),1,0)*Table_NFI[[#This Row],[Sanitary Kit]],Table_NFI[Sanitary Kit])</f>
        <v>0</v>
      </c>
      <c r="Z491" s="436">
        <f>IF(NFI_Expiration=1,IF($A491&lt;VLOOKUP(K$5,NFI,5,0),1,0)*Table_NFI[[#This Row],[Mosquito net]],Table_NFI[Mosquito net])</f>
        <v>0</v>
      </c>
      <c r="AA491" s="436">
        <f>IF(NFI_Expiration=1,IF($A491&lt;VLOOKUP(L$5,NFI,5,0),1,0)*Table_NFI[[#This Row],[Tarpaulin]],Table_NFI[[#This Row],[Tarpaulin]])</f>
        <v>0</v>
      </c>
      <c r="AB491" s="436">
        <f>IF(NFI_Expiration=1,IF($A491&lt;VLOOKUP(M$5,NFI,5,0),1,0)*Table_NFI[[#This Row],[Blanket]],Table_NFI[[#This Row],[Blanket]])</f>
        <v>0</v>
      </c>
      <c r="AC491" s="436">
        <f>IF(NFI_Expiration=1,IF($A491&lt;VLOOKUP(N$5,NFI,5,0),1,0)*Table_NFI[[#This Row],[Kitchen Set]],Table_NFI[Kitchen Set])</f>
        <v>0</v>
      </c>
      <c r="AD491" s="436">
        <f>IF(NFI_Expiration=1,IF($A491&lt;VLOOKUP(O$5,NFI,5,0),1,0)*Table_NFI[[#This Row],[Clothes Kit]],Table_NFI[Clothes Kit])</f>
        <v>0</v>
      </c>
      <c r="AE491" s="436">
        <f>IF(NFI_Expiration=1,IF($A491&lt;VLOOKUP(P$5,NFI,5,0),1,0)*Table_NFI[[#This Row],[Plastic Bucket]],Table_NFI[Plastic Bucket])</f>
        <v>0</v>
      </c>
      <c r="AF491" s="436">
        <f>IF(NFI_Expiration=1,IF($A491&lt;VLOOKUP(Q$5,NFI,5,0),1,0)*Table_NFI[[#This Row],[Plastic Mat]],Table_NFI[Plastic Mat])*IF(Table_NFI[[#This Row],[Distribution Date]]&gt;"2014-04-01",1,2.5)</f>
        <v>0</v>
      </c>
      <c r="AG491" s="436">
        <f>IF(NFI_Expiration=1,IF($A491&lt;VLOOKUP(R$5,NFI,5,0),1,0)*Table_NFI[[#This Row],[Winter Clothes Adult]],Table_NFI[Winter Clothes Adult])</f>
        <v>0</v>
      </c>
      <c r="AH491" s="436">
        <f>IF(NFI_Expiration=1,IF($A491&lt;VLOOKUP(S$5,NFI,5,0),1,0)*Table_NFI[[#This Row],[Winter Clothes Children]],Table_NFI[Winter Clothes Children])</f>
        <v>0</v>
      </c>
      <c r="AI491" s="436">
        <f>IF(NFI_Expiration=1,IF($A491&lt;VLOOKUP(T$5,NFI,5,0),1,0)*Table_NFI[[#This Row],[Winter Items Other]],Table_NFI[Winter Items Other])</f>
        <v>0</v>
      </c>
      <c r="AJ491" s="436">
        <f>IF(NFI_Expiration=1,IF($A491&lt;VLOOKUP(M$5,NFI,5,0),1,0)*Table_NFI[[#This Row],[Winter Blanket]],Table_NFI[[#This Row],[Winter Blanket]])</f>
        <v>0</v>
      </c>
      <c r="AK491" s="436">
        <f>IF(Table_NFI[[#This Row],[Winter Clothes Adult]]+Table_NFI[[#This Row],[Winter Clothes Children]]+Table_NFI[[#This Row],[Winter Items Other]]+Table_NFI[[#This Row],[Winter Blanket]]&gt;0,1,0)</f>
        <v>0</v>
      </c>
      <c r="AL491" s="439">
        <f>IF(NFI_Expiration=1,IF($A491&lt;VLOOKUP(V$5,NFI,5,0),1,0)*Table_NFI[[#This Row],[Jerry Can]],Table_NFI[Jerry Can])</f>
        <v>0</v>
      </c>
      <c r="AM491" s="781" t="str">
        <f>IFERROR(VLOOKUP(Table_NFI[[#This Row],[Camp Name]],CL,2,0),"")</f>
        <v>MMR001CMP163</v>
      </c>
      <c r="AN491" s="782">
        <f ca="1">IF(Table_NFI[[#This Row],[Pcode]]="","",IF(OFFSET(CampList[Opening Date],MATCH(Table_NFI[[#This Row],[Pcode]],CampList[CP_Pcode],0)-1,0,1,1)&gt;=NFI_Monitor_Date,1,0))</f>
        <v>0</v>
      </c>
      <c r="AO491" s="781" t="str">
        <f>IFERROR(VLOOKUP(Table_NFI[[#This Row],[Camp Name]],CL,3,0),"")</f>
        <v>Open</v>
      </c>
      <c r="AP491" s="436" t="str">
        <f ca="1">IF(Table_NFI[[#This Row],[Pcode]]="","",OFFSET(CampList[Priority],MATCH(Table_NFI[[#This Row],[Pcode]],CampList[CP_Pcode],0)-1,0,1,1))</f>
        <v>P4</v>
      </c>
      <c r="AQ491" s="438">
        <f>IFERROR(Table_NFI[[#This Row],[Kitchen Set]]/VLOOKUP(Table_NFI[[#This Row],[Camp Name]],CL,4,0),"")</f>
        <v>0.14218009478672985</v>
      </c>
      <c r="AR491" s="779" t="s">
        <v>1099</v>
      </c>
      <c r="AS491" s="783"/>
    </row>
    <row r="492" spans="1:45" s="784" customFormat="1" x14ac:dyDescent="0.25">
      <c r="A492" s="455">
        <f t="shared" si="7"/>
        <v>27</v>
      </c>
      <c r="B492" s="778">
        <v>41499</v>
      </c>
      <c r="C492" s="779" t="s">
        <v>454</v>
      </c>
      <c r="D492" s="779" t="s">
        <v>462</v>
      </c>
      <c r="E492" s="779" t="s">
        <v>555</v>
      </c>
      <c r="F492" s="779" t="s">
        <v>146</v>
      </c>
      <c r="G492" s="435" t="s">
        <v>372</v>
      </c>
      <c r="H492" s="436"/>
      <c r="I492" s="436"/>
      <c r="J492" s="436">
        <v>70</v>
      </c>
      <c r="K492" s="436">
        <v>120</v>
      </c>
      <c r="L492" s="437">
        <v>48</v>
      </c>
      <c r="M492" s="437">
        <v>120</v>
      </c>
      <c r="N492" s="437">
        <v>48</v>
      </c>
      <c r="O492" s="437">
        <v>48</v>
      </c>
      <c r="P492" s="437">
        <v>48</v>
      </c>
      <c r="Q492" s="437">
        <v>48</v>
      </c>
      <c r="R492" s="436"/>
      <c r="S492" s="436"/>
      <c r="T492" s="436"/>
      <c r="U492" s="436"/>
      <c r="V492" s="436"/>
      <c r="W492" s="436">
        <f>IF(NFI_Expiration=1,IF($A492&lt;VLOOKUP(H$5,NFI,5,0),1,0)*Table_NFI[[#This Row],[Hygiene Kit]],Table_NFI[Hygiene Kit])</f>
        <v>0</v>
      </c>
      <c r="X492" s="436">
        <f>IF(NFI_Expiration=1,IF($A492&lt;VLOOKUP(I$5,NFI,5,0),1,0)*Table_NFI[[#This Row],[NFI Core Kit]],Table_NFI[NFI Core Kit])</f>
        <v>0</v>
      </c>
      <c r="Y492" s="436">
        <f>IF(NFI_Expiration=1,IF($A492&lt;VLOOKUP(J$5,NFI,5,0),1,0)*Table_NFI[[#This Row],[Sanitary Kit]],Table_NFI[Sanitary Kit])</f>
        <v>0</v>
      </c>
      <c r="Z492" s="436">
        <f>IF(NFI_Expiration=1,IF($A492&lt;VLOOKUP(K$5,NFI,5,0),1,0)*Table_NFI[[#This Row],[Mosquito net]],Table_NFI[Mosquito net])</f>
        <v>0</v>
      </c>
      <c r="AA492" s="436">
        <f>IF(NFI_Expiration=1,IF($A492&lt;VLOOKUP(L$5,NFI,5,0),1,0)*Table_NFI[[#This Row],[Tarpaulin]],Table_NFI[[#This Row],[Tarpaulin]])</f>
        <v>0</v>
      </c>
      <c r="AB492" s="436">
        <f>IF(NFI_Expiration=1,IF($A492&lt;VLOOKUP(M$5,NFI,5,0),1,0)*Table_NFI[[#This Row],[Blanket]],Table_NFI[[#This Row],[Blanket]])</f>
        <v>0</v>
      </c>
      <c r="AC492" s="436">
        <f>IF(NFI_Expiration=1,IF($A492&lt;VLOOKUP(N$5,NFI,5,0),1,0)*Table_NFI[[#This Row],[Kitchen Set]],Table_NFI[Kitchen Set])</f>
        <v>0</v>
      </c>
      <c r="AD492" s="436">
        <f>IF(NFI_Expiration=1,IF($A492&lt;VLOOKUP(O$5,NFI,5,0),1,0)*Table_NFI[[#This Row],[Clothes Kit]],Table_NFI[Clothes Kit])</f>
        <v>0</v>
      </c>
      <c r="AE492" s="436">
        <f>IF(NFI_Expiration=1,IF($A492&lt;VLOOKUP(P$5,NFI,5,0),1,0)*Table_NFI[[#This Row],[Plastic Bucket]],Table_NFI[Plastic Bucket])</f>
        <v>0</v>
      </c>
      <c r="AF492" s="436">
        <f>IF(NFI_Expiration=1,IF($A492&lt;VLOOKUP(Q$5,NFI,5,0),1,0)*Table_NFI[[#This Row],[Plastic Mat]],Table_NFI[Plastic Mat])*IF(Table_NFI[[#This Row],[Distribution Date]]&gt;"2014-04-01",1,2.5)</f>
        <v>0</v>
      </c>
      <c r="AG492" s="436">
        <f>IF(NFI_Expiration=1,IF($A492&lt;VLOOKUP(R$5,NFI,5,0),1,0)*Table_NFI[[#This Row],[Winter Clothes Adult]],Table_NFI[Winter Clothes Adult])</f>
        <v>0</v>
      </c>
      <c r="AH492" s="436">
        <f>IF(NFI_Expiration=1,IF($A492&lt;VLOOKUP(S$5,NFI,5,0),1,0)*Table_NFI[[#This Row],[Winter Clothes Children]],Table_NFI[Winter Clothes Children])</f>
        <v>0</v>
      </c>
      <c r="AI492" s="436">
        <f>IF(NFI_Expiration=1,IF($A492&lt;VLOOKUP(T$5,NFI,5,0),1,0)*Table_NFI[[#This Row],[Winter Items Other]],Table_NFI[Winter Items Other])</f>
        <v>0</v>
      </c>
      <c r="AJ492" s="436">
        <f>IF(NFI_Expiration=1,IF($A492&lt;VLOOKUP(M$5,NFI,5,0),1,0)*Table_NFI[[#This Row],[Winter Blanket]],Table_NFI[[#This Row],[Winter Blanket]])</f>
        <v>0</v>
      </c>
      <c r="AK492" s="436">
        <f>IF(Table_NFI[[#This Row],[Winter Clothes Adult]]+Table_NFI[[#This Row],[Winter Clothes Children]]+Table_NFI[[#This Row],[Winter Items Other]]+Table_NFI[[#This Row],[Winter Blanket]]&gt;0,1,0)</f>
        <v>0</v>
      </c>
      <c r="AL492" s="439">
        <f>IF(NFI_Expiration=1,IF($A492&lt;VLOOKUP(V$5,NFI,5,0),1,0)*Table_NFI[[#This Row],[Jerry Can]],Table_NFI[Jerry Can])</f>
        <v>0</v>
      </c>
      <c r="AM492" s="781" t="str">
        <f>IFERROR(VLOOKUP(Table_NFI[[#This Row],[Camp Name]],CL,2,0),"")</f>
        <v>MMR015CMP015</v>
      </c>
      <c r="AN492" s="782">
        <f ca="1">IF(Table_NFI[[#This Row],[Pcode]]="","",IF(OFFSET(CampList[Opening Date],MATCH(Table_NFI[[#This Row],[Pcode]],CampList[CP_Pcode],0)-1,0,1,1)&gt;=NFI_Monitor_Date,1,0))</f>
        <v>0</v>
      </c>
      <c r="AO492" s="781" t="str">
        <f>IFERROR(VLOOKUP(Table_NFI[[#This Row],[Camp Name]],CL,3,0),"")</f>
        <v>Open</v>
      </c>
      <c r="AP492" s="436" t="str">
        <f ca="1">IF(Table_NFI[[#This Row],[Pcode]]="","",OFFSET(CampList[Priority],MATCH(Table_NFI[[#This Row],[Pcode]],CampList[CP_Pcode],0)-1,0,1,1))</f>
        <v>P3</v>
      </c>
      <c r="AQ492" s="438">
        <f>IFERROR(Table_NFI[[#This Row],[Kitchen Set]]/VLOOKUP(Table_NFI[[#This Row],[Camp Name]],CL,4,0),"")</f>
        <v>0.55172413793103448</v>
      </c>
      <c r="AR492" s="779" t="s">
        <v>1099</v>
      </c>
      <c r="AS492" s="783"/>
    </row>
    <row r="493" spans="1:45" s="784" customFormat="1" x14ac:dyDescent="0.25">
      <c r="A493" s="455">
        <f t="shared" si="7"/>
        <v>27</v>
      </c>
      <c r="B493" s="778">
        <v>41499</v>
      </c>
      <c r="C493" s="779" t="s">
        <v>454</v>
      </c>
      <c r="D493" s="780" t="s">
        <v>508</v>
      </c>
      <c r="E493" s="779" t="s">
        <v>555</v>
      </c>
      <c r="F493" s="435" t="s">
        <v>146</v>
      </c>
      <c r="G493" s="435" t="s">
        <v>370</v>
      </c>
      <c r="H493" s="436"/>
      <c r="I493" s="436"/>
      <c r="J493" s="436">
        <v>47</v>
      </c>
      <c r="K493" s="436">
        <v>103</v>
      </c>
      <c r="L493" s="437">
        <v>41</v>
      </c>
      <c r="M493" s="437">
        <v>103</v>
      </c>
      <c r="N493" s="437">
        <v>41</v>
      </c>
      <c r="O493" s="437">
        <v>41</v>
      </c>
      <c r="P493" s="437">
        <v>41</v>
      </c>
      <c r="Q493" s="437">
        <v>41</v>
      </c>
      <c r="R493" s="436"/>
      <c r="S493" s="436"/>
      <c r="T493" s="436"/>
      <c r="U493" s="436"/>
      <c r="V493" s="436"/>
      <c r="W493" s="436">
        <f>IF(NFI_Expiration=1,IF($A493&lt;VLOOKUP(H$5,NFI,5,0),1,0)*Table_NFI[[#This Row],[Hygiene Kit]],Table_NFI[Hygiene Kit])</f>
        <v>0</v>
      </c>
      <c r="X493" s="436">
        <f>IF(NFI_Expiration=1,IF($A493&lt;VLOOKUP(I$5,NFI,5,0),1,0)*Table_NFI[[#This Row],[NFI Core Kit]],Table_NFI[NFI Core Kit])</f>
        <v>0</v>
      </c>
      <c r="Y493" s="436">
        <f>IF(NFI_Expiration=1,IF($A493&lt;VLOOKUP(J$5,NFI,5,0),1,0)*Table_NFI[[#This Row],[Sanitary Kit]],Table_NFI[Sanitary Kit])</f>
        <v>0</v>
      </c>
      <c r="Z493" s="436">
        <f>IF(NFI_Expiration=1,IF($A493&lt;VLOOKUP(K$5,NFI,5,0),1,0)*Table_NFI[[#This Row],[Mosquito net]],Table_NFI[Mosquito net])</f>
        <v>0</v>
      </c>
      <c r="AA493" s="436">
        <f>IF(NFI_Expiration=1,IF($A493&lt;VLOOKUP(L$5,NFI,5,0),1,0)*Table_NFI[[#This Row],[Tarpaulin]],Table_NFI[[#This Row],[Tarpaulin]])</f>
        <v>0</v>
      </c>
      <c r="AB493" s="436">
        <f>IF(NFI_Expiration=1,IF($A493&lt;VLOOKUP(M$5,NFI,5,0),1,0)*Table_NFI[[#This Row],[Blanket]],Table_NFI[[#This Row],[Blanket]])</f>
        <v>0</v>
      </c>
      <c r="AC493" s="436">
        <f>IF(NFI_Expiration=1,IF($A493&lt;VLOOKUP(N$5,NFI,5,0),1,0)*Table_NFI[[#This Row],[Kitchen Set]],Table_NFI[Kitchen Set])</f>
        <v>0</v>
      </c>
      <c r="AD493" s="436">
        <f>IF(NFI_Expiration=1,IF($A493&lt;VLOOKUP(O$5,NFI,5,0),1,0)*Table_NFI[[#This Row],[Clothes Kit]],Table_NFI[Clothes Kit])</f>
        <v>0</v>
      </c>
      <c r="AE493" s="436">
        <f>IF(NFI_Expiration=1,IF($A493&lt;VLOOKUP(P$5,NFI,5,0),1,0)*Table_NFI[[#This Row],[Plastic Bucket]],Table_NFI[Plastic Bucket])</f>
        <v>0</v>
      </c>
      <c r="AF493" s="436">
        <f>IF(NFI_Expiration=1,IF($A493&lt;VLOOKUP(Q$5,NFI,5,0),1,0)*Table_NFI[[#This Row],[Plastic Mat]],Table_NFI[Plastic Mat])*IF(Table_NFI[[#This Row],[Distribution Date]]&gt;"2014-04-01",1,2.5)</f>
        <v>0</v>
      </c>
      <c r="AG493" s="436">
        <f>IF(NFI_Expiration=1,IF($A493&lt;VLOOKUP(R$5,NFI,5,0),1,0)*Table_NFI[[#This Row],[Winter Clothes Adult]],Table_NFI[Winter Clothes Adult])</f>
        <v>0</v>
      </c>
      <c r="AH493" s="436">
        <f>IF(NFI_Expiration=1,IF($A493&lt;VLOOKUP(S$5,NFI,5,0),1,0)*Table_NFI[[#This Row],[Winter Clothes Children]],Table_NFI[Winter Clothes Children])</f>
        <v>0</v>
      </c>
      <c r="AI493" s="436">
        <f>IF(NFI_Expiration=1,IF($A493&lt;VLOOKUP(T$5,NFI,5,0),1,0)*Table_NFI[[#This Row],[Winter Items Other]],Table_NFI[Winter Items Other])</f>
        <v>0</v>
      </c>
      <c r="AJ493" s="436">
        <f>IF(NFI_Expiration=1,IF($A493&lt;VLOOKUP(M$5,NFI,5,0),1,0)*Table_NFI[[#This Row],[Winter Blanket]],Table_NFI[[#This Row],[Winter Blanket]])</f>
        <v>0</v>
      </c>
      <c r="AK493" s="436">
        <f>IF(Table_NFI[[#This Row],[Winter Clothes Adult]]+Table_NFI[[#This Row],[Winter Clothes Children]]+Table_NFI[[#This Row],[Winter Items Other]]+Table_NFI[[#This Row],[Winter Blanket]]&gt;0,1,0)</f>
        <v>0</v>
      </c>
      <c r="AL493" s="439">
        <f>IF(NFI_Expiration=1,IF($A493&lt;VLOOKUP(V$5,NFI,5,0),1,0)*Table_NFI[[#This Row],[Jerry Can]],Table_NFI[Jerry Can])</f>
        <v>0</v>
      </c>
      <c r="AM493" s="781" t="str">
        <f>IFERROR(VLOOKUP(Table_NFI[[#This Row],[Camp Name]],CL,2,0),"")</f>
        <v>MMR015CMP017</v>
      </c>
      <c r="AN493" s="782">
        <f ca="1">IF(Table_NFI[[#This Row],[Pcode]]="","",IF(OFFSET(CampList[Opening Date],MATCH(Table_NFI[[#This Row],[Pcode]],CampList[CP_Pcode],0)-1,0,1,1)&gt;=NFI_Monitor_Date,1,0))</f>
        <v>0</v>
      </c>
      <c r="AO493" s="781" t="str">
        <f>IFERROR(VLOOKUP(Table_NFI[[#This Row],[Camp Name]],CL,3,0),"")</f>
        <v>Open</v>
      </c>
      <c r="AP493" s="436" t="str">
        <f ca="1">IF(Table_NFI[[#This Row],[Pcode]]="","",OFFSET(CampList[Priority],MATCH(Table_NFI[[#This Row],[Pcode]],CampList[CP_Pcode],0)-1,0,1,1))</f>
        <v>P3</v>
      </c>
      <c r="AQ493" s="438">
        <f>IFERROR(Table_NFI[[#This Row],[Kitchen Set]]/VLOOKUP(Table_NFI[[#This Row],[Camp Name]],CL,4,0),"")</f>
        <v>1.3666666666666667</v>
      </c>
      <c r="AR493" s="779" t="s">
        <v>1099</v>
      </c>
      <c r="AS493" s="783"/>
    </row>
    <row r="494" spans="1:45" s="784" customFormat="1" x14ac:dyDescent="0.25">
      <c r="A494" s="455">
        <f t="shared" si="7"/>
        <v>27</v>
      </c>
      <c r="B494" s="778">
        <v>41499</v>
      </c>
      <c r="C494" s="779" t="s">
        <v>454</v>
      </c>
      <c r="D494" s="780" t="s">
        <v>462</v>
      </c>
      <c r="E494" s="779" t="s">
        <v>555</v>
      </c>
      <c r="F494" s="435" t="s">
        <v>166</v>
      </c>
      <c r="G494" s="435" t="s">
        <v>167</v>
      </c>
      <c r="H494" s="436"/>
      <c r="I494" s="436"/>
      <c r="J494" s="436">
        <v>36</v>
      </c>
      <c r="K494" s="436">
        <v>84</v>
      </c>
      <c r="L494" s="437">
        <v>42</v>
      </c>
      <c r="M494" s="437">
        <v>84</v>
      </c>
      <c r="N494" s="437">
        <v>42</v>
      </c>
      <c r="O494" s="437">
        <v>42</v>
      </c>
      <c r="P494" s="437">
        <v>42</v>
      </c>
      <c r="Q494" s="437">
        <v>42</v>
      </c>
      <c r="R494" s="436"/>
      <c r="S494" s="436"/>
      <c r="T494" s="436"/>
      <c r="U494" s="436"/>
      <c r="V494" s="436"/>
      <c r="W494" s="436">
        <f>IF(NFI_Expiration=1,IF($A494&lt;VLOOKUP(H$5,NFI,5,0),1,0)*Table_NFI[[#This Row],[Hygiene Kit]],Table_NFI[Hygiene Kit])</f>
        <v>0</v>
      </c>
      <c r="X494" s="436">
        <f>IF(NFI_Expiration=1,IF($A494&lt;VLOOKUP(I$5,NFI,5,0),1,0)*Table_NFI[[#This Row],[NFI Core Kit]],Table_NFI[NFI Core Kit])</f>
        <v>0</v>
      </c>
      <c r="Y494" s="436">
        <f>IF(NFI_Expiration=1,IF($A494&lt;VLOOKUP(J$5,NFI,5,0),1,0)*Table_NFI[[#This Row],[Sanitary Kit]],Table_NFI[Sanitary Kit])</f>
        <v>0</v>
      </c>
      <c r="Z494" s="436">
        <f>IF(NFI_Expiration=1,IF($A494&lt;VLOOKUP(K$5,NFI,5,0),1,0)*Table_NFI[[#This Row],[Mosquito net]],Table_NFI[Mosquito net])</f>
        <v>0</v>
      </c>
      <c r="AA494" s="436">
        <f>IF(NFI_Expiration=1,IF($A494&lt;VLOOKUP(L$5,NFI,5,0),1,0)*Table_NFI[[#This Row],[Tarpaulin]],Table_NFI[[#This Row],[Tarpaulin]])</f>
        <v>0</v>
      </c>
      <c r="AB494" s="436">
        <f>IF(NFI_Expiration=1,IF($A494&lt;VLOOKUP(M$5,NFI,5,0),1,0)*Table_NFI[[#This Row],[Blanket]],Table_NFI[[#This Row],[Blanket]])</f>
        <v>0</v>
      </c>
      <c r="AC494" s="436">
        <f>IF(NFI_Expiration=1,IF($A494&lt;VLOOKUP(N$5,NFI,5,0),1,0)*Table_NFI[[#This Row],[Kitchen Set]],Table_NFI[Kitchen Set])</f>
        <v>0</v>
      </c>
      <c r="AD494" s="436">
        <f>IF(NFI_Expiration=1,IF($A494&lt;VLOOKUP(O$5,NFI,5,0),1,0)*Table_NFI[[#This Row],[Clothes Kit]],Table_NFI[Clothes Kit])</f>
        <v>0</v>
      </c>
      <c r="AE494" s="436">
        <f>IF(NFI_Expiration=1,IF($A494&lt;VLOOKUP(P$5,NFI,5,0),1,0)*Table_NFI[[#This Row],[Plastic Bucket]],Table_NFI[Plastic Bucket])</f>
        <v>0</v>
      </c>
      <c r="AF494" s="436">
        <f>IF(NFI_Expiration=1,IF($A494&lt;VLOOKUP(Q$5,NFI,5,0),1,0)*Table_NFI[[#This Row],[Plastic Mat]],Table_NFI[Plastic Mat])*IF(Table_NFI[[#This Row],[Distribution Date]]&gt;"2014-04-01",1,2.5)</f>
        <v>0</v>
      </c>
      <c r="AG494" s="436">
        <f>IF(NFI_Expiration=1,IF($A494&lt;VLOOKUP(R$5,NFI,5,0),1,0)*Table_NFI[[#This Row],[Winter Clothes Adult]],Table_NFI[Winter Clothes Adult])</f>
        <v>0</v>
      </c>
      <c r="AH494" s="436">
        <f>IF(NFI_Expiration=1,IF($A494&lt;VLOOKUP(S$5,NFI,5,0),1,0)*Table_NFI[[#This Row],[Winter Clothes Children]],Table_NFI[Winter Clothes Children])</f>
        <v>0</v>
      </c>
      <c r="AI494" s="436">
        <f>IF(NFI_Expiration=1,IF($A494&lt;VLOOKUP(T$5,NFI,5,0),1,0)*Table_NFI[[#This Row],[Winter Items Other]],Table_NFI[Winter Items Other])</f>
        <v>0</v>
      </c>
      <c r="AJ494" s="436">
        <f>IF(NFI_Expiration=1,IF($A494&lt;VLOOKUP(M$5,NFI,5,0),1,0)*Table_NFI[[#This Row],[Winter Blanket]],Table_NFI[[#This Row],[Winter Blanket]])</f>
        <v>0</v>
      </c>
      <c r="AK494" s="436">
        <f>IF(Table_NFI[[#This Row],[Winter Clothes Adult]]+Table_NFI[[#This Row],[Winter Clothes Children]]+Table_NFI[[#This Row],[Winter Items Other]]+Table_NFI[[#This Row],[Winter Blanket]]&gt;0,1,0)</f>
        <v>0</v>
      </c>
      <c r="AL494" s="439">
        <f>IF(NFI_Expiration=1,IF($A494&lt;VLOOKUP(V$5,NFI,5,0),1,0)*Table_NFI[[#This Row],[Jerry Can]],Table_NFI[Jerry Can])</f>
        <v>0</v>
      </c>
      <c r="AM494" s="781" t="str">
        <f>IFERROR(VLOOKUP(Table_NFI[[#This Row],[Camp Name]],CL,2,0),"")</f>
        <v>MMR015CMP009</v>
      </c>
      <c r="AN494" s="782">
        <f ca="1">IF(Table_NFI[[#This Row],[Pcode]]="","",IF(OFFSET(CampList[Opening Date],MATCH(Table_NFI[[#This Row],[Pcode]],CampList[CP_Pcode],0)-1,0,1,1)&gt;=NFI_Monitor_Date,1,0))</f>
        <v>0</v>
      </c>
      <c r="AO494" s="781" t="str">
        <f>IFERROR(VLOOKUP(Table_NFI[[#This Row],[Camp Name]],CL,3,0),"")</f>
        <v>Open</v>
      </c>
      <c r="AP494" s="436" t="str">
        <f ca="1">IF(Table_NFI[[#This Row],[Pcode]]="","",OFFSET(CampList[Priority],MATCH(Table_NFI[[#This Row],[Pcode]],CampList[CP_Pcode],0)-1,0,1,1))</f>
        <v>P2</v>
      </c>
      <c r="AQ494" s="438">
        <f>IFERROR(Table_NFI[[#This Row],[Kitchen Set]]/VLOOKUP(Table_NFI[[#This Row],[Camp Name]],CL,4,0),"")</f>
        <v>1.1052631578947369</v>
      </c>
      <c r="AR494" s="779" t="s">
        <v>1099</v>
      </c>
      <c r="AS494" s="783"/>
    </row>
    <row r="495" spans="1:45" s="784" customFormat="1" x14ac:dyDescent="0.25">
      <c r="A495" s="455">
        <f t="shared" si="7"/>
        <v>27</v>
      </c>
      <c r="B495" s="778">
        <v>41499</v>
      </c>
      <c r="C495" s="779" t="s">
        <v>454</v>
      </c>
      <c r="D495" s="780" t="s">
        <v>462</v>
      </c>
      <c r="E495" s="779" t="s">
        <v>555</v>
      </c>
      <c r="F495" s="435" t="s">
        <v>146</v>
      </c>
      <c r="G495" s="435" t="s">
        <v>368</v>
      </c>
      <c r="H495" s="436"/>
      <c r="I495" s="436"/>
      <c r="J495" s="436">
        <v>113</v>
      </c>
      <c r="K495" s="436">
        <v>160</v>
      </c>
      <c r="L495" s="437">
        <v>32</v>
      </c>
      <c r="M495" s="437">
        <v>160</v>
      </c>
      <c r="N495" s="437">
        <v>32</v>
      </c>
      <c r="O495" s="437">
        <v>32</v>
      </c>
      <c r="P495" s="437">
        <v>32</v>
      </c>
      <c r="Q495" s="437">
        <v>32</v>
      </c>
      <c r="R495" s="436"/>
      <c r="S495" s="436"/>
      <c r="T495" s="436"/>
      <c r="U495" s="436"/>
      <c r="V495" s="436"/>
      <c r="W495" s="436">
        <f>IF(NFI_Expiration=1,IF($A495&lt;VLOOKUP(H$5,NFI,5,0),1,0)*Table_NFI[[#This Row],[Hygiene Kit]],Table_NFI[Hygiene Kit])</f>
        <v>0</v>
      </c>
      <c r="X495" s="436">
        <f>IF(NFI_Expiration=1,IF($A495&lt;VLOOKUP(I$5,NFI,5,0),1,0)*Table_NFI[[#This Row],[NFI Core Kit]],Table_NFI[NFI Core Kit])</f>
        <v>0</v>
      </c>
      <c r="Y495" s="436">
        <f>IF(NFI_Expiration=1,IF($A495&lt;VLOOKUP(J$5,NFI,5,0),1,0)*Table_NFI[[#This Row],[Sanitary Kit]],Table_NFI[Sanitary Kit])</f>
        <v>0</v>
      </c>
      <c r="Z495" s="436">
        <f>IF(NFI_Expiration=1,IF($A495&lt;VLOOKUP(K$5,NFI,5,0),1,0)*Table_NFI[[#This Row],[Mosquito net]],Table_NFI[Mosquito net])</f>
        <v>0</v>
      </c>
      <c r="AA495" s="436">
        <f>IF(NFI_Expiration=1,IF($A495&lt;VLOOKUP(L$5,NFI,5,0),1,0)*Table_NFI[[#This Row],[Tarpaulin]],Table_NFI[[#This Row],[Tarpaulin]])</f>
        <v>0</v>
      </c>
      <c r="AB495" s="436">
        <f>IF(NFI_Expiration=1,IF($A495&lt;VLOOKUP(M$5,NFI,5,0),1,0)*Table_NFI[[#This Row],[Blanket]],Table_NFI[[#This Row],[Blanket]])</f>
        <v>0</v>
      </c>
      <c r="AC495" s="436">
        <f>IF(NFI_Expiration=1,IF($A495&lt;VLOOKUP(N$5,NFI,5,0),1,0)*Table_NFI[[#This Row],[Kitchen Set]],Table_NFI[Kitchen Set])</f>
        <v>0</v>
      </c>
      <c r="AD495" s="436">
        <f>IF(NFI_Expiration=1,IF($A495&lt;VLOOKUP(O$5,NFI,5,0),1,0)*Table_NFI[[#This Row],[Clothes Kit]],Table_NFI[Clothes Kit])</f>
        <v>0</v>
      </c>
      <c r="AE495" s="436">
        <f>IF(NFI_Expiration=1,IF($A495&lt;VLOOKUP(P$5,NFI,5,0),1,0)*Table_NFI[[#This Row],[Plastic Bucket]],Table_NFI[Plastic Bucket])</f>
        <v>0</v>
      </c>
      <c r="AF495" s="436">
        <f>IF(NFI_Expiration=1,IF($A495&lt;VLOOKUP(Q$5,NFI,5,0),1,0)*Table_NFI[[#This Row],[Plastic Mat]],Table_NFI[Plastic Mat])*IF(Table_NFI[[#This Row],[Distribution Date]]&gt;"2014-04-01",1,2.5)</f>
        <v>0</v>
      </c>
      <c r="AG495" s="436">
        <f>IF(NFI_Expiration=1,IF($A495&lt;VLOOKUP(R$5,NFI,5,0),1,0)*Table_NFI[[#This Row],[Winter Clothes Adult]],Table_NFI[Winter Clothes Adult])</f>
        <v>0</v>
      </c>
      <c r="AH495" s="436">
        <f>IF(NFI_Expiration=1,IF($A495&lt;VLOOKUP(S$5,NFI,5,0),1,0)*Table_NFI[[#This Row],[Winter Clothes Children]],Table_NFI[Winter Clothes Children])</f>
        <v>0</v>
      </c>
      <c r="AI495" s="436">
        <f>IF(NFI_Expiration=1,IF($A495&lt;VLOOKUP(T$5,NFI,5,0),1,0)*Table_NFI[[#This Row],[Winter Items Other]],Table_NFI[Winter Items Other])</f>
        <v>0</v>
      </c>
      <c r="AJ495" s="436">
        <f>IF(NFI_Expiration=1,IF($A495&lt;VLOOKUP(M$5,NFI,5,0),1,0)*Table_NFI[[#This Row],[Winter Blanket]],Table_NFI[[#This Row],[Winter Blanket]])</f>
        <v>0</v>
      </c>
      <c r="AK495" s="436">
        <f>IF(Table_NFI[[#This Row],[Winter Clothes Adult]]+Table_NFI[[#This Row],[Winter Clothes Children]]+Table_NFI[[#This Row],[Winter Items Other]]+Table_NFI[[#This Row],[Winter Blanket]]&gt;0,1,0)</f>
        <v>0</v>
      </c>
      <c r="AL495" s="439">
        <f>IF(NFI_Expiration=1,IF($A495&lt;VLOOKUP(V$5,NFI,5,0),1,0)*Table_NFI[[#This Row],[Jerry Can]],Table_NFI[Jerry Can])</f>
        <v>0</v>
      </c>
      <c r="AM495" s="781" t="str">
        <f>IFERROR(VLOOKUP(Table_NFI[[#This Row],[Camp Name]],CL,2,0),"")</f>
        <v>MMR015CMP018</v>
      </c>
      <c r="AN495" s="782">
        <f ca="1">IF(Table_NFI[[#This Row],[Pcode]]="","",IF(OFFSET(CampList[Opening Date],MATCH(Table_NFI[[#This Row],[Pcode]],CampList[CP_Pcode],0)-1,0,1,1)&gt;=NFI_Monitor_Date,1,0))</f>
        <v>0</v>
      </c>
      <c r="AO495" s="781" t="str">
        <f>IFERROR(VLOOKUP(Table_NFI[[#This Row],[Camp Name]],CL,3,0),"")</f>
        <v>Open</v>
      </c>
      <c r="AP495" s="436" t="str">
        <f ca="1">IF(Table_NFI[[#This Row],[Pcode]]="","",OFFSET(CampList[Priority],MATCH(Table_NFI[[#This Row],[Pcode]],CampList[CP_Pcode],0)-1,0,1,1))</f>
        <v>P3</v>
      </c>
      <c r="AQ495" s="438">
        <f>IFERROR(Table_NFI[[#This Row],[Kitchen Set]]/VLOOKUP(Table_NFI[[#This Row],[Camp Name]],CL,4,0),"")</f>
        <v>0.4050632911392405</v>
      </c>
      <c r="AR495" s="779" t="s">
        <v>1099</v>
      </c>
      <c r="AS495" s="783"/>
    </row>
    <row r="496" spans="1:45" s="784" customFormat="1" x14ac:dyDescent="0.25">
      <c r="A496" s="455">
        <f t="shared" si="7"/>
        <v>27</v>
      </c>
      <c r="B496" s="778">
        <v>41499</v>
      </c>
      <c r="C496" s="779" t="s">
        <v>454</v>
      </c>
      <c r="D496" s="780" t="s">
        <v>508</v>
      </c>
      <c r="E496" s="779" t="s">
        <v>555</v>
      </c>
      <c r="F496" s="435" t="s">
        <v>146</v>
      </c>
      <c r="G496" s="435" t="s">
        <v>371</v>
      </c>
      <c r="H496" s="436"/>
      <c r="I496" s="436"/>
      <c r="J496" s="436">
        <v>30</v>
      </c>
      <c r="K496" s="436">
        <v>56</v>
      </c>
      <c r="L496" s="437">
        <v>23</v>
      </c>
      <c r="M496" s="437">
        <v>56</v>
      </c>
      <c r="N496" s="437">
        <v>23</v>
      </c>
      <c r="O496" s="437">
        <v>23</v>
      </c>
      <c r="P496" s="437">
        <v>23</v>
      </c>
      <c r="Q496" s="437">
        <v>23</v>
      </c>
      <c r="R496" s="436"/>
      <c r="S496" s="436"/>
      <c r="T496" s="436"/>
      <c r="U496" s="436"/>
      <c r="V496" s="436"/>
      <c r="W496" s="436">
        <f>IF(NFI_Expiration=1,IF($A496&lt;VLOOKUP(H$5,NFI,5,0),1,0)*Table_NFI[[#This Row],[Hygiene Kit]],Table_NFI[Hygiene Kit])</f>
        <v>0</v>
      </c>
      <c r="X496" s="436">
        <f>IF(NFI_Expiration=1,IF($A496&lt;VLOOKUP(I$5,NFI,5,0),1,0)*Table_NFI[[#This Row],[NFI Core Kit]],Table_NFI[NFI Core Kit])</f>
        <v>0</v>
      </c>
      <c r="Y496" s="436">
        <f>IF(NFI_Expiration=1,IF($A496&lt;VLOOKUP(J$5,NFI,5,0),1,0)*Table_NFI[[#This Row],[Sanitary Kit]],Table_NFI[Sanitary Kit])</f>
        <v>0</v>
      </c>
      <c r="Z496" s="436">
        <f>IF(NFI_Expiration=1,IF($A496&lt;VLOOKUP(K$5,NFI,5,0),1,0)*Table_NFI[[#This Row],[Mosquito net]],Table_NFI[Mosquito net])</f>
        <v>0</v>
      </c>
      <c r="AA496" s="436">
        <f>IF(NFI_Expiration=1,IF($A496&lt;VLOOKUP(L$5,NFI,5,0),1,0)*Table_NFI[[#This Row],[Tarpaulin]],Table_NFI[[#This Row],[Tarpaulin]])</f>
        <v>0</v>
      </c>
      <c r="AB496" s="436">
        <f>IF(NFI_Expiration=1,IF($A496&lt;VLOOKUP(M$5,NFI,5,0),1,0)*Table_NFI[[#This Row],[Blanket]],Table_NFI[[#This Row],[Blanket]])</f>
        <v>0</v>
      </c>
      <c r="AC496" s="436">
        <f>IF(NFI_Expiration=1,IF($A496&lt;VLOOKUP(N$5,NFI,5,0),1,0)*Table_NFI[[#This Row],[Kitchen Set]],Table_NFI[Kitchen Set])</f>
        <v>0</v>
      </c>
      <c r="AD496" s="436">
        <f>IF(NFI_Expiration=1,IF($A496&lt;VLOOKUP(O$5,NFI,5,0),1,0)*Table_NFI[[#This Row],[Clothes Kit]],Table_NFI[Clothes Kit])</f>
        <v>0</v>
      </c>
      <c r="AE496" s="436">
        <f>IF(NFI_Expiration=1,IF($A496&lt;VLOOKUP(P$5,NFI,5,0),1,0)*Table_NFI[[#This Row],[Plastic Bucket]],Table_NFI[Plastic Bucket])</f>
        <v>0</v>
      </c>
      <c r="AF496" s="436">
        <f>IF(NFI_Expiration=1,IF($A496&lt;VLOOKUP(Q$5,NFI,5,0),1,0)*Table_NFI[[#This Row],[Plastic Mat]],Table_NFI[Plastic Mat])*IF(Table_NFI[[#This Row],[Distribution Date]]&gt;"2014-04-01",1,2.5)</f>
        <v>0</v>
      </c>
      <c r="AG496" s="436">
        <f>IF(NFI_Expiration=1,IF($A496&lt;VLOOKUP(R$5,NFI,5,0),1,0)*Table_NFI[[#This Row],[Winter Clothes Adult]],Table_NFI[Winter Clothes Adult])</f>
        <v>0</v>
      </c>
      <c r="AH496" s="436">
        <f>IF(NFI_Expiration=1,IF($A496&lt;VLOOKUP(S$5,NFI,5,0),1,0)*Table_NFI[[#This Row],[Winter Clothes Children]],Table_NFI[Winter Clothes Children])</f>
        <v>0</v>
      </c>
      <c r="AI496" s="436">
        <f>IF(NFI_Expiration=1,IF($A496&lt;VLOOKUP(T$5,NFI,5,0),1,0)*Table_NFI[[#This Row],[Winter Items Other]],Table_NFI[Winter Items Other])</f>
        <v>0</v>
      </c>
      <c r="AJ496" s="436">
        <f>IF(NFI_Expiration=1,IF($A496&lt;VLOOKUP(M$5,NFI,5,0),1,0)*Table_NFI[[#This Row],[Winter Blanket]],Table_NFI[[#This Row],[Winter Blanket]])</f>
        <v>0</v>
      </c>
      <c r="AK496" s="436">
        <f>IF(Table_NFI[[#This Row],[Winter Clothes Adult]]+Table_NFI[[#This Row],[Winter Clothes Children]]+Table_NFI[[#This Row],[Winter Items Other]]+Table_NFI[[#This Row],[Winter Blanket]]&gt;0,1,0)</f>
        <v>0</v>
      </c>
      <c r="AL496" s="439">
        <f>IF(NFI_Expiration=1,IF($A496&lt;VLOOKUP(V$5,NFI,5,0),1,0)*Table_NFI[[#This Row],[Jerry Can]],Table_NFI[Jerry Can])</f>
        <v>0</v>
      </c>
      <c r="AM496" s="781" t="str">
        <f>IFERROR(VLOOKUP(Table_NFI[[#This Row],[Camp Name]],CL,2,0),"")</f>
        <v>MMR015CMP006</v>
      </c>
      <c r="AN496" s="782">
        <f ca="1">IF(Table_NFI[[#This Row],[Pcode]]="","",IF(OFFSET(CampList[Opening Date],MATCH(Table_NFI[[#This Row],[Pcode]],CampList[CP_Pcode],0)-1,0,1,1)&gt;=NFI_Monitor_Date,1,0))</f>
        <v>0</v>
      </c>
      <c r="AO496" s="781" t="str">
        <f>IFERROR(VLOOKUP(Table_NFI[[#This Row],[Camp Name]],CL,3,0),"")</f>
        <v>Open</v>
      </c>
      <c r="AP496" s="436" t="str">
        <f ca="1">IF(Table_NFI[[#This Row],[Pcode]]="","",OFFSET(CampList[Priority],MATCH(Table_NFI[[#This Row],[Pcode]],CampList[CP_Pcode],0)-1,0,1,1))</f>
        <v>P1</v>
      </c>
      <c r="AQ496" s="438">
        <f>IFERROR(Table_NFI[[#This Row],[Kitchen Set]]/VLOOKUP(Table_NFI[[#This Row],[Camp Name]],CL,4,0),"")</f>
        <v>0.45098039215686275</v>
      </c>
      <c r="AR496" s="779" t="s">
        <v>1099</v>
      </c>
      <c r="AS496" s="783"/>
    </row>
    <row r="497" spans="1:45" s="784" customFormat="1" x14ac:dyDescent="0.25">
      <c r="A497" s="455">
        <f t="shared" si="7"/>
        <v>27</v>
      </c>
      <c r="B497" s="778">
        <v>41499</v>
      </c>
      <c r="C497" s="779" t="s">
        <v>454</v>
      </c>
      <c r="D497" s="780" t="s">
        <v>508</v>
      </c>
      <c r="E497" s="779" t="s">
        <v>555</v>
      </c>
      <c r="F497" s="435" t="s">
        <v>146</v>
      </c>
      <c r="G497" s="435" t="s">
        <v>367</v>
      </c>
      <c r="H497" s="436"/>
      <c r="I497" s="436"/>
      <c r="J497" s="436">
        <v>70</v>
      </c>
      <c r="K497" s="436">
        <v>130</v>
      </c>
      <c r="L497" s="437">
        <v>52</v>
      </c>
      <c r="M497" s="437">
        <v>130</v>
      </c>
      <c r="N497" s="437">
        <v>52</v>
      </c>
      <c r="O497" s="437">
        <v>52</v>
      </c>
      <c r="P497" s="437">
        <v>52</v>
      </c>
      <c r="Q497" s="437">
        <v>52</v>
      </c>
      <c r="R497" s="436"/>
      <c r="S497" s="436"/>
      <c r="T497" s="436"/>
      <c r="U497" s="436"/>
      <c r="V497" s="436"/>
      <c r="W497" s="436">
        <f>IF(NFI_Expiration=1,IF($A497&lt;VLOOKUP(H$5,NFI,5,0),1,0)*Table_NFI[[#This Row],[Hygiene Kit]],Table_NFI[Hygiene Kit])</f>
        <v>0</v>
      </c>
      <c r="X497" s="436">
        <f>IF(NFI_Expiration=1,IF($A497&lt;VLOOKUP(I$5,NFI,5,0),1,0)*Table_NFI[[#This Row],[NFI Core Kit]],Table_NFI[NFI Core Kit])</f>
        <v>0</v>
      </c>
      <c r="Y497" s="436">
        <f>IF(NFI_Expiration=1,IF($A497&lt;VLOOKUP(J$5,NFI,5,0),1,0)*Table_NFI[[#This Row],[Sanitary Kit]],Table_NFI[Sanitary Kit])</f>
        <v>0</v>
      </c>
      <c r="Z497" s="436">
        <f>IF(NFI_Expiration=1,IF($A497&lt;VLOOKUP(K$5,NFI,5,0),1,0)*Table_NFI[[#This Row],[Mosquito net]],Table_NFI[Mosquito net])</f>
        <v>0</v>
      </c>
      <c r="AA497" s="436">
        <f>IF(NFI_Expiration=1,IF($A497&lt;VLOOKUP(L$5,NFI,5,0),1,0)*Table_NFI[[#This Row],[Tarpaulin]],Table_NFI[[#This Row],[Tarpaulin]])</f>
        <v>0</v>
      </c>
      <c r="AB497" s="436">
        <f>IF(NFI_Expiration=1,IF($A497&lt;VLOOKUP(M$5,NFI,5,0),1,0)*Table_NFI[[#This Row],[Blanket]],Table_NFI[[#This Row],[Blanket]])</f>
        <v>0</v>
      </c>
      <c r="AC497" s="436">
        <f>IF(NFI_Expiration=1,IF($A497&lt;VLOOKUP(N$5,NFI,5,0),1,0)*Table_NFI[[#This Row],[Kitchen Set]],Table_NFI[Kitchen Set])</f>
        <v>0</v>
      </c>
      <c r="AD497" s="436">
        <f>IF(NFI_Expiration=1,IF($A497&lt;VLOOKUP(O$5,NFI,5,0),1,0)*Table_NFI[[#This Row],[Clothes Kit]],Table_NFI[Clothes Kit])</f>
        <v>0</v>
      </c>
      <c r="AE497" s="436">
        <f>IF(NFI_Expiration=1,IF($A497&lt;VLOOKUP(P$5,NFI,5,0),1,0)*Table_NFI[[#This Row],[Plastic Bucket]],Table_NFI[Plastic Bucket])</f>
        <v>0</v>
      </c>
      <c r="AF497" s="436">
        <f>IF(NFI_Expiration=1,IF($A497&lt;VLOOKUP(Q$5,NFI,5,0),1,0)*Table_NFI[[#This Row],[Plastic Mat]],Table_NFI[Plastic Mat])*IF(Table_NFI[[#This Row],[Distribution Date]]&gt;"2014-04-01",1,2.5)</f>
        <v>0</v>
      </c>
      <c r="AG497" s="436">
        <f>IF(NFI_Expiration=1,IF($A497&lt;VLOOKUP(R$5,NFI,5,0),1,0)*Table_NFI[[#This Row],[Winter Clothes Adult]],Table_NFI[Winter Clothes Adult])</f>
        <v>0</v>
      </c>
      <c r="AH497" s="436">
        <f>IF(NFI_Expiration=1,IF($A497&lt;VLOOKUP(S$5,NFI,5,0),1,0)*Table_NFI[[#This Row],[Winter Clothes Children]],Table_NFI[Winter Clothes Children])</f>
        <v>0</v>
      </c>
      <c r="AI497" s="436">
        <f>IF(NFI_Expiration=1,IF($A497&lt;VLOOKUP(T$5,NFI,5,0),1,0)*Table_NFI[[#This Row],[Winter Items Other]],Table_NFI[Winter Items Other])</f>
        <v>0</v>
      </c>
      <c r="AJ497" s="436">
        <f>IF(NFI_Expiration=1,IF($A497&lt;VLOOKUP(M$5,NFI,5,0),1,0)*Table_NFI[[#This Row],[Winter Blanket]],Table_NFI[[#This Row],[Winter Blanket]])</f>
        <v>0</v>
      </c>
      <c r="AK497" s="436">
        <f>IF(Table_NFI[[#This Row],[Winter Clothes Adult]]+Table_NFI[[#This Row],[Winter Clothes Children]]+Table_NFI[[#This Row],[Winter Items Other]]+Table_NFI[[#This Row],[Winter Blanket]]&gt;0,1,0)</f>
        <v>0</v>
      </c>
      <c r="AL497" s="439">
        <f>IF(NFI_Expiration=1,IF($A497&lt;VLOOKUP(V$5,NFI,5,0),1,0)*Table_NFI[[#This Row],[Jerry Can]],Table_NFI[Jerry Can])</f>
        <v>0</v>
      </c>
      <c r="AM497" s="781" t="str">
        <f>IFERROR(VLOOKUP(Table_NFI[[#This Row],[Camp Name]],CL,2,0),"")</f>
        <v>MMR015CMP019</v>
      </c>
      <c r="AN497" s="782">
        <f ca="1">IF(Table_NFI[[#This Row],[Pcode]]="","",IF(OFFSET(CampList[Opening Date],MATCH(Table_NFI[[#This Row],[Pcode]],CampList[CP_Pcode],0)-1,0,1,1)&gt;=NFI_Monitor_Date,1,0))</f>
        <v>0</v>
      </c>
      <c r="AO497" s="781" t="str">
        <f>IFERROR(VLOOKUP(Table_NFI[[#This Row],[Camp Name]],CL,3,0),"")</f>
        <v>Closed</v>
      </c>
      <c r="AP497" s="436" t="str">
        <f ca="1">IF(Table_NFI[[#This Row],[Pcode]]="","",OFFSET(CampList[Priority],MATCH(Table_NFI[[#This Row],[Pcode]],CampList[CP_Pcode],0)-1,0,1,1))</f>
        <v/>
      </c>
      <c r="AQ497" s="438" t="str">
        <f>IFERROR(Table_NFI[[#This Row],[Kitchen Set]]/VLOOKUP(Table_NFI[[#This Row],[Camp Name]],CL,4,0),"")</f>
        <v/>
      </c>
      <c r="AR497" s="779" t="s">
        <v>1099</v>
      </c>
      <c r="AS497" s="783"/>
    </row>
    <row r="498" spans="1:45" s="784" customFormat="1" x14ac:dyDescent="0.25">
      <c r="A498" s="455">
        <f t="shared" si="7"/>
        <v>27</v>
      </c>
      <c r="B498" s="778">
        <v>41499</v>
      </c>
      <c r="C498" s="779" t="s">
        <v>454</v>
      </c>
      <c r="D498" s="779" t="s">
        <v>462</v>
      </c>
      <c r="E498" s="779" t="s">
        <v>555</v>
      </c>
      <c r="F498" s="779" t="s">
        <v>289</v>
      </c>
      <c r="G498" s="435" t="s">
        <v>292</v>
      </c>
      <c r="H498" s="436"/>
      <c r="I498" s="436"/>
      <c r="J498" s="436">
        <v>125</v>
      </c>
      <c r="K498" s="436">
        <v>233</v>
      </c>
      <c r="L498" s="437">
        <v>93</v>
      </c>
      <c r="M498" s="437">
        <v>233</v>
      </c>
      <c r="N498" s="437">
        <v>93</v>
      </c>
      <c r="O498" s="437">
        <v>93</v>
      </c>
      <c r="P498" s="437">
        <v>93</v>
      </c>
      <c r="Q498" s="437">
        <v>93</v>
      </c>
      <c r="R498" s="436"/>
      <c r="S498" s="436"/>
      <c r="T498" s="436"/>
      <c r="U498" s="436"/>
      <c r="V498" s="436"/>
      <c r="W498" s="436">
        <f>IF(NFI_Expiration=1,IF($A498&lt;VLOOKUP(H$5,NFI,5,0),1,0)*Table_NFI[[#This Row],[Hygiene Kit]],Table_NFI[Hygiene Kit])</f>
        <v>0</v>
      </c>
      <c r="X498" s="436">
        <f>IF(NFI_Expiration=1,IF($A498&lt;VLOOKUP(I$5,NFI,5,0),1,0)*Table_NFI[[#This Row],[NFI Core Kit]],Table_NFI[NFI Core Kit])</f>
        <v>0</v>
      </c>
      <c r="Y498" s="436">
        <f>IF(NFI_Expiration=1,IF($A498&lt;VLOOKUP(J$5,NFI,5,0),1,0)*Table_NFI[[#This Row],[Sanitary Kit]],Table_NFI[Sanitary Kit])</f>
        <v>0</v>
      </c>
      <c r="Z498" s="436">
        <f>IF(NFI_Expiration=1,IF($A498&lt;VLOOKUP(K$5,NFI,5,0),1,0)*Table_NFI[[#This Row],[Mosquito net]],Table_NFI[Mosquito net])</f>
        <v>0</v>
      </c>
      <c r="AA498" s="436">
        <f>IF(NFI_Expiration=1,IF($A498&lt;VLOOKUP(L$5,NFI,5,0),1,0)*Table_NFI[[#This Row],[Tarpaulin]],Table_NFI[[#This Row],[Tarpaulin]])</f>
        <v>0</v>
      </c>
      <c r="AB498" s="436">
        <f>IF(NFI_Expiration=1,IF($A498&lt;VLOOKUP(M$5,NFI,5,0),1,0)*Table_NFI[[#This Row],[Blanket]],Table_NFI[[#This Row],[Blanket]])</f>
        <v>0</v>
      </c>
      <c r="AC498" s="436">
        <f>IF(NFI_Expiration=1,IF($A498&lt;VLOOKUP(N$5,NFI,5,0),1,0)*Table_NFI[[#This Row],[Kitchen Set]],Table_NFI[Kitchen Set])</f>
        <v>0</v>
      </c>
      <c r="AD498" s="436">
        <f>IF(NFI_Expiration=1,IF($A498&lt;VLOOKUP(O$5,NFI,5,0),1,0)*Table_NFI[[#This Row],[Clothes Kit]],Table_NFI[Clothes Kit])</f>
        <v>0</v>
      </c>
      <c r="AE498" s="436">
        <f>IF(NFI_Expiration=1,IF($A498&lt;VLOOKUP(P$5,NFI,5,0),1,0)*Table_NFI[[#This Row],[Plastic Bucket]],Table_NFI[Plastic Bucket])</f>
        <v>0</v>
      </c>
      <c r="AF498" s="436">
        <f>IF(NFI_Expiration=1,IF($A498&lt;VLOOKUP(Q$5,NFI,5,0),1,0)*Table_NFI[[#This Row],[Plastic Mat]],Table_NFI[Plastic Mat])*IF(Table_NFI[[#This Row],[Distribution Date]]&gt;"2014-04-01",1,2.5)</f>
        <v>0</v>
      </c>
      <c r="AG498" s="436">
        <f>IF(NFI_Expiration=1,IF($A498&lt;VLOOKUP(R$5,NFI,5,0),1,0)*Table_NFI[[#This Row],[Winter Clothes Adult]],Table_NFI[Winter Clothes Adult])</f>
        <v>0</v>
      </c>
      <c r="AH498" s="436">
        <f>IF(NFI_Expiration=1,IF($A498&lt;VLOOKUP(S$5,NFI,5,0),1,0)*Table_NFI[[#This Row],[Winter Clothes Children]],Table_NFI[Winter Clothes Children])</f>
        <v>0</v>
      </c>
      <c r="AI498" s="436">
        <f>IF(NFI_Expiration=1,IF($A498&lt;VLOOKUP(T$5,NFI,5,0),1,0)*Table_NFI[[#This Row],[Winter Items Other]],Table_NFI[Winter Items Other])</f>
        <v>0</v>
      </c>
      <c r="AJ498" s="436">
        <f>IF(NFI_Expiration=1,IF($A498&lt;VLOOKUP(M$5,NFI,5,0),1,0)*Table_NFI[[#This Row],[Winter Blanket]],Table_NFI[[#This Row],[Winter Blanket]])</f>
        <v>0</v>
      </c>
      <c r="AK498" s="436">
        <f>IF(Table_NFI[[#This Row],[Winter Clothes Adult]]+Table_NFI[[#This Row],[Winter Clothes Children]]+Table_NFI[[#This Row],[Winter Items Other]]+Table_NFI[[#This Row],[Winter Blanket]]&gt;0,1,0)</f>
        <v>0</v>
      </c>
      <c r="AL498" s="439">
        <f>IF(NFI_Expiration=1,IF($A498&lt;VLOOKUP(V$5,NFI,5,0),1,0)*Table_NFI[[#This Row],[Jerry Can]],Table_NFI[Jerry Can])</f>
        <v>0</v>
      </c>
      <c r="AM498" s="781" t="str">
        <f>IFERROR(VLOOKUP(Table_NFI[[#This Row],[Camp Name]],CL,2,0),"")</f>
        <v>MMR015CMP004</v>
      </c>
      <c r="AN498" s="782">
        <f ca="1">IF(Table_NFI[[#This Row],[Pcode]]="","",IF(OFFSET(CampList[Opening Date],MATCH(Table_NFI[[#This Row],[Pcode]],CampList[CP_Pcode],0)-1,0,1,1)&gt;=NFI_Monitor_Date,1,0))</f>
        <v>0</v>
      </c>
      <c r="AO498" s="781" t="str">
        <f>IFERROR(VLOOKUP(Table_NFI[[#This Row],[Camp Name]],CL,3,0),"")</f>
        <v>Open</v>
      </c>
      <c r="AP498" s="436" t="str">
        <f ca="1">IF(Table_NFI[[#This Row],[Pcode]]="","",OFFSET(CampList[Priority],MATCH(Table_NFI[[#This Row],[Pcode]],CampList[CP_Pcode],0)-1,0,1,1))</f>
        <v>P3</v>
      </c>
      <c r="AQ498" s="438">
        <f>IFERROR(Table_NFI[[#This Row],[Kitchen Set]]/VLOOKUP(Table_NFI[[#This Row],[Camp Name]],CL,4,0),"")</f>
        <v>1.1341463414634145</v>
      </c>
      <c r="AR498" s="779" t="s">
        <v>1099</v>
      </c>
      <c r="AS498" s="783"/>
    </row>
    <row r="499" spans="1:45" s="784" customFormat="1" x14ac:dyDescent="0.25">
      <c r="A499" s="455">
        <f t="shared" si="7"/>
        <v>27</v>
      </c>
      <c r="B499" s="778">
        <v>41499</v>
      </c>
      <c r="C499" s="779" t="s">
        <v>454</v>
      </c>
      <c r="D499" s="779" t="s">
        <v>508</v>
      </c>
      <c r="E499" s="779" t="s">
        <v>555</v>
      </c>
      <c r="F499" s="779" t="s">
        <v>289</v>
      </c>
      <c r="G499" s="435" t="s">
        <v>290</v>
      </c>
      <c r="H499" s="436"/>
      <c r="I499" s="436"/>
      <c r="J499" s="436">
        <v>100</v>
      </c>
      <c r="K499" s="436">
        <v>188</v>
      </c>
      <c r="L499" s="437">
        <v>75</v>
      </c>
      <c r="M499" s="437">
        <v>188</v>
      </c>
      <c r="N499" s="437">
        <v>75</v>
      </c>
      <c r="O499" s="437">
        <v>75</v>
      </c>
      <c r="P499" s="437">
        <v>75</v>
      </c>
      <c r="Q499" s="437">
        <v>75</v>
      </c>
      <c r="R499" s="436"/>
      <c r="S499" s="436"/>
      <c r="T499" s="436"/>
      <c r="U499" s="436"/>
      <c r="V499" s="436"/>
      <c r="W499" s="436">
        <f>IF(NFI_Expiration=1,IF($A499&lt;VLOOKUP(H$5,NFI,5,0),1,0)*Table_NFI[[#This Row],[Hygiene Kit]],Table_NFI[Hygiene Kit])</f>
        <v>0</v>
      </c>
      <c r="X499" s="436">
        <f>IF(NFI_Expiration=1,IF($A499&lt;VLOOKUP(I$5,NFI,5,0),1,0)*Table_NFI[[#This Row],[NFI Core Kit]],Table_NFI[NFI Core Kit])</f>
        <v>0</v>
      </c>
      <c r="Y499" s="436">
        <f>IF(NFI_Expiration=1,IF($A499&lt;VLOOKUP(J$5,NFI,5,0),1,0)*Table_NFI[[#This Row],[Sanitary Kit]],Table_NFI[Sanitary Kit])</f>
        <v>0</v>
      </c>
      <c r="Z499" s="436">
        <f>IF(NFI_Expiration=1,IF($A499&lt;VLOOKUP(K$5,NFI,5,0),1,0)*Table_NFI[[#This Row],[Mosquito net]],Table_NFI[Mosquito net])</f>
        <v>0</v>
      </c>
      <c r="AA499" s="436">
        <f>IF(NFI_Expiration=1,IF($A499&lt;VLOOKUP(L$5,NFI,5,0),1,0)*Table_NFI[[#This Row],[Tarpaulin]],Table_NFI[[#This Row],[Tarpaulin]])</f>
        <v>0</v>
      </c>
      <c r="AB499" s="436">
        <f>IF(NFI_Expiration=1,IF($A499&lt;VLOOKUP(M$5,NFI,5,0),1,0)*Table_NFI[[#This Row],[Blanket]],Table_NFI[[#This Row],[Blanket]])</f>
        <v>0</v>
      </c>
      <c r="AC499" s="436">
        <f>IF(NFI_Expiration=1,IF($A499&lt;VLOOKUP(N$5,NFI,5,0),1,0)*Table_NFI[[#This Row],[Kitchen Set]],Table_NFI[Kitchen Set])</f>
        <v>0</v>
      </c>
      <c r="AD499" s="436">
        <f>IF(NFI_Expiration=1,IF($A499&lt;VLOOKUP(O$5,NFI,5,0),1,0)*Table_NFI[[#This Row],[Clothes Kit]],Table_NFI[Clothes Kit])</f>
        <v>0</v>
      </c>
      <c r="AE499" s="436">
        <f>IF(NFI_Expiration=1,IF($A499&lt;VLOOKUP(P$5,NFI,5,0),1,0)*Table_NFI[[#This Row],[Plastic Bucket]],Table_NFI[Plastic Bucket])</f>
        <v>0</v>
      </c>
      <c r="AF499" s="436">
        <f>IF(NFI_Expiration=1,IF($A499&lt;VLOOKUP(Q$5,NFI,5,0),1,0)*Table_NFI[[#This Row],[Plastic Mat]],Table_NFI[Plastic Mat])*IF(Table_NFI[[#This Row],[Distribution Date]]&gt;"2014-04-01",1,2.5)</f>
        <v>0</v>
      </c>
      <c r="AG499" s="436">
        <f>IF(NFI_Expiration=1,IF($A499&lt;VLOOKUP(R$5,NFI,5,0),1,0)*Table_NFI[[#This Row],[Winter Clothes Adult]],Table_NFI[Winter Clothes Adult])</f>
        <v>0</v>
      </c>
      <c r="AH499" s="436">
        <f>IF(NFI_Expiration=1,IF($A499&lt;VLOOKUP(S$5,NFI,5,0),1,0)*Table_NFI[[#This Row],[Winter Clothes Children]],Table_NFI[Winter Clothes Children])</f>
        <v>0</v>
      </c>
      <c r="AI499" s="436">
        <f>IF(NFI_Expiration=1,IF($A499&lt;VLOOKUP(T$5,NFI,5,0),1,0)*Table_NFI[[#This Row],[Winter Items Other]],Table_NFI[Winter Items Other])</f>
        <v>0</v>
      </c>
      <c r="AJ499" s="436">
        <f>IF(NFI_Expiration=1,IF($A499&lt;VLOOKUP(M$5,NFI,5,0),1,0)*Table_NFI[[#This Row],[Winter Blanket]],Table_NFI[[#This Row],[Winter Blanket]])</f>
        <v>0</v>
      </c>
      <c r="AK499" s="436">
        <f>IF(Table_NFI[[#This Row],[Winter Clothes Adult]]+Table_NFI[[#This Row],[Winter Clothes Children]]+Table_NFI[[#This Row],[Winter Items Other]]+Table_NFI[[#This Row],[Winter Blanket]]&gt;0,1,0)</f>
        <v>0</v>
      </c>
      <c r="AL499" s="439">
        <f>IF(NFI_Expiration=1,IF($A499&lt;VLOOKUP(V$5,NFI,5,0),1,0)*Table_NFI[[#This Row],[Jerry Can]],Table_NFI[Jerry Can])</f>
        <v>0</v>
      </c>
      <c r="AM499" s="781" t="str">
        <f>IFERROR(VLOOKUP(Table_NFI[[#This Row],[Camp Name]],CL,2,0),"")</f>
        <v>MMR015CMP001</v>
      </c>
      <c r="AN499" s="782">
        <f ca="1">IF(Table_NFI[[#This Row],[Pcode]]="","",IF(OFFSET(CampList[Opening Date],MATCH(Table_NFI[[#This Row],[Pcode]],CampList[CP_Pcode],0)-1,0,1,1)&gt;=NFI_Monitor_Date,1,0))</f>
        <v>0</v>
      </c>
      <c r="AO499" s="781" t="str">
        <f>IFERROR(VLOOKUP(Table_NFI[[#This Row],[Camp Name]],CL,3,0),"")</f>
        <v>Open</v>
      </c>
      <c r="AP499" s="436" t="str">
        <f ca="1">IF(Table_NFI[[#This Row],[Pcode]]="","",OFFSET(CampList[Priority],MATCH(Table_NFI[[#This Row],[Pcode]],CampList[CP_Pcode],0)-1,0,1,1))</f>
        <v>P3</v>
      </c>
      <c r="AQ499" s="438">
        <f>IFERROR(Table_NFI[[#This Row],[Kitchen Set]]/VLOOKUP(Table_NFI[[#This Row],[Camp Name]],CL,4,0),"")</f>
        <v>1.1029411764705883</v>
      </c>
      <c r="AR499" s="779" t="s">
        <v>1099</v>
      </c>
      <c r="AS499" s="783"/>
    </row>
    <row r="500" spans="1:45" s="784" customFormat="1" x14ac:dyDescent="0.25">
      <c r="A500" s="455">
        <f t="shared" si="7"/>
        <v>27</v>
      </c>
      <c r="B500" s="778">
        <v>41499</v>
      </c>
      <c r="C500" s="779" t="s">
        <v>454</v>
      </c>
      <c r="D500" s="779" t="s">
        <v>508</v>
      </c>
      <c r="E500" s="779" t="s">
        <v>555</v>
      </c>
      <c r="F500" s="435" t="s">
        <v>289</v>
      </c>
      <c r="G500" s="435" t="s">
        <v>374</v>
      </c>
      <c r="H500" s="436"/>
      <c r="I500" s="436"/>
      <c r="J500" s="436">
        <v>36</v>
      </c>
      <c r="K500" s="436">
        <v>72</v>
      </c>
      <c r="L500" s="437">
        <v>33</v>
      </c>
      <c r="M500" s="437">
        <v>72</v>
      </c>
      <c r="N500" s="437">
        <v>33</v>
      </c>
      <c r="O500" s="437">
        <v>33</v>
      </c>
      <c r="P500" s="439">
        <v>33</v>
      </c>
      <c r="Q500" s="439">
        <v>33</v>
      </c>
      <c r="R500" s="436"/>
      <c r="S500" s="436"/>
      <c r="T500" s="436"/>
      <c r="U500" s="436"/>
      <c r="V500" s="436"/>
      <c r="W500" s="436">
        <f>IF(NFI_Expiration=1,IF($A500&lt;VLOOKUP(H$5,NFI,5,0),1,0)*Table_NFI[[#This Row],[Hygiene Kit]],Table_NFI[Hygiene Kit])</f>
        <v>0</v>
      </c>
      <c r="X500" s="436">
        <f>IF(NFI_Expiration=1,IF($A500&lt;VLOOKUP(I$5,NFI,5,0),1,0)*Table_NFI[[#This Row],[NFI Core Kit]],Table_NFI[NFI Core Kit])</f>
        <v>0</v>
      </c>
      <c r="Y500" s="436">
        <f>IF(NFI_Expiration=1,IF($A500&lt;VLOOKUP(J$5,NFI,5,0),1,0)*Table_NFI[[#This Row],[Sanitary Kit]],Table_NFI[Sanitary Kit])</f>
        <v>0</v>
      </c>
      <c r="Z500" s="436">
        <f>IF(NFI_Expiration=1,IF($A500&lt;VLOOKUP(K$5,NFI,5,0),1,0)*Table_NFI[[#This Row],[Mosquito net]],Table_NFI[Mosquito net])</f>
        <v>0</v>
      </c>
      <c r="AA500" s="436">
        <f>IF(NFI_Expiration=1,IF($A500&lt;VLOOKUP(L$5,NFI,5,0),1,0)*Table_NFI[[#This Row],[Tarpaulin]],Table_NFI[[#This Row],[Tarpaulin]])</f>
        <v>0</v>
      </c>
      <c r="AB500" s="436">
        <f>IF(NFI_Expiration=1,IF($A500&lt;VLOOKUP(M$5,NFI,5,0),1,0)*Table_NFI[[#This Row],[Blanket]],Table_NFI[[#This Row],[Blanket]])</f>
        <v>0</v>
      </c>
      <c r="AC500" s="436">
        <f>IF(NFI_Expiration=1,IF($A500&lt;VLOOKUP(N$5,NFI,5,0),1,0)*Table_NFI[[#This Row],[Kitchen Set]],Table_NFI[Kitchen Set])</f>
        <v>0</v>
      </c>
      <c r="AD500" s="436">
        <f>IF(NFI_Expiration=1,IF($A500&lt;VLOOKUP(O$5,NFI,5,0),1,0)*Table_NFI[[#This Row],[Clothes Kit]],Table_NFI[Clothes Kit])</f>
        <v>0</v>
      </c>
      <c r="AE500" s="436">
        <f>IF(NFI_Expiration=1,IF($A500&lt;VLOOKUP(P$5,NFI,5,0),1,0)*Table_NFI[[#This Row],[Plastic Bucket]],Table_NFI[Plastic Bucket])</f>
        <v>0</v>
      </c>
      <c r="AF500" s="436">
        <f>IF(NFI_Expiration=1,IF($A500&lt;VLOOKUP(Q$5,NFI,5,0),1,0)*Table_NFI[[#This Row],[Plastic Mat]],Table_NFI[Plastic Mat])*IF(Table_NFI[[#This Row],[Distribution Date]]&gt;"2014-04-01",1,2.5)</f>
        <v>0</v>
      </c>
      <c r="AG500" s="436">
        <f>IF(NFI_Expiration=1,IF($A500&lt;VLOOKUP(R$5,NFI,5,0),1,0)*Table_NFI[[#This Row],[Winter Clothes Adult]],Table_NFI[Winter Clothes Adult])</f>
        <v>0</v>
      </c>
      <c r="AH500" s="436">
        <f>IF(NFI_Expiration=1,IF($A500&lt;VLOOKUP(S$5,NFI,5,0),1,0)*Table_NFI[[#This Row],[Winter Clothes Children]],Table_NFI[Winter Clothes Children])</f>
        <v>0</v>
      </c>
      <c r="AI500" s="436">
        <f>IF(NFI_Expiration=1,IF($A500&lt;VLOOKUP(T$5,NFI,5,0),1,0)*Table_NFI[[#This Row],[Winter Items Other]],Table_NFI[Winter Items Other])</f>
        <v>0</v>
      </c>
      <c r="AJ500" s="436">
        <f>IF(NFI_Expiration=1,IF($A500&lt;VLOOKUP(M$5,NFI,5,0),1,0)*Table_NFI[[#This Row],[Winter Blanket]],Table_NFI[[#This Row],[Winter Blanket]])</f>
        <v>0</v>
      </c>
      <c r="AK500" s="436">
        <f>IF(Table_NFI[[#This Row],[Winter Clothes Adult]]+Table_NFI[[#This Row],[Winter Clothes Children]]+Table_NFI[[#This Row],[Winter Items Other]]+Table_NFI[[#This Row],[Winter Blanket]]&gt;0,1,0)</f>
        <v>0</v>
      </c>
      <c r="AL500" s="439">
        <f>IF(NFI_Expiration=1,IF($A500&lt;VLOOKUP(V$5,NFI,5,0),1,0)*Table_NFI[[#This Row],[Jerry Can]],Table_NFI[Jerry Can])</f>
        <v>0</v>
      </c>
      <c r="AM500" s="781" t="str">
        <f>IFERROR(VLOOKUP(Table_NFI[[#This Row],[Camp Name]],CL,2,0),"")</f>
        <v>MMR015CMP003</v>
      </c>
      <c r="AN500" s="782">
        <f ca="1">IF(Table_NFI[[#This Row],[Pcode]]="","",IF(OFFSET(CampList[Opening Date],MATCH(Table_NFI[[#This Row],[Pcode]],CampList[CP_Pcode],0)-1,0,1,1)&gt;=NFI_Monitor_Date,1,0))</f>
        <v>0</v>
      </c>
      <c r="AO500" s="781" t="str">
        <f>IFERROR(VLOOKUP(Table_NFI[[#This Row],[Camp Name]],CL,3,0),"")</f>
        <v>Open</v>
      </c>
      <c r="AP500" s="436" t="str">
        <f ca="1">IF(Table_NFI[[#This Row],[Pcode]]="","",OFFSET(CampList[Priority],MATCH(Table_NFI[[#This Row],[Pcode]],CampList[CP_Pcode],0)-1,0,1,1))</f>
        <v>P3</v>
      </c>
      <c r="AQ500" s="438">
        <f>IFERROR(Table_NFI[[#This Row],[Kitchen Set]]/VLOOKUP(Table_NFI[[#This Row],[Camp Name]],CL,4,0),"")</f>
        <v>0.66</v>
      </c>
      <c r="AR500" s="779" t="s">
        <v>1099</v>
      </c>
      <c r="AS500" s="783"/>
    </row>
    <row r="501" spans="1:45" s="784" customFormat="1" x14ac:dyDescent="0.25">
      <c r="A501" s="455">
        <f t="shared" si="7"/>
        <v>27</v>
      </c>
      <c r="B501" s="778">
        <v>41499</v>
      </c>
      <c r="C501" s="779" t="s">
        <v>454</v>
      </c>
      <c r="D501" s="779" t="s">
        <v>508</v>
      </c>
      <c r="E501" s="779" t="s">
        <v>555</v>
      </c>
      <c r="F501" s="435" t="s">
        <v>289</v>
      </c>
      <c r="G501" s="435" t="s">
        <v>375</v>
      </c>
      <c r="H501" s="436"/>
      <c r="I501" s="436"/>
      <c r="J501" s="436">
        <v>40</v>
      </c>
      <c r="K501" s="436">
        <v>83</v>
      </c>
      <c r="L501" s="437">
        <v>33</v>
      </c>
      <c r="M501" s="437">
        <v>83</v>
      </c>
      <c r="N501" s="437">
        <v>33</v>
      </c>
      <c r="O501" s="437">
        <v>33</v>
      </c>
      <c r="P501" s="439">
        <v>33</v>
      </c>
      <c r="Q501" s="439">
        <v>33</v>
      </c>
      <c r="R501" s="436"/>
      <c r="S501" s="436"/>
      <c r="T501" s="436"/>
      <c r="U501" s="436"/>
      <c r="V501" s="436"/>
      <c r="W501" s="436">
        <f>IF(NFI_Expiration=1,IF($A501&lt;VLOOKUP(H$5,NFI,5,0),1,0)*Table_NFI[[#This Row],[Hygiene Kit]],Table_NFI[Hygiene Kit])</f>
        <v>0</v>
      </c>
      <c r="X501" s="436">
        <f>IF(NFI_Expiration=1,IF($A501&lt;VLOOKUP(I$5,NFI,5,0),1,0)*Table_NFI[[#This Row],[NFI Core Kit]],Table_NFI[NFI Core Kit])</f>
        <v>0</v>
      </c>
      <c r="Y501" s="436">
        <f>IF(NFI_Expiration=1,IF($A501&lt;VLOOKUP(J$5,NFI,5,0),1,0)*Table_NFI[[#This Row],[Sanitary Kit]],Table_NFI[Sanitary Kit])</f>
        <v>0</v>
      </c>
      <c r="Z501" s="436">
        <f>IF(NFI_Expiration=1,IF($A501&lt;VLOOKUP(K$5,NFI,5,0),1,0)*Table_NFI[[#This Row],[Mosquito net]],Table_NFI[Mosquito net])</f>
        <v>0</v>
      </c>
      <c r="AA501" s="436">
        <f>IF(NFI_Expiration=1,IF($A501&lt;VLOOKUP(L$5,NFI,5,0),1,0)*Table_NFI[[#This Row],[Tarpaulin]],Table_NFI[[#This Row],[Tarpaulin]])</f>
        <v>0</v>
      </c>
      <c r="AB501" s="436">
        <f>IF(NFI_Expiration=1,IF($A501&lt;VLOOKUP(M$5,NFI,5,0),1,0)*Table_NFI[[#This Row],[Blanket]],Table_NFI[[#This Row],[Blanket]])</f>
        <v>0</v>
      </c>
      <c r="AC501" s="436">
        <f>IF(NFI_Expiration=1,IF($A501&lt;VLOOKUP(N$5,NFI,5,0),1,0)*Table_NFI[[#This Row],[Kitchen Set]],Table_NFI[Kitchen Set])</f>
        <v>0</v>
      </c>
      <c r="AD501" s="436">
        <f>IF(NFI_Expiration=1,IF($A501&lt;VLOOKUP(O$5,NFI,5,0),1,0)*Table_NFI[[#This Row],[Clothes Kit]],Table_NFI[Clothes Kit])</f>
        <v>0</v>
      </c>
      <c r="AE501" s="436">
        <f>IF(NFI_Expiration=1,IF($A501&lt;VLOOKUP(P$5,NFI,5,0),1,0)*Table_NFI[[#This Row],[Plastic Bucket]],Table_NFI[Plastic Bucket])</f>
        <v>0</v>
      </c>
      <c r="AF501" s="436">
        <f>IF(NFI_Expiration=1,IF($A501&lt;VLOOKUP(Q$5,NFI,5,0),1,0)*Table_NFI[[#This Row],[Plastic Mat]],Table_NFI[Plastic Mat])*IF(Table_NFI[[#This Row],[Distribution Date]]&gt;"2014-04-01",1,2.5)</f>
        <v>0</v>
      </c>
      <c r="AG501" s="436">
        <f>IF(NFI_Expiration=1,IF($A501&lt;VLOOKUP(R$5,NFI,5,0),1,0)*Table_NFI[[#This Row],[Winter Clothes Adult]],Table_NFI[Winter Clothes Adult])</f>
        <v>0</v>
      </c>
      <c r="AH501" s="436">
        <f>IF(NFI_Expiration=1,IF($A501&lt;VLOOKUP(S$5,NFI,5,0),1,0)*Table_NFI[[#This Row],[Winter Clothes Children]],Table_NFI[Winter Clothes Children])</f>
        <v>0</v>
      </c>
      <c r="AI501" s="436">
        <f>IF(NFI_Expiration=1,IF($A501&lt;VLOOKUP(T$5,NFI,5,0),1,0)*Table_NFI[[#This Row],[Winter Items Other]],Table_NFI[Winter Items Other])</f>
        <v>0</v>
      </c>
      <c r="AJ501" s="436">
        <f>IF(NFI_Expiration=1,IF($A501&lt;VLOOKUP(M$5,NFI,5,0),1,0)*Table_NFI[[#This Row],[Winter Blanket]],Table_NFI[[#This Row],[Winter Blanket]])</f>
        <v>0</v>
      </c>
      <c r="AK501" s="436">
        <f>IF(Table_NFI[[#This Row],[Winter Clothes Adult]]+Table_NFI[[#This Row],[Winter Clothes Children]]+Table_NFI[[#This Row],[Winter Items Other]]+Table_NFI[[#This Row],[Winter Blanket]]&gt;0,1,0)</f>
        <v>0</v>
      </c>
      <c r="AL501" s="439">
        <f>IF(NFI_Expiration=1,IF($A501&lt;VLOOKUP(V$5,NFI,5,0),1,0)*Table_NFI[[#This Row],[Jerry Can]],Table_NFI[Jerry Can])</f>
        <v>0</v>
      </c>
      <c r="AM501" s="781" t="str">
        <f>IFERROR(VLOOKUP(Table_NFI[[#This Row],[Camp Name]],CL,2,0),"")</f>
        <v>MMR015CMP024</v>
      </c>
      <c r="AN501" s="782">
        <f ca="1">IF(Table_NFI[[#This Row],[Pcode]]="","",IF(OFFSET(CampList[Opening Date],MATCH(Table_NFI[[#This Row],[Pcode]],CampList[CP_Pcode],0)-1,0,1,1)&gt;=NFI_Monitor_Date,1,0))</f>
        <v>0</v>
      </c>
      <c r="AO501" s="781" t="str">
        <f>IFERROR(VLOOKUP(Table_NFI[[#This Row],[Camp Name]],CL,3,0),"")</f>
        <v>Closed</v>
      </c>
      <c r="AP501" s="436" t="str">
        <f ca="1">IF(Table_NFI[[#This Row],[Pcode]]="","",OFFSET(CampList[Priority],MATCH(Table_NFI[[#This Row],[Pcode]],CampList[CP_Pcode],0)-1,0,1,1))</f>
        <v/>
      </c>
      <c r="AQ501" s="438" t="str">
        <f>IFERROR(Table_NFI[[#This Row],[Kitchen Set]]/VLOOKUP(Table_NFI[[#This Row],[Camp Name]],CL,4,0),"")</f>
        <v/>
      </c>
      <c r="AR501" s="779" t="s">
        <v>1099</v>
      </c>
      <c r="AS501" s="783"/>
    </row>
    <row r="502" spans="1:45" s="784" customFormat="1" x14ac:dyDescent="0.25">
      <c r="A502" s="455">
        <f t="shared" si="7"/>
        <v>27</v>
      </c>
      <c r="B502" s="778">
        <v>41499</v>
      </c>
      <c r="C502" s="779" t="s">
        <v>454</v>
      </c>
      <c r="D502" s="779" t="s">
        <v>508</v>
      </c>
      <c r="E502" s="779" t="s">
        <v>555</v>
      </c>
      <c r="F502" s="435" t="s">
        <v>298</v>
      </c>
      <c r="G502" s="435" t="s">
        <v>595</v>
      </c>
      <c r="H502" s="436"/>
      <c r="I502" s="436"/>
      <c r="J502" s="436">
        <v>130</v>
      </c>
      <c r="K502" s="436">
        <v>288</v>
      </c>
      <c r="L502" s="437">
        <v>115</v>
      </c>
      <c r="M502" s="437">
        <v>288</v>
      </c>
      <c r="N502" s="437">
        <v>115</v>
      </c>
      <c r="O502" s="437">
        <v>115</v>
      </c>
      <c r="P502" s="439">
        <v>115</v>
      </c>
      <c r="Q502" s="439">
        <v>115</v>
      </c>
      <c r="R502" s="436"/>
      <c r="S502" s="436"/>
      <c r="T502" s="436"/>
      <c r="U502" s="436"/>
      <c r="V502" s="436"/>
      <c r="W502" s="436">
        <f>IF(NFI_Expiration=1,IF($A502&lt;VLOOKUP(H$5,NFI,5,0),1,0)*Table_NFI[[#This Row],[Hygiene Kit]],Table_NFI[Hygiene Kit])</f>
        <v>0</v>
      </c>
      <c r="X502" s="436">
        <f>IF(NFI_Expiration=1,IF($A502&lt;VLOOKUP(I$5,NFI,5,0),1,0)*Table_NFI[[#This Row],[NFI Core Kit]],Table_NFI[NFI Core Kit])</f>
        <v>0</v>
      </c>
      <c r="Y502" s="436">
        <f>IF(NFI_Expiration=1,IF($A502&lt;VLOOKUP(J$5,NFI,5,0),1,0)*Table_NFI[[#This Row],[Sanitary Kit]],Table_NFI[Sanitary Kit])</f>
        <v>0</v>
      </c>
      <c r="Z502" s="436">
        <f>IF(NFI_Expiration=1,IF($A502&lt;VLOOKUP(K$5,NFI,5,0),1,0)*Table_NFI[[#This Row],[Mosquito net]],Table_NFI[Mosquito net])</f>
        <v>0</v>
      </c>
      <c r="AA502" s="436">
        <f>IF(NFI_Expiration=1,IF($A502&lt;VLOOKUP(L$5,NFI,5,0),1,0)*Table_NFI[[#This Row],[Tarpaulin]],Table_NFI[[#This Row],[Tarpaulin]])</f>
        <v>0</v>
      </c>
      <c r="AB502" s="436">
        <f>IF(NFI_Expiration=1,IF($A502&lt;VLOOKUP(M$5,NFI,5,0),1,0)*Table_NFI[[#This Row],[Blanket]],Table_NFI[[#This Row],[Blanket]])</f>
        <v>0</v>
      </c>
      <c r="AC502" s="436">
        <f>IF(NFI_Expiration=1,IF($A502&lt;VLOOKUP(N$5,NFI,5,0),1,0)*Table_NFI[[#This Row],[Kitchen Set]],Table_NFI[Kitchen Set])</f>
        <v>0</v>
      </c>
      <c r="AD502" s="436">
        <f>IF(NFI_Expiration=1,IF($A502&lt;VLOOKUP(O$5,NFI,5,0),1,0)*Table_NFI[[#This Row],[Clothes Kit]],Table_NFI[Clothes Kit])</f>
        <v>0</v>
      </c>
      <c r="AE502" s="436">
        <f>IF(NFI_Expiration=1,IF($A502&lt;VLOOKUP(P$5,NFI,5,0),1,0)*Table_NFI[[#This Row],[Plastic Bucket]],Table_NFI[Plastic Bucket])</f>
        <v>0</v>
      </c>
      <c r="AF502" s="436">
        <f>IF(NFI_Expiration=1,IF($A502&lt;VLOOKUP(Q$5,NFI,5,0),1,0)*Table_NFI[[#This Row],[Plastic Mat]],Table_NFI[Plastic Mat])*IF(Table_NFI[[#This Row],[Distribution Date]]&gt;"2014-04-01",1,2.5)</f>
        <v>0</v>
      </c>
      <c r="AG502" s="436">
        <f>IF(NFI_Expiration=1,IF($A502&lt;VLOOKUP(R$5,NFI,5,0),1,0)*Table_NFI[[#This Row],[Winter Clothes Adult]],Table_NFI[Winter Clothes Adult])</f>
        <v>0</v>
      </c>
      <c r="AH502" s="436">
        <f>IF(NFI_Expiration=1,IF($A502&lt;VLOOKUP(S$5,NFI,5,0),1,0)*Table_NFI[[#This Row],[Winter Clothes Children]],Table_NFI[Winter Clothes Children])</f>
        <v>0</v>
      </c>
      <c r="AI502" s="436">
        <f>IF(NFI_Expiration=1,IF($A502&lt;VLOOKUP(T$5,NFI,5,0),1,0)*Table_NFI[[#This Row],[Winter Items Other]],Table_NFI[Winter Items Other])</f>
        <v>0</v>
      </c>
      <c r="AJ502" s="436">
        <f>IF(NFI_Expiration=1,IF($A502&lt;VLOOKUP(M$5,NFI,5,0),1,0)*Table_NFI[[#This Row],[Winter Blanket]],Table_NFI[[#This Row],[Winter Blanket]])</f>
        <v>0</v>
      </c>
      <c r="AK502" s="436">
        <f>IF(Table_NFI[[#This Row],[Winter Clothes Adult]]+Table_NFI[[#This Row],[Winter Clothes Children]]+Table_NFI[[#This Row],[Winter Items Other]]+Table_NFI[[#This Row],[Winter Blanket]]&gt;0,1,0)</f>
        <v>0</v>
      </c>
      <c r="AL502" s="439">
        <f>IF(NFI_Expiration=1,IF($A502&lt;VLOOKUP(V$5,NFI,5,0),1,0)*Table_NFI[[#This Row],[Jerry Can]],Table_NFI[Jerry Can])</f>
        <v>0</v>
      </c>
      <c r="AM502" s="781" t="str">
        <f>IFERROR(VLOOKUP(Table_NFI[[#This Row],[Camp Name]],CL,2,0),"")</f>
        <v>MMR015CMP210</v>
      </c>
      <c r="AN502" s="782">
        <f ca="1">IF(Table_NFI[[#This Row],[Pcode]]="","",IF(OFFSET(CampList[Opening Date],MATCH(Table_NFI[[#This Row],[Pcode]],CampList[CP_Pcode],0)-1,0,1,1)&gt;=NFI_Monitor_Date,1,0))</f>
        <v>0</v>
      </c>
      <c r="AO502" s="781" t="str">
        <f>IFERROR(VLOOKUP(Table_NFI[[#This Row],[Camp Name]],CL,3,0),"")</f>
        <v>Open</v>
      </c>
      <c r="AP502" s="436" t="str">
        <f ca="1">IF(Table_NFI[[#This Row],[Pcode]]="","",OFFSET(CampList[Priority],MATCH(Table_NFI[[#This Row],[Pcode]],CampList[CP_Pcode],0)-1,0,1,1))</f>
        <v>P3</v>
      </c>
      <c r="AQ502" s="438">
        <f>IFERROR(Table_NFI[[#This Row],[Kitchen Set]]/VLOOKUP(Table_NFI[[#This Row],[Camp Name]],CL,4,0),"")</f>
        <v>0.97457627118644063</v>
      </c>
      <c r="AR502" s="779" t="s">
        <v>1099</v>
      </c>
      <c r="AS502" s="783"/>
    </row>
    <row r="503" spans="1:45" s="784" customFormat="1" x14ac:dyDescent="0.25">
      <c r="A503" s="455">
        <f t="shared" si="7"/>
        <v>27</v>
      </c>
      <c r="B503" s="778">
        <v>41499</v>
      </c>
      <c r="C503" s="779" t="s">
        <v>454</v>
      </c>
      <c r="D503" s="779" t="s">
        <v>462</v>
      </c>
      <c r="E503" s="779" t="s">
        <v>555</v>
      </c>
      <c r="F503" s="435" t="s">
        <v>784</v>
      </c>
      <c r="G503" s="435" t="s">
        <v>596</v>
      </c>
      <c r="H503" s="436"/>
      <c r="I503" s="436"/>
      <c r="J503" s="436">
        <v>27</v>
      </c>
      <c r="K503" s="436">
        <v>43</v>
      </c>
      <c r="L503" s="437">
        <v>17</v>
      </c>
      <c r="M503" s="437">
        <v>43</v>
      </c>
      <c r="N503" s="437">
        <v>17</v>
      </c>
      <c r="O503" s="437">
        <v>17</v>
      </c>
      <c r="P503" s="439">
        <v>17</v>
      </c>
      <c r="Q503" s="439">
        <v>17</v>
      </c>
      <c r="R503" s="436"/>
      <c r="S503" s="436"/>
      <c r="T503" s="436"/>
      <c r="U503" s="436"/>
      <c r="V503" s="436"/>
      <c r="W503" s="436">
        <f>IF(NFI_Expiration=1,IF($A503&lt;VLOOKUP(H$5,NFI,5,0),1,0)*Table_NFI[[#This Row],[Hygiene Kit]],Table_NFI[Hygiene Kit])</f>
        <v>0</v>
      </c>
      <c r="X503" s="436">
        <f>IF(NFI_Expiration=1,IF($A503&lt;VLOOKUP(I$5,NFI,5,0),1,0)*Table_NFI[[#This Row],[NFI Core Kit]],Table_NFI[NFI Core Kit])</f>
        <v>0</v>
      </c>
      <c r="Y503" s="436">
        <f>IF(NFI_Expiration=1,IF($A503&lt;VLOOKUP(J$5,NFI,5,0),1,0)*Table_NFI[[#This Row],[Sanitary Kit]],Table_NFI[Sanitary Kit])</f>
        <v>0</v>
      </c>
      <c r="Z503" s="436">
        <f>IF(NFI_Expiration=1,IF($A503&lt;VLOOKUP(K$5,NFI,5,0),1,0)*Table_NFI[[#This Row],[Mosquito net]],Table_NFI[Mosquito net])</f>
        <v>0</v>
      </c>
      <c r="AA503" s="436">
        <f>IF(NFI_Expiration=1,IF($A503&lt;VLOOKUP(L$5,NFI,5,0),1,0)*Table_NFI[[#This Row],[Tarpaulin]],Table_NFI[[#This Row],[Tarpaulin]])</f>
        <v>0</v>
      </c>
      <c r="AB503" s="436">
        <f>IF(NFI_Expiration=1,IF($A503&lt;VLOOKUP(M$5,NFI,5,0),1,0)*Table_NFI[[#This Row],[Blanket]],Table_NFI[[#This Row],[Blanket]])</f>
        <v>0</v>
      </c>
      <c r="AC503" s="436">
        <f>IF(NFI_Expiration=1,IF($A503&lt;VLOOKUP(N$5,NFI,5,0),1,0)*Table_NFI[[#This Row],[Kitchen Set]],Table_NFI[Kitchen Set])</f>
        <v>0</v>
      </c>
      <c r="AD503" s="436">
        <f>IF(NFI_Expiration=1,IF($A503&lt;VLOOKUP(O$5,NFI,5,0),1,0)*Table_NFI[[#This Row],[Clothes Kit]],Table_NFI[Clothes Kit])</f>
        <v>0</v>
      </c>
      <c r="AE503" s="436">
        <f>IF(NFI_Expiration=1,IF($A503&lt;VLOOKUP(P$5,NFI,5,0),1,0)*Table_NFI[[#This Row],[Plastic Bucket]],Table_NFI[Plastic Bucket])</f>
        <v>0</v>
      </c>
      <c r="AF503" s="436">
        <f>IF(NFI_Expiration=1,IF($A503&lt;VLOOKUP(Q$5,NFI,5,0),1,0)*Table_NFI[[#This Row],[Plastic Mat]],Table_NFI[Plastic Mat])*IF(Table_NFI[[#This Row],[Distribution Date]]&gt;"2014-04-01",1,2.5)</f>
        <v>0</v>
      </c>
      <c r="AG503" s="436">
        <f>IF(NFI_Expiration=1,IF($A503&lt;VLOOKUP(R$5,NFI,5,0),1,0)*Table_NFI[[#This Row],[Winter Clothes Adult]],Table_NFI[Winter Clothes Adult])</f>
        <v>0</v>
      </c>
      <c r="AH503" s="436">
        <f>IF(NFI_Expiration=1,IF($A503&lt;VLOOKUP(S$5,NFI,5,0),1,0)*Table_NFI[[#This Row],[Winter Clothes Children]],Table_NFI[Winter Clothes Children])</f>
        <v>0</v>
      </c>
      <c r="AI503" s="436">
        <f>IF(NFI_Expiration=1,IF($A503&lt;VLOOKUP(T$5,NFI,5,0),1,0)*Table_NFI[[#This Row],[Winter Items Other]],Table_NFI[Winter Items Other])</f>
        <v>0</v>
      </c>
      <c r="AJ503" s="436">
        <f>IF(NFI_Expiration=1,IF($A503&lt;VLOOKUP(M$5,NFI,5,0),1,0)*Table_NFI[[#This Row],[Winter Blanket]],Table_NFI[[#This Row],[Winter Blanket]])</f>
        <v>0</v>
      </c>
      <c r="AK503" s="436">
        <f>IF(Table_NFI[[#This Row],[Winter Clothes Adult]]+Table_NFI[[#This Row],[Winter Clothes Children]]+Table_NFI[[#This Row],[Winter Items Other]]+Table_NFI[[#This Row],[Winter Blanket]]&gt;0,1,0)</f>
        <v>0</v>
      </c>
      <c r="AL503" s="439">
        <f>IF(NFI_Expiration=1,IF($A503&lt;VLOOKUP(V$5,NFI,5,0),1,0)*Table_NFI[[#This Row],[Jerry Can]],Table_NFI[Jerry Can])</f>
        <v>0</v>
      </c>
      <c r="AM503" s="781" t="str">
        <f>IFERROR(VLOOKUP(Table_NFI[[#This Row],[Camp Name]],CL,2,0),"")</f>
        <v>MMR015CMP207</v>
      </c>
      <c r="AN503" s="782">
        <f ca="1">IF(Table_NFI[[#This Row],[Pcode]]="","",IF(OFFSET(CampList[Opening Date],MATCH(Table_NFI[[#This Row],[Pcode]],CampList[CP_Pcode],0)-1,0,1,1)&gt;=NFI_Monitor_Date,1,0))</f>
        <v>0</v>
      </c>
      <c r="AO503" s="781" t="str">
        <f>IFERROR(VLOOKUP(Table_NFI[[#This Row],[Camp Name]],CL,3,0),"")</f>
        <v>Open</v>
      </c>
      <c r="AP503" s="436" t="str">
        <f ca="1">IF(Table_NFI[[#This Row],[Pcode]]="","",OFFSET(CampList[Priority],MATCH(Table_NFI[[#This Row],[Pcode]],CampList[CP_Pcode],0)-1,0,1,1))</f>
        <v>P4</v>
      </c>
      <c r="AQ503" s="438">
        <f>IFERROR(Table_NFI[[#This Row],[Kitchen Set]]/VLOOKUP(Table_NFI[[#This Row],[Camp Name]],CL,4,0),"")</f>
        <v>0.2537313432835821</v>
      </c>
      <c r="AR503" s="779" t="s">
        <v>1099</v>
      </c>
      <c r="AS503" s="783"/>
    </row>
    <row r="504" spans="1:45" s="784" customFormat="1" x14ac:dyDescent="0.25">
      <c r="A504" s="455">
        <f t="shared" si="7"/>
        <v>27.2</v>
      </c>
      <c r="B504" s="778">
        <v>41493</v>
      </c>
      <c r="C504" s="779" t="s">
        <v>454</v>
      </c>
      <c r="D504" s="779" t="s">
        <v>454</v>
      </c>
      <c r="E504" s="779" t="s">
        <v>380</v>
      </c>
      <c r="F504" s="435" t="s">
        <v>310</v>
      </c>
      <c r="G504" s="435" t="s">
        <v>320</v>
      </c>
      <c r="H504" s="436"/>
      <c r="I504" s="436"/>
      <c r="J504" s="436">
        <v>15</v>
      </c>
      <c r="K504" s="436">
        <v>57</v>
      </c>
      <c r="L504" s="437">
        <v>24</v>
      </c>
      <c r="M504" s="437">
        <v>57</v>
      </c>
      <c r="N504" s="437">
        <v>24</v>
      </c>
      <c r="O504" s="437">
        <v>24</v>
      </c>
      <c r="P504" s="437">
        <v>24</v>
      </c>
      <c r="Q504" s="437">
        <v>24</v>
      </c>
      <c r="R504" s="436"/>
      <c r="S504" s="436"/>
      <c r="T504" s="436"/>
      <c r="U504" s="436"/>
      <c r="V504" s="436"/>
      <c r="W504" s="436">
        <f>IF(NFI_Expiration=1,IF($A504&lt;VLOOKUP(H$5,NFI,5,0),1,0)*Table_NFI[[#This Row],[Hygiene Kit]],Table_NFI[Hygiene Kit])</f>
        <v>0</v>
      </c>
      <c r="X504" s="436">
        <f>IF(NFI_Expiration=1,IF($A504&lt;VLOOKUP(I$5,NFI,5,0),1,0)*Table_NFI[[#This Row],[NFI Core Kit]],Table_NFI[NFI Core Kit])</f>
        <v>0</v>
      </c>
      <c r="Y504" s="436">
        <f>IF(NFI_Expiration=1,IF($A504&lt;VLOOKUP(J$5,NFI,5,0),1,0)*Table_NFI[[#This Row],[Sanitary Kit]],Table_NFI[Sanitary Kit])</f>
        <v>0</v>
      </c>
      <c r="Z504" s="436">
        <f>IF(NFI_Expiration=1,IF($A504&lt;VLOOKUP(K$5,NFI,5,0),1,0)*Table_NFI[[#This Row],[Mosquito net]],Table_NFI[Mosquito net])</f>
        <v>0</v>
      </c>
      <c r="AA504" s="436">
        <f>IF(NFI_Expiration=1,IF($A504&lt;VLOOKUP(L$5,NFI,5,0),1,0)*Table_NFI[[#This Row],[Tarpaulin]],Table_NFI[[#This Row],[Tarpaulin]])</f>
        <v>0</v>
      </c>
      <c r="AB504" s="436">
        <f>IF(NFI_Expiration=1,IF($A504&lt;VLOOKUP(M$5,NFI,5,0),1,0)*Table_NFI[[#This Row],[Blanket]],Table_NFI[[#This Row],[Blanket]])</f>
        <v>0</v>
      </c>
      <c r="AC504" s="436">
        <f>IF(NFI_Expiration=1,IF($A504&lt;VLOOKUP(N$5,NFI,5,0),1,0)*Table_NFI[[#This Row],[Kitchen Set]],Table_NFI[Kitchen Set])</f>
        <v>0</v>
      </c>
      <c r="AD504" s="436">
        <f>IF(NFI_Expiration=1,IF($A504&lt;VLOOKUP(O$5,NFI,5,0),1,0)*Table_NFI[[#This Row],[Clothes Kit]],Table_NFI[Clothes Kit])</f>
        <v>0</v>
      </c>
      <c r="AE504" s="436">
        <f>IF(NFI_Expiration=1,IF($A504&lt;VLOOKUP(P$5,NFI,5,0),1,0)*Table_NFI[[#This Row],[Plastic Bucket]],Table_NFI[Plastic Bucket])</f>
        <v>0</v>
      </c>
      <c r="AF504" s="436">
        <f>IF(NFI_Expiration=1,IF($A504&lt;VLOOKUP(Q$5,NFI,5,0),1,0)*Table_NFI[[#This Row],[Plastic Mat]],Table_NFI[Plastic Mat])*IF(Table_NFI[[#This Row],[Distribution Date]]&gt;"2014-04-01",1,2.5)</f>
        <v>0</v>
      </c>
      <c r="AG504" s="436">
        <f>IF(NFI_Expiration=1,IF($A504&lt;VLOOKUP(R$5,NFI,5,0),1,0)*Table_NFI[[#This Row],[Winter Clothes Adult]],Table_NFI[Winter Clothes Adult])</f>
        <v>0</v>
      </c>
      <c r="AH504" s="436">
        <f>IF(NFI_Expiration=1,IF($A504&lt;VLOOKUP(S$5,NFI,5,0),1,0)*Table_NFI[[#This Row],[Winter Clothes Children]],Table_NFI[Winter Clothes Children])</f>
        <v>0</v>
      </c>
      <c r="AI504" s="436">
        <f>IF(NFI_Expiration=1,IF($A504&lt;VLOOKUP(T$5,NFI,5,0),1,0)*Table_NFI[[#This Row],[Winter Items Other]],Table_NFI[Winter Items Other])</f>
        <v>0</v>
      </c>
      <c r="AJ504" s="436">
        <f>IF(NFI_Expiration=1,IF($A504&lt;VLOOKUP(M$5,NFI,5,0),1,0)*Table_NFI[[#This Row],[Winter Blanket]],Table_NFI[[#This Row],[Winter Blanket]])</f>
        <v>0</v>
      </c>
      <c r="AK504" s="436">
        <f>IF(Table_NFI[[#This Row],[Winter Clothes Adult]]+Table_NFI[[#This Row],[Winter Clothes Children]]+Table_NFI[[#This Row],[Winter Items Other]]+Table_NFI[[#This Row],[Winter Blanket]]&gt;0,1,0)</f>
        <v>0</v>
      </c>
      <c r="AL504" s="439">
        <f>IF(NFI_Expiration=1,IF($A504&lt;VLOOKUP(V$5,NFI,5,0),1,0)*Table_NFI[[#This Row],[Jerry Can]],Table_NFI[Jerry Can])</f>
        <v>0</v>
      </c>
      <c r="AM504" s="781" t="str">
        <f>IFERROR(VLOOKUP(Table_NFI[[#This Row],[Camp Name]],CL,2,0),"")</f>
        <v>MMR001CMP027</v>
      </c>
      <c r="AN504" s="782">
        <f ca="1">IF(Table_NFI[[#This Row],[Pcode]]="","",IF(OFFSET(CampList[Opening Date],MATCH(Table_NFI[[#This Row],[Pcode]],CampList[CP_Pcode],0)-1,0,1,1)&gt;=NFI_Monitor_Date,1,0))</f>
        <v>0</v>
      </c>
      <c r="AO504" s="781" t="str">
        <f>IFERROR(VLOOKUP(Table_NFI[[#This Row],[Camp Name]],CL,3,0),"")</f>
        <v>Open</v>
      </c>
      <c r="AP504" s="436" t="str">
        <f ca="1">IF(Table_NFI[[#This Row],[Pcode]]="","",OFFSET(CampList[Priority],MATCH(Table_NFI[[#This Row],[Pcode]],CampList[CP_Pcode],0)-1,0,1,1))</f>
        <v>P4</v>
      </c>
      <c r="AQ504" s="438">
        <f>IFERROR(Table_NFI[[#This Row],[Kitchen Set]]/VLOOKUP(Table_NFI[[#This Row],[Camp Name]],CL,4,0),"")</f>
        <v>0.96</v>
      </c>
      <c r="AR504" s="779" t="s">
        <v>1099</v>
      </c>
      <c r="AS504" s="783"/>
    </row>
    <row r="505" spans="1:45" s="784" customFormat="1" x14ac:dyDescent="0.25">
      <c r="A505" s="455">
        <f t="shared" si="7"/>
        <v>27.2</v>
      </c>
      <c r="B505" s="778">
        <v>41493</v>
      </c>
      <c r="C505" s="779" t="s">
        <v>454</v>
      </c>
      <c r="D505" s="780" t="s">
        <v>454</v>
      </c>
      <c r="E505" s="779" t="s">
        <v>380</v>
      </c>
      <c r="F505" s="435" t="s">
        <v>310</v>
      </c>
      <c r="G505" s="435" t="s">
        <v>328</v>
      </c>
      <c r="H505" s="436"/>
      <c r="I505" s="436"/>
      <c r="J505" s="436">
        <v>20</v>
      </c>
      <c r="K505" s="436">
        <v>40</v>
      </c>
      <c r="L505" s="437">
        <v>17</v>
      </c>
      <c r="M505" s="437">
        <v>40</v>
      </c>
      <c r="N505" s="437">
        <v>17</v>
      </c>
      <c r="O505" s="437">
        <v>17</v>
      </c>
      <c r="P505" s="437">
        <v>17</v>
      </c>
      <c r="Q505" s="437">
        <v>17</v>
      </c>
      <c r="R505" s="436"/>
      <c r="S505" s="436"/>
      <c r="T505" s="436"/>
      <c r="U505" s="436"/>
      <c r="V505" s="436"/>
      <c r="W505" s="436">
        <f>IF(NFI_Expiration=1,IF($A505&lt;VLOOKUP(H$5,NFI,5,0),1,0)*Table_NFI[[#This Row],[Hygiene Kit]],Table_NFI[Hygiene Kit])</f>
        <v>0</v>
      </c>
      <c r="X505" s="436">
        <f>IF(NFI_Expiration=1,IF($A505&lt;VLOOKUP(I$5,NFI,5,0),1,0)*Table_NFI[[#This Row],[NFI Core Kit]],Table_NFI[NFI Core Kit])</f>
        <v>0</v>
      </c>
      <c r="Y505" s="436">
        <f>IF(NFI_Expiration=1,IF($A505&lt;VLOOKUP(J$5,NFI,5,0),1,0)*Table_NFI[[#This Row],[Sanitary Kit]],Table_NFI[Sanitary Kit])</f>
        <v>0</v>
      </c>
      <c r="Z505" s="436">
        <f>IF(NFI_Expiration=1,IF($A505&lt;VLOOKUP(K$5,NFI,5,0),1,0)*Table_NFI[[#This Row],[Mosquito net]],Table_NFI[Mosquito net])</f>
        <v>0</v>
      </c>
      <c r="AA505" s="436">
        <f>IF(NFI_Expiration=1,IF($A505&lt;VLOOKUP(L$5,NFI,5,0),1,0)*Table_NFI[[#This Row],[Tarpaulin]],Table_NFI[[#This Row],[Tarpaulin]])</f>
        <v>0</v>
      </c>
      <c r="AB505" s="436">
        <f>IF(NFI_Expiration=1,IF($A505&lt;VLOOKUP(M$5,NFI,5,0),1,0)*Table_NFI[[#This Row],[Blanket]],Table_NFI[[#This Row],[Blanket]])</f>
        <v>0</v>
      </c>
      <c r="AC505" s="436">
        <f>IF(NFI_Expiration=1,IF($A505&lt;VLOOKUP(N$5,NFI,5,0),1,0)*Table_NFI[[#This Row],[Kitchen Set]],Table_NFI[Kitchen Set])</f>
        <v>0</v>
      </c>
      <c r="AD505" s="436">
        <f>IF(NFI_Expiration=1,IF($A505&lt;VLOOKUP(O$5,NFI,5,0),1,0)*Table_NFI[[#This Row],[Clothes Kit]],Table_NFI[Clothes Kit])</f>
        <v>0</v>
      </c>
      <c r="AE505" s="436">
        <f>IF(NFI_Expiration=1,IF($A505&lt;VLOOKUP(P$5,NFI,5,0),1,0)*Table_NFI[[#This Row],[Plastic Bucket]],Table_NFI[Plastic Bucket])</f>
        <v>0</v>
      </c>
      <c r="AF505" s="436">
        <f>IF(NFI_Expiration=1,IF($A505&lt;VLOOKUP(Q$5,NFI,5,0),1,0)*Table_NFI[[#This Row],[Plastic Mat]],Table_NFI[Plastic Mat])*IF(Table_NFI[[#This Row],[Distribution Date]]&gt;"2014-04-01",1,2.5)</f>
        <v>0</v>
      </c>
      <c r="AG505" s="436">
        <f>IF(NFI_Expiration=1,IF($A505&lt;VLOOKUP(R$5,NFI,5,0),1,0)*Table_NFI[[#This Row],[Winter Clothes Adult]],Table_NFI[Winter Clothes Adult])</f>
        <v>0</v>
      </c>
      <c r="AH505" s="436">
        <f>IF(NFI_Expiration=1,IF($A505&lt;VLOOKUP(S$5,NFI,5,0),1,0)*Table_NFI[[#This Row],[Winter Clothes Children]],Table_NFI[Winter Clothes Children])</f>
        <v>0</v>
      </c>
      <c r="AI505" s="436">
        <f>IF(NFI_Expiration=1,IF($A505&lt;VLOOKUP(T$5,NFI,5,0),1,0)*Table_NFI[[#This Row],[Winter Items Other]],Table_NFI[Winter Items Other])</f>
        <v>0</v>
      </c>
      <c r="AJ505" s="436">
        <f>IF(NFI_Expiration=1,IF($A505&lt;VLOOKUP(M$5,NFI,5,0),1,0)*Table_NFI[[#This Row],[Winter Blanket]],Table_NFI[[#This Row],[Winter Blanket]])</f>
        <v>0</v>
      </c>
      <c r="AK505" s="436">
        <f>IF(Table_NFI[[#This Row],[Winter Clothes Adult]]+Table_NFI[[#This Row],[Winter Clothes Children]]+Table_NFI[[#This Row],[Winter Items Other]]+Table_NFI[[#This Row],[Winter Blanket]]&gt;0,1,0)</f>
        <v>0</v>
      </c>
      <c r="AL505" s="439">
        <f>IF(NFI_Expiration=1,IF($A505&lt;VLOOKUP(V$5,NFI,5,0),1,0)*Table_NFI[[#This Row],[Jerry Can]],Table_NFI[Jerry Can])</f>
        <v>0</v>
      </c>
      <c r="AM505" s="781" t="str">
        <f>IFERROR(VLOOKUP(Table_NFI[[#This Row],[Camp Name]],CL,2,0),"")</f>
        <v>MMR001CMP031</v>
      </c>
      <c r="AN505" s="782">
        <f ca="1">IF(Table_NFI[[#This Row],[Pcode]]="","",IF(OFFSET(CampList[Opening Date],MATCH(Table_NFI[[#This Row],[Pcode]],CampList[CP_Pcode],0)-1,0,1,1)&gt;=NFI_Monitor_Date,1,0))</f>
        <v>0</v>
      </c>
      <c r="AO505" s="781" t="str">
        <f>IFERROR(VLOOKUP(Table_NFI[[#This Row],[Camp Name]],CL,3,0),"")</f>
        <v>Open</v>
      </c>
      <c r="AP505" s="436" t="str">
        <f ca="1">IF(Table_NFI[[#This Row],[Pcode]]="","",OFFSET(CampList[Priority],MATCH(Table_NFI[[#This Row],[Pcode]],CampList[CP_Pcode],0)-1,0,1,1))</f>
        <v>P4</v>
      </c>
      <c r="AQ505" s="438">
        <f>IFERROR(Table_NFI[[#This Row],[Kitchen Set]]/VLOOKUP(Table_NFI[[#This Row],[Camp Name]],CL,4,0),"")</f>
        <v>0.12592592592592591</v>
      </c>
      <c r="AR505" s="779" t="s">
        <v>1099</v>
      </c>
      <c r="AS505" s="783"/>
    </row>
    <row r="506" spans="1:45" s="784" customFormat="1" x14ac:dyDescent="0.25">
      <c r="A506" s="455">
        <f t="shared" si="7"/>
        <v>27.2</v>
      </c>
      <c r="B506" s="778">
        <v>41493</v>
      </c>
      <c r="C506" s="779" t="s">
        <v>454</v>
      </c>
      <c r="D506" s="780" t="s">
        <v>454</v>
      </c>
      <c r="E506" s="779" t="s">
        <v>380</v>
      </c>
      <c r="F506" s="435" t="s">
        <v>237</v>
      </c>
      <c r="G506" s="435" t="s">
        <v>259</v>
      </c>
      <c r="H506" s="436"/>
      <c r="I506" s="436"/>
      <c r="J506" s="436">
        <v>15</v>
      </c>
      <c r="K506" s="436">
        <v>25</v>
      </c>
      <c r="L506" s="437">
        <v>11</v>
      </c>
      <c r="M506" s="437">
        <v>25</v>
      </c>
      <c r="N506" s="437">
        <v>11</v>
      </c>
      <c r="O506" s="437">
        <v>11</v>
      </c>
      <c r="P506" s="437">
        <v>11</v>
      </c>
      <c r="Q506" s="437">
        <v>11</v>
      </c>
      <c r="R506" s="436"/>
      <c r="S506" s="436"/>
      <c r="T506" s="436"/>
      <c r="U506" s="436"/>
      <c r="V506" s="436"/>
      <c r="W506" s="436">
        <f>IF(NFI_Expiration=1,IF($A506&lt;VLOOKUP(H$5,NFI,5,0),1,0)*Table_NFI[[#This Row],[Hygiene Kit]],Table_NFI[Hygiene Kit])</f>
        <v>0</v>
      </c>
      <c r="X506" s="436">
        <f>IF(NFI_Expiration=1,IF($A506&lt;VLOOKUP(I$5,NFI,5,0),1,0)*Table_NFI[[#This Row],[NFI Core Kit]],Table_NFI[NFI Core Kit])</f>
        <v>0</v>
      </c>
      <c r="Y506" s="436">
        <f>IF(NFI_Expiration=1,IF($A506&lt;VLOOKUP(J$5,NFI,5,0),1,0)*Table_NFI[[#This Row],[Sanitary Kit]],Table_NFI[Sanitary Kit])</f>
        <v>0</v>
      </c>
      <c r="Z506" s="436">
        <f>IF(NFI_Expiration=1,IF($A506&lt;VLOOKUP(K$5,NFI,5,0),1,0)*Table_NFI[[#This Row],[Mosquito net]],Table_NFI[Mosquito net])</f>
        <v>0</v>
      </c>
      <c r="AA506" s="436">
        <f>IF(NFI_Expiration=1,IF($A506&lt;VLOOKUP(L$5,NFI,5,0),1,0)*Table_NFI[[#This Row],[Tarpaulin]],Table_NFI[[#This Row],[Tarpaulin]])</f>
        <v>0</v>
      </c>
      <c r="AB506" s="436">
        <f>IF(NFI_Expiration=1,IF($A506&lt;VLOOKUP(M$5,NFI,5,0),1,0)*Table_NFI[[#This Row],[Blanket]],Table_NFI[[#This Row],[Blanket]])</f>
        <v>0</v>
      </c>
      <c r="AC506" s="436">
        <f>IF(NFI_Expiration=1,IF($A506&lt;VLOOKUP(N$5,NFI,5,0),1,0)*Table_NFI[[#This Row],[Kitchen Set]],Table_NFI[Kitchen Set])</f>
        <v>0</v>
      </c>
      <c r="AD506" s="436">
        <f>IF(NFI_Expiration=1,IF($A506&lt;VLOOKUP(O$5,NFI,5,0),1,0)*Table_NFI[[#This Row],[Clothes Kit]],Table_NFI[Clothes Kit])</f>
        <v>0</v>
      </c>
      <c r="AE506" s="436">
        <f>IF(NFI_Expiration=1,IF($A506&lt;VLOOKUP(P$5,NFI,5,0),1,0)*Table_NFI[[#This Row],[Plastic Bucket]],Table_NFI[Plastic Bucket])</f>
        <v>0</v>
      </c>
      <c r="AF506" s="436">
        <f>IF(NFI_Expiration=1,IF($A506&lt;VLOOKUP(Q$5,NFI,5,0),1,0)*Table_NFI[[#This Row],[Plastic Mat]],Table_NFI[Plastic Mat])*IF(Table_NFI[[#This Row],[Distribution Date]]&gt;"2014-04-01",1,2.5)</f>
        <v>0</v>
      </c>
      <c r="AG506" s="436">
        <f>IF(NFI_Expiration=1,IF($A506&lt;VLOOKUP(R$5,NFI,5,0),1,0)*Table_NFI[[#This Row],[Winter Clothes Adult]],Table_NFI[Winter Clothes Adult])</f>
        <v>0</v>
      </c>
      <c r="AH506" s="436">
        <f>IF(NFI_Expiration=1,IF($A506&lt;VLOOKUP(S$5,NFI,5,0),1,0)*Table_NFI[[#This Row],[Winter Clothes Children]],Table_NFI[Winter Clothes Children])</f>
        <v>0</v>
      </c>
      <c r="AI506" s="436">
        <f>IF(NFI_Expiration=1,IF($A506&lt;VLOOKUP(T$5,NFI,5,0),1,0)*Table_NFI[[#This Row],[Winter Items Other]],Table_NFI[Winter Items Other])</f>
        <v>0</v>
      </c>
      <c r="AJ506" s="436">
        <f>IF(NFI_Expiration=1,IF($A506&lt;VLOOKUP(M$5,NFI,5,0),1,0)*Table_NFI[[#This Row],[Winter Blanket]],Table_NFI[[#This Row],[Winter Blanket]])</f>
        <v>0</v>
      </c>
      <c r="AK506" s="436">
        <f>IF(Table_NFI[[#This Row],[Winter Clothes Adult]]+Table_NFI[[#This Row],[Winter Clothes Children]]+Table_NFI[[#This Row],[Winter Items Other]]+Table_NFI[[#This Row],[Winter Blanket]]&gt;0,1,0)</f>
        <v>0</v>
      </c>
      <c r="AL506" s="439">
        <f>IF(NFI_Expiration=1,IF($A506&lt;VLOOKUP(V$5,NFI,5,0),1,0)*Table_NFI[[#This Row],[Jerry Can]],Table_NFI[Jerry Can])</f>
        <v>0</v>
      </c>
      <c r="AM506" s="781" t="str">
        <f>IFERROR(VLOOKUP(Table_NFI[[#This Row],[Camp Name]],CL,2,0),"")</f>
        <v>MMR001CMP016</v>
      </c>
      <c r="AN506" s="782">
        <f ca="1">IF(Table_NFI[[#This Row],[Pcode]]="","",IF(OFFSET(CampList[Opening Date],MATCH(Table_NFI[[#This Row],[Pcode]],CampList[CP_Pcode],0)-1,0,1,1)&gt;=NFI_Monitor_Date,1,0))</f>
        <v>0</v>
      </c>
      <c r="AO506" s="781" t="str">
        <f>IFERROR(VLOOKUP(Table_NFI[[#This Row],[Camp Name]],CL,3,0),"")</f>
        <v>Open</v>
      </c>
      <c r="AP506" s="436" t="str">
        <f ca="1">IF(Table_NFI[[#This Row],[Pcode]]="","",OFFSET(CampList[Priority],MATCH(Table_NFI[[#This Row],[Pcode]],CampList[CP_Pcode],0)-1,0,1,1))</f>
        <v>P4</v>
      </c>
      <c r="AQ506" s="438">
        <f>IFERROR(Table_NFI[[#This Row],[Kitchen Set]]/VLOOKUP(Table_NFI[[#This Row],[Camp Name]],CL,4,0),"")</f>
        <v>0.15277777777777779</v>
      </c>
      <c r="AR506" s="779" t="s">
        <v>1099</v>
      </c>
      <c r="AS506" s="783"/>
    </row>
    <row r="507" spans="1:45" s="784" customFormat="1" x14ac:dyDescent="0.25">
      <c r="A507" s="455">
        <f t="shared" si="7"/>
        <v>27.666666666666668</v>
      </c>
      <c r="B507" s="778">
        <v>41479</v>
      </c>
      <c r="C507" s="779" t="s">
        <v>454</v>
      </c>
      <c r="D507" s="779" t="s">
        <v>462</v>
      </c>
      <c r="E507" s="779" t="s">
        <v>380</v>
      </c>
      <c r="F507" s="435" t="s">
        <v>237</v>
      </c>
      <c r="G507" s="435" t="s">
        <v>240</v>
      </c>
      <c r="H507" s="436"/>
      <c r="I507" s="436"/>
      <c r="J507" s="436">
        <v>66</v>
      </c>
      <c r="K507" s="436">
        <v>98</v>
      </c>
      <c r="L507" s="437">
        <v>45</v>
      </c>
      <c r="M507" s="437">
        <v>98</v>
      </c>
      <c r="N507" s="437">
        <v>45</v>
      </c>
      <c r="O507" s="437">
        <v>45</v>
      </c>
      <c r="P507" s="439">
        <v>45</v>
      </c>
      <c r="Q507" s="439">
        <v>45</v>
      </c>
      <c r="R507" s="436"/>
      <c r="S507" s="436"/>
      <c r="T507" s="436"/>
      <c r="U507" s="436"/>
      <c r="V507" s="436"/>
      <c r="W507" s="436">
        <f>IF(NFI_Expiration=1,IF($A507&lt;VLOOKUP(H$5,NFI,5,0),1,0)*Table_NFI[[#This Row],[Hygiene Kit]],Table_NFI[Hygiene Kit])</f>
        <v>0</v>
      </c>
      <c r="X507" s="436">
        <f>IF(NFI_Expiration=1,IF($A507&lt;VLOOKUP(I$5,NFI,5,0),1,0)*Table_NFI[[#This Row],[NFI Core Kit]],Table_NFI[NFI Core Kit])</f>
        <v>0</v>
      </c>
      <c r="Y507" s="436">
        <f>IF(NFI_Expiration=1,IF($A507&lt;VLOOKUP(J$5,NFI,5,0),1,0)*Table_NFI[[#This Row],[Sanitary Kit]],Table_NFI[Sanitary Kit])</f>
        <v>0</v>
      </c>
      <c r="Z507" s="436">
        <f>IF(NFI_Expiration=1,IF($A507&lt;VLOOKUP(K$5,NFI,5,0),1,0)*Table_NFI[[#This Row],[Mosquito net]],Table_NFI[Mosquito net])</f>
        <v>0</v>
      </c>
      <c r="AA507" s="436">
        <f>IF(NFI_Expiration=1,IF($A507&lt;VLOOKUP(L$5,NFI,5,0),1,0)*Table_NFI[[#This Row],[Tarpaulin]],Table_NFI[[#This Row],[Tarpaulin]])</f>
        <v>0</v>
      </c>
      <c r="AB507" s="436">
        <f>IF(NFI_Expiration=1,IF($A507&lt;VLOOKUP(M$5,NFI,5,0),1,0)*Table_NFI[[#This Row],[Blanket]],Table_NFI[[#This Row],[Blanket]])</f>
        <v>0</v>
      </c>
      <c r="AC507" s="436">
        <f>IF(NFI_Expiration=1,IF($A507&lt;VLOOKUP(N$5,NFI,5,0),1,0)*Table_NFI[[#This Row],[Kitchen Set]],Table_NFI[Kitchen Set])</f>
        <v>0</v>
      </c>
      <c r="AD507" s="436">
        <f>IF(NFI_Expiration=1,IF($A507&lt;VLOOKUP(O$5,NFI,5,0),1,0)*Table_NFI[[#This Row],[Clothes Kit]],Table_NFI[Clothes Kit])</f>
        <v>0</v>
      </c>
      <c r="AE507" s="436">
        <f>IF(NFI_Expiration=1,IF($A507&lt;VLOOKUP(P$5,NFI,5,0),1,0)*Table_NFI[[#This Row],[Plastic Bucket]],Table_NFI[Plastic Bucket])</f>
        <v>0</v>
      </c>
      <c r="AF507" s="436">
        <f>IF(NFI_Expiration=1,IF($A507&lt;VLOOKUP(Q$5,NFI,5,0),1,0)*Table_NFI[[#This Row],[Plastic Mat]],Table_NFI[Plastic Mat])*IF(Table_NFI[[#This Row],[Distribution Date]]&gt;"2014-04-01",1,2.5)</f>
        <v>0</v>
      </c>
      <c r="AG507" s="436">
        <f>IF(NFI_Expiration=1,IF($A507&lt;VLOOKUP(R$5,NFI,5,0),1,0)*Table_NFI[[#This Row],[Winter Clothes Adult]],Table_NFI[Winter Clothes Adult])</f>
        <v>0</v>
      </c>
      <c r="AH507" s="436">
        <f>IF(NFI_Expiration=1,IF($A507&lt;VLOOKUP(S$5,NFI,5,0),1,0)*Table_NFI[[#This Row],[Winter Clothes Children]],Table_NFI[Winter Clothes Children])</f>
        <v>0</v>
      </c>
      <c r="AI507" s="436">
        <f>IF(NFI_Expiration=1,IF($A507&lt;VLOOKUP(T$5,NFI,5,0),1,0)*Table_NFI[[#This Row],[Winter Items Other]],Table_NFI[Winter Items Other])</f>
        <v>0</v>
      </c>
      <c r="AJ507" s="436">
        <f>IF(NFI_Expiration=1,IF($A507&lt;VLOOKUP(M$5,NFI,5,0),1,0)*Table_NFI[[#This Row],[Winter Blanket]],Table_NFI[[#This Row],[Winter Blanket]])</f>
        <v>0</v>
      </c>
      <c r="AK507" s="436">
        <f>IF(Table_NFI[[#This Row],[Winter Clothes Adult]]+Table_NFI[[#This Row],[Winter Clothes Children]]+Table_NFI[[#This Row],[Winter Items Other]]+Table_NFI[[#This Row],[Winter Blanket]]&gt;0,1,0)</f>
        <v>0</v>
      </c>
      <c r="AL507" s="439">
        <f>IF(NFI_Expiration=1,IF($A507&lt;VLOOKUP(V$5,NFI,5,0),1,0)*Table_NFI[[#This Row],[Jerry Can]],Table_NFI[Jerry Can])</f>
        <v>0</v>
      </c>
      <c r="AM507" s="781" t="str">
        <f>IFERROR(VLOOKUP(Table_NFI[[#This Row],[Camp Name]],CL,2,0),"")</f>
        <v>MMR001CMP015</v>
      </c>
      <c r="AN507" s="782">
        <f ca="1">IF(Table_NFI[[#This Row],[Pcode]]="","",IF(OFFSET(CampList[Opening Date],MATCH(Table_NFI[[#This Row],[Pcode]],CampList[CP_Pcode],0)-1,0,1,1)&gt;=NFI_Monitor_Date,1,0))</f>
        <v>0</v>
      </c>
      <c r="AO507" s="781" t="str">
        <f>IFERROR(VLOOKUP(Table_NFI[[#This Row],[Camp Name]],CL,3,0),"")</f>
        <v>Open</v>
      </c>
      <c r="AP507" s="436" t="str">
        <f ca="1">IF(Table_NFI[[#This Row],[Pcode]]="","",OFFSET(CampList[Priority],MATCH(Table_NFI[[#This Row],[Pcode]],CampList[CP_Pcode],0)-1,0,1,1))</f>
        <v>P4</v>
      </c>
      <c r="AQ507" s="438">
        <f>IFERROR(Table_NFI[[#This Row],[Kitchen Set]]/VLOOKUP(Table_NFI[[#This Row],[Camp Name]],CL,4,0),"")</f>
        <v>0.41666666666666669</v>
      </c>
      <c r="AR507" s="779" t="s">
        <v>1099</v>
      </c>
      <c r="AS507" s="783"/>
    </row>
    <row r="508" spans="1:45" s="784" customFormat="1" x14ac:dyDescent="0.25">
      <c r="A508" s="455">
        <f t="shared" si="7"/>
        <v>27.666666666666668</v>
      </c>
      <c r="B508" s="778">
        <v>41479</v>
      </c>
      <c r="C508" s="779" t="s">
        <v>454</v>
      </c>
      <c r="D508" s="780" t="s">
        <v>462</v>
      </c>
      <c r="E508" s="779" t="s">
        <v>380</v>
      </c>
      <c r="F508" s="435" t="s">
        <v>237</v>
      </c>
      <c r="G508" s="435" t="s">
        <v>285</v>
      </c>
      <c r="H508" s="436"/>
      <c r="I508" s="436"/>
      <c r="J508" s="436">
        <v>100</v>
      </c>
      <c r="K508" s="436">
        <v>158</v>
      </c>
      <c r="L508" s="437">
        <v>65</v>
      </c>
      <c r="M508" s="437">
        <v>158</v>
      </c>
      <c r="N508" s="437">
        <v>65</v>
      </c>
      <c r="O508" s="437">
        <v>65</v>
      </c>
      <c r="P508" s="437">
        <v>65</v>
      </c>
      <c r="Q508" s="437">
        <v>65</v>
      </c>
      <c r="R508" s="436"/>
      <c r="S508" s="436"/>
      <c r="T508" s="436"/>
      <c r="U508" s="436"/>
      <c r="V508" s="436"/>
      <c r="W508" s="436">
        <f>IF(NFI_Expiration=1,IF($A508&lt;VLOOKUP(H$5,NFI,5,0),1,0)*Table_NFI[[#This Row],[Hygiene Kit]],Table_NFI[Hygiene Kit])</f>
        <v>0</v>
      </c>
      <c r="X508" s="436">
        <f>IF(NFI_Expiration=1,IF($A508&lt;VLOOKUP(I$5,NFI,5,0),1,0)*Table_NFI[[#This Row],[NFI Core Kit]],Table_NFI[NFI Core Kit])</f>
        <v>0</v>
      </c>
      <c r="Y508" s="436">
        <f>IF(NFI_Expiration=1,IF($A508&lt;VLOOKUP(J$5,NFI,5,0),1,0)*Table_NFI[[#This Row],[Sanitary Kit]],Table_NFI[Sanitary Kit])</f>
        <v>0</v>
      </c>
      <c r="Z508" s="436">
        <f>IF(NFI_Expiration=1,IF($A508&lt;VLOOKUP(K$5,NFI,5,0),1,0)*Table_NFI[[#This Row],[Mosquito net]],Table_NFI[Mosquito net])</f>
        <v>0</v>
      </c>
      <c r="AA508" s="436">
        <f>IF(NFI_Expiration=1,IF($A508&lt;VLOOKUP(L$5,NFI,5,0),1,0)*Table_NFI[[#This Row],[Tarpaulin]],Table_NFI[[#This Row],[Tarpaulin]])</f>
        <v>0</v>
      </c>
      <c r="AB508" s="436">
        <f>IF(NFI_Expiration=1,IF($A508&lt;VLOOKUP(M$5,NFI,5,0),1,0)*Table_NFI[[#This Row],[Blanket]],Table_NFI[[#This Row],[Blanket]])</f>
        <v>0</v>
      </c>
      <c r="AC508" s="436">
        <f>IF(NFI_Expiration=1,IF($A508&lt;VLOOKUP(N$5,NFI,5,0),1,0)*Table_NFI[[#This Row],[Kitchen Set]],Table_NFI[Kitchen Set])</f>
        <v>0</v>
      </c>
      <c r="AD508" s="436">
        <f>IF(NFI_Expiration=1,IF($A508&lt;VLOOKUP(O$5,NFI,5,0),1,0)*Table_NFI[[#This Row],[Clothes Kit]],Table_NFI[Clothes Kit])</f>
        <v>0</v>
      </c>
      <c r="AE508" s="436">
        <f>IF(NFI_Expiration=1,IF($A508&lt;VLOOKUP(P$5,NFI,5,0),1,0)*Table_NFI[[#This Row],[Plastic Bucket]],Table_NFI[Plastic Bucket])</f>
        <v>0</v>
      </c>
      <c r="AF508" s="436">
        <f>IF(NFI_Expiration=1,IF($A508&lt;VLOOKUP(Q$5,NFI,5,0),1,0)*Table_NFI[[#This Row],[Plastic Mat]],Table_NFI[Plastic Mat])*IF(Table_NFI[[#This Row],[Distribution Date]]&gt;"2014-04-01",1,2.5)</f>
        <v>0</v>
      </c>
      <c r="AG508" s="436">
        <f>IF(NFI_Expiration=1,IF($A508&lt;VLOOKUP(R$5,NFI,5,0),1,0)*Table_NFI[[#This Row],[Winter Clothes Adult]],Table_NFI[Winter Clothes Adult])</f>
        <v>0</v>
      </c>
      <c r="AH508" s="436">
        <f>IF(NFI_Expiration=1,IF($A508&lt;VLOOKUP(S$5,NFI,5,0),1,0)*Table_NFI[[#This Row],[Winter Clothes Children]],Table_NFI[Winter Clothes Children])</f>
        <v>0</v>
      </c>
      <c r="AI508" s="436">
        <f>IF(NFI_Expiration=1,IF($A508&lt;VLOOKUP(T$5,NFI,5,0),1,0)*Table_NFI[[#This Row],[Winter Items Other]],Table_NFI[Winter Items Other])</f>
        <v>0</v>
      </c>
      <c r="AJ508" s="436">
        <f>IF(NFI_Expiration=1,IF($A508&lt;VLOOKUP(M$5,NFI,5,0),1,0)*Table_NFI[[#This Row],[Winter Blanket]],Table_NFI[[#This Row],[Winter Blanket]])</f>
        <v>0</v>
      </c>
      <c r="AK508" s="436">
        <f>IF(Table_NFI[[#This Row],[Winter Clothes Adult]]+Table_NFI[[#This Row],[Winter Clothes Children]]+Table_NFI[[#This Row],[Winter Items Other]]+Table_NFI[[#This Row],[Winter Blanket]]&gt;0,1,0)</f>
        <v>0</v>
      </c>
      <c r="AL508" s="439">
        <f>IF(NFI_Expiration=1,IF($A508&lt;VLOOKUP(V$5,NFI,5,0),1,0)*Table_NFI[[#This Row],[Jerry Can]],Table_NFI[Jerry Can])</f>
        <v>0</v>
      </c>
      <c r="AM508" s="781" t="str">
        <f>IFERROR(VLOOKUP(Table_NFI[[#This Row],[Camp Name]],CL,2,0),"")</f>
        <v>MMR001CMP014</v>
      </c>
      <c r="AN508" s="782">
        <f ca="1">IF(Table_NFI[[#This Row],[Pcode]]="","",IF(OFFSET(CampList[Opening Date],MATCH(Table_NFI[[#This Row],[Pcode]],CampList[CP_Pcode],0)-1,0,1,1)&gt;=NFI_Monitor_Date,1,0))</f>
        <v>0</v>
      </c>
      <c r="AO508" s="781" t="str">
        <f>IFERROR(VLOOKUP(Table_NFI[[#This Row],[Camp Name]],CL,3,0),"")</f>
        <v>Open</v>
      </c>
      <c r="AP508" s="436" t="str">
        <f ca="1">IF(Table_NFI[[#This Row],[Pcode]]="","",OFFSET(CampList[Priority],MATCH(Table_NFI[[#This Row],[Pcode]],CampList[CP_Pcode],0)-1,0,1,1))</f>
        <v>P4</v>
      </c>
      <c r="AQ508" s="438">
        <f>IFERROR(Table_NFI[[#This Row],[Kitchen Set]]/VLOOKUP(Table_NFI[[#This Row],[Camp Name]],CL,4,0),"")</f>
        <v>0.3987730061349693</v>
      </c>
      <c r="AR508" s="779" t="s">
        <v>1099</v>
      </c>
      <c r="AS508" s="783"/>
    </row>
    <row r="509" spans="1:45" s="784" customFormat="1" x14ac:dyDescent="0.25">
      <c r="A509" s="455">
        <f t="shared" si="7"/>
        <v>27.666666666666668</v>
      </c>
      <c r="B509" s="778">
        <v>41479</v>
      </c>
      <c r="C509" s="779" t="s">
        <v>454</v>
      </c>
      <c r="D509" s="780" t="s">
        <v>507</v>
      </c>
      <c r="E509" s="779" t="s">
        <v>380</v>
      </c>
      <c r="F509" s="435" t="s">
        <v>310</v>
      </c>
      <c r="G509" s="435" t="s">
        <v>328</v>
      </c>
      <c r="H509" s="436"/>
      <c r="I509" s="436"/>
      <c r="J509" s="436">
        <v>10</v>
      </c>
      <c r="K509" s="436">
        <v>14</v>
      </c>
      <c r="L509" s="437">
        <v>7</v>
      </c>
      <c r="M509" s="437">
        <v>14</v>
      </c>
      <c r="N509" s="437">
        <v>7</v>
      </c>
      <c r="O509" s="437">
        <v>7</v>
      </c>
      <c r="P509" s="437">
        <v>7</v>
      </c>
      <c r="Q509" s="437">
        <v>7</v>
      </c>
      <c r="R509" s="436"/>
      <c r="S509" s="436"/>
      <c r="T509" s="436"/>
      <c r="U509" s="436"/>
      <c r="V509" s="436"/>
      <c r="W509" s="436">
        <f>IF(NFI_Expiration=1,IF($A509&lt;VLOOKUP(H$5,NFI,5,0),1,0)*Table_NFI[[#This Row],[Hygiene Kit]],Table_NFI[Hygiene Kit])</f>
        <v>0</v>
      </c>
      <c r="X509" s="436">
        <f>IF(NFI_Expiration=1,IF($A509&lt;VLOOKUP(I$5,NFI,5,0),1,0)*Table_NFI[[#This Row],[NFI Core Kit]],Table_NFI[NFI Core Kit])</f>
        <v>0</v>
      </c>
      <c r="Y509" s="436">
        <f>IF(NFI_Expiration=1,IF($A509&lt;VLOOKUP(J$5,NFI,5,0),1,0)*Table_NFI[[#This Row],[Sanitary Kit]],Table_NFI[Sanitary Kit])</f>
        <v>0</v>
      </c>
      <c r="Z509" s="436">
        <f>IF(NFI_Expiration=1,IF($A509&lt;VLOOKUP(K$5,NFI,5,0),1,0)*Table_NFI[[#This Row],[Mosquito net]],Table_NFI[Mosquito net])</f>
        <v>0</v>
      </c>
      <c r="AA509" s="436">
        <f>IF(NFI_Expiration=1,IF($A509&lt;VLOOKUP(L$5,NFI,5,0),1,0)*Table_NFI[[#This Row],[Tarpaulin]],Table_NFI[[#This Row],[Tarpaulin]])</f>
        <v>0</v>
      </c>
      <c r="AB509" s="436">
        <f>IF(NFI_Expiration=1,IF($A509&lt;VLOOKUP(M$5,NFI,5,0),1,0)*Table_NFI[[#This Row],[Blanket]],Table_NFI[[#This Row],[Blanket]])</f>
        <v>0</v>
      </c>
      <c r="AC509" s="436">
        <f>IF(NFI_Expiration=1,IF($A509&lt;VLOOKUP(N$5,NFI,5,0),1,0)*Table_NFI[[#This Row],[Kitchen Set]],Table_NFI[Kitchen Set])</f>
        <v>0</v>
      </c>
      <c r="AD509" s="436">
        <f>IF(NFI_Expiration=1,IF($A509&lt;VLOOKUP(O$5,NFI,5,0),1,0)*Table_NFI[[#This Row],[Clothes Kit]],Table_NFI[Clothes Kit])</f>
        <v>0</v>
      </c>
      <c r="AE509" s="436">
        <f>IF(NFI_Expiration=1,IF($A509&lt;VLOOKUP(P$5,NFI,5,0),1,0)*Table_NFI[[#This Row],[Plastic Bucket]],Table_NFI[Plastic Bucket])</f>
        <v>0</v>
      </c>
      <c r="AF509" s="436">
        <f>IF(NFI_Expiration=1,IF($A509&lt;VLOOKUP(Q$5,NFI,5,0),1,0)*Table_NFI[[#This Row],[Plastic Mat]],Table_NFI[Plastic Mat])*IF(Table_NFI[[#This Row],[Distribution Date]]&gt;"2014-04-01",1,2.5)</f>
        <v>0</v>
      </c>
      <c r="AG509" s="436">
        <f>IF(NFI_Expiration=1,IF($A509&lt;VLOOKUP(R$5,NFI,5,0),1,0)*Table_NFI[[#This Row],[Winter Clothes Adult]],Table_NFI[Winter Clothes Adult])</f>
        <v>0</v>
      </c>
      <c r="AH509" s="436">
        <f>IF(NFI_Expiration=1,IF($A509&lt;VLOOKUP(S$5,NFI,5,0),1,0)*Table_NFI[[#This Row],[Winter Clothes Children]],Table_NFI[Winter Clothes Children])</f>
        <v>0</v>
      </c>
      <c r="AI509" s="436">
        <f>IF(NFI_Expiration=1,IF($A509&lt;VLOOKUP(T$5,NFI,5,0),1,0)*Table_NFI[[#This Row],[Winter Items Other]],Table_NFI[Winter Items Other])</f>
        <v>0</v>
      </c>
      <c r="AJ509" s="436">
        <f>IF(NFI_Expiration=1,IF($A509&lt;VLOOKUP(M$5,NFI,5,0),1,0)*Table_NFI[[#This Row],[Winter Blanket]],Table_NFI[[#This Row],[Winter Blanket]])</f>
        <v>0</v>
      </c>
      <c r="AK509" s="436">
        <f>IF(Table_NFI[[#This Row],[Winter Clothes Adult]]+Table_NFI[[#This Row],[Winter Clothes Children]]+Table_NFI[[#This Row],[Winter Items Other]]+Table_NFI[[#This Row],[Winter Blanket]]&gt;0,1,0)</f>
        <v>0</v>
      </c>
      <c r="AL509" s="439">
        <f>IF(NFI_Expiration=1,IF($A509&lt;VLOOKUP(V$5,NFI,5,0),1,0)*Table_NFI[[#This Row],[Jerry Can]],Table_NFI[Jerry Can])</f>
        <v>0</v>
      </c>
      <c r="AM509" s="781" t="str">
        <f>IFERROR(VLOOKUP(Table_NFI[[#This Row],[Camp Name]],CL,2,0),"")</f>
        <v>MMR001CMP031</v>
      </c>
      <c r="AN509" s="782">
        <f ca="1">IF(Table_NFI[[#This Row],[Pcode]]="","",IF(OFFSET(CampList[Opening Date],MATCH(Table_NFI[[#This Row],[Pcode]],CampList[CP_Pcode],0)-1,0,1,1)&gt;=NFI_Monitor_Date,1,0))</f>
        <v>0</v>
      </c>
      <c r="AO509" s="781" t="str">
        <f>IFERROR(VLOOKUP(Table_NFI[[#This Row],[Camp Name]],CL,3,0),"")</f>
        <v>Open</v>
      </c>
      <c r="AP509" s="436" t="str">
        <f ca="1">IF(Table_NFI[[#This Row],[Pcode]]="","",OFFSET(CampList[Priority],MATCH(Table_NFI[[#This Row],[Pcode]],CampList[CP_Pcode],0)-1,0,1,1))</f>
        <v>P4</v>
      </c>
      <c r="AQ509" s="438">
        <f>IFERROR(Table_NFI[[#This Row],[Kitchen Set]]/VLOOKUP(Table_NFI[[#This Row],[Camp Name]],CL,4,0),"")</f>
        <v>5.185185185185185E-2</v>
      </c>
      <c r="AR509" s="779" t="s">
        <v>1099</v>
      </c>
      <c r="AS509" s="783"/>
    </row>
    <row r="510" spans="1:45" s="784" customFormat="1" x14ac:dyDescent="0.25">
      <c r="A510" s="455">
        <f t="shared" si="7"/>
        <v>27.666666666666668</v>
      </c>
      <c r="B510" s="778">
        <v>41479</v>
      </c>
      <c r="C510" s="779" t="s">
        <v>454</v>
      </c>
      <c r="D510" s="779" t="s">
        <v>508</v>
      </c>
      <c r="E510" s="779" t="s">
        <v>380</v>
      </c>
      <c r="F510" s="779" t="s">
        <v>310</v>
      </c>
      <c r="G510" s="435" t="s">
        <v>330</v>
      </c>
      <c r="H510" s="436"/>
      <c r="I510" s="436"/>
      <c r="J510" s="436">
        <v>40</v>
      </c>
      <c r="K510" s="436">
        <v>49</v>
      </c>
      <c r="L510" s="437">
        <v>23</v>
      </c>
      <c r="M510" s="437">
        <v>49</v>
      </c>
      <c r="N510" s="437">
        <v>23</v>
      </c>
      <c r="O510" s="437">
        <v>23</v>
      </c>
      <c r="P510" s="437">
        <v>23</v>
      </c>
      <c r="Q510" s="437">
        <v>23</v>
      </c>
      <c r="R510" s="436"/>
      <c r="S510" s="436"/>
      <c r="T510" s="436"/>
      <c r="U510" s="436"/>
      <c r="V510" s="436"/>
      <c r="W510" s="436">
        <f>IF(NFI_Expiration=1,IF($A510&lt;VLOOKUP(H$5,NFI,5,0),1,0)*Table_NFI[[#This Row],[Hygiene Kit]],Table_NFI[Hygiene Kit])</f>
        <v>0</v>
      </c>
      <c r="X510" s="436">
        <f>IF(NFI_Expiration=1,IF($A510&lt;VLOOKUP(I$5,NFI,5,0),1,0)*Table_NFI[[#This Row],[NFI Core Kit]],Table_NFI[NFI Core Kit])</f>
        <v>0</v>
      </c>
      <c r="Y510" s="436">
        <f>IF(NFI_Expiration=1,IF($A510&lt;VLOOKUP(J$5,NFI,5,0),1,0)*Table_NFI[[#This Row],[Sanitary Kit]],Table_NFI[Sanitary Kit])</f>
        <v>0</v>
      </c>
      <c r="Z510" s="436">
        <f>IF(NFI_Expiration=1,IF($A510&lt;VLOOKUP(K$5,NFI,5,0),1,0)*Table_NFI[[#This Row],[Mosquito net]],Table_NFI[Mosquito net])</f>
        <v>0</v>
      </c>
      <c r="AA510" s="436">
        <f>IF(NFI_Expiration=1,IF($A510&lt;VLOOKUP(L$5,NFI,5,0),1,0)*Table_NFI[[#This Row],[Tarpaulin]],Table_NFI[[#This Row],[Tarpaulin]])</f>
        <v>0</v>
      </c>
      <c r="AB510" s="436">
        <f>IF(NFI_Expiration=1,IF($A510&lt;VLOOKUP(M$5,NFI,5,0),1,0)*Table_NFI[[#This Row],[Blanket]],Table_NFI[[#This Row],[Blanket]])</f>
        <v>0</v>
      </c>
      <c r="AC510" s="436">
        <f>IF(NFI_Expiration=1,IF($A510&lt;VLOOKUP(N$5,NFI,5,0),1,0)*Table_NFI[[#This Row],[Kitchen Set]],Table_NFI[Kitchen Set])</f>
        <v>0</v>
      </c>
      <c r="AD510" s="436">
        <f>IF(NFI_Expiration=1,IF($A510&lt;VLOOKUP(O$5,NFI,5,0),1,0)*Table_NFI[[#This Row],[Clothes Kit]],Table_NFI[Clothes Kit])</f>
        <v>0</v>
      </c>
      <c r="AE510" s="436">
        <f>IF(NFI_Expiration=1,IF($A510&lt;VLOOKUP(P$5,NFI,5,0),1,0)*Table_NFI[[#This Row],[Plastic Bucket]],Table_NFI[Plastic Bucket])</f>
        <v>0</v>
      </c>
      <c r="AF510" s="436">
        <f>IF(NFI_Expiration=1,IF($A510&lt;VLOOKUP(Q$5,NFI,5,0),1,0)*Table_NFI[[#This Row],[Plastic Mat]],Table_NFI[Plastic Mat])*IF(Table_NFI[[#This Row],[Distribution Date]]&gt;"2014-04-01",1,2.5)</f>
        <v>0</v>
      </c>
      <c r="AG510" s="436">
        <f>IF(NFI_Expiration=1,IF($A510&lt;VLOOKUP(R$5,NFI,5,0),1,0)*Table_NFI[[#This Row],[Winter Clothes Adult]],Table_NFI[Winter Clothes Adult])</f>
        <v>0</v>
      </c>
      <c r="AH510" s="436">
        <f>IF(NFI_Expiration=1,IF($A510&lt;VLOOKUP(S$5,NFI,5,0),1,0)*Table_NFI[[#This Row],[Winter Clothes Children]],Table_NFI[Winter Clothes Children])</f>
        <v>0</v>
      </c>
      <c r="AI510" s="436">
        <f>IF(NFI_Expiration=1,IF($A510&lt;VLOOKUP(T$5,NFI,5,0),1,0)*Table_NFI[[#This Row],[Winter Items Other]],Table_NFI[Winter Items Other])</f>
        <v>0</v>
      </c>
      <c r="AJ510" s="436">
        <f>IF(NFI_Expiration=1,IF($A510&lt;VLOOKUP(M$5,NFI,5,0),1,0)*Table_NFI[[#This Row],[Winter Blanket]],Table_NFI[[#This Row],[Winter Blanket]])</f>
        <v>0</v>
      </c>
      <c r="AK510" s="436">
        <f>IF(Table_NFI[[#This Row],[Winter Clothes Adult]]+Table_NFI[[#This Row],[Winter Clothes Children]]+Table_NFI[[#This Row],[Winter Items Other]]+Table_NFI[[#This Row],[Winter Blanket]]&gt;0,1,0)</f>
        <v>0</v>
      </c>
      <c r="AL510" s="439">
        <f>IF(NFI_Expiration=1,IF($A510&lt;VLOOKUP(V$5,NFI,5,0),1,0)*Table_NFI[[#This Row],[Jerry Can]],Table_NFI[Jerry Can])</f>
        <v>0</v>
      </c>
      <c r="AM510" s="781" t="str">
        <f>IFERROR(VLOOKUP(Table_NFI[[#This Row],[Camp Name]],CL,2,0),"")</f>
        <v>MMR001CMP029</v>
      </c>
      <c r="AN510" s="782">
        <f ca="1">IF(Table_NFI[[#This Row],[Pcode]]="","",IF(OFFSET(CampList[Opening Date],MATCH(Table_NFI[[#This Row],[Pcode]],CampList[CP_Pcode],0)-1,0,1,1)&gt;=NFI_Monitor_Date,1,0))</f>
        <v>0</v>
      </c>
      <c r="AO510" s="781" t="str">
        <f>IFERROR(VLOOKUP(Table_NFI[[#This Row],[Camp Name]],CL,3,0),"")</f>
        <v>Open</v>
      </c>
      <c r="AP510" s="436" t="str">
        <f ca="1">IF(Table_NFI[[#This Row],[Pcode]]="","",OFFSET(CampList[Priority],MATCH(Table_NFI[[#This Row],[Pcode]],CampList[CP_Pcode],0)-1,0,1,1))</f>
        <v>P4</v>
      </c>
      <c r="AQ510" s="438">
        <f>IFERROR(Table_NFI[[#This Row],[Kitchen Set]]/VLOOKUP(Table_NFI[[#This Row],[Camp Name]],CL,4,0),"")</f>
        <v>0.1013215859030837</v>
      </c>
      <c r="AR510" s="779" t="s">
        <v>1099</v>
      </c>
      <c r="AS510" s="783"/>
    </row>
    <row r="511" spans="1:45" s="784" customFormat="1" x14ac:dyDescent="0.25">
      <c r="A511" s="455">
        <f t="shared" si="7"/>
        <v>27.666666666666668</v>
      </c>
      <c r="B511" s="778">
        <v>41479</v>
      </c>
      <c r="C511" s="779" t="s">
        <v>454</v>
      </c>
      <c r="D511" s="779" t="s">
        <v>508</v>
      </c>
      <c r="E511" s="779" t="s">
        <v>380</v>
      </c>
      <c r="F511" s="435" t="s">
        <v>237</v>
      </c>
      <c r="G511" s="435" t="s">
        <v>271</v>
      </c>
      <c r="H511" s="436"/>
      <c r="I511" s="436"/>
      <c r="J511" s="436">
        <v>21</v>
      </c>
      <c r="K511" s="436">
        <v>30</v>
      </c>
      <c r="L511" s="439">
        <v>15</v>
      </c>
      <c r="M511" s="439">
        <v>30</v>
      </c>
      <c r="N511" s="439">
        <v>15</v>
      </c>
      <c r="O511" s="439">
        <v>15</v>
      </c>
      <c r="P511" s="439">
        <v>15</v>
      </c>
      <c r="Q511" s="439">
        <v>15</v>
      </c>
      <c r="R511" s="436"/>
      <c r="S511" s="436"/>
      <c r="T511" s="436"/>
      <c r="U511" s="436"/>
      <c r="V511" s="436"/>
      <c r="W511" s="436">
        <f>IF(NFI_Expiration=1,IF($A511&lt;VLOOKUP(H$5,NFI,5,0),1,0)*Table_NFI[[#This Row],[Hygiene Kit]],Table_NFI[Hygiene Kit])</f>
        <v>0</v>
      </c>
      <c r="X511" s="436">
        <f>IF(NFI_Expiration=1,IF($A511&lt;VLOOKUP(I$5,NFI,5,0),1,0)*Table_NFI[[#This Row],[NFI Core Kit]],Table_NFI[NFI Core Kit])</f>
        <v>0</v>
      </c>
      <c r="Y511" s="436">
        <f>IF(NFI_Expiration=1,IF($A511&lt;VLOOKUP(J$5,NFI,5,0),1,0)*Table_NFI[[#This Row],[Sanitary Kit]],Table_NFI[Sanitary Kit])</f>
        <v>0</v>
      </c>
      <c r="Z511" s="436">
        <f>IF(NFI_Expiration=1,IF($A511&lt;VLOOKUP(K$5,NFI,5,0),1,0)*Table_NFI[[#This Row],[Mosquito net]],Table_NFI[Mosquito net])</f>
        <v>0</v>
      </c>
      <c r="AA511" s="436">
        <f>IF(NFI_Expiration=1,IF($A511&lt;VLOOKUP(L$5,NFI,5,0),1,0)*Table_NFI[[#This Row],[Tarpaulin]],Table_NFI[[#This Row],[Tarpaulin]])</f>
        <v>0</v>
      </c>
      <c r="AB511" s="436">
        <f>IF(NFI_Expiration=1,IF($A511&lt;VLOOKUP(M$5,NFI,5,0),1,0)*Table_NFI[[#This Row],[Blanket]],Table_NFI[[#This Row],[Blanket]])</f>
        <v>0</v>
      </c>
      <c r="AC511" s="436">
        <f>IF(NFI_Expiration=1,IF($A511&lt;VLOOKUP(N$5,NFI,5,0),1,0)*Table_NFI[[#This Row],[Kitchen Set]],Table_NFI[Kitchen Set])</f>
        <v>0</v>
      </c>
      <c r="AD511" s="436">
        <f>IF(NFI_Expiration=1,IF($A511&lt;VLOOKUP(O$5,NFI,5,0),1,0)*Table_NFI[[#This Row],[Clothes Kit]],Table_NFI[Clothes Kit])</f>
        <v>0</v>
      </c>
      <c r="AE511" s="436">
        <f>IF(NFI_Expiration=1,IF($A511&lt;VLOOKUP(P$5,NFI,5,0),1,0)*Table_NFI[[#This Row],[Plastic Bucket]],Table_NFI[Plastic Bucket])</f>
        <v>0</v>
      </c>
      <c r="AF511" s="436">
        <f>IF(NFI_Expiration=1,IF($A511&lt;VLOOKUP(Q$5,NFI,5,0),1,0)*Table_NFI[[#This Row],[Plastic Mat]],Table_NFI[Plastic Mat])*IF(Table_NFI[[#This Row],[Distribution Date]]&gt;"2014-04-01",1,2.5)</f>
        <v>0</v>
      </c>
      <c r="AG511" s="436">
        <f>IF(NFI_Expiration=1,IF($A511&lt;VLOOKUP(R$5,NFI,5,0),1,0)*Table_NFI[[#This Row],[Winter Clothes Adult]],Table_NFI[Winter Clothes Adult])</f>
        <v>0</v>
      </c>
      <c r="AH511" s="436">
        <f>IF(NFI_Expiration=1,IF($A511&lt;VLOOKUP(S$5,NFI,5,0),1,0)*Table_NFI[[#This Row],[Winter Clothes Children]],Table_NFI[Winter Clothes Children])</f>
        <v>0</v>
      </c>
      <c r="AI511" s="436">
        <f>IF(NFI_Expiration=1,IF($A511&lt;VLOOKUP(T$5,NFI,5,0),1,0)*Table_NFI[[#This Row],[Winter Items Other]],Table_NFI[Winter Items Other])</f>
        <v>0</v>
      </c>
      <c r="AJ511" s="436">
        <f>IF(NFI_Expiration=1,IF($A511&lt;VLOOKUP(M$5,NFI,5,0),1,0)*Table_NFI[[#This Row],[Winter Blanket]],Table_NFI[[#This Row],[Winter Blanket]])</f>
        <v>0</v>
      </c>
      <c r="AK511" s="436">
        <f>IF(Table_NFI[[#This Row],[Winter Clothes Adult]]+Table_NFI[[#This Row],[Winter Clothes Children]]+Table_NFI[[#This Row],[Winter Items Other]]+Table_NFI[[#This Row],[Winter Blanket]]&gt;0,1,0)</f>
        <v>0</v>
      </c>
      <c r="AL511" s="439">
        <f>IF(NFI_Expiration=1,IF($A511&lt;VLOOKUP(V$5,NFI,5,0),1,0)*Table_NFI[[#This Row],[Jerry Can]],Table_NFI[Jerry Can])</f>
        <v>0</v>
      </c>
      <c r="AM511" s="781" t="str">
        <f>IFERROR(VLOOKUP(Table_NFI[[#This Row],[Camp Name]],CL,2,0),"")</f>
        <v>MMR001CMP024</v>
      </c>
      <c r="AN511" s="782">
        <f ca="1">IF(Table_NFI[[#This Row],[Pcode]]="","",IF(OFFSET(CampList[Opening Date],MATCH(Table_NFI[[#This Row],[Pcode]],CampList[CP_Pcode],0)-1,0,1,1)&gt;=NFI_Monitor_Date,1,0))</f>
        <v>0</v>
      </c>
      <c r="AO511" s="781" t="str">
        <f>IFERROR(VLOOKUP(Table_NFI[[#This Row],[Camp Name]],CL,3,0),"")</f>
        <v>Open</v>
      </c>
      <c r="AP511" s="436" t="str">
        <f ca="1">IF(Table_NFI[[#This Row],[Pcode]]="","",OFFSET(CampList[Priority],MATCH(Table_NFI[[#This Row],[Pcode]],CampList[CP_Pcode],0)-1,0,1,1))</f>
        <v>P4</v>
      </c>
      <c r="AQ511" s="438">
        <f>IFERROR(Table_NFI[[#This Row],[Kitchen Set]]/VLOOKUP(Table_NFI[[#This Row],[Camp Name]],CL,4,0),"")</f>
        <v>0.21428571428571427</v>
      </c>
      <c r="AR511" s="779" t="s">
        <v>1099</v>
      </c>
      <c r="AS511" s="783"/>
    </row>
    <row r="512" spans="1:45" s="784" customFormat="1" x14ac:dyDescent="0.25">
      <c r="A512" s="455">
        <f t="shared" si="7"/>
        <v>27.666666666666668</v>
      </c>
      <c r="B512" s="778">
        <v>41479</v>
      </c>
      <c r="C512" s="779" t="s">
        <v>454</v>
      </c>
      <c r="D512" s="779" t="s">
        <v>508</v>
      </c>
      <c r="E512" s="779" t="s">
        <v>380</v>
      </c>
      <c r="F512" s="779" t="s">
        <v>529</v>
      </c>
      <c r="G512" s="435" t="s">
        <v>108</v>
      </c>
      <c r="H512" s="436"/>
      <c r="I512" s="436"/>
      <c r="J512" s="436">
        <v>15</v>
      </c>
      <c r="K512" s="436">
        <v>25</v>
      </c>
      <c r="L512" s="437">
        <v>10</v>
      </c>
      <c r="M512" s="437">
        <v>25</v>
      </c>
      <c r="N512" s="437">
        <v>10</v>
      </c>
      <c r="O512" s="437">
        <v>10</v>
      </c>
      <c r="P512" s="437">
        <v>10</v>
      </c>
      <c r="Q512" s="437">
        <v>10</v>
      </c>
      <c r="R512" s="436"/>
      <c r="S512" s="436"/>
      <c r="T512" s="436"/>
      <c r="U512" s="436"/>
      <c r="V512" s="436"/>
      <c r="W512" s="436">
        <f>IF(NFI_Expiration=1,IF($A512&lt;VLOOKUP(H$5,NFI,5,0),1,0)*Table_NFI[[#This Row],[Hygiene Kit]],Table_NFI[Hygiene Kit])</f>
        <v>0</v>
      </c>
      <c r="X512" s="436">
        <f>IF(NFI_Expiration=1,IF($A512&lt;VLOOKUP(I$5,NFI,5,0),1,0)*Table_NFI[[#This Row],[NFI Core Kit]],Table_NFI[NFI Core Kit])</f>
        <v>0</v>
      </c>
      <c r="Y512" s="436">
        <f>IF(NFI_Expiration=1,IF($A512&lt;VLOOKUP(J$5,NFI,5,0),1,0)*Table_NFI[[#This Row],[Sanitary Kit]],Table_NFI[Sanitary Kit])</f>
        <v>0</v>
      </c>
      <c r="Z512" s="436">
        <f>IF(NFI_Expiration=1,IF($A512&lt;VLOOKUP(K$5,NFI,5,0),1,0)*Table_NFI[[#This Row],[Mosquito net]],Table_NFI[Mosquito net])</f>
        <v>0</v>
      </c>
      <c r="AA512" s="436">
        <f>IF(NFI_Expiration=1,IF($A512&lt;VLOOKUP(L$5,NFI,5,0),1,0)*Table_NFI[[#This Row],[Tarpaulin]],Table_NFI[[#This Row],[Tarpaulin]])</f>
        <v>0</v>
      </c>
      <c r="AB512" s="436">
        <f>IF(NFI_Expiration=1,IF($A512&lt;VLOOKUP(M$5,NFI,5,0),1,0)*Table_NFI[[#This Row],[Blanket]],Table_NFI[[#This Row],[Blanket]])</f>
        <v>0</v>
      </c>
      <c r="AC512" s="436">
        <f>IF(NFI_Expiration=1,IF($A512&lt;VLOOKUP(N$5,NFI,5,0),1,0)*Table_NFI[[#This Row],[Kitchen Set]],Table_NFI[Kitchen Set])</f>
        <v>0</v>
      </c>
      <c r="AD512" s="436">
        <f>IF(NFI_Expiration=1,IF($A512&lt;VLOOKUP(O$5,NFI,5,0),1,0)*Table_NFI[[#This Row],[Clothes Kit]],Table_NFI[Clothes Kit])</f>
        <v>0</v>
      </c>
      <c r="AE512" s="436">
        <f>IF(NFI_Expiration=1,IF($A512&lt;VLOOKUP(P$5,NFI,5,0),1,0)*Table_NFI[[#This Row],[Plastic Bucket]],Table_NFI[Plastic Bucket])</f>
        <v>0</v>
      </c>
      <c r="AF512" s="436">
        <f>IF(NFI_Expiration=1,IF($A512&lt;VLOOKUP(Q$5,NFI,5,0),1,0)*Table_NFI[[#This Row],[Plastic Mat]],Table_NFI[Plastic Mat])*IF(Table_NFI[[#This Row],[Distribution Date]]&gt;"2014-04-01",1,2.5)</f>
        <v>0</v>
      </c>
      <c r="AG512" s="436">
        <f>IF(NFI_Expiration=1,IF($A512&lt;VLOOKUP(R$5,NFI,5,0),1,0)*Table_NFI[[#This Row],[Winter Clothes Adult]],Table_NFI[Winter Clothes Adult])</f>
        <v>0</v>
      </c>
      <c r="AH512" s="436">
        <f>IF(NFI_Expiration=1,IF($A512&lt;VLOOKUP(S$5,NFI,5,0),1,0)*Table_NFI[[#This Row],[Winter Clothes Children]],Table_NFI[Winter Clothes Children])</f>
        <v>0</v>
      </c>
      <c r="AI512" s="436">
        <f>IF(NFI_Expiration=1,IF($A512&lt;VLOOKUP(T$5,NFI,5,0),1,0)*Table_NFI[[#This Row],[Winter Items Other]],Table_NFI[Winter Items Other])</f>
        <v>0</v>
      </c>
      <c r="AJ512" s="436">
        <f>IF(NFI_Expiration=1,IF($A512&lt;VLOOKUP(M$5,NFI,5,0),1,0)*Table_NFI[[#This Row],[Winter Blanket]],Table_NFI[[#This Row],[Winter Blanket]])</f>
        <v>0</v>
      </c>
      <c r="AK512" s="436">
        <f>IF(Table_NFI[[#This Row],[Winter Clothes Adult]]+Table_NFI[[#This Row],[Winter Clothes Children]]+Table_NFI[[#This Row],[Winter Items Other]]+Table_NFI[[#This Row],[Winter Blanket]]&gt;0,1,0)</f>
        <v>0</v>
      </c>
      <c r="AL512" s="439">
        <f>IF(NFI_Expiration=1,IF($A512&lt;VLOOKUP(V$5,NFI,5,0),1,0)*Table_NFI[[#This Row],[Jerry Can]],Table_NFI[Jerry Can])</f>
        <v>0</v>
      </c>
      <c r="AM512" s="781" t="str">
        <f>IFERROR(VLOOKUP(Table_NFI[[#This Row],[Camp Name]],CL,2,0),"")</f>
        <v>MMR001CMP103</v>
      </c>
      <c r="AN512" s="782">
        <f ca="1">IF(Table_NFI[[#This Row],[Pcode]]="","",IF(OFFSET(CampList[Opening Date],MATCH(Table_NFI[[#This Row],[Pcode]],CampList[CP_Pcode],0)-1,0,1,1)&gt;=NFI_Monitor_Date,1,0))</f>
        <v>0</v>
      </c>
      <c r="AO512" s="781" t="str">
        <f>IFERROR(VLOOKUP(Table_NFI[[#This Row],[Camp Name]],CL,3,0),"")</f>
        <v>Open</v>
      </c>
      <c r="AP512" s="436" t="str">
        <f ca="1">IF(Table_NFI[[#This Row],[Pcode]]="","",OFFSET(CampList[Priority],MATCH(Table_NFI[[#This Row],[Pcode]],CampList[CP_Pcode],0)-1,0,1,1))</f>
        <v>P4</v>
      </c>
      <c r="AQ512" s="438">
        <f>IFERROR(Table_NFI[[#This Row],[Kitchen Set]]/VLOOKUP(Table_NFI[[#This Row],[Camp Name]],CL,4,0),"")</f>
        <v>0.18518518518518517</v>
      </c>
      <c r="AR512" s="779" t="s">
        <v>1099</v>
      </c>
      <c r="AS512" s="783"/>
    </row>
    <row r="513" spans="1:45" s="784" customFormat="1" x14ac:dyDescent="0.25">
      <c r="A513" s="455">
        <f t="shared" si="7"/>
        <v>27.666666666666668</v>
      </c>
      <c r="B513" s="778">
        <v>41479</v>
      </c>
      <c r="C513" s="779" t="s">
        <v>454</v>
      </c>
      <c r="D513" s="779" t="s">
        <v>508</v>
      </c>
      <c r="E513" s="779" t="s">
        <v>380</v>
      </c>
      <c r="F513" s="779" t="s">
        <v>237</v>
      </c>
      <c r="G513" s="435" t="s">
        <v>273</v>
      </c>
      <c r="H513" s="436"/>
      <c r="I513" s="436"/>
      <c r="J513" s="436">
        <v>31</v>
      </c>
      <c r="K513" s="436">
        <v>41</v>
      </c>
      <c r="L513" s="437">
        <v>17</v>
      </c>
      <c r="M513" s="437">
        <v>41</v>
      </c>
      <c r="N513" s="437">
        <v>17</v>
      </c>
      <c r="O513" s="437">
        <v>17</v>
      </c>
      <c r="P513" s="437">
        <v>17</v>
      </c>
      <c r="Q513" s="437">
        <v>17</v>
      </c>
      <c r="R513" s="436"/>
      <c r="S513" s="436"/>
      <c r="T513" s="436"/>
      <c r="U513" s="436"/>
      <c r="V513" s="436"/>
      <c r="W513" s="436">
        <f>IF(NFI_Expiration=1,IF($A513&lt;VLOOKUP(H$5,NFI,5,0),1,0)*Table_NFI[[#This Row],[Hygiene Kit]],Table_NFI[Hygiene Kit])</f>
        <v>0</v>
      </c>
      <c r="X513" s="436">
        <f>IF(NFI_Expiration=1,IF($A513&lt;VLOOKUP(I$5,NFI,5,0),1,0)*Table_NFI[[#This Row],[NFI Core Kit]],Table_NFI[NFI Core Kit])</f>
        <v>0</v>
      </c>
      <c r="Y513" s="436">
        <f>IF(NFI_Expiration=1,IF($A513&lt;VLOOKUP(J$5,NFI,5,0),1,0)*Table_NFI[[#This Row],[Sanitary Kit]],Table_NFI[Sanitary Kit])</f>
        <v>0</v>
      </c>
      <c r="Z513" s="436">
        <f>IF(NFI_Expiration=1,IF($A513&lt;VLOOKUP(K$5,NFI,5,0),1,0)*Table_NFI[[#This Row],[Mosquito net]],Table_NFI[Mosquito net])</f>
        <v>0</v>
      </c>
      <c r="AA513" s="436">
        <f>IF(NFI_Expiration=1,IF($A513&lt;VLOOKUP(L$5,NFI,5,0),1,0)*Table_NFI[[#This Row],[Tarpaulin]],Table_NFI[[#This Row],[Tarpaulin]])</f>
        <v>0</v>
      </c>
      <c r="AB513" s="436">
        <f>IF(NFI_Expiration=1,IF($A513&lt;VLOOKUP(M$5,NFI,5,0),1,0)*Table_NFI[[#This Row],[Blanket]],Table_NFI[[#This Row],[Blanket]])</f>
        <v>0</v>
      </c>
      <c r="AC513" s="436">
        <f>IF(NFI_Expiration=1,IF($A513&lt;VLOOKUP(N$5,NFI,5,0),1,0)*Table_NFI[[#This Row],[Kitchen Set]],Table_NFI[Kitchen Set])</f>
        <v>0</v>
      </c>
      <c r="AD513" s="436">
        <f>IF(NFI_Expiration=1,IF($A513&lt;VLOOKUP(O$5,NFI,5,0),1,0)*Table_NFI[[#This Row],[Clothes Kit]],Table_NFI[Clothes Kit])</f>
        <v>0</v>
      </c>
      <c r="AE513" s="436">
        <f>IF(NFI_Expiration=1,IF($A513&lt;VLOOKUP(P$5,NFI,5,0),1,0)*Table_NFI[[#This Row],[Plastic Bucket]],Table_NFI[Plastic Bucket])</f>
        <v>0</v>
      </c>
      <c r="AF513" s="436">
        <f>IF(NFI_Expiration=1,IF($A513&lt;VLOOKUP(Q$5,NFI,5,0),1,0)*Table_NFI[[#This Row],[Plastic Mat]],Table_NFI[Plastic Mat])*IF(Table_NFI[[#This Row],[Distribution Date]]&gt;"2014-04-01",1,2.5)</f>
        <v>0</v>
      </c>
      <c r="AG513" s="436">
        <f>IF(NFI_Expiration=1,IF($A513&lt;VLOOKUP(R$5,NFI,5,0),1,0)*Table_NFI[[#This Row],[Winter Clothes Adult]],Table_NFI[Winter Clothes Adult])</f>
        <v>0</v>
      </c>
      <c r="AH513" s="436">
        <f>IF(NFI_Expiration=1,IF($A513&lt;VLOOKUP(S$5,NFI,5,0),1,0)*Table_NFI[[#This Row],[Winter Clothes Children]],Table_NFI[Winter Clothes Children])</f>
        <v>0</v>
      </c>
      <c r="AI513" s="436">
        <f>IF(NFI_Expiration=1,IF($A513&lt;VLOOKUP(T$5,NFI,5,0),1,0)*Table_NFI[[#This Row],[Winter Items Other]],Table_NFI[Winter Items Other])</f>
        <v>0</v>
      </c>
      <c r="AJ513" s="436">
        <f>IF(NFI_Expiration=1,IF($A513&lt;VLOOKUP(M$5,NFI,5,0),1,0)*Table_NFI[[#This Row],[Winter Blanket]],Table_NFI[[#This Row],[Winter Blanket]])</f>
        <v>0</v>
      </c>
      <c r="AK513" s="436">
        <f>IF(Table_NFI[[#This Row],[Winter Clothes Adult]]+Table_NFI[[#This Row],[Winter Clothes Children]]+Table_NFI[[#This Row],[Winter Items Other]]+Table_NFI[[#This Row],[Winter Blanket]]&gt;0,1,0)</f>
        <v>0</v>
      </c>
      <c r="AL513" s="439">
        <f>IF(NFI_Expiration=1,IF($A513&lt;VLOOKUP(V$5,NFI,5,0),1,0)*Table_NFI[[#This Row],[Jerry Can]],Table_NFI[Jerry Can])</f>
        <v>0</v>
      </c>
      <c r="AM513" s="781" t="str">
        <f>IFERROR(VLOOKUP(Table_NFI[[#This Row],[Camp Name]],CL,2,0),"")</f>
        <v>MMR001CMP162</v>
      </c>
      <c r="AN513" s="782">
        <f ca="1">IF(Table_NFI[[#This Row],[Pcode]]="","",IF(OFFSET(CampList[Opening Date],MATCH(Table_NFI[[#This Row],[Pcode]],CampList[CP_Pcode],0)-1,0,1,1)&gt;=NFI_Monitor_Date,1,0))</f>
        <v>0</v>
      </c>
      <c r="AO513" s="781" t="str">
        <f>IFERROR(VLOOKUP(Table_NFI[[#This Row],[Camp Name]],CL,3,0),"")</f>
        <v>Open</v>
      </c>
      <c r="AP513" s="436" t="str">
        <f ca="1">IF(Table_NFI[[#This Row],[Pcode]]="","",OFFSET(CampList[Priority],MATCH(Table_NFI[[#This Row],[Pcode]],CampList[CP_Pcode],0)-1,0,1,1))</f>
        <v>P4</v>
      </c>
      <c r="AQ513" s="438">
        <f>IFERROR(Table_NFI[[#This Row],[Kitchen Set]]/VLOOKUP(Table_NFI[[#This Row],[Camp Name]],CL,4,0),"")</f>
        <v>0.2982456140350877</v>
      </c>
      <c r="AR513" s="779" t="s">
        <v>1099</v>
      </c>
      <c r="AS513" s="783"/>
    </row>
    <row r="514" spans="1:45" s="784" customFormat="1" x14ac:dyDescent="0.25">
      <c r="A514" s="455">
        <f t="shared" si="7"/>
        <v>27.666666666666668</v>
      </c>
      <c r="B514" s="778">
        <v>41479</v>
      </c>
      <c r="C514" s="779" t="s">
        <v>454</v>
      </c>
      <c r="D514" s="779" t="s">
        <v>462</v>
      </c>
      <c r="E514" s="779" t="s">
        <v>380</v>
      </c>
      <c r="F514" s="435" t="s">
        <v>310</v>
      </c>
      <c r="G514" s="435" t="s">
        <v>342</v>
      </c>
      <c r="H514" s="436"/>
      <c r="I514" s="436"/>
      <c r="J514" s="436">
        <v>31</v>
      </c>
      <c r="K514" s="436">
        <v>44</v>
      </c>
      <c r="L514" s="439">
        <v>18</v>
      </c>
      <c r="M514" s="439">
        <v>44</v>
      </c>
      <c r="N514" s="439">
        <v>18</v>
      </c>
      <c r="O514" s="439">
        <v>18</v>
      </c>
      <c r="P514" s="439">
        <v>18</v>
      </c>
      <c r="Q514" s="439">
        <v>18</v>
      </c>
      <c r="R514" s="436"/>
      <c r="S514" s="436"/>
      <c r="T514" s="436"/>
      <c r="U514" s="436"/>
      <c r="V514" s="436"/>
      <c r="W514" s="436">
        <f>IF(NFI_Expiration=1,IF($A514&lt;VLOOKUP(H$5,NFI,5,0),1,0)*Table_NFI[[#This Row],[Hygiene Kit]],Table_NFI[Hygiene Kit])</f>
        <v>0</v>
      </c>
      <c r="X514" s="436">
        <f>IF(NFI_Expiration=1,IF($A514&lt;VLOOKUP(I$5,NFI,5,0),1,0)*Table_NFI[[#This Row],[NFI Core Kit]],Table_NFI[NFI Core Kit])</f>
        <v>0</v>
      </c>
      <c r="Y514" s="436">
        <f>IF(NFI_Expiration=1,IF($A514&lt;VLOOKUP(J$5,NFI,5,0),1,0)*Table_NFI[[#This Row],[Sanitary Kit]],Table_NFI[Sanitary Kit])</f>
        <v>0</v>
      </c>
      <c r="Z514" s="436">
        <f>IF(NFI_Expiration=1,IF($A514&lt;VLOOKUP(K$5,NFI,5,0),1,0)*Table_NFI[[#This Row],[Mosquito net]],Table_NFI[Mosquito net])</f>
        <v>0</v>
      </c>
      <c r="AA514" s="436">
        <f>IF(NFI_Expiration=1,IF($A514&lt;VLOOKUP(L$5,NFI,5,0),1,0)*Table_NFI[[#This Row],[Tarpaulin]],Table_NFI[[#This Row],[Tarpaulin]])</f>
        <v>0</v>
      </c>
      <c r="AB514" s="436">
        <f>IF(NFI_Expiration=1,IF($A514&lt;VLOOKUP(M$5,NFI,5,0),1,0)*Table_NFI[[#This Row],[Blanket]],Table_NFI[[#This Row],[Blanket]])</f>
        <v>0</v>
      </c>
      <c r="AC514" s="436">
        <f>IF(NFI_Expiration=1,IF($A514&lt;VLOOKUP(N$5,NFI,5,0),1,0)*Table_NFI[[#This Row],[Kitchen Set]],Table_NFI[Kitchen Set])</f>
        <v>0</v>
      </c>
      <c r="AD514" s="436">
        <f>IF(NFI_Expiration=1,IF($A514&lt;VLOOKUP(O$5,NFI,5,0),1,0)*Table_NFI[[#This Row],[Clothes Kit]],Table_NFI[Clothes Kit])</f>
        <v>0</v>
      </c>
      <c r="AE514" s="436">
        <f>IF(NFI_Expiration=1,IF($A514&lt;VLOOKUP(P$5,NFI,5,0),1,0)*Table_NFI[[#This Row],[Plastic Bucket]],Table_NFI[Plastic Bucket])</f>
        <v>0</v>
      </c>
      <c r="AF514" s="436">
        <f>IF(NFI_Expiration=1,IF($A514&lt;VLOOKUP(Q$5,NFI,5,0),1,0)*Table_NFI[[#This Row],[Plastic Mat]],Table_NFI[Plastic Mat])*IF(Table_NFI[[#This Row],[Distribution Date]]&gt;"2014-04-01",1,2.5)</f>
        <v>0</v>
      </c>
      <c r="AG514" s="436">
        <f>IF(NFI_Expiration=1,IF($A514&lt;VLOOKUP(R$5,NFI,5,0),1,0)*Table_NFI[[#This Row],[Winter Clothes Adult]],Table_NFI[Winter Clothes Adult])</f>
        <v>0</v>
      </c>
      <c r="AH514" s="436">
        <f>IF(NFI_Expiration=1,IF($A514&lt;VLOOKUP(S$5,NFI,5,0),1,0)*Table_NFI[[#This Row],[Winter Clothes Children]],Table_NFI[Winter Clothes Children])</f>
        <v>0</v>
      </c>
      <c r="AI514" s="436">
        <f>IF(NFI_Expiration=1,IF($A514&lt;VLOOKUP(T$5,NFI,5,0),1,0)*Table_NFI[[#This Row],[Winter Items Other]],Table_NFI[Winter Items Other])</f>
        <v>0</v>
      </c>
      <c r="AJ514" s="436">
        <f>IF(NFI_Expiration=1,IF($A514&lt;VLOOKUP(M$5,NFI,5,0),1,0)*Table_NFI[[#This Row],[Winter Blanket]],Table_NFI[[#This Row],[Winter Blanket]])</f>
        <v>0</v>
      </c>
      <c r="AK514" s="436">
        <f>IF(Table_NFI[[#This Row],[Winter Clothes Adult]]+Table_NFI[[#This Row],[Winter Clothes Children]]+Table_NFI[[#This Row],[Winter Items Other]]+Table_NFI[[#This Row],[Winter Blanket]]&gt;0,1,0)</f>
        <v>0</v>
      </c>
      <c r="AL514" s="439">
        <f>IF(NFI_Expiration=1,IF($A514&lt;VLOOKUP(V$5,NFI,5,0),1,0)*Table_NFI[[#This Row],[Jerry Can]],Table_NFI[Jerry Can])</f>
        <v>0</v>
      </c>
      <c r="AM514" s="781" t="str">
        <f>IFERROR(VLOOKUP(Table_NFI[[#This Row],[Camp Name]],CL,2,0),"")</f>
        <v>MMR001CMP025</v>
      </c>
      <c r="AN514" s="782">
        <f ca="1">IF(Table_NFI[[#This Row],[Pcode]]="","",IF(OFFSET(CampList[Opening Date],MATCH(Table_NFI[[#This Row],[Pcode]],CampList[CP_Pcode],0)-1,0,1,1)&gt;=NFI_Monitor_Date,1,0))</f>
        <v>0</v>
      </c>
      <c r="AO514" s="781" t="str">
        <f>IFERROR(VLOOKUP(Table_NFI[[#This Row],[Camp Name]],CL,3,0),"")</f>
        <v>Open</v>
      </c>
      <c r="AP514" s="436" t="str">
        <f ca="1">IF(Table_NFI[[#This Row],[Pcode]]="","",OFFSET(CampList[Priority],MATCH(Table_NFI[[#This Row],[Pcode]],CampList[CP_Pcode],0)-1,0,1,1))</f>
        <v>P4</v>
      </c>
      <c r="AQ514" s="438">
        <f>IFERROR(Table_NFI[[#This Row],[Kitchen Set]]/VLOOKUP(Table_NFI[[#This Row],[Camp Name]],CL,4,0),"")</f>
        <v>0.27692307692307694</v>
      </c>
      <c r="AR514" s="779" t="s">
        <v>1099</v>
      </c>
      <c r="AS514" s="783"/>
    </row>
    <row r="515" spans="1:45" s="784" customFormat="1" x14ac:dyDescent="0.25">
      <c r="A515" s="455">
        <f t="shared" si="7"/>
        <v>27.666666666666668</v>
      </c>
      <c r="B515" s="778">
        <v>41479</v>
      </c>
      <c r="C515" s="779" t="s">
        <v>454</v>
      </c>
      <c r="D515" s="779" t="s">
        <v>507</v>
      </c>
      <c r="E515" s="779" t="s">
        <v>380</v>
      </c>
      <c r="F515" s="779" t="s">
        <v>310</v>
      </c>
      <c r="G515" s="435" t="s">
        <v>351</v>
      </c>
      <c r="H515" s="436"/>
      <c r="I515" s="436"/>
      <c r="J515" s="436">
        <v>41</v>
      </c>
      <c r="K515" s="436">
        <v>73</v>
      </c>
      <c r="L515" s="437">
        <v>31</v>
      </c>
      <c r="M515" s="437">
        <v>73</v>
      </c>
      <c r="N515" s="437">
        <v>31</v>
      </c>
      <c r="O515" s="437">
        <v>31</v>
      </c>
      <c r="P515" s="437">
        <v>31</v>
      </c>
      <c r="Q515" s="437">
        <v>31</v>
      </c>
      <c r="R515" s="436"/>
      <c r="S515" s="436"/>
      <c r="T515" s="436"/>
      <c r="U515" s="436"/>
      <c r="V515" s="436"/>
      <c r="W515" s="436">
        <f>IF(NFI_Expiration=1,IF($A515&lt;VLOOKUP(H$5,NFI,5,0),1,0)*Table_NFI[[#This Row],[Hygiene Kit]],Table_NFI[Hygiene Kit])</f>
        <v>0</v>
      </c>
      <c r="X515" s="436">
        <f>IF(NFI_Expiration=1,IF($A515&lt;VLOOKUP(I$5,NFI,5,0),1,0)*Table_NFI[[#This Row],[NFI Core Kit]],Table_NFI[NFI Core Kit])</f>
        <v>0</v>
      </c>
      <c r="Y515" s="436">
        <f>IF(NFI_Expiration=1,IF($A515&lt;VLOOKUP(J$5,NFI,5,0),1,0)*Table_NFI[[#This Row],[Sanitary Kit]],Table_NFI[Sanitary Kit])</f>
        <v>0</v>
      </c>
      <c r="Z515" s="436">
        <f>IF(NFI_Expiration=1,IF($A515&lt;VLOOKUP(K$5,NFI,5,0),1,0)*Table_NFI[[#This Row],[Mosquito net]],Table_NFI[Mosquito net])</f>
        <v>0</v>
      </c>
      <c r="AA515" s="436">
        <f>IF(NFI_Expiration=1,IF($A515&lt;VLOOKUP(L$5,NFI,5,0),1,0)*Table_NFI[[#This Row],[Tarpaulin]],Table_NFI[[#This Row],[Tarpaulin]])</f>
        <v>0</v>
      </c>
      <c r="AB515" s="436">
        <f>IF(NFI_Expiration=1,IF($A515&lt;VLOOKUP(M$5,NFI,5,0),1,0)*Table_NFI[[#This Row],[Blanket]],Table_NFI[[#This Row],[Blanket]])</f>
        <v>0</v>
      </c>
      <c r="AC515" s="436">
        <f>IF(NFI_Expiration=1,IF($A515&lt;VLOOKUP(N$5,NFI,5,0),1,0)*Table_NFI[[#This Row],[Kitchen Set]],Table_NFI[Kitchen Set])</f>
        <v>0</v>
      </c>
      <c r="AD515" s="436">
        <f>IF(NFI_Expiration=1,IF($A515&lt;VLOOKUP(O$5,NFI,5,0),1,0)*Table_NFI[[#This Row],[Clothes Kit]],Table_NFI[Clothes Kit])</f>
        <v>0</v>
      </c>
      <c r="AE515" s="436">
        <f>IF(NFI_Expiration=1,IF($A515&lt;VLOOKUP(P$5,NFI,5,0),1,0)*Table_NFI[[#This Row],[Plastic Bucket]],Table_NFI[Plastic Bucket])</f>
        <v>0</v>
      </c>
      <c r="AF515" s="436">
        <f>IF(NFI_Expiration=1,IF($A515&lt;VLOOKUP(Q$5,NFI,5,0),1,0)*Table_NFI[[#This Row],[Plastic Mat]],Table_NFI[Plastic Mat])*IF(Table_NFI[[#This Row],[Distribution Date]]&gt;"2014-04-01",1,2.5)</f>
        <v>0</v>
      </c>
      <c r="AG515" s="436">
        <f>IF(NFI_Expiration=1,IF($A515&lt;VLOOKUP(R$5,NFI,5,0),1,0)*Table_NFI[[#This Row],[Winter Clothes Adult]],Table_NFI[Winter Clothes Adult])</f>
        <v>0</v>
      </c>
      <c r="AH515" s="436">
        <f>IF(NFI_Expiration=1,IF($A515&lt;VLOOKUP(S$5,NFI,5,0),1,0)*Table_NFI[[#This Row],[Winter Clothes Children]],Table_NFI[Winter Clothes Children])</f>
        <v>0</v>
      </c>
      <c r="AI515" s="436">
        <f>IF(NFI_Expiration=1,IF($A515&lt;VLOOKUP(T$5,NFI,5,0),1,0)*Table_NFI[[#This Row],[Winter Items Other]],Table_NFI[Winter Items Other])</f>
        <v>0</v>
      </c>
      <c r="AJ515" s="436">
        <f>IF(NFI_Expiration=1,IF($A515&lt;VLOOKUP(M$5,NFI,5,0),1,0)*Table_NFI[[#This Row],[Winter Blanket]],Table_NFI[[#This Row],[Winter Blanket]])</f>
        <v>0</v>
      </c>
      <c r="AK515" s="436">
        <f>IF(Table_NFI[[#This Row],[Winter Clothes Adult]]+Table_NFI[[#This Row],[Winter Clothes Children]]+Table_NFI[[#This Row],[Winter Items Other]]+Table_NFI[[#This Row],[Winter Blanket]]&gt;0,1,0)</f>
        <v>0</v>
      </c>
      <c r="AL515" s="439">
        <f>IF(NFI_Expiration=1,IF($A515&lt;VLOOKUP(V$5,NFI,5,0),1,0)*Table_NFI[[#This Row],[Jerry Can]],Table_NFI[Jerry Can])</f>
        <v>0</v>
      </c>
      <c r="AM515" s="781" t="str">
        <f>IFERROR(VLOOKUP(Table_NFI[[#This Row],[Camp Name]],CL,2,0),"")</f>
        <v>MMR001CMP026</v>
      </c>
      <c r="AN515" s="782">
        <f ca="1">IF(Table_NFI[[#This Row],[Pcode]]="","",IF(OFFSET(CampList[Opening Date],MATCH(Table_NFI[[#This Row],[Pcode]],CampList[CP_Pcode],0)-1,0,1,1)&gt;=NFI_Monitor_Date,1,0))</f>
        <v>0</v>
      </c>
      <c r="AO515" s="781" t="str">
        <f>IFERROR(VLOOKUP(Table_NFI[[#This Row],[Camp Name]],CL,3,0),"")</f>
        <v>Open</v>
      </c>
      <c r="AP515" s="436" t="str">
        <f ca="1">IF(Table_NFI[[#This Row],[Pcode]]="","",OFFSET(CampList[Priority],MATCH(Table_NFI[[#This Row],[Pcode]],CampList[CP_Pcode],0)-1,0,1,1))</f>
        <v>P4</v>
      </c>
      <c r="AQ515" s="438">
        <f>IFERROR(Table_NFI[[#This Row],[Kitchen Set]]/VLOOKUP(Table_NFI[[#This Row],[Camp Name]],CL,4,0),"")</f>
        <v>0.34065934065934067</v>
      </c>
      <c r="AR515" s="779" t="s">
        <v>1099</v>
      </c>
      <c r="AS515" s="783"/>
    </row>
    <row r="516" spans="1:45" s="784" customFormat="1" x14ac:dyDescent="0.25">
      <c r="A516" s="455">
        <f t="shared" si="7"/>
        <v>27.666666666666668</v>
      </c>
      <c r="B516" s="778">
        <v>41479</v>
      </c>
      <c r="C516" s="779" t="s">
        <v>454</v>
      </c>
      <c r="D516" s="780" t="s">
        <v>462</v>
      </c>
      <c r="E516" s="779" t="s">
        <v>380</v>
      </c>
      <c r="F516" s="435" t="s">
        <v>237</v>
      </c>
      <c r="G516" s="435" t="s">
        <v>277</v>
      </c>
      <c r="H516" s="436"/>
      <c r="I516" s="436"/>
      <c r="J516" s="436">
        <v>21</v>
      </c>
      <c r="K516" s="436">
        <v>36</v>
      </c>
      <c r="L516" s="437">
        <v>16</v>
      </c>
      <c r="M516" s="437">
        <v>36</v>
      </c>
      <c r="N516" s="437">
        <v>16</v>
      </c>
      <c r="O516" s="437">
        <v>16</v>
      </c>
      <c r="P516" s="437">
        <v>16</v>
      </c>
      <c r="Q516" s="437">
        <v>16</v>
      </c>
      <c r="R516" s="436"/>
      <c r="S516" s="436"/>
      <c r="T516" s="436"/>
      <c r="U516" s="436"/>
      <c r="V516" s="436"/>
      <c r="W516" s="436">
        <f>IF(NFI_Expiration=1,IF($A516&lt;VLOOKUP(H$5,NFI,5,0),1,0)*Table_NFI[[#This Row],[Hygiene Kit]],Table_NFI[Hygiene Kit])</f>
        <v>0</v>
      </c>
      <c r="X516" s="436">
        <f>IF(NFI_Expiration=1,IF($A516&lt;VLOOKUP(I$5,NFI,5,0),1,0)*Table_NFI[[#This Row],[NFI Core Kit]],Table_NFI[NFI Core Kit])</f>
        <v>0</v>
      </c>
      <c r="Y516" s="436">
        <f>IF(NFI_Expiration=1,IF($A516&lt;VLOOKUP(J$5,NFI,5,0),1,0)*Table_NFI[[#This Row],[Sanitary Kit]],Table_NFI[Sanitary Kit])</f>
        <v>0</v>
      </c>
      <c r="Z516" s="436">
        <f>IF(NFI_Expiration=1,IF($A516&lt;VLOOKUP(K$5,NFI,5,0),1,0)*Table_NFI[[#This Row],[Mosquito net]],Table_NFI[Mosquito net])</f>
        <v>0</v>
      </c>
      <c r="AA516" s="436">
        <f>IF(NFI_Expiration=1,IF($A516&lt;VLOOKUP(L$5,NFI,5,0),1,0)*Table_NFI[[#This Row],[Tarpaulin]],Table_NFI[[#This Row],[Tarpaulin]])</f>
        <v>0</v>
      </c>
      <c r="AB516" s="436">
        <f>IF(NFI_Expiration=1,IF($A516&lt;VLOOKUP(M$5,NFI,5,0),1,0)*Table_NFI[[#This Row],[Blanket]],Table_NFI[[#This Row],[Blanket]])</f>
        <v>0</v>
      </c>
      <c r="AC516" s="436">
        <f>IF(NFI_Expiration=1,IF($A516&lt;VLOOKUP(N$5,NFI,5,0),1,0)*Table_NFI[[#This Row],[Kitchen Set]],Table_NFI[Kitchen Set])</f>
        <v>0</v>
      </c>
      <c r="AD516" s="436">
        <f>IF(NFI_Expiration=1,IF($A516&lt;VLOOKUP(O$5,NFI,5,0),1,0)*Table_NFI[[#This Row],[Clothes Kit]],Table_NFI[Clothes Kit])</f>
        <v>0</v>
      </c>
      <c r="AE516" s="436">
        <f>IF(NFI_Expiration=1,IF($A516&lt;VLOOKUP(P$5,NFI,5,0),1,0)*Table_NFI[[#This Row],[Plastic Bucket]],Table_NFI[Plastic Bucket])</f>
        <v>0</v>
      </c>
      <c r="AF516" s="436">
        <f>IF(NFI_Expiration=1,IF($A516&lt;VLOOKUP(Q$5,NFI,5,0),1,0)*Table_NFI[[#This Row],[Plastic Mat]],Table_NFI[Plastic Mat])*IF(Table_NFI[[#This Row],[Distribution Date]]&gt;"2014-04-01",1,2.5)</f>
        <v>0</v>
      </c>
      <c r="AG516" s="436">
        <f>IF(NFI_Expiration=1,IF($A516&lt;VLOOKUP(R$5,NFI,5,0),1,0)*Table_NFI[[#This Row],[Winter Clothes Adult]],Table_NFI[Winter Clothes Adult])</f>
        <v>0</v>
      </c>
      <c r="AH516" s="436">
        <f>IF(NFI_Expiration=1,IF($A516&lt;VLOOKUP(S$5,NFI,5,0),1,0)*Table_NFI[[#This Row],[Winter Clothes Children]],Table_NFI[Winter Clothes Children])</f>
        <v>0</v>
      </c>
      <c r="AI516" s="436">
        <f>IF(NFI_Expiration=1,IF($A516&lt;VLOOKUP(T$5,NFI,5,0),1,0)*Table_NFI[[#This Row],[Winter Items Other]],Table_NFI[Winter Items Other])</f>
        <v>0</v>
      </c>
      <c r="AJ516" s="436">
        <f>IF(NFI_Expiration=1,IF($A516&lt;VLOOKUP(M$5,NFI,5,0),1,0)*Table_NFI[[#This Row],[Winter Blanket]],Table_NFI[[#This Row],[Winter Blanket]])</f>
        <v>0</v>
      </c>
      <c r="AK516" s="436">
        <f>IF(Table_NFI[[#This Row],[Winter Clothes Adult]]+Table_NFI[[#This Row],[Winter Clothes Children]]+Table_NFI[[#This Row],[Winter Items Other]]+Table_NFI[[#This Row],[Winter Blanket]]&gt;0,1,0)</f>
        <v>0</v>
      </c>
      <c r="AL516" s="439">
        <f>IF(NFI_Expiration=1,IF($A516&lt;VLOOKUP(V$5,NFI,5,0),1,0)*Table_NFI[[#This Row],[Jerry Can]],Table_NFI[Jerry Can])</f>
        <v>0</v>
      </c>
      <c r="AM516" s="781" t="str">
        <f>IFERROR(VLOOKUP(Table_NFI[[#This Row],[Camp Name]],CL,2,0),"")</f>
        <v>MMR001CMP006</v>
      </c>
      <c r="AN516" s="782">
        <f ca="1">IF(Table_NFI[[#This Row],[Pcode]]="","",IF(OFFSET(CampList[Opening Date],MATCH(Table_NFI[[#This Row],[Pcode]],CampList[CP_Pcode],0)-1,0,1,1)&gt;=NFI_Monitor_Date,1,0))</f>
        <v>0</v>
      </c>
      <c r="AO516" s="781" t="str">
        <f>IFERROR(VLOOKUP(Table_NFI[[#This Row],[Camp Name]],CL,3,0),"")</f>
        <v>Open</v>
      </c>
      <c r="AP516" s="436" t="str">
        <f ca="1">IF(Table_NFI[[#This Row],[Pcode]]="","",OFFSET(CampList[Priority],MATCH(Table_NFI[[#This Row],[Pcode]],CampList[CP_Pcode],0)-1,0,1,1))</f>
        <v>P4</v>
      </c>
      <c r="AQ516" s="438">
        <f>IFERROR(Table_NFI[[#This Row],[Kitchen Set]]/VLOOKUP(Table_NFI[[#This Row],[Camp Name]],CL,4,0),"")</f>
        <v>0.16842105263157894</v>
      </c>
      <c r="AR516" s="779" t="s">
        <v>1099</v>
      </c>
      <c r="AS516" s="783"/>
    </row>
    <row r="517" spans="1:45" s="784" customFormat="1" x14ac:dyDescent="0.25">
      <c r="A517" s="455">
        <f t="shared" si="7"/>
        <v>27.666666666666668</v>
      </c>
      <c r="B517" s="778">
        <v>41479</v>
      </c>
      <c r="C517" s="779" t="s">
        <v>454</v>
      </c>
      <c r="D517" s="779" t="s">
        <v>462</v>
      </c>
      <c r="E517" s="779" t="s">
        <v>380</v>
      </c>
      <c r="F517" s="779" t="s">
        <v>237</v>
      </c>
      <c r="G517" s="435" t="s">
        <v>1267</v>
      </c>
      <c r="H517" s="436"/>
      <c r="I517" s="436"/>
      <c r="J517" s="436">
        <v>34</v>
      </c>
      <c r="K517" s="436">
        <v>46</v>
      </c>
      <c r="L517" s="437">
        <v>22</v>
      </c>
      <c r="M517" s="437">
        <v>46</v>
      </c>
      <c r="N517" s="437">
        <v>22</v>
      </c>
      <c r="O517" s="437">
        <v>22</v>
      </c>
      <c r="P517" s="437">
        <v>22</v>
      </c>
      <c r="Q517" s="437">
        <v>22</v>
      </c>
      <c r="R517" s="436"/>
      <c r="S517" s="436"/>
      <c r="T517" s="436"/>
      <c r="U517" s="436"/>
      <c r="V517" s="436"/>
      <c r="W517" s="436">
        <f>IF(NFI_Expiration=1,IF($A517&lt;VLOOKUP(H$5,NFI,5,0),1,0)*Table_NFI[[#This Row],[Hygiene Kit]],Table_NFI[Hygiene Kit])</f>
        <v>0</v>
      </c>
      <c r="X517" s="436">
        <f>IF(NFI_Expiration=1,IF($A517&lt;VLOOKUP(I$5,NFI,5,0),1,0)*Table_NFI[[#This Row],[NFI Core Kit]],Table_NFI[NFI Core Kit])</f>
        <v>0</v>
      </c>
      <c r="Y517" s="436">
        <f>IF(NFI_Expiration=1,IF($A517&lt;VLOOKUP(J$5,NFI,5,0),1,0)*Table_NFI[[#This Row],[Sanitary Kit]],Table_NFI[Sanitary Kit])</f>
        <v>0</v>
      </c>
      <c r="Z517" s="436">
        <f>IF(NFI_Expiration=1,IF($A517&lt;VLOOKUP(K$5,NFI,5,0),1,0)*Table_NFI[[#This Row],[Mosquito net]],Table_NFI[Mosquito net])</f>
        <v>0</v>
      </c>
      <c r="AA517" s="436">
        <f>IF(NFI_Expiration=1,IF($A517&lt;VLOOKUP(L$5,NFI,5,0),1,0)*Table_NFI[[#This Row],[Tarpaulin]],Table_NFI[[#This Row],[Tarpaulin]])</f>
        <v>0</v>
      </c>
      <c r="AB517" s="436">
        <f>IF(NFI_Expiration=1,IF($A517&lt;VLOOKUP(M$5,NFI,5,0),1,0)*Table_NFI[[#This Row],[Blanket]],Table_NFI[[#This Row],[Blanket]])</f>
        <v>0</v>
      </c>
      <c r="AC517" s="436">
        <f>IF(NFI_Expiration=1,IF($A517&lt;VLOOKUP(N$5,NFI,5,0),1,0)*Table_NFI[[#This Row],[Kitchen Set]],Table_NFI[Kitchen Set])</f>
        <v>0</v>
      </c>
      <c r="AD517" s="436">
        <f>IF(NFI_Expiration=1,IF($A517&lt;VLOOKUP(O$5,NFI,5,0),1,0)*Table_NFI[[#This Row],[Clothes Kit]],Table_NFI[Clothes Kit])</f>
        <v>0</v>
      </c>
      <c r="AE517" s="436">
        <f>IF(NFI_Expiration=1,IF($A517&lt;VLOOKUP(P$5,NFI,5,0),1,0)*Table_NFI[[#This Row],[Plastic Bucket]],Table_NFI[Plastic Bucket])</f>
        <v>0</v>
      </c>
      <c r="AF517" s="436">
        <f>IF(NFI_Expiration=1,IF($A517&lt;VLOOKUP(Q$5,NFI,5,0),1,0)*Table_NFI[[#This Row],[Plastic Mat]],Table_NFI[Plastic Mat])*IF(Table_NFI[[#This Row],[Distribution Date]]&gt;"2014-04-01",1,2.5)</f>
        <v>0</v>
      </c>
      <c r="AG517" s="436">
        <f>IF(NFI_Expiration=1,IF($A517&lt;VLOOKUP(R$5,NFI,5,0),1,0)*Table_NFI[[#This Row],[Winter Clothes Adult]],Table_NFI[Winter Clothes Adult])</f>
        <v>0</v>
      </c>
      <c r="AH517" s="436">
        <f>IF(NFI_Expiration=1,IF($A517&lt;VLOOKUP(S$5,NFI,5,0),1,0)*Table_NFI[[#This Row],[Winter Clothes Children]],Table_NFI[Winter Clothes Children])</f>
        <v>0</v>
      </c>
      <c r="AI517" s="436">
        <f>IF(NFI_Expiration=1,IF($A517&lt;VLOOKUP(T$5,NFI,5,0),1,0)*Table_NFI[[#This Row],[Winter Items Other]],Table_NFI[Winter Items Other])</f>
        <v>0</v>
      </c>
      <c r="AJ517" s="436">
        <f>IF(NFI_Expiration=1,IF($A517&lt;VLOOKUP(M$5,NFI,5,0),1,0)*Table_NFI[[#This Row],[Winter Blanket]],Table_NFI[[#This Row],[Winter Blanket]])</f>
        <v>0</v>
      </c>
      <c r="AK517" s="436">
        <f>IF(Table_NFI[[#This Row],[Winter Clothes Adult]]+Table_NFI[[#This Row],[Winter Clothes Children]]+Table_NFI[[#This Row],[Winter Items Other]]+Table_NFI[[#This Row],[Winter Blanket]]&gt;0,1,0)</f>
        <v>0</v>
      </c>
      <c r="AL517" s="439">
        <f>IF(NFI_Expiration=1,IF($A517&lt;VLOOKUP(V$5,NFI,5,0),1,0)*Table_NFI[[#This Row],[Jerry Can]],Table_NFI[Jerry Can])</f>
        <v>0</v>
      </c>
      <c r="AM517" s="781" t="str">
        <f>IFERROR(VLOOKUP(Table_NFI[[#This Row],[Camp Name]],CL,2,0),"")</f>
        <v>MMR001CMP023</v>
      </c>
      <c r="AN517" s="782">
        <f ca="1">IF(Table_NFI[[#This Row],[Pcode]]="","",IF(OFFSET(CampList[Opening Date],MATCH(Table_NFI[[#This Row],[Pcode]],CampList[CP_Pcode],0)-1,0,1,1)&gt;=NFI_Monitor_Date,1,0))</f>
        <v>0</v>
      </c>
      <c r="AO517" s="781" t="str">
        <f>IFERROR(VLOOKUP(Table_NFI[[#This Row],[Camp Name]],CL,3,0),"")</f>
        <v>Open</v>
      </c>
      <c r="AP517" s="436" t="str">
        <f ca="1">IF(Table_NFI[[#This Row],[Pcode]]="","",OFFSET(CampList[Priority],MATCH(Table_NFI[[#This Row],[Pcode]],CampList[CP_Pcode],0)-1,0,1,1))</f>
        <v>P4</v>
      </c>
      <c r="AQ517" s="438">
        <f>IFERROR(Table_NFI[[#This Row],[Kitchen Set]]/VLOOKUP(Table_NFI[[#This Row],[Camp Name]],CL,4,0),"")</f>
        <v>0.3235294117647059</v>
      </c>
      <c r="AR517" s="779" t="s">
        <v>1099</v>
      </c>
      <c r="AS517" s="783"/>
    </row>
    <row r="518" spans="1:45" s="784" customFormat="1" x14ac:dyDescent="0.25">
      <c r="A518" s="455">
        <f t="shared" ref="A518:A581" si="8">IF(ISBLANK(B518),"",(Report_Date-B518)/30)</f>
        <v>27.666666666666668</v>
      </c>
      <c r="B518" s="778">
        <v>41479</v>
      </c>
      <c r="C518" s="779" t="s">
        <v>454</v>
      </c>
      <c r="D518" s="779" t="s">
        <v>507</v>
      </c>
      <c r="E518" s="779" t="s">
        <v>380</v>
      </c>
      <c r="F518" s="435" t="s">
        <v>310</v>
      </c>
      <c r="G518" s="435" t="s">
        <v>316</v>
      </c>
      <c r="H518" s="436"/>
      <c r="I518" s="436"/>
      <c r="J518" s="436">
        <v>22</v>
      </c>
      <c r="K518" s="436">
        <v>32</v>
      </c>
      <c r="L518" s="439">
        <v>15</v>
      </c>
      <c r="M518" s="439">
        <v>32</v>
      </c>
      <c r="N518" s="439">
        <v>15</v>
      </c>
      <c r="O518" s="439">
        <v>15</v>
      </c>
      <c r="P518" s="439">
        <v>15</v>
      </c>
      <c r="Q518" s="439">
        <v>15</v>
      </c>
      <c r="R518" s="436"/>
      <c r="S518" s="436"/>
      <c r="T518" s="436"/>
      <c r="U518" s="436"/>
      <c r="V518" s="436"/>
      <c r="W518" s="436">
        <f>IF(NFI_Expiration=1,IF($A518&lt;VLOOKUP(H$5,NFI,5,0),1,0)*Table_NFI[[#This Row],[Hygiene Kit]],Table_NFI[Hygiene Kit])</f>
        <v>0</v>
      </c>
      <c r="X518" s="436">
        <f>IF(NFI_Expiration=1,IF($A518&lt;VLOOKUP(I$5,NFI,5,0),1,0)*Table_NFI[[#This Row],[NFI Core Kit]],Table_NFI[NFI Core Kit])</f>
        <v>0</v>
      </c>
      <c r="Y518" s="436">
        <f>IF(NFI_Expiration=1,IF($A518&lt;VLOOKUP(J$5,NFI,5,0),1,0)*Table_NFI[[#This Row],[Sanitary Kit]],Table_NFI[Sanitary Kit])</f>
        <v>0</v>
      </c>
      <c r="Z518" s="436">
        <f>IF(NFI_Expiration=1,IF($A518&lt;VLOOKUP(K$5,NFI,5,0),1,0)*Table_NFI[[#This Row],[Mosquito net]],Table_NFI[Mosquito net])</f>
        <v>0</v>
      </c>
      <c r="AA518" s="436">
        <f>IF(NFI_Expiration=1,IF($A518&lt;VLOOKUP(L$5,NFI,5,0),1,0)*Table_NFI[[#This Row],[Tarpaulin]],Table_NFI[[#This Row],[Tarpaulin]])</f>
        <v>0</v>
      </c>
      <c r="AB518" s="436">
        <f>IF(NFI_Expiration=1,IF($A518&lt;VLOOKUP(M$5,NFI,5,0),1,0)*Table_NFI[[#This Row],[Blanket]],Table_NFI[[#This Row],[Blanket]])</f>
        <v>0</v>
      </c>
      <c r="AC518" s="436">
        <f>IF(NFI_Expiration=1,IF($A518&lt;VLOOKUP(N$5,NFI,5,0),1,0)*Table_NFI[[#This Row],[Kitchen Set]],Table_NFI[Kitchen Set])</f>
        <v>0</v>
      </c>
      <c r="AD518" s="436">
        <f>IF(NFI_Expiration=1,IF($A518&lt;VLOOKUP(O$5,NFI,5,0),1,0)*Table_NFI[[#This Row],[Clothes Kit]],Table_NFI[Clothes Kit])</f>
        <v>0</v>
      </c>
      <c r="AE518" s="436">
        <f>IF(NFI_Expiration=1,IF($A518&lt;VLOOKUP(P$5,NFI,5,0),1,0)*Table_NFI[[#This Row],[Plastic Bucket]],Table_NFI[Plastic Bucket])</f>
        <v>0</v>
      </c>
      <c r="AF518" s="436">
        <f>IF(NFI_Expiration=1,IF($A518&lt;VLOOKUP(Q$5,NFI,5,0),1,0)*Table_NFI[[#This Row],[Plastic Mat]],Table_NFI[Plastic Mat])*IF(Table_NFI[[#This Row],[Distribution Date]]&gt;"2014-04-01",1,2.5)</f>
        <v>0</v>
      </c>
      <c r="AG518" s="436">
        <f>IF(NFI_Expiration=1,IF($A518&lt;VLOOKUP(R$5,NFI,5,0),1,0)*Table_NFI[[#This Row],[Winter Clothes Adult]],Table_NFI[Winter Clothes Adult])</f>
        <v>0</v>
      </c>
      <c r="AH518" s="436">
        <f>IF(NFI_Expiration=1,IF($A518&lt;VLOOKUP(S$5,NFI,5,0),1,0)*Table_NFI[[#This Row],[Winter Clothes Children]],Table_NFI[Winter Clothes Children])</f>
        <v>0</v>
      </c>
      <c r="AI518" s="436">
        <f>IF(NFI_Expiration=1,IF($A518&lt;VLOOKUP(T$5,NFI,5,0),1,0)*Table_NFI[[#This Row],[Winter Items Other]],Table_NFI[Winter Items Other])</f>
        <v>0</v>
      </c>
      <c r="AJ518" s="436">
        <f>IF(NFI_Expiration=1,IF($A518&lt;VLOOKUP(M$5,NFI,5,0),1,0)*Table_NFI[[#This Row],[Winter Blanket]],Table_NFI[[#This Row],[Winter Blanket]])</f>
        <v>0</v>
      </c>
      <c r="AK518" s="436">
        <f>IF(Table_NFI[[#This Row],[Winter Clothes Adult]]+Table_NFI[[#This Row],[Winter Clothes Children]]+Table_NFI[[#This Row],[Winter Items Other]]+Table_NFI[[#This Row],[Winter Blanket]]&gt;0,1,0)</f>
        <v>0</v>
      </c>
      <c r="AL518" s="439">
        <f>IF(NFI_Expiration=1,IF($A518&lt;VLOOKUP(V$5,NFI,5,0),1,0)*Table_NFI[[#This Row],[Jerry Can]],Table_NFI[Jerry Can])</f>
        <v>0</v>
      </c>
      <c r="AM518" s="781" t="str">
        <f>IFERROR(VLOOKUP(Table_NFI[[#This Row],[Camp Name]],CL,2,0),"")</f>
        <v>MMR001CMP038</v>
      </c>
      <c r="AN518" s="782">
        <f ca="1">IF(Table_NFI[[#This Row],[Pcode]]="","",IF(OFFSET(CampList[Opening Date],MATCH(Table_NFI[[#This Row],[Pcode]],CampList[CP_Pcode],0)-1,0,1,1)&gt;=NFI_Monitor_Date,1,0))</f>
        <v>0</v>
      </c>
      <c r="AO518" s="781" t="str">
        <f>IFERROR(VLOOKUP(Table_NFI[[#This Row],[Camp Name]],CL,3,0),"")</f>
        <v>Open</v>
      </c>
      <c r="AP518" s="436" t="str">
        <f ca="1">IF(Table_NFI[[#This Row],[Pcode]]="","",OFFSET(CampList[Priority],MATCH(Table_NFI[[#This Row],[Pcode]],CampList[CP_Pcode],0)-1,0,1,1))</f>
        <v>P4</v>
      </c>
      <c r="AQ518" s="438">
        <f>IFERROR(Table_NFI[[#This Row],[Kitchen Set]]/VLOOKUP(Table_NFI[[#This Row],[Camp Name]],CL,4,0),"")</f>
        <v>0.16483516483516483</v>
      </c>
      <c r="AR518" s="779" t="s">
        <v>1099</v>
      </c>
      <c r="AS518" s="783"/>
    </row>
    <row r="519" spans="1:45" s="784" customFormat="1" x14ac:dyDescent="0.25">
      <c r="A519" s="455">
        <f t="shared" si="8"/>
        <v>27.933333333333334</v>
      </c>
      <c r="B519" s="778">
        <v>41471</v>
      </c>
      <c r="C519" s="779" t="s">
        <v>454</v>
      </c>
      <c r="D519" s="780" t="s">
        <v>507</v>
      </c>
      <c r="E519" s="779" t="s">
        <v>380</v>
      </c>
      <c r="F519" s="435" t="s">
        <v>237</v>
      </c>
      <c r="G519" s="435" t="s">
        <v>1267</v>
      </c>
      <c r="H519" s="436"/>
      <c r="I519" s="436"/>
      <c r="J519" s="436">
        <v>55</v>
      </c>
      <c r="K519" s="436">
        <v>74</v>
      </c>
      <c r="L519" s="437">
        <v>31</v>
      </c>
      <c r="M519" s="437">
        <v>74</v>
      </c>
      <c r="N519" s="437">
        <v>31</v>
      </c>
      <c r="O519" s="437">
        <v>31</v>
      </c>
      <c r="P519" s="437">
        <v>31</v>
      </c>
      <c r="Q519" s="437">
        <v>31</v>
      </c>
      <c r="R519" s="436"/>
      <c r="S519" s="436"/>
      <c r="T519" s="436"/>
      <c r="U519" s="436"/>
      <c r="V519" s="436"/>
      <c r="W519" s="436">
        <f>IF(NFI_Expiration=1,IF($A519&lt;VLOOKUP(H$5,NFI,5,0),1,0)*Table_NFI[[#This Row],[Hygiene Kit]],Table_NFI[Hygiene Kit])</f>
        <v>0</v>
      </c>
      <c r="X519" s="436">
        <f>IF(NFI_Expiration=1,IF($A519&lt;VLOOKUP(I$5,NFI,5,0),1,0)*Table_NFI[[#This Row],[NFI Core Kit]],Table_NFI[NFI Core Kit])</f>
        <v>0</v>
      </c>
      <c r="Y519" s="436">
        <f>IF(NFI_Expiration=1,IF($A519&lt;VLOOKUP(J$5,NFI,5,0),1,0)*Table_NFI[[#This Row],[Sanitary Kit]],Table_NFI[Sanitary Kit])</f>
        <v>0</v>
      </c>
      <c r="Z519" s="436">
        <f>IF(NFI_Expiration=1,IF($A519&lt;VLOOKUP(K$5,NFI,5,0),1,0)*Table_NFI[[#This Row],[Mosquito net]],Table_NFI[Mosquito net])</f>
        <v>0</v>
      </c>
      <c r="AA519" s="436">
        <f>IF(NFI_Expiration=1,IF($A519&lt;VLOOKUP(L$5,NFI,5,0),1,0)*Table_NFI[[#This Row],[Tarpaulin]],Table_NFI[[#This Row],[Tarpaulin]])</f>
        <v>0</v>
      </c>
      <c r="AB519" s="436">
        <f>IF(NFI_Expiration=1,IF($A519&lt;VLOOKUP(M$5,NFI,5,0),1,0)*Table_NFI[[#This Row],[Blanket]],Table_NFI[[#This Row],[Blanket]])</f>
        <v>0</v>
      </c>
      <c r="AC519" s="436">
        <f>IF(NFI_Expiration=1,IF($A519&lt;VLOOKUP(N$5,NFI,5,0),1,0)*Table_NFI[[#This Row],[Kitchen Set]],Table_NFI[Kitchen Set])</f>
        <v>0</v>
      </c>
      <c r="AD519" s="436">
        <f>IF(NFI_Expiration=1,IF($A519&lt;VLOOKUP(O$5,NFI,5,0),1,0)*Table_NFI[[#This Row],[Clothes Kit]],Table_NFI[Clothes Kit])</f>
        <v>0</v>
      </c>
      <c r="AE519" s="436">
        <f>IF(NFI_Expiration=1,IF($A519&lt;VLOOKUP(P$5,NFI,5,0),1,0)*Table_NFI[[#This Row],[Plastic Bucket]],Table_NFI[Plastic Bucket])</f>
        <v>0</v>
      </c>
      <c r="AF519" s="436">
        <f>IF(NFI_Expiration=1,IF($A519&lt;VLOOKUP(Q$5,NFI,5,0),1,0)*Table_NFI[[#This Row],[Plastic Mat]],Table_NFI[Plastic Mat])*IF(Table_NFI[[#This Row],[Distribution Date]]&gt;"2014-04-01",1,2.5)</f>
        <v>0</v>
      </c>
      <c r="AG519" s="436">
        <f>IF(NFI_Expiration=1,IF($A519&lt;VLOOKUP(R$5,NFI,5,0),1,0)*Table_NFI[[#This Row],[Winter Clothes Adult]],Table_NFI[Winter Clothes Adult])</f>
        <v>0</v>
      </c>
      <c r="AH519" s="436">
        <f>IF(NFI_Expiration=1,IF($A519&lt;VLOOKUP(S$5,NFI,5,0),1,0)*Table_NFI[[#This Row],[Winter Clothes Children]],Table_NFI[Winter Clothes Children])</f>
        <v>0</v>
      </c>
      <c r="AI519" s="436">
        <f>IF(NFI_Expiration=1,IF($A519&lt;VLOOKUP(T$5,NFI,5,0),1,0)*Table_NFI[[#This Row],[Winter Items Other]],Table_NFI[Winter Items Other])</f>
        <v>0</v>
      </c>
      <c r="AJ519" s="436">
        <f>IF(NFI_Expiration=1,IF($A519&lt;VLOOKUP(M$5,NFI,5,0),1,0)*Table_NFI[[#This Row],[Winter Blanket]],Table_NFI[[#This Row],[Winter Blanket]])</f>
        <v>0</v>
      </c>
      <c r="AK519" s="436">
        <f>IF(Table_NFI[[#This Row],[Winter Clothes Adult]]+Table_NFI[[#This Row],[Winter Clothes Children]]+Table_NFI[[#This Row],[Winter Items Other]]+Table_NFI[[#This Row],[Winter Blanket]]&gt;0,1,0)</f>
        <v>0</v>
      </c>
      <c r="AL519" s="439">
        <f>IF(NFI_Expiration=1,IF($A519&lt;VLOOKUP(V$5,NFI,5,0),1,0)*Table_NFI[[#This Row],[Jerry Can]],Table_NFI[Jerry Can])</f>
        <v>0</v>
      </c>
      <c r="AM519" s="781" t="str">
        <f>IFERROR(VLOOKUP(Table_NFI[[#This Row],[Camp Name]],CL,2,0),"")</f>
        <v>MMR001CMP023</v>
      </c>
      <c r="AN519" s="782">
        <f ca="1">IF(Table_NFI[[#This Row],[Pcode]]="","",IF(OFFSET(CampList[Opening Date],MATCH(Table_NFI[[#This Row],[Pcode]],CampList[CP_Pcode],0)-1,0,1,1)&gt;=NFI_Monitor_Date,1,0))</f>
        <v>0</v>
      </c>
      <c r="AO519" s="781" t="str">
        <f>IFERROR(VLOOKUP(Table_NFI[[#This Row],[Camp Name]],CL,3,0),"")</f>
        <v>Open</v>
      </c>
      <c r="AP519" s="436" t="str">
        <f ca="1">IF(Table_NFI[[#This Row],[Pcode]]="","",OFFSET(CampList[Priority],MATCH(Table_NFI[[#This Row],[Pcode]],CampList[CP_Pcode],0)-1,0,1,1))</f>
        <v>P4</v>
      </c>
      <c r="AQ519" s="438">
        <f>IFERROR(Table_NFI[[#This Row],[Kitchen Set]]/VLOOKUP(Table_NFI[[#This Row],[Camp Name]],CL,4,0),"")</f>
        <v>0.45588235294117646</v>
      </c>
      <c r="AR519" s="779" t="s">
        <v>1099</v>
      </c>
      <c r="AS519" s="783"/>
    </row>
    <row r="520" spans="1:45" s="784" customFormat="1" x14ac:dyDescent="0.25">
      <c r="A520" s="455">
        <f t="shared" si="8"/>
        <v>28.466666666666665</v>
      </c>
      <c r="B520" s="778">
        <v>41455</v>
      </c>
      <c r="C520" s="779" t="s">
        <v>454</v>
      </c>
      <c r="D520" s="779"/>
      <c r="E520" s="779" t="s">
        <v>380</v>
      </c>
      <c r="F520" s="779" t="s">
        <v>151</v>
      </c>
      <c r="G520" s="779" t="s">
        <v>891</v>
      </c>
      <c r="H520" s="436"/>
      <c r="I520" s="436"/>
      <c r="J520" s="436"/>
      <c r="K520" s="436"/>
      <c r="L520" s="437"/>
      <c r="M520" s="437">
        <v>9</v>
      </c>
      <c r="N520" s="437"/>
      <c r="O520" s="437"/>
      <c r="P520" s="439">
        <v>19</v>
      </c>
      <c r="Q520" s="439">
        <v>1</v>
      </c>
      <c r="R520" s="436"/>
      <c r="S520" s="436"/>
      <c r="T520" s="436"/>
      <c r="U520" s="436"/>
      <c r="V520" s="436"/>
      <c r="W520" s="436">
        <f>IF(NFI_Expiration=1,IF($A520&lt;VLOOKUP(H$5,NFI,5,0),1,0)*Table_NFI[[#This Row],[Hygiene Kit]],Table_NFI[Hygiene Kit])</f>
        <v>0</v>
      </c>
      <c r="X520" s="436">
        <f>IF(NFI_Expiration=1,IF($A520&lt;VLOOKUP(I$5,NFI,5,0),1,0)*Table_NFI[[#This Row],[NFI Core Kit]],Table_NFI[NFI Core Kit])</f>
        <v>0</v>
      </c>
      <c r="Y520" s="436">
        <f>IF(NFI_Expiration=1,IF($A520&lt;VLOOKUP(J$5,NFI,5,0),1,0)*Table_NFI[[#This Row],[Sanitary Kit]],Table_NFI[Sanitary Kit])</f>
        <v>0</v>
      </c>
      <c r="Z520" s="436">
        <f>IF(NFI_Expiration=1,IF($A520&lt;VLOOKUP(K$5,NFI,5,0),1,0)*Table_NFI[[#This Row],[Mosquito net]],Table_NFI[Mosquito net])</f>
        <v>0</v>
      </c>
      <c r="AA520" s="436">
        <f>IF(NFI_Expiration=1,IF($A520&lt;VLOOKUP(L$5,NFI,5,0),1,0)*Table_NFI[[#This Row],[Tarpaulin]],Table_NFI[[#This Row],[Tarpaulin]])</f>
        <v>0</v>
      </c>
      <c r="AB520" s="436">
        <f>IF(NFI_Expiration=1,IF($A520&lt;VLOOKUP(M$5,NFI,5,0),1,0)*Table_NFI[[#This Row],[Blanket]],Table_NFI[[#This Row],[Blanket]])</f>
        <v>0</v>
      </c>
      <c r="AC520" s="436">
        <f>IF(NFI_Expiration=1,IF($A520&lt;VLOOKUP(N$5,NFI,5,0),1,0)*Table_NFI[[#This Row],[Kitchen Set]],Table_NFI[Kitchen Set])</f>
        <v>0</v>
      </c>
      <c r="AD520" s="436">
        <f>IF(NFI_Expiration=1,IF($A520&lt;VLOOKUP(O$5,NFI,5,0),1,0)*Table_NFI[[#This Row],[Clothes Kit]],Table_NFI[Clothes Kit])</f>
        <v>0</v>
      </c>
      <c r="AE520" s="436">
        <f>IF(NFI_Expiration=1,IF($A520&lt;VLOOKUP(P$5,NFI,5,0),1,0)*Table_NFI[[#This Row],[Plastic Bucket]],Table_NFI[Plastic Bucket])</f>
        <v>0</v>
      </c>
      <c r="AF520" s="436">
        <f>IF(NFI_Expiration=1,IF($A520&lt;VLOOKUP(Q$5,NFI,5,0),1,0)*Table_NFI[[#This Row],[Plastic Mat]],Table_NFI[Plastic Mat])*IF(Table_NFI[[#This Row],[Distribution Date]]&gt;"2014-04-01",1,2.5)</f>
        <v>0</v>
      </c>
      <c r="AG520" s="436">
        <f>IF(NFI_Expiration=1,IF($A520&lt;VLOOKUP(R$5,NFI,5,0),1,0)*Table_NFI[[#This Row],[Winter Clothes Adult]],Table_NFI[Winter Clothes Adult])</f>
        <v>0</v>
      </c>
      <c r="AH520" s="436">
        <f>IF(NFI_Expiration=1,IF($A520&lt;VLOOKUP(S$5,NFI,5,0),1,0)*Table_NFI[[#This Row],[Winter Clothes Children]],Table_NFI[Winter Clothes Children])</f>
        <v>0</v>
      </c>
      <c r="AI520" s="436">
        <f>IF(NFI_Expiration=1,IF($A520&lt;VLOOKUP(T$5,NFI,5,0),1,0)*Table_NFI[[#This Row],[Winter Items Other]],Table_NFI[Winter Items Other])</f>
        <v>0</v>
      </c>
      <c r="AJ520" s="436">
        <f>IF(NFI_Expiration=1,IF($A520&lt;VLOOKUP(M$5,NFI,5,0),1,0)*Table_NFI[[#This Row],[Winter Blanket]],Table_NFI[[#This Row],[Winter Blanket]])</f>
        <v>0</v>
      </c>
      <c r="AK520" s="436">
        <f>IF(Table_NFI[[#This Row],[Winter Clothes Adult]]+Table_NFI[[#This Row],[Winter Clothes Children]]+Table_NFI[[#This Row],[Winter Items Other]]+Table_NFI[[#This Row],[Winter Blanket]]&gt;0,1,0)</f>
        <v>0</v>
      </c>
      <c r="AL520" s="439">
        <f>IF(NFI_Expiration=1,IF($A520&lt;VLOOKUP(V$5,NFI,5,0),1,0)*Table_NFI[[#This Row],[Jerry Can]],Table_NFI[Jerry Can])</f>
        <v>0</v>
      </c>
      <c r="AM520" s="781" t="str">
        <f>IFERROR(VLOOKUP(Table_NFI[[#This Row],[Camp Name]],CL,2,0),"")</f>
        <v>MMR001CMP218</v>
      </c>
      <c r="AN520" s="782">
        <f ca="1">IF(Table_NFI[[#This Row],[Pcode]]="","",IF(OFFSET(CampList[Opening Date],MATCH(Table_NFI[[#This Row],[Pcode]],CampList[CP_Pcode],0)-1,0,1,1)&gt;=NFI_Monitor_Date,1,0))</f>
        <v>0</v>
      </c>
      <c r="AO520" s="781" t="str">
        <f>IFERROR(VLOOKUP(Table_NFI[[#This Row],[Camp Name]],CL,3,0),"")</f>
        <v>Open</v>
      </c>
      <c r="AP520" s="436" t="str">
        <f ca="1">IF(Table_NFI[[#This Row],[Pcode]]="","",OFFSET(CampList[Priority],MATCH(Table_NFI[[#This Row],[Pcode]],CampList[CP_Pcode],0)-1,0,1,1))</f>
        <v>P4</v>
      </c>
      <c r="AQ520" s="438">
        <f>IFERROR(Table_NFI[[#This Row],[Kitchen Set]]/VLOOKUP(Table_NFI[[#This Row],[Camp Name]],CL,4,0),"")</f>
        <v>0</v>
      </c>
      <c r="AR520" s="779"/>
      <c r="AS520" s="783"/>
    </row>
    <row r="521" spans="1:45" s="784" customFormat="1" x14ac:dyDescent="0.25">
      <c r="A521" s="455">
        <f t="shared" si="8"/>
        <v>28.466666666666665</v>
      </c>
      <c r="B521" s="778">
        <v>41455</v>
      </c>
      <c r="C521" s="779" t="s">
        <v>454</v>
      </c>
      <c r="D521" s="779"/>
      <c r="E521" s="779" t="s">
        <v>380</v>
      </c>
      <c r="F521" s="779" t="s">
        <v>151</v>
      </c>
      <c r="G521" s="779" t="s">
        <v>949</v>
      </c>
      <c r="H521" s="436"/>
      <c r="I521" s="436"/>
      <c r="J521" s="436"/>
      <c r="K521" s="436">
        <v>50</v>
      </c>
      <c r="L521" s="437">
        <v>15</v>
      </c>
      <c r="M521" s="437"/>
      <c r="N521" s="437">
        <v>15</v>
      </c>
      <c r="O521" s="437"/>
      <c r="P521" s="439">
        <v>15</v>
      </c>
      <c r="Q521" s="439">
        <v>60</v>
      </c>
      <c r="R521" s="436"/>
      <c r="S521" s="436"/>
      <c r="T521" s="436"/>
      <c r="U521" s="436"/>
      <c r="V521" s="436"/>
      <c r="W521" s="436">
        <f>IF(NFI_Expiration=1,IF($A521&lt;VLOOKUP(H$5,NFI,5,0),1,0)*Table_NFI[[#This Row],[Hygiene Kit]],Table_NFI[Hygiene Kit])</f>
        <v>0</v>
      </c>
      <c r="X521" s="436">
        <f>IF(NFI_Expiration=1,IF($A521&lt;VLOOKUP(I$5,NFI,5,0),1,0)*Table_NFI[[#This Row],[NFI Core Kit]],Table_NFI[NFI Core Kit])</f>
        <v>0</v>
      </c>
      <c r="Y521" s="436">
        <f>IF(NFI_Expiration=1,IF($A521&lt;VLOOKUP(J$5,NFI,5,0),1,0)*Table_NFI[[#This Row],[Sanitary Kit]],Table_NFI[Sanitary Kit])</f>
        <v>0</v>
      </c>
      <c r="Z521" s="436">
        <f>IF(NFI_Expiration=1,IF($A521&lt;VLOOKUP(K$5,NFI,5,0),1,0)*Table_NFI[[#This Row],[Mosquito net]],Table_NFI[Mosquito net])</f>
        <v>0</v>
      </c>
      <c r="AA521" s="436">
        <f>IF(NFI_Expiration=1,IF($A521&lt;VLOOKUP(L$5,NFI,5,0),1,0)*Table_NFI[[#This Row],[Tarpaulin]],Table_NFI[[#This Row],[Tarpaulin]])</f>
        <v>0</v>
      </c>
      <c r="AB521" s="436">
        <f>IF(NFI_Expiration=1,IF($A521&lt;VLOOKUP(M$5,NFI,5,0),1,0)*Table_NFI[[#This Row],[Blanket]],Table_NFI[[#This Row],[Blanket]])</f>
        <v>0</v>
      </c>
      <c r="AC521" s="436">
        <f>IF(NFI_Expiration=1,IF($A521&lt;VLOOKUP(N$5,NFI,5,0),1,0)*Table_NFI[[#This Row],[Kitchen Set]],Table_NFI[Kitchen Set])</f>
        <v>0</v>
      </c>
      <c r="AD521" s="436">
        <f>IF(NFI_Expiration=1,IF($A521&lt;VLOOKUP(O$5,NFI,5,0),1,0)*Table_NFI[[#This Row],[Clothes Kit]],Table_NFI[Clothes Kit])</f>
        <v>0</v>
      </c>
      <c r="AE521" s="436">
        <f>IF(NFI_Expiration=1,IF($A521&lt;VLOOKUP(P$5,NFI,5,0),1,0)*Table_NFI[[#This Row],[Plastic Bucket]],Table_NFI[Plastic Bucket])</f>
        <v>0</v>
      </c>
      <c r="AF521" s="436">
        <f>IF(NFI_Expiration=1,IF($A521&lt;VLOOKUP(Q$5,NFI,5,0),1,0)*Table_NFI[[#This Row],[Plastic Mat]],Table_NFI[Plastic Mat])*IF(Table_NFI[[#This Row],[Distribution Date]]&gt;"2014-04-01",1,2.5)</f>
        <v>0</v>
      </c>
      <c r="AG521" s="436">
        <f>IF(NFI_Expiration=1,IF($A521&lt;VLOOKUP(R$5,NFI,5,0),1,0)*Table_NFI[[#This Row],[Winter Clothes Adult]],Table_NFI[Winter Clothes Adult])</f>
        <v>0</v>
      </c>
      <c r="AH521" s="436">
        <f>IF(NFI_Expiration=1,IF($A521&lt;VLOOKUP(S$5,NFI,5,0),1,0)*Table_NFI[[#This Row],[Winter Clothes Children]],Table_NFI[Winter Clothes Children])</f>
        <v>0</v>
      </c>
      <c r="AI521" s="436">
        <f>IF(NFI_Expiration=1,IF($A521&lt;VLOOKUP(T$5,NFI,5,0),1,0)*Table_NFI[[#This Row],[Winter Items Other]],Table_NFI[Winter Items Other])</f>
        <v>0</v>
      </c>
      <c r="AJ521" s="436">
        <f>IF(NFI_Expiration=1,IF($A521&lt;VLOOKUP(M$5,NFI,5,0),1,0)*Table_NFI[[#This Row],[Winter Blanket]],Table_NFI[[#This Row],[Winter Blanket]])</f>
        <v>0</v>
      </c>
      <c r="AK521" s="436">
        <f>IF(Table_NFI[[#This Row],[Winter Clothes Adult]]+Table_NFI[[#This Row],[Winter Clothes Children]]+Table_NFI[[#This Row],[Winter Items Other]]+Table_NFI[[#This Row],[Winter Blanket]]&gt;0,1,0)</f>
        <v>0</v>
      </c>
      <c r="AL521" s="439">
        <f>IF(NFI_Expiration=1,IF($A521&lt;VLOOKUP(V$5,NFI,5,0),1,0)*Table_NFI[[#This Row],[Jerry Can]],Table_NFI[Jerry Can])</f>
        <v>0</v>
      </c>
      <c r="AM521" s="781" t="str">
        <f>IFERROR(VLOOKUP(Table_NFI[[#This Row],[Camp Name]],CL,2,0),"")</f>
        <v>MMR001CMP223</v>
      </c>
      <c r="AN521" s="782">
        <f ca="1">IF(Table_NFI[[#This Row],[Pcode]]="","",IF(OFFSET(CampList[Opening Date],MATCH(Table_NFI[[#This Row],[Pcode]],CampList[CP_Pcode],0)-1,0,1,1)&gt;=NFI_Monitor_Date,1,0))</f>
        <v>0</v>
      </c>
      <c r="AO521" s="781" t="str">
        <f>IFERROR(VLOOKUP(Table_NFI[[#This Row],[Camp Name]],CL,3,0),"")</f>
        <v>Open</v>
      </c>
      <c r="AP521" s="436" t="str">
        <f ca="1">IF(Table_NFI[[#This Row],[Pcode]]="","",OFFSET(CampList[Priority],MATCH(Table_NFI[[#This Row],[Pcode]],CampList[CP_Pcode],0)-1,0,1,1))</f>
        <v>P4</v>
      </c>
      <c r="AQ521" s="438">
        <f>IFERROR(Table_NFI[[#This Row],[Kitchen Set]]/VLOOKUP(Table_NFI[[#This Row],[Camp Name]],CL,4,0),"")</f>
        <v>0.12396694214876033</v>
      </c>
      <c r="AR521" s="779"/>
      <c r="AS521" s="783"/>
    </row>
    <row r="522" spans="1:45" s="784" customFormat="1" x14ac:dyDescent="0.25">
      <c r="A522" s="455">
        <f t="shared" si="8"/>
        <v>28.5</v>
      </c>
      <c r="B522" s="778">
        <v>41454</v>
      </c>
      <c r="C522" s="779" t="s">
        <v>454</v>
      </c>
      <c r="D522" s="779"/>
      <c r="E522" s="779" t="s">
        <v>380</v>
      </c>
      <c r="F522" s="779" t="s">
        <v>151</v>
      </c>
      <c r="G522" s="779" t="s">
        <v>891</v>
      </c>
      <c r="H522" s="436"/>
      <c r="I522" s="436"/>
      <c r="J522" s="436"/>
      <c r="K522" s="436"/>
      <c r="L522" s="437">
        <v>19</v>
      </c>
      <c r="M522" s="437"/>
      <c r="N522" s="437">
        <v>19</v>
      </c>
      <c r="O522" s="437"/>
      <c r="P522" s="439"/>
      <c r="Q522" s="439">
        <v>100</v>
      </c>
      <c r="R522" s="436"/>
      <c r="S522" s="436"/>
      <c r="T522" s="436"/>
      <c r="U522" s="436"/>
      <c r="V522" s="436"/>
      <c r="W522" s="436">
        <f>IF(NFI_Expiration=1,IF($A522&lt;VLOOKUP(H$5,NFI,5,0),1,0)*Table_NFI[[#This Row],[Hygiene Kit]],Table_NFI[Hygiene Kit])</f>
        <v>0</v>
      </c>
      <c r="X522" s="436">
        <f>IF(NFI_Expiration=1,IF($A522&lt;VLOOKUP(I$5,NFI,5,0),1,0)*Table_NFI[[#This Row],[NFI Core Kit]],Table_NFI[NFI Core Kit])</f>
        <v>0</v>
      </c>
      <c r="Y522" s="436">
        <f>IF(NFI_Expiration=1,IF($A522&lt;VLOOKUP(J$5,NFI,5,0),1,0)*Table_NFI[[#This Row],[Sanitary Kit]],Table_NFI[Sanitary Kit])</f>
        <v>0</v>
      </c>
      <c r="Z522" s="436">
        <f>IF(NFI_Expiration=1,IF($A522&lt;VLOOKUP(K$5,NFI,5,0),1,0)*Table_NFI[[#This Row],[Mosquito net]],Table_NFI[Mosquito net])</f>
        <v>0</v>
      </c>
      <c r="AA522" s="436">
        <f>IF(NFI_Expiration=1,IF($A522&lt;VLOOKUP(L$5,NFI,5,0),1,0)*Table_NFI[[#This Row],[Tarpaulin]],Table_NFI[[#This Row],[Tarpaulin]])</f>
        <v>0</v>
      </c>
      <c r="AB522" s="436">
        <f>IF(NFI_Expiration=1,IF($A522&lt;VLOOKUP(M$5,NFI,5,0),1,0)*Table_NFI[[#This Row],[Blanket]],Table_NFI[[#This Row],[Blanket]])</f>
        <v>0</v>
      </c>
      <c r="AC522" s="436">
        <f>IF(NFI_Expiration=1,IF($A522&lt;VLOOKUP(N$5,NFI,5,0),1,0)*Table_NFI[[#This Row],[Kitchen Set]],Table_NFI[Kitchen Set])</f>
        <v>0</v>
      </c>
      <c r="AD522" s="436">
        <f>IF(NFI_Expiration=1,IF($A522&lt;VLOOKUP(O$5,NFI,5,0),1,0)*Table_NFI[[#This Row],[Clothes Kit]],Table_NFI[Clothes Kit])</f>
        <v>0</v>
      </c>
      <c r="AE522" s="436">
        <f>IF(NFI_Expiration=1,IF($A522&lt;VLOOKUP(P$5,NFI,5,0),1,0)*Table_NFI[[#This Row],[Plastic Bucket]],Table_NFI[Plastic Bucket])</f>
        <v>0</v>
      </c>
      <c r="AF522" s="436">
        <f>IF(NFI_Expiration=1,IF($A522&lt;VLOOKUP(Q$5,NFI,5,0),1,0)*Table_NFI[[#This Row],[Plastic Mat]],Table_NFI[Plastic Mat])*IF(Table_NFI[[#This Row],[Distribution Date]]&gt;"2014-04-01",1,2.5)</f>
        <v>0</v>
      </c>
      <c r="AG522" s="436">
        <f>IF(NFI_Expiration=1,IF($A522&lt;VLOOKUP(R$5,NFI,5,0),1,0)*Table_NFI[[#This Row],[Winter Clothes Adult]],Table_NFI[Winter Clothes Adult])</f>
        <v>0</v>
      </c>
      <c r="AH522" s="436">
        <f>IF(NFI_Expiration=1,IF($A522&lt;VLOOKUP(S$5,NFI,5,0),1,0)*Table_NFI[[#This Row],[Winter Clothes Children]],Table_NFI[Winter Clothes Children])</f>
        <v>0</v>
      </c>
      <c r="AI522" s="436">
        <f>IF(NFI_Expiration=1,IF($A522&lt;VLOOKUP(T$5,NFI,5,0),1,0)*Table_NFI[[#This Row],[Winter Items Other]],Table_NFI[Winter Items Other])</f>
        <v>0</v>
      </c>
      <c r="AJ522" s="436">
        <f>IF(NFI_Expiration=1,IF($A522&lt;VLOOKUP(M$5,NFI,5,0),1,0)*Table_NFI[[#This Row],[Winter Blanket]],Table_NFI[[#This Row],[Winter Blanket]])</f>
        <v>0</v>
      </c>
      <c r="AK522" s="436">
        <f>IF(Table_NFI[[#This Row],[Winter Clothes Adult]]+Table_NFI[[#This Row],[Winter Clothes Children]]+Table_NFI[[#This Row],[Winter Items Other]]+Table_NFI[[#This Row],[Winter Blanket]]&gt;0,1,0)</f>
        <v>0</v>
      </c>
      <c r="AL522" s="439">
        <f>IF(NFI_Expiration=1,IF($A522&lt;VLOOKUP(V$5,NFI,5,0),1,0)*Table_NFI[[#This Row],[Jerry Can]],Table_NFI[Jerry Can])</f>
        <v>0</v>
      </c>
      <c r="AM522" s="781" t="str">
        <f>IFERROR(VLOOKUP(Table_NFI[[#This Row],[Camp Name]],CL,2,0),"")</f>
        <v>MMR001CMP218</v>
      </c>
      <c r="AN522" s="782">
        <f ca="1">IF(Table_NFI[[#This Row],[Pcode]]="","",IF(OFFSET(CampList[Opening Date],MATCH(Table_NFI[[#This Row],[Pcode]],CampList[CP_Pcode],0)-1,0,1,1)&gt;=NFI_Monitor_Date,1,0))</f>
        <v>0</v>
      </c>
      <c r="AO522" s="781" t="str">
        <f>IFERROR(VLOOKUP(Table_NFI[[#This Row],[Camp Name]],CL,3,0),"")</f>
        <v>Open</v>
      </c>
      <c r="AP522" s="436" t="str">
        <f ca="1">IF(Table_NFI[[#This Row],[Pcode]]="","",OFFSET(CampList[Priority],MATCH(Table_NFI[[#This Row],[Pcode]],CampList[CP_Pcode],0)-1,0,1,1))</f>
        <v>P4</v>
      </c>
      <c r="AQ522" s="438">
        <f>IFERROR(Table_NFI[[#This Row],[Kitchen Set]]/VLOOKUP(Table_NFI[[#This Row],[Camp Name]],CL,4,0),"")</f>
        <v>5.1075268817204304E-2</v>
      </c>
      <c r="AR522" s="779"/>
      <c r="AS522" s="783"/>
    </row>
    <row r="523" spans="1:45" s="784" customFormat="1" x14ac:dyDescent="0.25">
      <c r="A523" s="455">
        <f t="shared" si="8"/>
        <v>28.533333333333335</v>
      </c>
      <c r="B523" s="778">
        <v>41453</v>
      </c>
      <c r="C523" s="779" t="s">
        <v>454</v>
      </c>
      <c r="D523" s="779"/>
      <c r="E523" s="779" t="s">
        <v>380</v>
      </c>
      <c r="F523" s="779" t="s">
        <v>151</v>
      </c>
      <c r="G523" s="779" t="s">
        <v>891</v>
      </c>
      <c r="H523" s="436"/>
      <c r="I523" s="436"/>
      <c r="J523" s="436"/>
      <c r="K523" s="436">
        <v>10</v>
      </c>
      <c r="L523" s="437">
        <v>3</v>
      </c>
      <c r="M523" s="437">
        <v>10</v>
      </c>
      <c r="N523" s="437">
        <v>3</v>
      </c>
      <c r="O523" s="437"/>
      <c r="P523" s="439">
        <v>3</v>
      </c>
      <c r="Q523" s="439">
        <v>10</v>
      </c>
      <c r="R523" s="436"/>
      <c r="S523" s="436"/>
      <c r="T523" s="436"/>
      <c r="U523" s="436"/>
      <c r="V523" s="436"/>
      <c r="W523" s="436">
        <f>IF(NFI_Expiration=1,IF($A523&lt;VLOOKUP(H$5,NFI,5,0),1,0)*Table_NFI[[#This Row],[Hygiene Kit]],Table_NFI[Hygiene Kit])</f>
        <v>0</v>
      </c>
      <c r="X523" s="436">
        <f>IF(NFI_Expiration=1,IF($A523&lt;VLOOKUP(I$5,NFI,5,0),1,0)*Table_NFI[[#This Row],[NFI Core Kit]],Table_NFI[NFI Core Kit])</f>
        <v>0</v>
      </c>
      <c r="Y523" s="436">
        <f>IF(NFI_Expiration=1,IF($A523&lt;VLOOKUP(J$5,NFI,5,0),1,0)*Table_NFI[[#This Row],[Sanitary Kit]],Table_NFI[Sanitary Kit])</f>
        <v>0</v>
      </c>
      <c r="Z523" s="436">
        <f>IF(NFI_Expiration=1,IF($A523&lt;VLOOKUP(K$5,NFI,5,0),1,0)*Table_NFI[[#This Row],[Mosquito net]],Table_NFI[Mosquito net])</f>
        <v>0</v>
      </c>
      <c r="AA523" s="436">
        <f>IF(NFI_Expiration=1,IF($A523&lt;VLOOKUP(L$5,NFI,5,0),1,0)*Table_NFI[[#This Row],[Tarpaulin]],Table_NFI[[#This Row],[Tarpaulin]])</f>
        <v>0</v>
      </c>
      <c r="AB523" s="436">
        <f>IF(NFI_Expiration=1,IF($A523&lt;VLOOKUP(M$5,NFI,5,0),1,0)*Table_NFI[[#This Row],[Blanket]],Table_NFI[[#This Row],[Blanket]])</f>
        <v>0</v>
      </c>
      <c r="AC523" s="436">
        <f>IF(NFI_Expiration=1,IF($A523&lt;VLOOKUP(N$5,NFI,5,0),1,0)*Table_NFI[[#This Row],[Kitchen Set]],Table_NFI[Kitchen Set])</f>
        <v>0</v>
      </c>
      <c r="AD523" s="436">
        <f>IF(NFI_Expiration=1,IF($A523&lt;VLOOKUP(O$5,NFI,5,0),1,0)*Table_NFI[[#This Row],[Clothes Kit]],Table_NFI[Clothes Kit])</f>
        <v>0</v>
      </c>
      <c r="AE523" s="436">
        <f>IF(NFI_Expiration=1,IF($A523&lt;VLOOKUP(P$5,NFI,5,0),1,0)*Table_NFI[[#This Row],[Plastic Bucket]],Table_NFI[Plastic Bucket])</f>
        <v>0</v>
      </c>
      <c r="AF523" s="436">
        <f>IF(NFI_Expiration=1,IF($A523&lt;VLOOKUP(Q$5,NFI,5,0),1,0)*Table_NFI[[#This Row],[Plastic Mat]],Table_NFI[Plastic Mat])*IF(Table_NFI[[#This Row],[Distribution Date]]&gt;"2014-04-01",1,2.5)</f>
        <v>0</v>
      </c>
      <c r="AG523" s="436">
        <f>IF(NFI_Expiration=1,IF($A523&lt;VLOOKUP(R$5,NFI,5,0),1,0)*Table_NFI[[#This Row],[Winter Clothes Adult]],Table_NFI[Winter Clothes Adult])</f>
        <v>0</v>
      </c>
      <c r="AH523" s="436">
        <f>IF(NFI_Expiration=1,IF($A523&lt;VLOOKUP(S$5,NFI,5,0),1,0)*Table_NFI[[#This Row],[Winter Clothes Children]],Table_NFI[Winter Clothes Children])</f>
        <v>0</v>
      </c>
      <c r="AI523" s="436">
        <f>IF(NFI_Expiration=1,IF($A523&lt;VLOOKUP(T$5,NFI,5,0),1,0)*Table_NFI[[#This Row],[Winter Items Other]],Table_NFI[Winter Items Other])</f>
        <v>0</v>
      </c>
      <c r="AJ523" s="436">
        <f>IF(NFI_Expiration=1,IF($A523&lt;VLOOKUP(M$5,NFI,5,0),1,0)*Table_NFI[[#This Row],[Winter Blanket]],Table_NFI[[#This Row],[Winter Blanket]])</f>
        <v>0</v>
      </c>
      <c r="AK523" s="436">
        <f>IF(Table_NFI[[#This Row],[Winter Clothes Adult]]+Table_NFI[[#This Row],[Winter Clothes Children]]+Table_NFI[[#This Row],[Winter Items Other]]+Table_NFI[[#This Row],[Winter Blanket]]&gt;0,1,0)</f>
        <v>0</v>
      </c>
      <c r="AL523" s="439">
        <f>IF(NFI_Expiration=1,IF($A523&lt;VLOOKUP(V$5,NFI,5,0),1,0)*Table_NFI[[#This Row],[Jerry Can]],Table_NFI[Jerry Can])</f>
        <v>0</v>
      </c>
      <c r="AM523" s="781" t="str">
        <f>IFERROR(VLOOKUP(Table_NFI[[#This Row],[Camp Name]],CL,2,0),"")</f>
        <v>MMR001CMP218</v>
      </c>
      <c r="AN523" s="782">
        <f ca="1">IF(Table_NFI[[#This Row],[Pcode]]="","",IF(OFFSET(CampList[Opening Date],MATCH(Table_NFI[[#This Row],[Pcode]],CampList[CP_Pcode],0)-1,0,1,1)&gt;=NFI_Monitor_Date,1,0))</f>
        <v>0</v>
      </c>
      <c r="AO523" s="781" t="str">
        <f>IFERROR(VLOOKUP(Table_NFI[[#This Row],[Camp Name]],CL,3,0),"")</f>
        <v>Open</v>
      </c>
      <c r="AP523" s="436" t="str">
        <f ca="1">IF(Table_NFI[[#This Row],[Pcode]]="","",OFFSET(CampList[Priority],MATCH(Table_NFI[[#This Row],[Pcode]],CampList[CP_Pcode],0)-1,0,1,1))</f>
        <v>P4</v>
      </c>
      <c r="AQ523" s="438">
        <f>IFERROR(Table_NFI[[#This Row],[Kitchen Set]]/VLOOKUP(Table_NFI[[#This Row],[Camp Name]],CL,4,0),"")</f>
        <v>8.0645161290322578E-3</v>
      </c>
      <c r="AR523" s="779"/>
      <c r="AS523" s="783"/>
    </row>
    <row r="524" spans="1:45" s="784" customFormat="1" x14ac:dyDescent="0.25">
      <c r="A524" s="455">
        <f t="shared" si="8"/>
        <v>28.566666666666666</v>
      </c>
      <c r="B524" s="778">
        <v>41452</v>
      </c>
      <c r="C524" s="779" t="s">
        <v>454</v>
      </c>
      <c r="D524" s="779"/>
      <c r="E524" s="779" t="s">
        <v>380</v>
      </c>
      <c r="F524" s="779" t="s">
        <v>151</v>
      </c>
      <c r="G524" s="779" t="s">
        <v>891</v>
      </c>
      <c r="H524" s="436"/>
      <c r="I524" s="436"/>
      <c r="J524" s="436"/>
      <c r="K524" s="436">
        <v>54</v>
      </c>
      <c r="L524" s="437">
        <v>18</v>
      </c>
      <c r="M524" s="437">
        <v>45</v>
      </c>
      <c r="N524" s="437">
        <v>18</v>
      </c>
      <c r="O524" s="437"/>
      <c r="P524" s="439">
        <v>18</v>
      </c>
      <c r="Q524" s="439">
        <v>50</v>
      </c>
      <c r="R524" s="436"/>
      <c r="S524" s="436"/>
      <c r="T524" s="436"/>
      <c r="U524" s="436"/>
      <c r="V524" s="436"/>
      <c r="W524" s="436">
        <f>IF(NFI_Expiration=1,IF($A524&lt;VLOOKUP(H$5,NFI,5,0),1,0)*Table_NFI[[#This Row],[Hygiene Kit]],Table_NFI[Hygiene Kit])</f>
        <v>0</v>
      </c>
      <c r="X524" s="436">
        <f>IF(NFI_Expiration=1,IF($A524&lt;VLOOKUP(I$5,NFI,5,0),1,0)*Table_NFI[[#This Row],[NFI Core Kit]],Table_NFI[NFI Core Kit])</f>
        <v>0</v>
      </c>
      <c r="Y524" s="436">
        <f>IF(NFI_Expiration=1,IF($A524&lt;VLOOKUP(J$5,NFI,5,0),1,0)*Table_NFI[[#This Row],[Sanitary Kit]],Table_NFI[Sanitary Kit])</f>
        <v>0</v>
      </c>
      <c r="Z524" s="436">
        <f>IF(NFI_Expiration=1,IF($A524&lt;VLOOKUP(K$5,NFI,5,0),1,0)*Table_NFI[[#This Row],[Mosquito net]],Table_NFI[Mosquito net])</f>
        <v>0</v>
      </c>
      <c r="AA524" s="436">
        <f>IF(NFI_Expiration=1,IF($A524&lt;VLOOKUP(L$5,NFI,5,0),1,0)*Table_NFI[[#This Row],[Tarpaulin]],Table_NFI[[#This Row],[Tarpaulin]])</f>
        <v>0</v>
      </c>
      <c r="AB524" s="436">
        <f>IF(NFI_Expiration=1,IF($A524&lt;VLOOKUP(M$5,NFI,5,0),1,0)*Table_NFI[[#This Row],[Blanket]],Table_NFI[[#This Row],[Blanket]])</f>
        <v>0</v>
      </c>
      <c r="AC524" s="436">
        <f>IF(NFI_Expiration=1,IF($A524&lt;VLOOKUP(N$5,NFI,5,0),1,0)*Table_NFI[[#This Row],[Kitchen Set]],Table_NFI[Kitchen Set])</f>
        <v>0</v>
      </c>
      <c r="AD524" s="436">
        <f>IF(NFI_Expiration=1,IF($A524&lt;VLOOKUP(O$5,NFI,5,0),1,0)*Table_NFI[[#This Row],[Clothes Kit]],Table_NFI[Clothes Kit])</f>
        <v>0</v>
      </c>
      <c r="AE524" s="436">
        <f>IF(NFI_Expiration=1,IF($A524&lt;VLOOKUP(P$5,NFI,5,0),1,0)*Table_NFI[[#This Row],[Plastic Bucket]],Table_NFI[Plastic Bucket])</f>
        <v>0</v>
      </c>
      <c r="AF524" s="436">
        <f>IF(NFI_Expiration=1,IF($A524&lt;VLOOKUP(Q$5,NFI,5,0),1,0)*Table_NFI[[#This Row],[Plastic Mat]],Table_NFI[Plastic Mat])*IF(Table_NFI[[#This Row],[Distribution Date]]&gt;"2014-04-01",1,2.5)</f>
        <v>0</v>
      </c>
      <c r="AG524" s="436">
        <f>IF(NFI_Expiration=1,IF($A524&lt;VLOOKUP(R$5,NFI,5,0),1,0)*Table_NFI[[#This Row],[Winter Clothes Adult]],Table_NFI[Winter Clothes Adult])</f>
        <v>0</v>
      </c>
      <c r="AH524" s="436">
        <f>IF(NFI_Expiration=1,IF($A524&lt;VLOOKUP(S$5,NFI,5,0),1,0)*Table_NFI[[#This Row],[Winter Clothes Children]],Table_NFI[Winter Clothes Children])</f>
        <v>0</v>
      </c>
      <c r="AI524" s="436">
        <f>IF(NFI_Expiration=1,IF($A524&lt;VLOOKUP(T$5,NFI,5,0),1,0)*Table_NFI[[#This Row],[Winter Items Other]],Table_NFI[Winter Items Other])</f>
        <v>0</v>
      </c>
      <c r="AJ524" s="436">
        <f>IF(NFI_Expiration=1,IF($A524&lt;VLOOKUP(M$5,NFI,5,0),1,0)*Table_NFI[[#This Row],[Winter Blanket]],Table_NFI[[#This Row],[Winter Blanket]])</f>
        <v>0</v>
      </c>
      <c r="AK524" s="436">
        <f>IF(Table_NFI[[#This Row],[Winter Clothes Adult]]+Table_NFI[[#This Row],[Winter Clothes Children]]+Table_NFI[[#This Row],[Winter Items Other]]+Table_NFI[[#This Row],[Winter Blanket]]&gt;0,1,0)</f>
        <v>0</v>
      </c>
      <c r="AL524" s="439">
        <f>IF(NFI_Expiration=1,IF($A524&lt;VLOOKUP(V$5,NFI,5,0),1,0)*Table_NFI[[#This Row],[Jerry Can]],Table_NFI[Jerry Can])</f>
        <v>0</v>
      </c>
      <c r="AM524" s="781" t="str">
        <f>IFERROR(VLOOKUP(Table_NFI[[#This Row],[Camp Name]],CL,2,0),"")</f>
        <v>MMR001CMP218</v>
      </c>
      <c r="AN524" s="782">
        <f ca="1">IF(Table_NFI[[#This Row],[Pcode]]="","",IF(OFFSET(CampList[Opening Date],MATCH(Table_NFI[[#This Row],[Pcode]],CampList[CP_Pcode],0)-1,0,1,1)&gt;=NFI_Monitor_Date,1,0))</f>
        <v>0</v>
      </c>
      <c r="AO524" s="781" t="str">
        <f>IFERROR(VLOOKUP(Table_NFI[[#This Row],[Camp Name]],CL,3,0),"")</f>
        <v>Open</v>
      </c>
      <c r="AP524" s="436" t="str">
        <f ca="1">IF(Table_NFI[[#This Row],[Pcode]]="","",OFFSET(CampList[Priority],MATCH(Table_NFI[[#This Row],[Pcode]],CampList[CP_Pcode],0)-1,0,1,1))</f>
        <v>P4</v>
      </c>
      <c r="AQ524" s="438">
        <f>IFERROR(Table_NFI[[#This Row],[Kitchen Set]]/VLOOKUP(Table_NFI[[#This Row],[Camp Name]],CL,4,0),"")</f>
        <v>4.8387096774193547E-2</v>
      </c>
      <c r="AR524" s="779"/>
      <c r="AS524" s="783"/>
    </row>
    <row r="525" spans="1:45" s="784" customFormat="1" x14ac:dyDescent="0.25">
      <c r="A525" s="455">
        <f t="shared" si="8"/>
        <v>29</v>
      </c>
      <c r="B525" s="778">
        <v>41439</v>
      </c>
      <c r="C525" s="779" t="s">
        <v>454</v>
      </c>
      <c r="D525" s="780" t="s">
        <v>454</v>
      </c>
      <c r="E525" s="779" t="s">
        <v>380</v>
      </c>
      <c r="F525" s="435" t="s">
        <v>185</v>
      </c>
      <c r="G525" s="435" t="s">
        <v>219</v>
      </c>
      <c r="H525" s="436"/>
      <c r="I525" s="436"/>
      <c r="J525" s="436">
        <v>42</v>
      </c>
      <c r="K525" s="436">
        <v>42</v>
      </c>
      <c r="L525" s="437">
        <v>21</v>
      </c>
      <c r="M525" s="437">
        <v>42</v>
      </c>
      <c r="N525" s="437">
        <v>21</v>
      </c>
      <c r="O525" s="437">
        <v>21</v>
      </c>
      <c r="P525" s="437">
        <v>21</v>
      </c>
      <c r="Q525" s="437">
        <v>21</v>
      </c>
      <c r="R525" s="436"/>
      <c r="S525" s="436"/>
      <c r="T525" s="436"/>
      <c r="U525" s="436"/>
      <c r="V525" s="436"/>
      <c r="W525" s="436">
        <f>IF(NFI_Expiration=1,IF($A525&lt;VLOOKUP(H$5,NFI,5,0),1,0)*Table_NFI[[#This Row],[Hygiene Kit]],Table_NFI[Hygiene Kit])</f>
        <v>0</v>
      </c>
      <c r="X525" s="436">
        <f>IF(NFI_Expiration=1,IF($A525&lt;VLOOKUP(I$5,NFI,5,0),1,0)*Table_NFI[[#This Row],[NFI Core Kit]],Table_NFI[NFI Core Kit])</f>
        <v>0</v>
      </c>
      <c r="Y525" s="436">
        <f>IF(NFI_Expiration=1,IF($A525&lt;VLOOKUP(J$5,NFI,5,0),1,0)*Table_NFI[[#This Row],[Sanitary Kit]],Table_NFI[Sanitary Kit])</f>
        <v>0</v>
      </c>
      <c r="Z525" s="436">
        <f>IF(NFI_Expiration=1,IF($A525&lt;VLOOKUP(K$5,NFI,5,0),1,0)*Table_NFI[[#This Row],[Mosquito net]],Table_NFI[Mosquito net])</f>
        <v>0</v>
      </c>
      <c r="AA525" s="436">
        <f>IF(NFI_Expiration=1,IF($A525&lt;VLOOKUP(L$5,NFI,5,0),1,0)*Table_NFI[[#This Row],[Tarpaulin]],Table_NFI[[#This Row],[Tarpaulin]])</f>
        <v>0</v>
      </c>
      <c r="AB525" s="436">
        <f>IF(NFI_Expiration=1,IF($A525&lt;VLOOKUP(M$5,NFI,5,0),1,0)*Table_NFI[[#This Row],[Blanket]],Table_NFI[[#This Row],[Blanket]])</f>
        <v>0</v>
      </c>
      <c r="AC525" s="436">
        <f>IF(NFI_Expiration=1,IF($A525&lt;VLOOKUP(N$5,NFI,5,0),1,0)*Table_NFI[[#This Row],[Kitchen Set]],Table_NFI[Kitchen Set])</f>
        <v>0</v>
      </c>
      <c r="AD525" s="436">
        <f>IF(NFI_Expiration=1,IF($A525&lt;VLOOKUP(O$5,NFI,5,0),1,0)*Table_NFI[[#This Row],[Clothes Kit]],Table_NFI[Clothes Kit])</f>
        <v>0</v>
      </c>
      <c r="AE525" s="436">
        <f>IF(NFI_Expiration=1,IF($A525&lt;VLOOKUP(P$5,NFI,5,0),1,0)*Table_NFI[[#This Row],[Plastic Bucket]],Table_NFI[Plastic Bucket])</f>
        <v>0</v>
      </c>
      <c r="AF525" s="436">
        <f>IF(NFI_Expiration=1,IF($A525&lt;VLOOKUP(Q$5,NFI,5,0),1,0)*Table_NFI[[#This Row],[Plastic Mat]],Table_NFI[Plastic Mat])*IF(Table_NFI[[#This Row],[Distribution Date]]&gt;"2014-04-01",1,2.5)</f>
        <v>0</v>
      </c>
      <c r="AG525" s="436">
        <f>IF(NFI_Expiration=1,IF($A525&lt;VLOOKUP(R$5,NFI,5,0),1,0)*Table_NFI[[#This Row],[Winter Clothes Adult]],Table_NFI[Winter Clothes Adult])</f>
        <v>0</v>
      </c>
      <c r="AH525" s="436">
        <f>IF(NFI_Expiration=1,IF($A525&lt;VLOOKUP(S$5,NFI,5,0),1,0)*Table_NFI[[#This Row],[Winter Clothes Children]],Table_NFI[Winter Clothes Children])</f>
        <v>0</v>
      </c>
      <c r="AI525" s="436">
        <f>IF(NFI_Expiration=1,IF($A525&lt;VLOOKUP(T$5,NFI,5,0),1,0)*Table_NFI[[#This Row],[Winter Items Other]],Table_NFI[Winter Items Other])</f>
        <v>0</v>
      </c>
      <c r="AJ525" s="436">
        <f>IF(NFI_Expiration=1,IF($A525&lt;VLOOKUP(M$5,NFI,5,0),1,0)*Table_NFI[[#This Row],[Winter Blanket]],Table_NFI[[#This Row],[Winter Blanket]])</f>
        <v>0</v>
      </c>
      <c r="AK525" s="436">
        <f>IF(Table_NFI[[#This Row],[Winter Clothes Adult]]+Table_NFI[[#This Row],[Winter Clothes Children]]+Table_NFI[[#This Row],[Winter Items Other]]+Table_NFI[[#This Row],[Winter Blanket]]&gt;0,1,0)</f>
        <v>0</v>
      </c>
      <c r="AL525" s="439">
        <f>IF(NFI_Expiration=1,IF($A525&lt;VLOOKUP(V$5,NFI,5,0),1,0)*Table_NFI[[#This Row],[Jerry Can]],Table_NFI[Jerry Can])</f>
        <v>0</v>
      </c>
      <c r="AM525" s="781" t="str">
        <f>IFERROR(VLOOKUP(Table_NFI[[#This Row],[Camp Name]],CL,2,0),"")</f>
        <v>MMR001CMP126</v>
      </c>
      <c r="AN525" s="782">
        <f ca="1">IF(Table_NFI[[#This Row],[Pcode]]="","",IF(OFFSET(CampList[Opening Date],MATCH(Table_NFI[[#This Row],[Pcode]],CampList[CP_Pcode],0)-1,0,1,1)&gt;=NFI_Monitor_Date,1,0))</f>
        <v>0</v>
      </c>
      <c r="AO525" s="781" t="str">
        <f>IFERROR(VLOOKUP(Table_NFI[[#This Row],[Camp Name]],CL,3,0),"")</f>
        <v>Open</v>
      </c>
      <c r="AP525" s="436" t="str">
        <f ca="1">IF(Table_NFI[[#This Row],[Pcode]]="","",OFFSET(CampList[Priority],MATCH(Table_NFI[[#This Row],[Pcode]],CampList[CP_Pcode],0)-1,0,1,1))</f>
        <v>P2</v>
      </c>
      <c r="AQ525" s="438">
        <f>IFERROR(Table_NFI[[#This Row],[Kitchen Set]]/VLOOKUP(Table_NFI[[#This Row],[Camp Name]],CL,4,0),"")</f>
        <v>2.5000000000000001E-2</v>
      </c>
      <c r="AR525" s="779" t="s">
        <v>1099</v>
      </c>
      <c r="AS525" s="783"/>
    </row>
    <row r="526" spans="1:45" s="784" customFormat="1" x14ac:dyDescent="0.25">
      <c r="A526" s="455">
        <f t="shared" si="8"/>
        <v>29.033333333333335</v>
      </c>
      <c r="B526" s="778">
        <v>41438</v>
      </c>
      <c r="C526" s="779" t="s">
        <v>454</v>
      </c>
      <c r="D526" s="780" t="s">
        <v>454</v>
      </c>
      <c r="E526" s="779" t="s">
        <v>380</v>
      </c>
      <c r="F526" s="435" t="s">
        <v>185</v>
      </c>
      <c r="G526" s="435" t="s">
        <v>186</v>
      </c>
      <c r="H526" s="436"/>
      <c r="I526" s="436"/>
      <c r="J526" s="436">
        <v>152</v>
      </c>
      <c r="K526" s="436">
        <v>11</v>
      </c>
      <c r="L526" s="437">
        <v>4</v>
      </c>
      <c r="M526" s="437">
        <v>11</v>
      </c>
      <c r="N526" s="437">
        <v>4</v>
      </c>
      <c r="O526" s="437">
        <v>4</v>
      </c>
      <c r="P526" s="437">
        <v>4</v>
      </c>
      <c r="Q526" s="437">
        <v>4</v>
      </c>
      <c r="R526" s="436"/>
      <c r="S526" s="436"/>
      <c r="T526" s="436"/>
      <c r="U526" s="436"/>
      <c r="V526" s="436"/>
      <c r="W526" s="436">
        <f>IF(NFI_Expiration=1,IF($A526&lt;VLOOKUP(H$5,NFI,5,0),1,0)*Table_NFI[[#This Row],[Hygiene Kit]],Table_NFI[Hygiene Kit])</f>
        <v>0</v>
      </c>
      <c r="X526" s="436">
        <f>IF(NFI_Expiration=1,IF($A526&lt;VLOOKUP(I$5,NFI,5,0),1,0)*Table_NFI[[#This Row],[NFI Core Kit]],Table_NFI[NFI Core Kit])</f>
        <v>0</v>
      </c>
      <c r="Y526" s="436">
        <f>IF(NFI_Expiration=1,IF($A526&lt;VLOOKUP(J$5,NFI,5,0),1,0)*Table_NFI[[#This Row],[Sanitary Kit]],Table_NFI[Sanitary Kit])</f>
        <v>0</v>
      </c>
      <c r="Z526" s="436">
        <f>IF(NFI_Expiration=1,IF($A526&lt;VLOOKUP(K$5,NFI,5,0),1,0)*Table_NFI[[#This Row],[Mosquito net]],Table_NFI[Mosquito net])</f>
        <v>0</v>
      </c>
      <c r="AA526" s="436">
        <f>IF(NFI_Expiration=1,IF($A526&lt;VLOOKUP(L$5,NFI,5,0),1,0)*Table_NFI[[#This Row],[Tarpaulin]],Table_NFI[[#This Row],[Tarpaulin]])</f>
        <v>0</v>
      </c>
      <c r="AB526" s="436">
        <f>IF(NFI_Expiration=1,IF($A526&lt;VLOOKUP(M$5,NFI,5,0),1,0)*Table_NFI[[#This Row],[Blanket]],Table_NFI[[#This Row],[Blanket]])</f>
        <v>0</v>
      </c>
      <c r="AC526" s="436">
        <f>IF(NFI_Expiration=1,IF($A526&lt;VLOOKUP(N$5,NFI,5,0),1,0)*Table_NFI[[#This Row],[Kitchen Set]],Table_NFI[Kitchen Set])</f>
        <v>0</v>
      </c>
      <c r="AD526" s="436">
        <f>IF(NFI_Expiration=1,IF($A526&lt;VLOOKUP(O$5,NFI,5,0),1,0)*Table_NFI[[#This Row],[Clothes Kit]],Table_NFI[Clothes Kit])</f>
        <v>0</v>
      </c>
      <c r="AE526" s="436">
        <f>IF(NFI_Expiration=1,IF($A526&lt;VLOOKUP(P$5,NFI,5,0),1,0)*Table_NFI[[#This Row],[Plastic Bucket]],Table_NFI[Plastic Bucket])</f>
        <v>0</v>
      </c>
      <c r="AF526" s="436">
        <f>IF(NFI_Expiration=1,IF($A526&lt;VLOOKUP(Q$5,NFI,5,0),1,0)*Table_NFI[[#This Row],[Plastic Mat]],Table_NFI[Plastic Mat])*IF(Table_NFI[[#This Row],[Distribution Date]]&gt;"2014-04-01",1,2.5)</f>
        <v>0</v>
      </c>
      <c r="AG526" s="436">
        <f>IF(NFI_Expiration=1,IF($A526&lt;VLOOKUP(R$5,NFI,5,0),1,0)*Table_NFI[[#This Row],[Winter Clothes Adult]],Table_NFI[Winter Clothes Adult])</f>
        <v>0</v>
      </c>
      <c r="AH526" s="436">
        <f>IF(NFI_Expiration=1,IF($A526&lt;VLOOKUP(S$5,NFI,5,0),1,0)*Table_NFI[[#This Row],[Winter Clothes Children]],Table_NFI[Winter Clothes Children])</f>
        <v>0</v>
      </c>
      <c r="AI526" s="436">
        <f>IF(NFI_Expiration=1,IF($A526&lt;VLOOKUP(T$5,NFI,5,0),1,0)*Table_NFI[[#This Row],[Winter Items Other]],Table_NFI[Winter Items Other])</f>
        <v>0</v>
      </c>
      <c r="AJ526" s="436">
        <f>IF(NFI_Expiration=1,IF($A526&lt;VLOOKUP(M$5,NFI,5,0),1,0)*Table_NFI[[#This Row],[Winter Blanket]],Table_NFI[[#This Row],[Winter Blanket]])</f>
        <v>0</v>
      </c>
      <c r="AK526" s="436">
        <f>IF(Table_NFI[[#This Row],[Winter Clothes Adult]]+Table_NFI[[#This Row],[Winter Clothes Children]]+Table_NFI[[#This Row],[Winter Items Other]]+Table_NFI[[#This Row],[Winter Blanket]]&gt;0,1,0)</f>
        <v>0</v>
      </c>
      <c r="AL526" s="439">
        <f>IF(NFI_Expiration=1,IF($A526&lt;VLOOKUP(V$5,NFI,5,0),1,0)*Table_NFI[[#This Row],[Jerry Can]],Table_NFI[Jerry Can])</f>
        <v>0</v>
      </c>
      <c r="AM526" s="781" t="str">
        <f>IFERROR(VLOOKUP(Table_NFI[[#This Row],[Camp Name]],CL,2,0),"")</f>
        <v>MMR001CMP071</v>
      </c>
      <c r="AN526" s="782">
        <f ca="1">IF(Table_NFI[[#This Row],[Pcode]]="","",IF(OFFSET(CampList[Opening Date],MATCH(Table_NFI[[#This Row],[Pcode]],CampList[CP_Pcode],0)-1,0,1,1)&gt;=NFI_Monitor_Date,1,0))</f>
        <v>0</v>
      </c>
      <c r="AO526" s="781" t="str">
        <f>IFERROR(VLOOKUP(Table_NFI[[#This Row],[Camp Name]],CL,3,0),"")</f>
        <v>Open</v>
      </c>
      <c r="AP526" s="436" t="str">
        <f ca="1">IF(Table_NFI[[#This Row],[Pcode]]="","",OFFSET(CampList[Priority],MATCH(Table_NFI[[#This Row],[Pcode]],CampList[CP_Pcode],0)-1,0,1,1))</f>
        <v>P3</v>
      </c>
      <c r="AQ526" s="438">
        <f>IFERROR(Table_NFI[[#This Row],[Kitchen Set]]/VLOOKUP(Table_NFI[[#This Row],[Camp Name]],CL,4,0),"")</f>
        <v>0.13793103448275862</v>
      </c>
      <c r="AR526" s="779" t="s">
        <v>1099</v>
      </c>
      <c r="AS526" s="783"/>
    </row>
    <row r="527" spans="1:45" s="784" customFormat="1" x14ac:dyDescent="0.25">
      <c r="A527" s="455">
        <f t="shared" si="8"/>
        <v>29.033333333333335</v>
      </c>
      <c r="B527" s="778">
        <v>41438</v>
      </c>
      <c r="C527" s="779" t="s">
        <v>454</v>
      </c>
      <c r="D527" s="780" t="s">
        <v>454</v>
      </c>
      <c r="E527" s="779" t="s">
        <v>380</v>
      </c>
      <c r="F527" s="435" t="s">
        <v>185</v>
      </c>
      <c r="G527" s="435" t="s">
        <v>223</v>
      </c>
      <c r="H527" s="436"/>
      <c r="I527" s="436"/>
      <c r="J527" s="436">
        <v>425</v>
      </c>
      <c r="K527" s="436">
        <v>30</v>
      </c>
      <c r="L527" s="437">
        <v>11</v>
      </c>
      <c r="M527" s="437">
        <v>30</v>
      </c>
      <c r="N527" s="437">
        <v>11</v>
      </c>
      <c r="O527" s="437">
        <v>11</v>
      </c>
      <c r="P527" s="437">
        <v>11</v>
      </c>
      <c r="Q527" s="437">
        <v>11</v>
      </c>
      <c r="R527" s="436"/>
      <c r="S527" s="436"/>
      <c r="T527" s="436"/>
      <c r="U527" s="436"/>
      <c r="V527" s="436"/>
      <c r="W527" s="436">
        <f>IF(NFI_Expiration=1,IF($A527&lt;VLOOKUP(H$5,NFI,5,0),1,0)*Table_NFI[[#This Row],[Hygiene Kit]],Table_NFI[Hygiene Kit])</f>
        <v>0</v>
      </c>
      <c r="X527" s="436">
        <f>IF(NFI_Expiration=1,IF($A527&lt;VLOOKUP(I$5,NFI,5,0),1,0)*Table_NFI[[#This Row],[NFI Core Kit]],Table_NFI[NFI Core Kit])</f>
        <v>0</v>
      </c>
      <c r="Y527" s="436">
        <f>IF(NFI_Expiration=1,IF($A527&lt;VLOOKUP(J$5,NFI,5,0),1,0)*Table_NFI[[#This Row],[Sanitary Kit]],Table_NFI[Sanitary Kit])</f>
        <v>0</v>
      </c>
      <c r="Z527" s="436">
        <f>IF(NFI_Expiration=1,IF($A527&lt;VLOOKUP(K$5,NFI,5,0),1,0)*Table_NFI[[#This Row],[Mosquito net]],Table_NFI[Mosquito net])</f>
        <v>0</v>
      </c>
      <c r="AA527" s="436">
        <f>IF(NFI_Expiration=1,IF($A527&lt;VLOOKUP(L$5,NFI,5,0),1,0)*Table_NFI[[#This Row],[Tarpaulin]],Table_NFI[[#This Row],[Tarpaulin]])</f>
        <v>0</v>
      </c>
      <c r="AB527" s="436">
        <f>IF(NFI_Expiration=1,IF($A527&lt;VLOOKUP(M$5,NFI,5,0),1,0)*Table_NFI[[#This Row],[Blanket]],Table_NFI[[#This Row],[Blanket]])</f>
        <v>0</v>
      </c>
      <c r="AC527" s="436">
        <f>IF(NFI_Expiration=1,IF($A527&lt;VLOOKUP(N$5,NFI,5,0),1,0)*Table_NFI[[#This Row],[Kitchen Set]],Table_NFI[Kitchen Set])</f>
        <v>0</v>
      </c>
      <c r="AD527" s="436">
        <f>IF(NFI_Expiration=1,IF($A527&lt;VLOOKUP(O$5,NFI,5,0),1,0)*Table_NFI[[#This Row],[Clothes Kit]],Table_NFI[Clothes Kit])</f>
        <v>0</v>
      </c>
      <c r="AE527" s="436">
        <f>IF(NFI_Expiration=1,IF($A527&lt;VLOOKUP(P$5,NFI,5,0),1,0)*Table_NFI[[#This Row],[Plastic Bucket]],Table_NFI[Plastic Bucket])</f>
        <v>0</v>
      </c>
      <c r="AF527" s="436">
        <f>IF(NFI_Expiration=1,IF($A527&lt;VLOOKUP(Q$5,NFI,5,0),1,0)*Table_NFI[[#This Row],[Plastic Mat]],Table_NFI[Plastic Mat])*IF(Table_NFI[[#This Row],[Distribution Date]]&gt;"2014-04-01",1,2.5)</f>
        <v>0</v>
      </c>
      <c r="AG527" s="436">
        <f>IF(NFI_Expiration=1,IF($A527&lt;VLOOKUP(R$5,NFI,5,0),1,0)*Table_NFI[[#This Row],[Winter Clothes Adult]],Table_NFI[Winter Clothes Adult])</f>
        <v>0</v>
      </c>
      <c r="AH527" s="436">
        <f>IF(NFI_Expiration=1,IF($A527&lt;VLOOKUP(S$5,NFI,5,0),1,0)*Table_NFI[[#This Row],[Winter Clothes Children]],Table_NFI[Winter Clothes Children])</f>
        <v>0</v>
      </c>
      <c r="AI527" s="436">
        <f>IF(NFI_Expiration=1,IF($A527&lt;VLOOKUP(T$5,NFI,5,0),1,0)*Table_NFI[[#This Row],[Winter Items Other]],Table_NFI[Winter Items Other])</f>
        <v>0</v>
      </c>
      <c r="AJ527" s="436">
        <f>IF(NFI_Expiration=1,IF($A527&lt;VLOOKUP(M$5,NFI,5,0),1,0)*Table_NFI[[#This Row],[Winter Blanket]],Table_NFI[[#This Row],[Winter Blanket]])</f>
        <v>0</v>
      </c>
      <c r="AK527" s="436">
        <f>IF(Table_NFI[[#This Row],[Winter Clothes Adult]]+Table_NFI[[#This Row],[Winter Clothes Children]]+Table_NFI[[#This Row],[Winter Items Other]]+Table_NFI[[#This Row],[Winter Blanket]]&gt;0,1,0)</f>
        <v>0</v>
      </c>
      <c r="AL527" s="439">
        <f>IF(NFI_Expiration=1,IF($A527&lt;VLOOKUP(V$5,NFI,5,0),1,0)*Table_NFI[[#This Row],[Jerry Can]],Table_NFI[Jerry Can])</f>
        <v>0</v>
      </c>
      <c r="AM527" s="781" t="str">
        <f>IFERROR(VLOOKUP(Table_NFI[[#This Row],[Camp Name]],CL,2,0),"")</f>
        <v>MMR001CMP069</v>
      </c>
      <c r="AN527" s="782">
        <f ca="1">IF(Table_NFI[[#This Row],[Pcode]]="","",IF(OFFSET(CampList[Opening Date],MATCH(Table_NFI[[#This Row],[Pcode]],CampList[CP_Pcode],0)-1,0,1,1)&gt;=NFI_Monitor_Date,1,0))</f>
        <v>0</v>
      </c>
      <c r="AO527" s="781" t="str">
        <f>IFERROR(VLOOKUP(Table_NFI[[#This Row],[Camp Name]],CL,3,0),"")</f>
        <v>Open</v>
      </c>
      <c r="AP527" s="436" t="str">
        <f ca="1">IF(Table_NFI[[#This Row],[Pcode]]="","",OFFSET(CampList[Priority],MATCH(Table_NFI[[#This Row],[Pcode]],CampList[CP_Pcode],0)-1,0,1,1))</f>
        <v>P3</v>
      </c>
      <c r="AQ527" s="438">
        <f>IFERROR(Table_NFI[[#This Row],[Kitchen Set]]/VLOOKUP(Table_NFI[[#This Row],[Camp Name]],CL,4,0),"")</f>
        <v>0.15714285714285714</v>
      </c>
      <c r="AR527" s="779" t="s">
        <v>1099</v>
      </c>
      <c r="AS527" s="783"/>
    </row>
    <row r="528" spans="1:45" s="784" customFormat="1" x14ac:dyDescent="0.25">
      <c r="A528" s="455">
        <f t="shared" si="8"/>
        <v>29.033333333333335</v>
      </c>
      <c r="B528" s="778">
        <v>41438</v>
      </c>
      <c r="C528" s="779" t="s">
        <v>454</v>
      </c>
      <c r="D528" s="780" t="s">
        <v>454</v>
      </c>
      <c r="E528" s="779" t="s">
        <v>380</v>
      </c>
      <c r="F528" s="435" t="s">
        <v>185</v>
      </c>
      <c r="G528" s="435" t="s">
        <v>190</v>
      </c>
      <c r="H528" s="436"/>
      <c r="I528" s="436"/>
      <c r="J528" s="436">
        <v>941</v>
      </c>
      <c r="K528" s="436">
        <v>67</v>
      </c>
      <c r="L528" s="437">
        <v>24</v>
      </c>
      <c r="M528" s="437">
        <v>67</v>
      </c>
      <c r="N528" s="437">
        <v>24</v>
      </c>
      <c r="O528" s="437">
        <v>24</v>
      </c>
      <c r="P528" s="437">
        <v>24</v>
      </c>
      <c r="Q528" s="437">
        <v>24</v>
      </c>
      <c r="R528" s="436"/>
      <c r="S528" s="436"/>
      <c r="T528" s="436"/>
      <c r="U528" s="436"/>
      <c r="V528" s="436"/>
      <c r="W528" s="436">
        <f>IF(NFI_Expiration=1,IF($A528&lt;VLOOKUP(H$5,NFI,5,0),1,0)*Table_NFI[[#This Row],[Hygiene Kit]],Table_NFI[Hygiene Kit])</f>
        <v>0</v>
      </c>
      <c r="X528" s="436">
        <f>IF(NFI_Expiration=1,IF($A528&lt;VLOOKUP(I$5,NFI,5,0),1,0)*Table_NFI[[#This Row],[NFI Core Kit]],Table_NFI[NFI Core Kit])</f>
        <v>0</v>
      </c>
      <c r="Y528" s="436">
        <f>IF(NFI_Expiration=1,IF($A528&lt;VLOOKUP(J$5,NFI,5,0),1,0)*Table_NFI[[#This Row],[Sanitary Kit]],Table_NFI[Sanitary Kit])</f>
        <v>0</v>
      </c>
      <c r="Z528" s="436">
        <f>IF(NFI_Expiration=1,IF($A528&lt;VLOOKUP(K$5,NFI,5,0),1,0)*Table_NFI[[#This Row],[Mosquito net]],Table_NFI[Mosquito net])</f>
        <v>0</v>
      </c>
      <c r="AA528" s="436">
        <f>IF(NFI_Expiration=1,IF($A528&lt;VLOOKUP(L$5,NFI,5,0),1,0)*Table_NFI[[#This Row],[Tarpaulin]],Table_NFI[[#This Row],[Tarpaulin]])</f>
        <v>0</v>
      </c>
      <c r="AB528" s="436">
        <f>IF(NFI_Expiration=1,IF($A528&lt;VLOOKUP(M$5,NFI,5,0),1,0)*Table_NFI[[#This Row],[Blanket]],Table_NFI[[#This Row],[Blanket]])</f>
        <v>0</v>
      </c>
      <c r="AC528" s="436">
        <f>IF(NFI_Expiration=1,IF($A528&lt;VLOOKUP(N$5,NFI,5,0),1,0)*Table_NFI[[#This Row],[Kitchen Set]],Table_NFI[Kitchen Set])</f>
        <v>0</v>
      </c>
      <c r="AD528" s="436">
        <f>IF(NFI_Expiration=1,IF($A528&lt;VLOOKUP(O$5,NFI,5,0),1,0)*Table_NFI[[#This Row],[Clothes Kit]],Table_NFI[Clothes Kit])</f>
        <v>0</v>
      </c>
      <c r="AE528" s="436">
        <f>IF(NFI_Expiration=1,IF($A528&lt;VLOOKUP(P$5,NFI,5,0),1,0)*Table_NFI[[#This Row],[Plastic Bucket]],Table_NFI[Plastic Bucket])</f>
        <v>0</v>
      </c>
      <c r="AF528" s="436">
        <f>IF(NFI_Expiration=1,IF($A528&lt;VLOOKUP(Q$5,NFI,5,0),1,0)*Table_NFI[[#This Row],[Plastic Mat]],Table_NFI[Plastic Mat])*IF(Table_NFI[[#This Row],[Distribution Date]]&gt;"2014-04-01",1,2.5)</f>
        <v>0</v>
      </c>
      <c r="AG528" s="436">
        <f>IF(NFI_Expiration=1,IF($A528&lt;VLOOKUP(R$5,NFI,5,0),1,0)*Table_NFI[[#This Row],[Winter Clothes Adult]],Table_NFI[Winter Clothes Adult])</f>
        <v>0</v>
      </c>
      <c r="AH528" s="436">
        <f>IF(NFI_Expiration=1,IF($A528&lt;VLOOKUP(S$5,NFI,5,0),1,0)*Table_NFI[[#This Row],[Winter Clothes Children]],Table_NFI[Winter Clothes Children])</f>
        <v>0</v>
      </c>
      <c r="AI528" s="436">
        <f>IF(NFI_Expiration=1,IF($A528&lt;VLOOKUP(T$5,NFI,5,0),1,0)*Table_NFI[[#This Row],[Winter Items Other]],Table_NFI[Winter Items Other])</f>
        <v>0</v>
      </c>
      <c r="AJ528" s="436">
        <f>IF(NFI_Expiration=1,IF($A528&lt;VLOOKUP(M$5,NFI,5,0),1,0)*Table_NFI[[#This Row],[Winter Blanket]],Table_NFI[[#This Row],[Winter Blanket]])</f>
        <v>0</v>
      </c>
      <c r="AK528" s="436">
        <f>IF(Table_NFI[[#This Row],[Winter Clothes Adult]]+Table_NFI[[#This Row],[Winter Clothes Children]]+Table_NFI[[#This Row],[Winter Items Other]]+Table_NFI[[#This Row],[Winter Blanket]]&gt;0,1,0)</f>
        <v>0</v>
      </c>
      <c r="AL528" s="439">
        <f>IF(NFI_Expiration=1,IF($A528&lt;VLOOKUP(V$5,NFI,5,0),1,0)*Table_NFI[[#This Row],[Jerry Can]],Table_NFI[Jerry Can])</f>
        <v>0</v>
      </c>
      <c r="AM528" s="781" t="str">
        <f>IFERROR(VLOOKUP(Table_NFI[[#This Row],[Camp Name]],CL,2,0),"")</f>
        <v>MMR001CMP070</v>
      </c>
      <c r="AN528" s="782">
        <f ca="1">IF(Table_NFI[[#This Row],[Pcode]]="","",IF(OFFSET(CampList[Opening Date],MATCH(Table_NFI[[#This Row],[Pcode]],CampList[CP_Pcode],0)-1,0,1,1)&gt;=NFI_Monitor_Date,1,0))</f>
        <v>0</v>
      </c>
      <c r="AO528" s="781" t="str">
        <f>IFERROR(VLOOKUP(Table_NFI[[#This Row],[Camp Name]],CL,3,0),"")</f>
        <v>Open</v>
      </c>
      <c r="AP528" s="436" t="str">
        <f ca="1">IF(Table_NFI[[#This Row],[Pcode]]="","",OFFSET(CampList[Priority],MATCH(Table_NFI[[#This Row],[Pcode]],CampList[CP_Pcode],0)-1,0,1,1))</f>
        <v>P3</v>
      </c>
      <c r="AQ528" s="438">
        <f>IFERROR(Table_NFI[[#This Row],[Kitchen Set]]/VLOOKUP(Table_NFI[[#This Row],[Camp Name]],CL,4,0),"")</f>
        <v>0.1276595744680851</v>
      </c>
      <c r="AR528" s="779" t="s">
        <v>1099</v>
      </c>
      <c r="AS528" s="783"/>
    </row>
    <row r="529" spans="1:45" s="784" customFormat="1" x14ac:dyDescent="0.25">
      <c r="A529" s="455">
        <f t="shared" si="8"/>
        <v>29.766666666666666</v>
      </c>
      <c r="B529" s="778">
        <v>41416</v>
      </c>
      <c r="C529" s="779" t="s">
        <v>908</v>
      </c>
      <c r="D529" s="780" t="s">
        <v>508</v>
      </c>
      <c r="E529" s="779" t="s">
        <v>380</v>
      </c>
      <c r="F529" s="435" t="s">
        <v>27</v>
      </c>
      <c r="G529" s="435" t="s">
        <v>28</v>
      </c>
      <c r="H529" s="436">
        <v>510</v>
      </c>
      <c r="I529" s="436"/>
      <c r="J529" s="436"/>
      <c r="K529" s="436"/>
      <c r="L529" s="437"/>
      <c r="M529" s="437"/>
      <c r="N529" s="437"/>
      <c r="O529" s="437"/>
      <c r="P529" s="437"/>
      <c r="Q529" s="437"/>
      <c r="R529" s="436"/>
      <c r="S529" s="436"/>
      <c r="T529" s="436"/>
      <c r="U529" s="436"/>
      <c r="V529" s="436"/>
      <c r="W529" s="436">
        <f>IF(NFI_Expiration=1,IF($A529&lt;VLOOKUP(H$5,NFI,5,0),1,0)*Table_NFI[[#This Row],[Hygiene Kit]],Table_NFI[Hygiene Kit])</f>
        <v>0</v>
      </c>
      <c r="X529" s="436">
        <f>IF(NFI_Expiration=1,IF($A529&lt;VLOOKUP(I$5,NFI,5,0),1,0)*Table_NFI[[#This Row],[NFI Core Kit]],Table_NFI[NFI Core Kit])</f>
        <v>0</v>
      </c>
      <c r="Y529" s="436">
        <f>IF(NFI_Expiration=1,IF($A529&lt;VLOOKUP(J$5,NFI,5,0),1,0)*Table_NFI[[#This Row],[Sanitary Kit]],Table_NFI[Sanitary Kit])</f>
        <v>0</v>
      </c>
      <c r="Z529" s="436">
        <f>IF(NFI_Expiration=1,IF($A529&lt;VLOOKUP(K$5,NFI,5,0),1,0)*Table_NFI[[#This Row],[Mosquito net]],Table_NFI[Mosquito net])</f>
        <v>0</v>
      </c>
      <c r="AA529" s="436">
        <f>IF(NFI_Expiration=1,IF($A529&lt;VLOOKUP(L$5,NFI,5,0),1,0)*Table_NFI[[#This Row],[Tarpaulin]],Table_NFI[[#This Row],[Tarpaulin]])</f>
        <v>0</v>
      </c>
      <c r="AB529" s="436">
        <f>IF(NFI_Expiration=1,IF($A529&lt;VLOOKUP(M$5,NFI,5,0),1,0)*Table_NFI[[#This Row],[Blanket]],Table_NFI[[#This Row],[Blanket]])</f>
        <v>0</v>
      </c>
      <c r="AC529" s="436">
        <f>IF(NFI_Expiration=1,IF($A529&lt;VLOOKUP(N$5,NFI,5,0),1,0)*Table_NFI[[#This Row],[Kitchen Set]],Table_NFI[Kitchen Set])</f>
        <v>0</v>
      </c>
      <c r="AD529" s="436">
        <f>IF(NFI_Expiration=1,IF($A529&lt;VLOOKUP(O$5,NFI,5,0),1,0)*Table_NFI[[#This Row],[Clothes Kit]],Table_NFI[Clothes Kit])</f>
        <v>0</v>
      </c>
      <c r="AE529" s="436">
        <f>IF(NFI_Expiration=1,IF($A529&lt;VLOOKUP(P$5,NFI,5,0),1,0)*Table_NFI[[#This Row],[Plastic Bucket]],Table_NFI[Plastic Bucket])</f>
        <v>0</v>
      </c>
      <c r="AF529" s="436">
        <f>IF(NFI_Expiration=1,IF($A529&lt;VLOOKUP(Q$5,NFI,5,0),1,0)*Table_NFI[[#This Row],[Plastic Mat]],Table_NFI[Plastic Mat])*IF(Table_NFI[[#This Row],[Distribution Date]]&gt;"2014-04-01",1,2.5)</f>
        <v>0</v>
      </c>
      <c r="AG529" s="436">
        <f>IF(NFI_Expiration=1,IF($A529&lt;VLOOKUP(R$5,NFI,5,0),1,0)*Table_NFI[[#This Row],[Winter Clothes Adult]],Table_NFI[Winter Clothes Adult])</f>
        <v>0</v>
      </c>
      <c r="AH529" s="436">
        <f>IF(NFI_Expiration=1,IF($A529&lt;VLOOKUP(S$5,NFI,5,0),1,0)*Table_NFI[[#This Row],[Winter Clothes Children]],Table_NFI[Winter Clothes Children])</f>
        <v>0</v>
      </c>
      <c r="AI529" s="436">
        <f>IF(NFI_Expiration=1,IF($A529&lt;VLOOKUP(T$5,NFI,5,0),1,0)*Table_NFI[[#This Row],[Winter Items Other]],Table_NFI[Winter Items Other])</f>
        <v>0</v>
      </c>
      <c r="AJ529" s="436">
        <f>IF(NFI_Expiration=1,IF($A529&lt;VLOOKUP(M$5,NFI,5,0),1,0)*Table_NFI[[#This Row],[Winter Blanket]],Table_NFI[[#This Row],[Winter Blanket]])</f>
        <v>0</v>
      </c>
      <c r="AK529" s="436">
        <f>IF(Table_NFI[[#This Row],[Winter Clothes Adult]]+Table_NFI[[#This Row],[Winter Clothes Children]]+Table_NFI[[#This Row],[Winter Items Other]]+Table_NFI[[#This Row],[Winter Blanket]]&gt;0,1,0)</f>
        <v>0</v>
      </c>
      <c r="AL529" s="439">
        <f>IF(NFI_Expiration=1,IF($A529&lt;VLOOKUP(V$5,NFI,5,0),1,0)*Table_NFI[[#This Row],[Jerry Can]],Table_NFI[Jerry Can])</f>
        <v>0</v>
      </c>
      <c r="AM529" s="781" t="str">
        <f>IFERROR(VLOOKUP(Table_NFI[[#This Row],[Camp Name]],CL,2,0),"")</f>
        <v>MMR001CMP042</v>
      </c>
      <c r="AN529" s="782">
        <f ca="1">IF(Table_NFI[[#This Row],[Pcode]]="","",IF(OFFSET(CampList[Opening Date],MATCH(Table_NFI[[#This Row],[Pcode]],CampList[CP_Pcode],0)-1,0,1,1)&gt;=NFI_Monitor_Date,1,0))</f>
        <v>0</v>
      </c>
      <c r="AO529" s="781" t="str">
        <f>IFERROR(VLOOKUP(Table_NFI[[#This Row],[Camp Name]],CL,3,0),"")</f>
        <v>Open</v>
      </c>
      <c r="AP529" s="436" t="str">
        <f ca="1">IF(Table_NFI[[#This Row],[Pcode]]="","",OFFSET(CampList[Priority],MATCH(Table_NFI[[#This Row],[Pcode]],CampList[CP_Pcode],0)-1,0,1,1))</f>
        <v>P1</v>
      </c>
      <c r="AQ529" s="438">
        <f>IFERROR(Table_NFI[[#This Row],[Kitchen Set]]/VLOOKUP(Table_NFI[[#This Row],[Camp Name]],CL,4,0),"")</f>
        <v>0</v>
      </c>
      <c r="AR529" s="779" t="s">
        <v>1099</v>
      </c>
      <c r="AS529" s="783"/>
    </row>
    <row r="530" spans="1:45" s="784" customFormat="1" x14ac:dyDescent="0.25">
      <c r="A530" s="455">
        <f t="shared" si="8"/>
        <v>29.766666666666666</v>
      </c>
      <c r="B530" s="778">
        <v>41416</v>
      </c>
      <c r="C530" s="779" t="s">
        <v>454</v>
      </c>
      <c r="D530" s="780" t="s">
        <v>454</v>
      </c>
      <c r="E530" s="779" t="s">
        <v>380</v>
      </c>
      <c r="F530" s="435" t="s">
        <v>27</v>
      </c>
      <c r="G530" s="435" t="s">
        <v>28</v>
      </c>
      <c r="H530" s="436"/>
      <c r="I530" s="436"/>
      <c r="J530" s="436">
        <v>80</v>
      </c>
      <c r="K530" s="436">
        <v>84</v>
      </c>
      <c r="L530" s="437">
        <v>41</v>
      </c>
      <c r="M530" s="437">
        <v>84</v>
      </c>
      <c r="N530" s="437">
        <v>41</v>
      </c>
      <c r="O530" s="437">
        <v>41</v>
      </c>
      <c r="P530" s="437">
        <v>41</v>
      </c>
      <c r="Q530" s="437">
        <v>41</v>
      </c>
      <c r="R530" s="436"/>
      <c r="S530" s="436"/>
      <c r="T530" s="436"/>
      <c r="U530" s="436"/>
      <c r="V530" s="436"/>
      <c r="W530" s="436">
        <f>IF(NFI_Expiration=1,IF($A530&lt;VLOOKUP(H$5,NFI,5,0),1,0)*Table_NFI[[#This Row],[Hygiene Kit]],Table_NFI[Hygiene Kit])</f>
        <v>0</v>
      </c>
      <c r="X530" s="436">
        <f>IF(NFI_Expiration=1,IF($A530&lt;VLOOKUP(I$5,NFI,5,0),1,0)*Table_NFI[[#This Row],[NFI Core Kit]],Table_NFI[NFI Core Kit])</f>
        <v>0</v>
      </c>
      <c r="Y530" s="436">
        <f>IF(NFI_Expiration=1,IF($A530&lt;VLOOKUP(J$5,NFI,5,0),1,0)*Table_NFI[[#This Row],[Sanitary Kit]],Table_NFI[Sanitary Kit])</f>
        <v>0</v>
      </c>
      <c r="Z530" s="436">
        <f>IF(NFI_Expiration=1,IF($A530&lt;VLOOKUP(K$5,NFI,5,0),1,0)*Table_NFI[[#This Row],[Mosquito net]],Table_NFI[Mosquito net])</f>
        <v>0</v>
      </c>
      <c r="AA530" s="436">
        <f>IF(NFI_Expiration=1,IF($A530&lt;VLOOKUP(L$5,NFI,5,0),1,0)*Table_NFI[[#This Row],[Tarpaulin]],Table_NFI[[#This Row],[Tarpaulin]])</f>
        <v>0</v>
      </c>
      <c r="AB530" s="436">
        <f>IF(NFI_Expiration=1,IF($A530&lt;VLOOKUP(M$5,NFI,5,0),1,0)*Table_NFI[[#This Row],[Blanket]],Table_NFI[[#This Row],[Blanket]])</f>
        <v>0</v>
      </c>
      <c r="AC530" s="436">
        <f>IF(NFI_Expiration=1,IF($A530&lt;VLOOKUP(N$5,NFI,5,0),1,0)*Table_NFI[[#This Row],[Kitchen Set]],Table_NFI[Kitchen Set])</f>
        <v>0</v>
      </c>
      <c r="AD530" s="436">
        <f>IF(NFI_Expiration=1,IF($A530&lt;VLOOKUP(O$5,NFI,5,0),1,0)*Table_NFI[[#This Row],[Clothes Kit]],Table_NFI[Clothes Kit])</f>
        <v>0</v>
      </c>
      <c r="AE530" s="436">
        <f>IF(NFI_Expiration=1,IF($A530&lt;VLOOKUP(P$5,NFI,5,0),1,0)*Table_NFI[[#This Row],[Plastic Bucket]],Table_NFI[Plastic Bucket])</f>
        <v>0</v>
      </c>
      <c r="AF530" s="436">
        <f>IF(NFI_Expiration=1,IF($A530&lt;VLOOKUP(Q$5,NFI,5,0),1,0)*Table_NFI[[#This Row],[Plastic Mat]],Table_NFI[Plastic Mat])*IF(Table_NFI[[#This Row],[Distribution Date]]&gt;"2014-04-01",1,2.5)</f>
        <v>0</v>
      </c>
      <c r="AG530" s="436">
        <f>IF(NFI_Expiration=1,IF($A530&lt;VLOOKUP(R$5,NFI,5,0),1,0)*Table_NFI[[#This Row],[Winter Clothes Adult]],Table_NFI[Winter Clothes Adult])</f>
        <v>0</v>
      </c>
      <c r="AH530" s="436">
        <f>IF(NFI_Expiration=1,IF($A530&lt;VLOOKUP(S$5,NFI,5,0),1,0)*Table_NFI[[#This Row],[Winter Clothes Children]],Table_NFI[Winter Clothes Children])</f>
        <v>0</v>
      </c>
      <c r="AI530" s="436">
        <f>IF(NFI_Expiration=1,IF($A530&lt;VLOOKUP(T$5,NFI,5,0),1,0)*Table_NFI[[#This Row],[Winter Items Other]],Table_NFI[Winter Items Other])</f>
        <v>0</v>
      </c>
      <c r="AJ530" s="436">
        <f>IF(NFI_Expiration=1,IF($A530&lt;VLOOKUP(M$5,NFI,5,0),1,0)*Table_NFI[[#This Row],[Winter Blanket]],Table_NFI[[#This Row],[Winter Blanket]])</f>
        <v>0</v>
      </c>
      <c r="AK530" s="436">
        <f>IF(Table_NFI[[#This Row],[Winter Clothes Adult]]+Table_NFI[[#This Row],[Winter Clothes Children]]+Table_NFI[[#This Row],[Winter Items Other]]+Table_NFI[[#This Row],[Winter Blanket]]&gt;0,1,0)</f>
        <v>0</v>
      </c>
      <c r="AL530" s="439">
        <f>IF(NFI_Expiration=1,IF($A530&lt;VLOOKUP(V$5,NFI,5,0),1,0)*Table_NFI[[#This Row],[Jerry Can]],Table_NFI[Jerry Can])</f>
        <v>0</v>
      </c>
      <c r="AM530" s="781" t="str">
        <f>IFERROR(VLOOKUP(Table_NFI[[#This Row],[Camp Name]],CL,2,0),"")</f>
        <v>MMR001CMP042</v>
      </c>
      <c r="AN530" s="782">
        <f ca="1">IF(Table_NFI[[#This Row],[Pcode]]="","",IF(OFFSET(CampList[Opening Date],MATCH(Table_NFI[[#This Row],[Pcode]],CampList[CP_Pcode],0)-1,0,1,1)&gt;=NFI_Monitor_Date,1,0))</f>
        <v>0</v>
      </c>
      <c r="AO530" s="781" t="str">
        <f>IFERROR(VLOOKUP(Table_NFI[[#This Row],[Camp Name]],CL,3,0),"")</f>
        <v>Open</v>
      </c>
      <c r="AP530" s="436" t="str">
        <f ca="1">IF(Table_NFI[[#This Row],[Pcode]]="","",OFFSET(CampList[Priority],MATCH(Table_NFI[[#This Row],[Pcode]],CampList[CP_Pcode],0)-1,0,1,1))</f>
        <v>P1</v>
      </c>
      <c r="AQ530" s="438">
        <f>IFERROR(Table_NFI[[#This Row],[Kitchen Set]]/VLOOKUP(Table_NFI[[#This Row],[Camp Name]],CL,4,0),"")</f>
        <v>0.34745762711864409</v>
      </c>
      <c r="AR530" s="779" t="s">
        <v>1099</v>
      </c>
      <c r="AS530" s="783"/>
    </row>
    <row r="531" spans="1:45" s="784" customFormat="1" x14ac:dyDescent="0.25">
      <c r="A531" s="455">
        <f t="shared" si="8"/>
        <v>29.766666666666666</v>
      </c>
      <c r="B531" s="778">
        <v>41416</v>
      </c>
      <c r="C531" s="779" t="s">
        <v>908</v>
      </c>
      <c r="D531" s="780" t="s">
        <v>508</v>
      </c>
      <c r="E531" s="779" t="s">
        <v>380</v>
      </c>
      <c r="F531" s="435" t="s">
        <v>27</v>
      </c>
      <c r="G531" s="435" t="s">
        <v>365</v>
      </c>
      <c r="H531" s="436">
        <v>35</v>
      </c>
      <c r="I531" s="436"/>
      <c r="J531" s="436"/>
      <c r="K531" s="436"/>
      <c r="L531" s="437"/>
      <c r="M531" s="437"/>
      <c r="N531" s="437"/>
      <c r="O531" s="437"/>
      <c r="P531" s="437"/>
      <c r="Q531" s="437"/>
      <c r="R531" s="436"/>
      <c r="S531" s="436"/>
      <c r="T531" s="436"/>
      <c r="U531" s="436"/>
      <c r="V531" s="436"/>
      <c r="W531" s="436">
        <f>IF(NFI_Expiration=1,IF($A531&lt;VLOOKUP(H$5,NFI,5,0),1,0)*Table_NFI[[#This Row],[Hygiene Kit]],Table_NFI[Hygiene Kit])</f>
        <v>0</v>
      </c>
      <c r="X531" s="436">
        <f>IF(NFI_Expiration=1,IF($A531&lt;VLOOKUP(I$5,NFI,5,0),1,0)*Table_NFI[[#This Row],[NFI Core Kit]],Table_NFI[NFI Core Kit])</f>
        <v>0</v>
      </c>
      <c r="Y531" s="436">
        <f>IF(NFI_Expiration=1,IF($A531&lt;VLOOKUP(J$5,NFI,5,0),1,0)*Table_NFI[[#This Row],[Sanitary Kit]],Table_NFI[Sanitary Kit])</f>
        <v>0</v>
      </c>
      <c r="Z531" s="436">
        <f>IF(NFI_Expiration=1,IF($A531&lt;VLOOKUP(K$5,NFI,5,0),1,0)*Table_NFI[[#This Row],[Mosquito net]],Table_NFI[Mosquito net])</f>
        <v>0</v>
      </c>
      <c r="AA531" s="436">
        <f>IF(NFI_Expiration=1,IF($A531&lt;VLOOKUP(L$5,NFI,5,0),1,0)*Table_NFI[[#This Row],[Tarpaulin]],Table_NFI[[#This Row],[Tarpaulin]])</f>
        <v>0</v>
      </c>
      <c r="AB531" s="436">
        <f>IF(NFI_Expiration=1,IF($A531&lt;VLOOKUP(M$5,NFI,5,0),1,0)*Table_NFI[[#This Row],[Blanket]],Table_NFI[[#This Row],[Blanket]])</f>
        <v>0</v>
      </c>
      <c r="AC531" s="436">
        <f>IF(NFI_Expiration=1,IF($A531&lt;VLOOKUP(N$5,NFI,5,0),1,0)*Table_NFI[[#This Row],[Kitchen Set]],Table_NFI[Kitchen Set])</f>
        <v>0</v>
      </c>
      <c r="AD531" s="436">
        <f>IF(NFI_Expiration=1,IF($A531&lt;VLOOKUP(O$5,NFI,5,0),1,0)*Table_NFI[[#This Row],[Clothes Kit]],Table_NFI[Clothes Kit])</f>
        <v>0</v>
      </c>
      <c r="AE531" s="436">
        <f>IF(NFI_Expiration=1,IF($A531&lt;VLOOKUP(P$5,NFI,5,0),1,0)*Table_NFI[[#This Row],[Plastic Bucket]],Table_NFI[Plastic Bucket])</f>
        <v>0</v>
      </c>
      <c r="AF531" s="436">
        <f>IF(NFI_Expiration=1,IF($A531&lt;VLOOKUP(Q$5,NFI,5,0),1,0)*Table_NFI[[#This Row],[Plastic Mat]],Table_NFI[Plastic Mat])*IF(Table_NFI[[#This Row],[Distribution Date]]&gt;"2014-04-01",1,2.5)</f>
        <v>0</v>
      </c>
      <c r="AG531" s="436">
        <f>IF(NFI_Expiration=1,IF($A531&lt;VLOOKUP(R$5,NFI,5,0),1,0)*Table_NFI[[#This Row],[Winter Clothes Adult]],Table_NFI[Winter Clothes Adult])</f>
        <v>0</v>
      </c>
      <c r="AH531" s="436">
        <f>IF(NFI_Expiration=1,IF($A531&lt;VLOOKUP(S$5,NFI,5,0),1,0)*Table_NFI[[#This Row],[Winter Clothes Children]],Table_NFI[Winter Clothes Children])</f>
        <v>0</v>
      </c>
      <c r="AI531" s="436">
        <f>IF(NFI_Expiration=1,IF($A531&lt;VLOOKUP(T$5,NFI,5,0),1,0)*Table_NFI[[#This Row],[Winter Items Other]],Table_NFI[Winter Items Other])</f>
        <v>0</v>
      </c>
      <c r="AJ531" s="436">
        <f>IF(NFI_Expiration=1,IF($A531&lt;VLOOKUP(M$5,NFI,5,0),1,0)*Table_NFI[[#This Row],[Winter Blanket]],Table_NFI[[#This Row],[Winter Blanket]])</f>
        <v>0</v>
      </c>
      <c r="AK531" s="436">
        <f>IF(Table_NFI[[#This Row],[Winter Clothes Adult]]+Table_NFI[[#This Row],[Winter Clothes Children]]+Table_NFI[[#This Row],[Winter Items Other]]+Table_NFI[[#This Row],[Winter Blanket]]&gt;0,1,0)</f>
        <v>0</v>
      </c>
      <c r="AL531" s="439">
        <f>IF(NFI_Expiration=1,IF($A531&lt;VLOOKUP(V$5,NFI,5,0),1,0)*Table_NFI[[#This Row],[Jerry Can]],Table_NFI[Jerry Can])</f>
        <v>0</v>
      </c>
      <c r="AM531" s="781" t="str">
        <f>IFERROR(VLOOKUP(Table_NFI[[#This Row],[Camp Name]],CL,2,0),"")</f>
        <v>MMR001CMP195</v>
      </c>
      <c r="AN531" s="782">
        <f ca="1">IF(Table_NFI[[#This Row],[Pcode]]="","",IF(OFFSET(CampList[Opening Date],MATCH(Table_NFI[[#This Row],[Pcode]],CampList[CP_Pcode],0)-1,0,1,1)&gt;=NFI_Monitor_Date,1,0))</f>
        <v>0</v>
      </c>
      <c r="AO531" s="781" t="str">
        <f>IFERROR(VLOOKUP(Table_NFI[[#This Row],[Camp Name]],CL,3,0),"")</f>
        <v>Open</v>
      </c>
      <c r="AP531" s="436" t="str">
        <f ca="1">IF(Table_NFI[[#This Row],[Pcode]]="","",OFFSET(CampList[Priority],MATCH(Table_NFI[[#This Row],[Pcode]],CampList[CP_Pcode],0)-1,0,1,1))</f>
        <v>P1</v>
      </c>
      <c r="AQ531" s="438">
        <f>IFERROR(Table_NFI[[#This Row],[Kitchen Set]]/VLOOKUP(Table_NFI[[#This Row],[Camp Name]],CL,4,0),"")</f>
        <v>0</v>
      </c>
      <c r="AR531" s="779" t="s">
        <v>1099</v>
      </c>
      <c r="AS531" s="783"/>
    </row>
    <row r="532" spans="1:45" s="784" customFormat="1" x14ac:dyDescent="0.25">
      <c r="A532" s="455">
        <f t="shared" si="8"/>
        <v>29.766666666666666</v>
      </c>
      <c r="B532" s="778">
        <v>41416</v>
      </c>
      <c r="C532" s="779" t="s">
        <v>454</v>
      </c>
      <c r="D532" s="779" t="s">
        <v>454</v>
      </c>
      <c r="E532" s="779" t="s">
        <v>380</v>
      </c>
      <c r="F532" s="435" t="s">
        <v>529</v>
      </c>
      <c r="G532" s="435" t="s">
        <v>54</v>
      </c>
      <c r="H532" s="436"/>
      <c r="I532" s="436"/>
      <c r="J532" s="436">
        <v>48</v>
      </c>
      <c r="K532" s="436">
        <v>74</v>
      </c>
      <c r="L532" s="437">
        <v>31</v>
      </c>
      <c r="M532" s="437">
        <v>74</v>
      </c>
      <c r="N532" s="437">
        <v>31</v>
      </c>
      <c r="O532" s="437">
        <v>31</v>
      </c>
      <c r="P532" s="439">
        <v>31</v>
      </c>
      <c r="Q532" s="439">
        <v>31</v>
      </c>
      <c r="R532" s="436"/>
      <c r="S532" s="436"/>
      <c r="T532" s="436"/>
      <c r="U532" s="436"/>
      <c r="V532" s="436"/>
      <c r="W532" s="436">
        <f>IF(NFI_Expiration=1,IF($A532&lt;VLOOKUP(H$5,NFI,5,0),1,0)*Table_NFI[[#This Row],[Hygiene Kit]],Table_NFI[Hygiene Kit])</f>
        <v>0</v>
      </c>
      <c r="X532" s="436">
        <f>IF(NFI_Expiration=1,IF($A532&lt;VLOOKUP(I$5,NFI,5,0),1,0)*Table_NFI[[#This Row],[NFI Core Kit]],Table_NFI[NFI Core Kit])</f>
        <v>0</v>
      </c>
      <c r="Y532" s="436">
        <f>IF(NFI_Expiration=1,IF($A532&lt;VLOOKUP(J$5,NFI,5,0),1,0)*Table_NFI[[#This Row],[Sanitary Kit]],Table_NFI[Sanitary Kit])</f>
        <v>0</v>
      </c>
      <c r="Z532" s="436">
        <f>IF(NFI_Expiration=1,IF($A532&lt;VLOOKUP(K$5,NFI,5,0),1,0)*Table_NFI[[#This Row],[Mosquito net]],Table_NFI[Mosquito net])</f>
        <v>0</v>
      </c>
      <c r="AA532" s="436">
        <f>IF(NFI_Expiration=1,IF($A532&lt;VLOOKUP(L$5,NFI,5,0),1,0)*Table_NFI[[#This Row],[Tarpaulin]],Table_NFI[[#This Row],[Tarpaulin]])</f>
        <v>0</v>
      </c>
      <c r="AB532" s="436">
        <f>IF(NFI_Expiration=1,IF($A532&lt;VLOOKUP(M$5,NFI,5,0),1,0)*Table_NFI[[#This Row],[Blanket]],Table_NFI[[#This Row],[Blanket]])</f>
        <v>0</v>
      </c>
      <c r="AC532" s="436">
        <f>IF(NFI_Expiration=1,IF($A532&lt;VLOOKUP(N$5,NFI,5,0),1,0)*Table_NFI[[#This Row],[Kitchen Set]],Table_NFI[Kitchen Set])</f>
        <v>0</v>
      </c>
      <c r="AD532" s="436">
        <f>IF(NFI_Expiration=1,IF($A532&lt;VLOOKUP(O$5,NFI,5,0),1,0)*Table_NFI[[#This Row],[Clothes Kit]],Table_NFI[Clothes Kit])</f>
        <v>0</v>
      </c>
      <c r="AE532" s="436">
        <f>IF(NFI_Expiration=1,IF($A532&lt;VLOOKUP(P$5,NFI,5,0),1,0)*Table_NFI[[#This Row],[Plastic Bucket]],Table_NFI[Plastic Bucket])</f>
        <v>0</v>
      </c>
      <c r="AF532" s="436">
        <f>IF(NFI_Expiration=1,IF($A532&lt;VLOOKUP(Q$5,NFI,5,0),1,0)*Table_NFI[[#This Row],[Plastic Mat]],Table_NFI[Plastic Mat])*IF(Table_NFI[[#This Row],[Distribution Date]]&gt;"2014-04-01",1,2.5)</f>
        <v>0</v>
      </c>
      <c r="AG532" s="436">
        <f>IF(NFI_Expiration=1,IF($A532&lt;VLOOKUP(R$5,NFI,5,0),1,0)*Table_NFI[[#This Row],[Winter Clothes Adult]],Table_NFI[Winter Clothes Adult])</f>
        <v>0</v>
      </c>
      <c r="AH532" s="436">
        <f>IF(NFI_Expiration=1,IF($A532&lt;VLOOKUP(S$5,NFI,5,0),1,0)*Table_NFI[[#This Row],[Winter Clothes Children]],Table_NFI[Winter Clothes Children])</f>
        <v>0</v>
      </c>
      <c r="AI532" s="436">
        <f>IF(NFI_Expiration=1,IF($A532&lt;VLOOKUP(T$5,NFI,5,0),1,0)*Table_NFI[[#This Row],[Winter Items Other]],Table_NFI[Winter Items Other])</f>
        <v>0</v>
      </c>
      <c r="AJ532" s="436">
        <f>IF(NFI_Expiration=1,IF($A532&lt;VLOOKUP(M$5,NFI,5,0),1,0)*Table_NFI[[#This Row],[Winter Blanket]],Table_NFI[[#This Row],[Winter Blanket]])</f>
        <v>0</v>
      </c>
      <c r="AK532" s="436">
        <f>IF(Table_NFI[[#This Row],[Winter Clothes Adult]]+Table_NFI[[#This Row],[Winter Clothes Children]]+Table_NFI[[#This Row],[Winter Items Other]]+Table_NFI[[#This Row],[Winter Blanket]]&gt;0,1,0)</f>
        <v>0</v>
      </c>
      <c r="AL532" s="439">
        <f>IF(NFI_Expiration=1,IF($A532&lt;VLOOKUP(V$5,NFI,5,0),1,0)*Table_NFI[[#This Row],[Jerry Can]],Table_NFI[Jerry Can])</f>
        <v>0</v>
      </c>
      <c r="AM532" s="781" t="str">
        <f>IFERROR(VLOOKUP(Table_NFI[[#This Row],[Camp Name]],CL,2,0),"")</f>
        <v>MMR001CMP094</v>
      </c>
      <c r="AN532" s="782">
        <f ca="1">IF(Table_NFI[[#This Row],[Pcode]]="","",IF(OFFSET(CampList[Opening Date],MATCH(Table_NFI[[#This Row],[Pcode]],CampList[CP_Pcode],0)-1,0,1,1)&gt;=NFI_Monitor_Date,1,0))</f>
        <v>0</v>
      </c>
      <c r="AO532" s="781" t="str">
        <f>IFERROR(VLOOKUP(Table_NFI[[#This Row],[Camp Name]],CL,3,0),"")</f>
        <v>Closed</v>
      </c>
      <c r="AP532" s="436" t="str">
        <f ca="1">IF(Table_NFI[[#This Row],[Pcode]]="","",OFFSET(CampList[Priority],MATCH(Table_NFI[[#This Row],[Pcode]],CampList[CP_Pcode],0)-1,0,1,1))</f>
        <v/>
      </c>
      <c r="AQ532" s="438" t="str">
        <f>IFERROR(Table_NFI[[#This Row],[Kitchen Set]]/VLOOKUP(Table_NFI[[#This Row],[Camp Name]],CL,4,0),"")</f>
        <v/>
      </c>
      <c r="AR532" s="779" t="s">
        <v>1099</v>
      </c>
      <c r="AS532" s="783"/>
    </row>
    <row r="533" spans="1:45" s="784" customFormat="1" x14ac:dyDescent="0.25">
      <c r="A533" s="455">
        <f t="shared" si="8"/>
        <v>29.766666666666666</v>
      </c>
      <c r="B533" s="778">
        <v>41416</v>
      </c>
      <c r="C533" s="779" t="s">
        <v>454</v>
      </c>
      <c r="D533" s="780" t="s">
        <v>454</v>
      </c>
      <c r="E533" s="779" t="s">
        <v>380</v>
      </c>
      <c r="F533" s="435" t="s">
        <v>529</v>
      </c>
      <c r="G533" s="435" t="s">
        <v>613</v>
      </c>
      <c r="H533" s="436"/>
      <c r="I533" s="436"/>
      <c r="J533" s="436">
        <v>34</v>
      </c>
      <c r="K533" s="436">
        <v>61</v>
      </c>
      <c r="L533" s="437">
        <v>30</v>
      </c>
      <c r="M533" s="437">
        <v>61</v>
      </c>
      <c r="N533" s="437">
        <v>30</v>
      </c>
      <c r="O533" s="437">
        <v>30</v>
      </c>
      <c r="P533" s="437">
        <v>30</v>
      </c>
      <c r="Q533" s="437">
        <v>30</v>
      </c>
      <c r="R533" s="436"/>
      <c r="S533" s="436"/>
      <c r="T533" s="436"/>
      <c r="U533" s="436"/>
      <c r="V533" s="436"/>
      <c r="W533" s="436">
        <f>IF(NFI_Expiration=1,IF($A533&lt;VLOOKUP(H$5,NFI,5,0),1,0)*Table_NFI[[#This Row],[Hygiene Kit]],Table_NFI[Hygiene Kit])</f>
        <v>0</v>
      </c>
      <c r="X533" s="436">
        <f>IF(NFI_Expiration=1,IF($A533&lt;VLOOKUP(I$5,NFI,5,0),1,0)*Table_NFI[[#This Row],[NFI Core Kit]],Table_NFI[NFI Core Kit])</f>
        <v>0</v>
      </c>
      <c r="Y533" s="436">
        <f>IF(NFI_Expiration=1,IF($A533&lt;VLOOKUP(J$5,NFI,5,0),1,0)*Table_NFI[[#This Row],[Sanitary Kit]],Table_NFI[Sanitary Kit])</f>
        <v>0</v>
      </c>
      <c r="Z533" s="436">
        <f>IF(NFI_Expiration=1,IF($A533&lt;VLOOKUP(K$5,NFI,5,0),1,0)*Table_NFI[[#This Row],[Mosquito net]],Table_NFI[Mosquito net])</f>
        <v>0</v>
      </c>
      <c r="AA533" s="436">
        <f>IF(NFI_Expiration=1,IF($A533&lt;VLOOKUP(L$5,NFI,5,0),1,0)*Table_NFI[[#This Row],[Tarpaulin]],Table_NFI[[#This Row],[Tarpaulin]])</f>
        <v>0</v>
      </c>
      <c r="AB533" s="436">
        <f>IF(NFI_Expiration=1,IF($A533&lt;VLOOKUP(M$5,NFI,5,0),1,0)*Table_NFI[[#This Row],[Blanket]],Table_NFI[[#This Row],[Blanket]])</f>
        <v>0</v>
      </c>
      <c r="AC533" s="436">
        <f>IF(NFI_Expiration=1,IF($A533&lt;VLOOKUP(N$5,NFI,5,0),1,0)*Table_NFI[[#This Row],[Kitchen Set]],Table_NFI[Kitchen Set])</f>
        <v>0</v>
      </c>
      <c r="AD533" s="436">
        <f>IF(NFI_Expiration=1,IF($A533&lt;VLOOKUP(O$5,NFI,5,0),1,0)*Table_NFI[[#This Row],[Clothes Kit]],Table_NFI[Clothes Kit])</f>
        <v>0</v>
      </c>
      <c r="AE533" s="436">
        <f>IF(NFI_Expiration=1,IF($A533&lt;VLOOKUP(P$5,NFI,5,0),1,0)*Table_NFI[[#This Row],[Plastic Bucket]],Table_NFI[Plastic Bucket])</f>
        <v>0</v>
      </c>
      <c r="AF533" s="436">
        <f>IF(NFI_Expiration=1,IF($A533&lt;VLOOKUP(Q$5,NFI,5,0),1,0)*Table_NFI[[#This Row],[Plastic Mat]],Table_NFI[Plastic Mat])*IF(Table_NFI[[#This Row],[Distribution Date]]&gt;"2014-04-01",1,2.5)</f>
        <v>0</v>
      </c>
      <c r="AG533" s="436">
        <f>IF(NFI_Expiration=1,IF($A533&lt;VLOOKUP(R$5,NFI,5,0),1,0)*Table_NFI[[#This Row],[Winter Clothes Adult]],Table_NFI[Winter Clothes Adult])</f>
        <v>0</v>
      </c>
      <c r="AH533" s="436">
        <f>IF(NFI_Expiration=1,IF($A533&lt;VLOOKUP(S$5,NFI,5,0),1,0)*Table_NFI[[#This Row],[Winter Clothes Children]],Table_NFI[Winter Clothes Children])</f>
        <v>0</v>
      </c>
      <c r="AI533" s="436">
        <f>IF(NFI_Expiration=1,IF($A533&lt;VLOOKUP(T$5,NFI,5,0),1,0)*Table_NFI[[#This Row],[Winter Items Other]],Table_NFI[Winter Items Other])</f>
        <v>0</v>
      </c>
      <c r="AJ533" s="436">
        <f>IF(NFI_Expiration=1,IF($A533&lt;VLOOKUP(M$5,NFI,5,0),1,0)*Table_NFI[[#This Row],[Winter Blanket]],Table_NFI[[#This Row],[Winter Blanket]])</f>
        <v>0</v>
      </c>
      <c r="AK533" s="436">
        <f>IF(Table_NFI[[#This Row],[Winter Clothes Adult]]+Table_NFI[[#This Row],[Winter Clothes Children]]+Table_NFI[[#This Row],[Winter Items Other]]+Table_NFI[[#This Row],[Winter Blanket]]&gt;0,1,0)</f>
        <v>0</v>
      </c>
      <c r="AL533" s="439">
        <f>IF(NFI_Expiration=1,IF($A533&lt;VLOOKUP(V$5,NFI,5,0),1,0)*Table_NFI[[#This Row],[Jerry Can]],Table_NFI[Jerry Can])</f>
        <v>0</v>
      </c>
      <c r="AM533" s="781" t="str">
        <f>IFERROR(VLOOKUP(Table_NFI[[#This Row],[Camp Name]],CL,2,0),"")</f>
        <v>MMR001CMP192</v>
      </c>
      <c r="AN533" s="782">
        <f ca="1">IF(Table_NFI[[#This Row],[Pcode]]="","",IF(OFFSET(CampList[Opening Date],MATCH(Table_NFI[[#This Row],[Pcode]],CampList[CP_Pcode],0)-1,0,1,1)&gt;=NFI_Monitor_Date,1,0))</f>
        <v>0</v>
      </c>
      <c r="AO533" s="781" t="str">
        <f>IFERROR(VLOOKUP(Table_NFI[[#This Row],[Camp Name]],CL,3,0),"")</f>
        <v>Open</v>
      </c>
      <c r="AP533" s="436" t="str">
        <f ca="1">IF(Table_NFI[[#This Row],[Pcode]]="","",OFFSET(CampList[Priority],MATCH(Table_NFI[[#This Row],[Pcode]],CampList[CP_Pcode],0)-1,0,1,1))</f>
        <v>P4</v>
      </c>
      <c r="AQ533" s="438">
        <f>IFERROR(Table_NFI[[#This Row],[Kitchen Set]]/VLOOKUP(Table_NFI[[#This Row],[Camp Name]],CL,4,0),"")</f>
        <v>1.7647058823529411</v>
      </c>
      <c r="AR533" s="779" t="s">
        <v>1099</v>
      </c>
      <c r="AS533" s="783"/>
    </row>
    <row r="534" spans="1:45" s="784" customFormat="1" x14ac:dyDescent="0.25">
      <c r="A534" s="455">
        <f t="shared" si="8"/>
        <v>29.766666666666666</v>
      </c>
      <c r="B534" s="778">
        <v>41416</v>
      </c>
      <c r="C534" s="779" t="s">
        <v>454</v>
      </c>
      <c r="D534" s="779" t="s">
        <v>454</v>
      </c>
      <c r="E534" s="779" t="s">
        <v>380</v>
      </c>
      <c r="F534" s="779" t="s">
        <v>529</v>
      </c>
      <c r="G534" s="435" t="s">
        <v>110</v>
      </c>
      <c r="H534" s="436"/>
      <c r="I534" s="436"/>
      <c r="J534" s="436">
        <v>273</v>
      </c>
      <c r="K534" s="436">
        <v>339</v>
      </c>
      <c r="L534" s="437">
        <v>151</v>
      </c>
      <c r="M534" s="437">
        <v>339</v>
      </c>
      <c r="N534" s="437">
        <v>151</v>
      </c>
      <c r="O534" s="437">
        <v>151</v>
      </c>
      <c r="P534" s="439">
        <v>151</v>
      </c>
      <c r="Q534" s="439">
        <v>151</v>
      </c>
      <c r="R534" s="436"/>
      <c r="S534" s="436"/>
      <c r="T534" s="436"/>
      <c r="U534" s="436"/>
      <c r="V534" s="436"/>
      <c r="W534" s="436">
        <f>IF(NFI_Expiration=1,IF($A534&lt;VLOOKUP(H$5,NFI,5,0),1,0)*Table_NFI[[#This Row],[Hygiene Kit]],Table_NFI[Hygiene Kit])</f>
        <v>0</v>
      </c>
      <c r="X534" s="436">
        <f>IF(NFI_Expiration=1,IF($A534&lt;VLOOKUP(I$5,NFI,5,0),1,0)*Table_NFI[[#This Row],[NFI Core Kit]],Table_NFI[NFI Core Kit])</f>
        <v>0</v>
      </c>
      <c r="Y534" s="436">
        <f>IF(NFI_Expiration=1,IF($A534&lt;VLOOKUP(J$5,NFI,5,0),1,0)*Table_NFI[[#This Row],[Sanitary Kit]],Table_NFI[Sanitary Kit])</f>
        <v>0</v>
      </c>
      <c r="Z534" s="436">
        <f>IF(NFI_Expiration=1,IF($A534&lt;VLOOKUP(K$5,NFI,5,0),1,0)*Table_NFI[[#This Row],[Mosquito net]],Table_NFI[Mosquito net])</f>
        <v>0</v>
      </c>
      <c r="AA534" s="436">
        <f>IF(NFI_Expiration=1,IF($A534&lt;VLOOKUP(L$5,NFI,5,0),1,0)*Table_NFI[[#This Row],[Tarpaulin]],Table_NFI[[#This Row],[Tarpaulin]])</f>
        <v>0</v>
      </c>
      <c r="AB534" s="436">
        <f>IF(NFI_Expiration=1,IF($A534&lt;VLOOKUP(M$5,NFI,5,0),1,0)*Table_NFI[[#This Row],[Blanket]],Table_NFI[[#This Row],[Blanket]])</f>
        <v>0</v>
      </c>
      <c r="AC534" s="436">
        <f>IF(NFI_Expiration=1,IF($A534&lt;VLOOKUP(N$5,NFI,5,0),1,0)*Table_NFI[[#This Row],[Kitchen Set]],Table_NFI[Kitchen Set])</f>
        <v>0</v>
      </c>
      <c r="AD534" s="436">
        <f>IF(NFI_Expiration=1,IF($A534&lt;VLOOKUP(O$5,NFI,5,0),1,0)*Table_NFI[[#This Row],[Clothes Kit]],Table_NFI[Clothes Kit])</f>
        <v>0</v>
      </c>
      <c r="AE534" s="436">
        <f>IF(NFI_Expiration=1,IF($A534&lt;VLOOKUP(P$5,NFI,5,0),1,0)*Table_NFI[[#This Row],[Plastic Bucket]],Table_NFI[Plastic Bucket])</f>
        <v>0</v>
      </c>
      <c r="AF534" s="436">
        <f>IF(NFI_Expiration=1,IF($A534&lt;VLOOKUP(Q$5,NFI,5,0),1,0)*Table_NFI[[#This Row],[Plastic Mat]],Table_NFI[Plastic Mat])*IF(Table_NFI[[#This Row],[Distribution Date]]&gt;"2014-04-01",1,2.5)</f>
        <v>0</v>
      </c>
      <c r="AG534" s="436">
        <f>IF(NFI_Expiration=1,IF($A534&lt;VLOOKUP(R$5,NFI,5,0),1,0)*Table_NFI[[#This Row],[Winter Clothes Adult]],Table_NFI[Winter Clothes Adult])</f>
        <v>0</v>
      </c>
      <c r="AH534" s="436">
        <f>IF(NFI_Expiration=1,IF($A534&lt;VLOOKUP(S$5,NFI,5,0),1,0)*Table_NFI[[#This Row],[Winter Clothes Children]],Table_NFI[Winter Clothes Children])</f>
        <v>0</v>
      </c>
      <c r="AI534" s="436">
        <f>IF(NFI_Expiration=1,IF($A534&lt;VLOOKUP(T$5,NFI,5,0),1,0)*Table_NFI[[#This Row],[Winter Items Other]],Table_NFI[Winter Items Other])</f>
        <v>0</v>
      </c>
      <c r="AJ534" s="436">
        <f>IF(NFI_Expiration=1,IF($A534&lt;VLOOKUP(M$5,NFI,5,0),1,0)*Table_NFI[[#This Row],[Winter Blanket]],Table_NFI[[#This Row],[Winter Blanket]])</f>
        <v>0</v>
      </c>
      <c r="AK534" s="436">
        <f>IF(Table_NFI[[#This Row],[Winter Clothes Adult]]+Table_NFI[[#This Row],[Winter Clothes Children]]+Table_NFI[[#This Row],[Winter Items Other]]+Table_NFI[[#This Row],[Winter Blanket]]&gt;0,1,0)</f>
        <v>0</v>
      </c>
      <c r="AL534" s="439">
        <f>IF(NFI_Expiration=1,IF($A534&lt;VLOOKUP(V$5,NFI,5,0),1,0)*Table_NFI[[#This Row],[Jerry Can]],Table_NFI[Jerry Can])</f>
        <v>0</v>
      </c>
      <c r="AM534" s="781" t="str">
        <f>IFERROR(VLOOKUP(Table_NFI[[#This Row],[Camp Name]],CL,2,0),"")</f>
        <v>MMR001CMP082</v>
      </c>
      <c r="AN534" s="782">
        <f ca="1">IF(Table_NFI[[#This Row],[Pcode]]="","",IF(OFFSET(CampList[Opening Date],MATCH(Table_NFI[[#This Row],[Pcode]],CampList[CP_Pcode],0)-1,0,1,1)&gt;=NFI_Monitor_Date,1,0))</f>
        <v>0</v>
      </c>
      <c r="AO534" s="781" t="str">
        <f>IFERROR(VLOOKUP(Table_NFI[[#This Row],[Camp Name]],CL,3,0),"")</f>
        <v>Closed</v>
      </c>
      <c r="AP534" s="436" t="str">
        <f ca="1">IF(Table_NFI[[#This Row],[Pcode]]="","",OFFSET(CampList[Priority],MATCH(Table_NFI[[#This Row],[Pcode]],CampList[CP_Pcode],0)-1,0,1,1))</f>
        <v/>
      </c>
      <c r="AQ534" s="438" t="str">
        <f>IFERROR(Table_NFI[[#This Row],[Kitchen Set]]/VLOOKUP(Table_NFI[[#This Row],[Camp Name]],CL,4,0),"")</f>
        <v/>
      </c>
      <c r="AR534" s="779" t="s">
        <v>1099</v>
      </c>
      <c r="AS534" s="783"/>
    </row>
    <row r="535" spans="1:45" s="784" customFormat="1" x14ac:dyDescent="0.25">
      <c r="A535" s="455">
        <f t="shared" si="8"/>
        <v>29.766666666666666</v>
      </c>
      <c r="B535" s="778">
        <v>41416</v>
      </c>
      <c r="C535" s="779" t="s">
        <v>454</v>
      </c>
      <c r="D535" s="779" t="s">
        <v>454</v>
      </c>
      <c r="E535" s="779" t="s">
        <v>380</v>
      </c>
      <c r="F535" s="435" t="s">
        <v>310</v>
      </c>
      <c r="G535" s="435" t="s">
        <v>318</v>
      </c>
      <c r="H535" s="436"/>
      <c r="I535" s="436"/>
      <c r="J535" s="436">
        <v>18</v>
      </c>
      <c r="K535" s="436">
        <v>20</v>
      </c>
      <c r="L535" s="437">
        <v>14</v>
      </c>
      <c r="M535" s="437">
        <v>20</v>
      </c>
      <c r="N535" s="437">
        <v>10</v>
      </c>
      <c r="O535" s="437">
        <v>10</v>
      </c>
      <c r="P535" s="439">
        <v>10</v>
      </c>
      <c r="Q535" s="439">
        <v>10</v>
      </c>
      <c r="R535" s="436"/>
      <c r="S535" s="436"/>
      <c r="T535" s="436"/>
      <c r="U535" s="436"/>
      <c r="V535" s="436"/>
      <c r="W535" s="436">
        <f>IF(NFI_Expiration=1,IF($A535&lt;VLOOKUP(H$5,NFI,5,0),1,0)*Table_NFI[[#This Row],[Hygiene Kit]],Table_NFI[Hygiene Kit])</f>
        <v>0</v>
      </c>
      <c r="X535" s="436">
        <f>IF(NFI_Expiration=1,IF($A535&lt;VLOOKUP(I$5,NFI,5,0),1,0)*Table_NFI[[#This Row],[NFI Core Kit]],Table_NFI[NFI Core Kit])</f>
        <v>0</v>
      </c>
      <c r="Y535" s="436">
        <f>IF(NFI_Expiration=1,IF($A535&lt;VLOOKUP(J$5,NFI,5,0),1,0)*Table_NFI[[#This Row],[Sanitary Kit]],Table_NFI[Sanitary Kit])</f>
        <v>0</v>
      </c>
      <c r="Z535" s="436">
        <f>IF(NFI_Expiration=1,IF($A535&lt;VLOOKUP(K$5,NFI,5,0),1,0)*Table_NFI[[#This Row],[Mosquito net]],Table_NFI[Mosquito net])</f>
        <v>0</v>
      </c>
      <c r="AA535" s="436">
        <f>IF(NFI_Expiration=1,IF($A535&lt;VLOOKUP(L$5,NFI,5,0),1,0)*Table_NFI[[#This Row],[Tarpaulin]],Table_NFI[[#This Row],[Tarpaulin]])</f>
        <v>0</v>
      </c>
      <c r="AB535" s="436">
        <f>IF(NFI_Expiration=1,IF($A535&lt;VLOOKUP(M$5,NFI,5,0),1,0)*Table_NFI[[#This Row],[Blanket]],Table_NFI[[#This Row],[Blanket]])</f>
        <v>0</v>
      </c>
      <c r="AC535" s="436">
        <f>IF(NFI_Expiration=1,IF($A535&lt;VLOOKUP(N$5,NFI,5,0),1,0)*Table_NFI[[#This Row],[Kitchen Set]],Table_NFI[Kitchen Set])</f>
        <v>0</v>
      </c>
      <c r="AD535" s="436">
        <f>IF(NFI_Expiration=1,IF($A535&lt;VLOOKUP(O$5,NFI,5,0),1,0)*Table_NFI[[#This Row],[Clothes Kit]],Table_NFI[Clothes Kit])</f>
        <v>0</v>
      </c>
      <c r="AE535" s="436">
        <f>IF(NFI_Expiration=1,IF($A535&lt;VLOOKUP(P$5,NFI,5,0),1,0)*Table_NFI[[#This Row],[Plastic Bucket]],Table_NFI[Plastic Bucket])</f>
        <v>0</v>
      </c>
      <c r="AF535" s="436">
        <f>IF(NFI_Expiration=1,IF($A535&lt;VLOOKUP(Q$5,NFI,5,0),1,0)*Table_NFI[[#This Row],[Plastic Mat]],Table_NFI[Plastic Mat])*IF(Table_NFI[[#This Row],[Distribution Date]]&gt;"2014-04-01",1,2.5)</f>
        <v>0</v>
      </c>
      <c r="AG535" s="436">
        <f>IF(NFI_Expiration=1,IF($A535&lt;VLOOKUP(R$5,NFI,5,0),1,0)*Table_NFI[[#This Row],[Winter Clothes Adult]],Table_NFI[Winter Clothes Adult])</f>
        <v>0</v>
      </c>
      <c r="AH535" s="436">
        <f>IF(NFI_Expiration=1,IF($A535&lt;VLOOKUP(S$5,NFI,5,0),1,0)*Table_NFI[[#This Row],[Winter Clothes Children]],Table_NFI[Winter Clothes Children])</f>
        <v>0</v>
      </c>
      <c r="AI535" s="436">
        <f>IF(NFI_Expiration=1,IF($A535&lt;VLOOKUP(T$5,NFI,5,0),1,0)*Table_NFI[[#This Row],[Winter Items Other]],Table_NFI[Winter Items Other])</f>
        <v>0</v>
      </c>
      <c r="AJ535" s="436">
        <f>IF(NFI_Expiration=1,IF($A535&lt;VLOOKUP(M$5,NFI,5,0),1,0)*Table_NFI[[#This Row],[Winter Blanket]],Table_NFI[[#This Row],[Winter Blanket]])</f>
        <v>0</v>
      </c>
      <c r="AK535" s="436">
        <f>IF(Table_NFI[[#This Row],[Winter Clothes Adult]]+Table_NFI[[#This Row],[Winter Clothes Children]]+Table_NFI[[#This Row],[Winter Items Other]]+Table_NFI[[#This Row],[Winter Blanket]]&gt;0,1,0)</f>
        <v>0</v>
      </c>
      <c r="AL535" s="439">
        <f>IF(NFI_Expiration=1,IF($A535&lt;VLOOKUP(V$5,NFI,5,0),1,0)*Table_NFI[[#This Row],[Jerry Can]],Table_NFI[Jerry Can])</f>
        <v>0</v>
      </c>
      <c r="AM535" s="781" t="str">
        <f>IFERROR(VLOOKUP(Table_NFI[[#This Row],[Camp Name]],CL,2,0),"")</f>
        <v>MMR001CMP032</v>
      </c>
      <c r="AN535" s="782">
        <f ca="1">IF(Table_NFI[[#This Row],[Pcode]]="","",IF(OFFSET(CampList[Opening Date],MATCH(Table_NFI[[#This Row],[Pcode]],CampList[CP_Pcode],0)-1,0,1,1)&gt;=NFI_Monitor_Date,1,0))</f>
        <v>0</v>
      </c>
      <c r="AO535" s="781" t="str">
        <f>IFERROR(VLOOKUP(Table_NFI[[#This Row],[Camp Name]],CL,3,0),"")</f>
        <v>Open</v>
      </c>
      <c r="AP535" s="436" t="str">
        <f ca="1">IF(Table_NFI[[#This Row],[Pcode]]="","",OFFSET(CampList[Priority],MATCH(Table_NFI[[#This Row],[Pcode]],CampList[CP_Pcode],0)-1,0,1,1))</f>
        <v>P4</v>
      </c>
      <c r="AQ535" s="438">
        <f>IFERROR(Table_NFI[[#This Row],[Kitchen Set]]/VLOOKUP(Table_NFI[[#This Row],[Camp Name]],CL,4,0),"")</f>
        <v>0.10638297872340426</v>
      </c>
      <c r="AR535" s="779" t="s">
        <v>1099</v>
      </c>
      <c r="AS535" s="783"/>
    </row>
    <row r="536" spans="1:45" s="784" customFormat="1" x14ac:dyDescent="0.25">
      <c r="A536" s="455">
        <f t="shared" si="8"/>
        <v>29.766666666666666</v>
      </c>
      <c r="B536" s="778">
        <v>41416</v>
      </c>
      <c r="C536" s="779" t="s">
        <v>454</v>
      </c>
      <c r="D536" s="779" t="s">
        <v>454</v>
      </c>
      <c r="E536" s="779" t="s">
        <v>380</v>
      </c>
      <c r="F536" s="435" t="s">
        <v>529</v>
      </c>
      <c r="G536" s="435" t="s">
        <v>140</v>
      </c>
      <c r="H536" s="436"/>
      <c r="I536" s="436"/>
      <c r="J536" s="436">
        <v>42</v>
      </c>
      <c r="K536" s="436">
        <v>66</v>
      </c>
      <c r="L536" s="437">
        <v>28</v>
      </c>
      <c r="M536" s="437">
        <v>66</v>
      </c>
      <c r="N536" s="437">
        <v>28</v>
      </c>
      <c r="O536" s="437">
        <v>28</v>
      </c>
      <c r="P536" s="439">
        <v>28</v>
      </c>
      <c r="Q536" s="439">
        <v>28</v>
      </c>
      <c r="R536" s="436"/>
      <c r="S536" s="436"/>
      <c r="T536" s="436"/>
      <c r="U536" s="436"/>
      <c r="V536" s="436"/>
      <c r="W536" s="436">
        <f>IF(NFI_Expiration=1,IF($A536&lt;VLOOKUP(H$5,NFI,5,0),1,0)*Table_NFI[[#This Row],[Hygiene Kit]],Table_NFI[Hygiene Kit])</f>
        <v>0</v>
      </c>
      <c r="X536" s="436">
        <f>IF(NFI_Expiration=1,IF($A536&lt;VLOOKUP(I$5,NFI,5,0),1,0)*Table_NFI[[#This Row],[NFI Core Kit]],Table_NFI[NFI Core Kit])</f>
        <v>0</v>
      </c>
      <c r="Y536" s="436">
        <f>IF(NFI_Expiration=1,IF($A536&lt;VLOOKUP(J$5,NFI,5,0),1,0)*Table_NFI[[#This Row],[Sanitary Kit]],Table_NFI[Sanitary Kit])</f>
        <v>0</v>
      </c>
      <c r="Z536" s="436">
        <f>IF(NFI_Expiration=1,IF($A536&lt;VLOOKUP(K$5,NFI,5,0),1,0)*Table_NFI[[#This Row],[Mosquito net]],Table_NFI[Mosquito net])</f>
        <v>0</v>
      </c>
      <c r="AA536" s="436">
        <f>IF(NFI_Expiration=1,IF($A536&lt;VLOOKUP(L$5,NFI,5,0),1,0)*Table_NFI[[#This Row],[Tarpaulin]],Table_NFI[[#This Row],[Tarpaulin]])</f>
        <v>0</v>
      </c>
      <c r="AB536" s="436">
        <f>IF(NFI_Expiration=1,IF($A536&lt;VLOOKUP(M$5,NFI,5,0),1,0)*Table_NFI[[#This Row],[Blanket]],Table_NFI[[#This Row],[Blanket]])</f>
        <v>0</v>
      </c>
      <c r="AC536" s="436">
        <f>IF(NFI_Expiration=1,IF($A536&lt;VLOOKUP(N$5,NFI,5,0),1,0)*Table_NFI[[#This Row],[Kitchen Set]],Table_NFI[Kitchen Set])</f>
        <v>0</v>
      </c>
      <c r="AD536" s="436">
        <f>IF(NFI_Expiration=1,IF($A536&lt;VLOOKUP(O$5,NFI,5,0),1,0)*Table_NFI[[#This Row],[Clothes Kit]],Table_NFI[Clothes Kit])</f>
        <v>0</v>
      </c>
      <c r="AE536" s="436">
        <f>IF(NFI_Expiration=1,IF($A536&lt;VLOOKUP(P$5,NFI,5,0),1,0)*Table_NFI[[#This Row],[Plastic Bucket]],Table_NFI[Plastic Bucket])</f>
        <v>0</v>
      </c>
      <c r="AF536" s="436">
        <f>IF(NFI_Expiration=1,IF($A536&lt;VLOOKUP(Q$5,NFI,5,0),1,0)*Table_NFI[[#This Row],[Plastic Mat]],Table_NFI[Plastic Mat])*IF(Table_NFI[[#This Row],[Distribution Date]]&gt;"2014-04-01",1,2.5)</f>
        <v>0</v>
      </c>
      <c r="AG536" s="436">
        <f>IF(NFI_Expiration=1,IF($A536&lt;VLOOKUP(R$5,NFI,5,0),1,0)*Table_NFI[[#This Row],[Winter Clothes Adult]],Table_NFI[Winter Clothes Adult])</f>
        <v>0</v>
      </c>
      <c r="AH536" s="436">
        <f>IF(NFI_Expiration=1,IF($A536&lt;VLOOKUP(S$5,NFI,5,0),1,0)*Table_NFI[[#This Row],[Winter Clothes Children]],Table_NFI[Winter Clothes Children])</f>
        <v>0</v>
      </c>
      <c r="AI536" s="436">
        <f>IF(NFI_Expiration=1,IF($A536&lt;VLOOKUP(T$5,NFI,5,0),1,0)*Table_NFI[[#This Row],[Winter Items Other]],Table_NFI[Winter Items Other])</f>
        <v>0</v>
      </c>
      <c r="AJ536" s="436">
        <f>IF(NFI_Expiration=1,IF($A536&lt;VLOOKUP(M$5,NFI,5,0),1,0)*Table_NFI[[#This Row],[Winter Blanket]],Table_NFI[[#This Row],[Winter Blanket]])</f>
        <v>0</v>
      </c>
      <c r="AK536" s="436">
        <f>IF(Table_NFI[[#This Row],[Winter Clothes Adult]]+Table_NFI[[#This Row],[Winter Clothes Children]]+Table_NFI[[#This Row],[Winter Items Other]]+Table_NFI[[#This Row],[Winter Blanket]]&gt;0,1,0)</f>
        <v>0</v>
      </c>
      <c r="AL536" s="439">
        <f>IF(NFI_Expiration=1,IF($A536&lt;VLOOKUP(V$5,NFI,5,0),1,0)*Table_NFI[[#This Row],[Jerry Can]],Table_NFI[Jerry Can])</f>
        <v>0</v>
      </c>
      <c r="AM536" s="781" t="str">
        <f>IFERROR(VLOOKUP(Table_NFI[[#This Row],[Camp Name]],CL,2,0),"")</f>
        <v>MMR001CMP105</v>
      </c>
      <c r="AN536" s="782">
        <f ca="1">IF(Table_NFI[[#This Row],[Pcode]]="","",IF(OFFSET(CampList[Opening Date],MATCH(Table_NFI[[#This Row],[Pcode]],CampList[CP_Pcode],0)-1,0,1,1)&gt;=NFI_Monitor_Date,1,0))</f>
        <v>0</v>
      </c>
      <c r="AO536" s="781" t="str">
        <f>IFERROR(VLOOKUP(Table_NFI[[#This Row],[Camp Name]],CL,3,0),"")</f>
        <v>Open</v>
      </c>
      <c r="AP536" s="436" t="str">
        <f ca="1">IF(Table_NFI[[#This Row],[Pcode]]="","",OFFSET(CampList[Priority],MATCH(Table_NFI[[#This Row],[Pcode]],CampList[CP_Pcode],0)-1,0,1,1))</f>
        <v>P4</v>
      </c>
      <c r="AQ536" s="438">
        <f>IFERROR(Table_NFI[[#This Row],[Kitchen Set]]/VLOOKUP(Table_NFI[[#This Row],[Camp Name]],CL,4,0),"")</f>
        <v>1.4</v>
      </c>
      <c r="AR536" s="779" t="s">
        <v>1099</v>
      </c>
      <c r="AS536" s="783"/>
    </row>
    <row r="537" spans="1:45" s="784" customFormat="1" x14ac:dyDescent="0.25">
      <c r="A537" s="455">
        <f t="shared" si="8"/>
        <v>29.966666666666665</v>
      </c>
      <c r="B537" s="778">
        <v>41410</v>
      </c>
      <c r="C537" s="779" t="s">
        <v>908</v>
      </c>
      <c r="D537" s="779" t="s">
        <v>508</v>
      </c>
      <c r="E537" s="779" t="s">
        <v>380</v>
      </c>
      <c r="F537" s="779" t="s">
        <v>529</v>
      </c>
      <c r="G537" s="435" t="s">
        <v>916</v>
      </c>
      <c r="H537" s="436">
        <v>394</v>
      </c>
      <c r="I537" s="436"/>
      <c r="J537" s="436"/>
      <c r="K537" s="436"/>
      <c r="L537" s="437"/>
      <c r="M537" s="437"/>
      <c r="N537" s="437"/>
      <c r="O537" s="437"/>
      <c r="P537" s="439"/>
      <c r="Q537" s="439"/>
      <c r="R537" s="436"/>
      <c r="S537" s="436"/>
      <c r="T537" s="436"/>
      <c r="U537" s="436"/>
      <c r="V537" s="436"/>
      <c r="W537" s="436">
        <f>IF(NFI_Expiration=1,IF($A537&lt;VLOOKUP(H$5,NFI,5,0),1,0)*Table_NFI[[#This Row],[Hygiene Kit]],Table_NFI[Hygiene Kit])</f>
        <v>0</v>
      </c>
      <c r="X537" s="436">
        <f>IF(NFI_Expiration=1,IF($A537&lt;VLOOKUP(I$5,NFI,5,0),1,0)*Table_NFI[[#This Row],[NFI Core Kit]],Table_NFI[NFI Core Kit])</f>
        <v>0</v>
      </c>
      <c r="Y537" s="436">
        <f>IF(NFI_Expiration=1,IF($A537&lt;VLOOKUP(J$5,NFI,5,0),1,0)*Table_NFI[[#This Row],[Sanitary Kit]],Table_NFI[Sanitary Kit])</f>
        <v>0</v>
      </c>
      <c r="Z537" s="436">
        <f>IF(NFI_Expiration=1,IF($A537&lt;VLOOKUP(K$5,NFI,5,0),1,0)*Table_NFI[[#This Row],[Mosquito net]],Table_NFI[Mosquito net])</f>
        <v>0</v>
      </c>
      <c r="AA537" s="436">
        <f>IF(NFI_Expiration=1,IF($A537&lt;VLOOKUP(L$5,NFI,5,0),1,0)*Table_NFI[[#This Row],[Tarpaulin]],Table_NFI[[#This Row],[Tarpaulin]])</f>
        <v>0</v>
      </c>
      <c r="AB537" s="436">
        <f>IF(NFI_Expiration=1,IF($A537&lt;VLOOKUP(M$5,NFI,5,0),1,0)*Table_NFI[[#This Row],[Blanket]],Table_NFI[[#This Row],[Blanket]])</f>
        <v>0</v>
      </c>
      <c r="AC537" s="436">
        <f>IF(NFI_Expiration=1,IF($A537&lt;VLOOKUP(N$5,NFI,5,0),1,0)*Table_NFI[[#This Row],[Kitchen Set]],Table_NFI[Kitchen Set])</f>
        <v>0</v>
      </c>
      <c r="AD537" s="436">
        <f>IF(NFI_Expiration=1,IF($A537&lt;VLOOKUP(O$5,NFI,5,0),1,0)*Table_NFI[[#This Row],[Clothes Kit]],Table_NFI[Clothes Kit])</f>
        <v>0</v>
      </c>
      <c r="AE537" s="436">
        <f>IF(NFI_Expiration=1,IF($A537&lt;VLOOKUP(P$5,NFI,5,0),1,0)*Table_NFI[[#This Row],[Plastic Bucket]],Table_NFI[Plastic Bucket])</f>
        <v>0</v>
      </c>
      <c r="AF537" s="436">
        <f>IF(NFI_Expiration=1,IF($A537&lt;VLOOKUP(Q$5,NFI,5,0),1,0)*Table_NFI[[#This Row],[Plastic Mat]],Table_NFI[Plastic Mat])*IF(Table_NFI[[#This Row],[Distribution Date]]&gt;"2014-04-01",1,2.5)</f>
        <v>0</v>
      </c>
      <c r="AG537" s="436">
        <f>IF(NFI_Expiration=1,IF($A537&lt;VLOOKUP(R$5,NFI,5,0),1,0)*Table_NFI[[#This Row],[Winter Clothes Adult]],Table_NFI[Winter Clothes Adult])</f>
        <v>0</v>
      </c>
      <c r="AH537" s="436">
        <f>IF(NFI_Expiration=1,IF($A537&lt;VLOOKUP(S$5,NFI,5,0),1,0)*Table_NFI[[#This Row],[Winter Clothes Children]],Table_NFI[Winter Clothes Children])</f>
        <v>0</v>
      </c>
      <c r="AI537" s="436">
        <f>IF(NFI_Expiration=1,IF($A537&lt;VLOOKUP(T$5,NFI,5,0),1,0)*Table_NFI[[#This Row],[Winter Items Other]],Table_NFI[Winter Items Other])</f>
        <v>0</v>
      </c>
      <c r="AJ537" s="436">
        <f>IF(NFI_Expiration=1,IF($A537&lt;VLOOKUP(M$5,NFI,5,0),1,0)*Table_NFI[[#This Row],[Winter Blanket]],Table_NFI[[#This Row],[Winter Blanket]])</f>
        <v>0</v>
      </c>
      <c r="AK537" s="436">
        <f>IF(Table_NFI[[#This Row],[Winter Clothes Adult]]+Table_NFI[[#This Row],[Winter Clothes Children]]+Table_NFI[[#This Row],[Winter Items Other]]+Table_NFI[[#This Row],[Winter Blanket]]&gt;0,1,0)</f>
        <v>0</v>
      </c>
      <c r="AL537" s="439">
        <f>IF(NFI_Expiration=1,IF($A537&lt;VLOOKUP(V$5,NFI,5,0),1,0)*Table_NFI[[#This Row],[Jerry Can]],Table_NFI[Jerry Can])</f>
        <v>0</v>
      </c>
      <c r="AM537" s="781" t="str">
        <f>IFERROR(VLOOKUP(Table_NFI[[#This Row],[Camp Name]],CL,2,0),"")</f>
        <v/>
      </c>
      <c r="AN537" s="782" t="str">
        <f ca="1">IF(Table_NFI[[#This Row],[Pcode]]="","",IF(OFFSET(CampList[Opening Date],MATCH(Table_NFI[[#This Row],[Pcode]],CampList[CP_Pcode],0)-1,0,1,1)&gt;=NFI_Monitor_Date,1,0))</f>
        <v/>
      </c>
      <c r="AO537" s="781" t="str">
        <f>IFERROR(VLOOKUP(Table_NFI[[#This Row],[Camp Name]],CL,3,0),"")</f>
        <v/>
      </c>
      <c r="AP537" s="436" t="str">
        <f ca="1">IF(Table_NFI[[#This Row],[Pcode]]="","",OFFSET(CampList[Priority],MATCH(Table_NFI[[#This Row],[Pcode]],CampList[CP_Pcode],0)-1,0,1,1))</f>
        <v/>
      </c>
      <c r="AQ537" s="438" t="str">
        <f>IFERROR(Table_NFI[[#This Row],[Kitchen Set]]/VLOOKUP(Table_NFI[[#This Row],[Camp Name]],CL,4,0),"")</f>
        <v/>
      </c>
      <c r="AR537" s="779" t="s">
        <v>1099</v>
      </c>
      <c r="AS537" s="783"/>
    </row>
    <row r="538" spans="1:45" s="784" customFormat="1" x14ac:dyDescent="0.25">
      <c r="A538" s="455">
        <f t="shared" si="8"/>
        <v>29.966666666666665</v>
      </c>
      <c r="B538" s="778">
        <v>41410</v>
      </c>
      <c r="C538" s="779" t="s">
        <v>908</v>
      </c>
      <c r="D538" s="779" t="s">
        <v>508</v>
      </c>
      <c r="E538" s="779" t="s">
        <v>380</v>
      </c>
      <c r="F538" s="435" t="s">
        <v>529</v>
      </c>
      <c r="G538" s="435" t="s">
        <v>108</v>
      </c>
      <c r="H538" s="436">
        <v>423</v>
      </c>
      <c r="I538" s="436"/>
      <c r="J538" s="436"/>
      <c r="K538" s="436"/>
      <c r="L538" s="437"/>
      <c r="M538" s="437"/>
      <c r="N538" s="437"/>
      <c r="O538" s="437"/>
      <c r="P538" s="439"/>
      <c r="Q538" s="439"/>
      <c r="R538" s="436"/>
      <c r="S538" s="436"/>
      <c r="T538" s="436"/>
      <c r="U538" s="436"/>
      <c r="V538" s="436"/>
      <c r="W538" s="436">
        <f>IF(NFI_Expiration=1,IF($A538&lt;VLOOKUP(H$5,NFI,5,0),1,0)*Table_NFI[[#This Row],[Hygiene Kit]],Table_NFI[Hygiene Kit])</f>
        <v>0</v>
      </c>
      <c r="X538" s="436">
        <f>IF(NFI_Expiration=1,IF($A538&lt;VLOOKUP(I$5,NFI,5,0),1,0)*Table_NFI[[#This Row],[NFI Core Kit]],Table_NFI[NFI Core Kit])</f>
        <v>0</v>
      </c>
      <c r="Y538" s="436">
        <f>IF(NFI_Expiration=1,IF($A538&lt;VLOOKUP(J$5,NFI,5,0),1,0)*Table_NFI[[#This Row],[Sanitary Kit]],Table_NFI[Sanitary Kit])</f>
        <v>0</v>
      </c>
      <c r="Z538" s="436">
        <f>IF(NFI_Expiration=1,IF($A538&lt;VLOOKUP(K$5,NFI,5,0),1,0)*Table_NFI[[#This Row],[Mosquito net]],Table_NFI[Mosquito net])</f>
        <v>0</v>
      </c>
      <c r="AA538" s="436">
        <f>IF(NFI_Expiration=1,IF($A538&lt;VLOOKUP(L$5,NFI,5,0),1,0)*Table_NFI[[#This Row],[Tarpaulin]],Table_NFI[[#This Row],[Tarpaulin]])</f>
        <v>0</v>
      </c>
      <c r="AB538" s="436">
        <f>IF(NFI_Expiration=1,IF($A538&lt;VLOOKUP(M$5,NFI,5,0),1,0)*Table_NFI[[#This Row],[Blanket]],Table_NFI[[#This Row],[Blanket]])</f>
        <v>0</v>
      </c>
      <c r="AC538" s="436">
        <f>IF(NFI_Expiration=1,IF($A538&lt;VLOOKUP(N$5,NFI,5,0),1,0)*Table_NFI[[#This Row],[Kitchen Set]],Table_NFI[Kitchen Set])</f>
        <v>0</v>
      </c>
      <c r="AD538" s="436">
        <f>IF(NFI_Expiration=1,IF($A538&lt;VLOOKUP(O$5,NFI,5,0),1,0)*Table_NFI[[#This Row],[Clothes Kit]],Table_NFI[Clothes Kit])</f>
        <v>0</v>
      </c>
      <c r="AE538" s="436">
        <f>IF(NFI_Expiration=1,IF($A538&lt;VLOOKUP(P$5,NFI,5,0),1,0)*Table_NFI[[#This Row],[Plastic Bucket]],Table_NFI[Plastic Bucket])</f>
        <v>0</v>
      </c>
      <c r="AF538" s="436">
        <f>IF(NFI_Expiration=1,IF($A538&lt;VLOOKUP(Q$5,NFI,5,0),1,0)*Table_NFI[[#This Row],[Plastic Mat]],Table_NFI[Plastic Mat])*IF(Table_NFI[[#This Row],[Distribution Date]]&gt;"2014-04-01",1,2.5)</f>
        <v>0</v>
      </c>
      <c r="AG538" s="436">
        <f>IF(NFI_Expiration=1,IF($A538&lt;VLOOKUP(R$5,NFI,5,0),1,0)*Table_NFI[[#This Row],[Winter Clothes Adult]],Table_NFI[Winter Clothes Adult])</f>
        <v>0</v>
      </c>
      <c r="AH538" s="436">
        <f>IF(NFI_Expiration=1,IF($A538&lt;VLOOKUP(S$5,NFI,5,0),1,0)*Table_NFI[[#This Row],[Winter Clothes Children]],Table_NFI[Winter Clothes Children])</f>
        <v>0</v>
      </c>
      <c r="AI538" s="436">
        <f>IF(NFI_Expiration=1,IF($A538&lt;VLOOKUP(T$5,NFI,5,0),1,0)*Table_NFI[[#This Row],[Winter Items Other]],Table_NFI[Winter Items Other])</f>
        <v>0</v>
      </c>
      <c r="AJ538" s="436">
        <f>IF(NFI_Expiration=1,IF($A538&lt;VLOOKUP(M$5,NFI,5,0),1,0)*Table_NFI[[#This Row],[Winter Blanket]],Table_NFI[[#This Row],[Winter Blanket]])</f>
        <v>0</v>
      </c>
      <c r="AK538" s="436">
        <f>IF(Table_NFI[[#This Row],[Winter Clothes Adult]]+Table_NFI[[#This Row],[Winter Clothes Children]]+Table_NFI[[#This Row],[Winter Items Other]]+Table_NFI[[#This Row],[Winter Blanket]]&gt;0,1,0)</f>
        <v>0</v>
      </c>
      <c r="AL538" s="439">
        <f>IF(NFI_Expiration=1,IF($A538&lt;VLOOKUP(V$5,NFI,5,0),1,0)*Table_NFI[[#This Row],[Jerry Can]],Table_NFI[Jerry Can])</f>
        <v>0</v>
      </c>
      <c r="AM538" s="781" t="str">
        <f>IFERROR(VLOOKUP(Table_NFI[[#This Row],[Camp Name]],CL,2,0),"")</f>
        <v>MMR001CMP103</v>
      </c>
      <c r="AN538" s="782">
        <f ca="1">IF(Table_NFI[[#This Row],[Pcode]]="","",IF(OFFSET(CampList[Opening Date],MATCH(Table_NFI[[#This Row],[Pcode]],CampList[CP_Pcode],0)-1,0,1,1)&gt;=NFI_Monitor_Date,1,0))</f>
        <v>0</v>
      </c>
      <c r="AO538" s="781" t="str">
        <f>IFERROR(VLOOKUP(Table_NFI[[#This Row],[Camp Name]],CL,3,0),"")</f>
        <v>Open</v>
      </c>
      <c r="AP538" s="436" t="str">
        <f ca="1">IF(Table_NFI[[#This Row],[Pcode]]="","",OFFSET(CampList[Priority],MATCH(Table_NFI[[#This Row],[Pcode]],CampList[CP_Pcode],0)-1,0,1,1))</f>
        <v>P4</v>
      </c>
      <c r="AQ538" s="438">
        <f>IFERROR(Table_NFI[[#This Row],[Kitchen Set]]/VLOOKUP(Table_NFI[[#This Row],[Camp Name]],CL,4,0),"")</f>
        <v>0</v>
      </c>
      <c r="AR538" s="779" t="s">
        <v>1099</v>
      </c>
      <c r="AS538" s="783"/>
    </row>
    <row r="539" spans="1:45" s="784" customFormat="1" x14ac:dyDescent="0.25">
      <c r="A539" s="455">
        <f t="shared" si="8"/>
        <v>29.966666666666665</v>
      </c>
      <c r="B539" s="778">
        <v>41410</v>
      </c>
      <c r="C539" s="779" t="s">
        <v>908</v>
      </c>
      <c r="D539" s="780" t="s">
        <v>508</v>
      </c>
      <c r="E539" s="779" t="s">
        <v>380</v>
      </c>
      <c r="F539" s="435" t="s">
        <v>529</v>
      </c>
      <c r="G539" s="435" t="s">
        <v>64</v>
      </c>
      <c r="H539" s="436">
        <v>103</v>
      </c>
      <c r="I539" s="436"/>
      <c r="J539" s="436"/>
      <c r="K539" s="436"/>
      <c r="L539" s="437"/>
      <c r="M539" s="437"/>
      <c r="N539" s="437"/>
      <c r="O539" s="437"/>
      <c r="P539" s="437"/>
      <c r="Q539" s="437"/>
      <c r="R539" s="436"/>
      <c r="S539" s="436"/>
      <c r="T539" s="436"/>
      <c r="U539" s="436"/>
      <c r="V539" s="436"/>
      <c r="W539" s="436">
        <f>IF(NFI_Expiration=1,IF($A539&lt;VLOOKUP(H$5,NFI,5,0),1,0)*Table_NFI[[#This Row],[Hygiene Kit]],Table_NFI[Hygiene Kit])</f>
        <v>0</v>
      </c>
      <c r="X539" s="436">
        <f>IF(NFI_Expiration=1,IF($A539&lt;VLOOKUP(I$5,NFI,5,0),1,0)*Table_NFI[[#This Row],[NFI Core Kit]],Table_NFI[NFI Core Kit])</f>
        <v>0</v>
      </c>
      <c r="Y539" s="436">
        <f>IF(NFI_Expiration=1,IF($A539&lt;VLOOKUP(J$5,NFI,5,0),1,0)*Table_NFI[[#This Row],[Sanitary Kit]],Table_NFI[Sanitary Kit])</f>
        <v>0</v>
      </c>
      <c r="Z539" s="436">
        <f>IF(NFI_Expiration=1,IF($A539&lt;VLOOKUP(K$5,NFI,5,0),1,0)*Table_NFI[[#This Row],[Mosquito net]],Table_NFI[Mosquito net])</f>
        <v>0</v>
      </c>
      <c r="AA539" s="436">
        <f>IF(NFI_Expiration=1,IF($A539&lt;VLOOKUP(L$5,NFI,5,0),1,0)*Table_NFI[[#This Row],[Tarpaulin]],Table_NFI[[#This Row],[Tarpaulin]])</f>
        <v>0</v>
      </c>
      <c r="AB539" s="436">
        <f>IF(NFI_Expiration=1,IF($A539&lt;VLOOKUP(M$5,NFI,5,0),1,0)*Table_NFI[[#This Row],[Blanket]],Table_NFI[[#This Row],[Blanket]])</f>
        <v>0</v>
      </c>
      <c r="AC539" s="436">
        <f>IF(NFI_Expiration=1,IF($A539&lt;VLOOKUP(N$5,NFI,5,0),1,0)*Table_NFI[[#This Row],[Kitchen Set]],Table_NFI[Kitchen Set])</f>
        <v>0</v>
      </c>
      <c r="AD539" s="436">
        <f>IF(NFI_Expiration=1,IF($A539&lt;VLOOKUP(O$5,NFI,5,0),1,0)*Table_NFI[[#This Row],[Clothes Kit]],Table_NFI[Clothes Kit])</f>
        <v>0</v>
      </c>
      <c r="AE539" s="436">
        <f>IF(NFI_Expiration=1,IF($A539&lt;VLOOKUP(P$5,NFI,5,0),1,0)*Table_NFI[[#This Row],[Plastic Bucket]],Table_NFI[Plastic Bucket])</f>
        <v>0</v>
      </c>
      <c r="AF539" s="436">
        <f>IF(NFI_Expiration=1,IF($A539&lt;VLOOKUP(Q$5,NFI,5,0),1,0)*Table_NFI[[#This Row],[Plastic Mat]],Table_NFI[Plastic Mat])*IF(Table_NFI[[#This Row],[Distribution Date]]&gt;"2014-04-01",1,2.5)</f>
        <v>0</v>
      </c>
      <c r="AG539" s="436">
        <f>IF(NFI_Expiration=1,IF($A539&lt;VLOOKUP(R$5,NFI,5,0),1,0)*Table_NFI[[#This Row],[Winter Clothes Adult]],Table_NFI[Winter Clothes Adult])</f>
        <v>0</v>
      </c>
      <c r="AH539" s="436">
        <f>IF(NFI_Expiration=1,IF($A539&lt;VLOOKUP(S$5,NFI,5,0),1,0)*Table_NFI[[#This Row],[Winter Clothes Children]],Table_NFI[Winter Clothes Children])</f>
        <v>0</v>
      </c>
      <c r="AI539" s="436">
        <f>IF(NFI_Expiration=1,IF($A539&lt;VLOOKUP(T$5,NFI,5,0),1,0)*Table_NFI[[#This Row],[Winter Items Other]],Table_NFI[Winter Items Other])</f>
        <v>0</v>
      </c>
      <c r="AJ539" s="436">
        <f>IF(NFI_Expiration=1,IF($A539&lt;VLOOKUP(M$5,NFI,5,0),1,0)*Table_NFI[[#This Row],[Winter Blanket]],Table_NFI[[#This Row],[Winter Blanket]])</f>
        <v>0</v>
      </c>
      <c r="AK539" s="436">
        <f>IF(Table_NFI[[#This Row],[Winter Clothes Adult]]+Table_NFI[[#This Row],[Winter Clothes Children]]+Table_NFI[[#This Row],[Winter Items Other]]+Table_NFI[[#This Row],[Winter Blanket]]&gt;0,1,0)</f>
        <v>0</v>
      </c>
      <c r="AL539" s="439">
        <f>IF(NFI_Expiration=1,IF($A539&lt;VLOOKUP(V$5,NFI,5,0),1,0)*Table_NFI[[#This Row],[Jerry Can]],Table_NFI[Jerry Can])</f>
        <v>0</v>
      </c>
      <c r="AM539" s="781" t="str">
        <f>IFERROR(VLOOKUP(Table_NFI[[#This Row],[Camp Name]],CL,2,0),"")</f>
        <v>MMR001CMP185</v>
      </c>
      <c r="AN539" s="782">
        <f ca="1">IF(Table_NFI[[#This Row],[Pcode]]="","",IF(OFFSET(CampList[Opening Date],MATCH(Table_NFI[[#This Row],[Pcode]],CampList[CP_Pcode],0)-1,0,1,1)&gt;=NFI_Monitor_Date,1,0))</f>
        <v>0</v>
      </c>
      <c r="AO539" s="781" t="str">
        <f>IFERROR(VLOOKUP(Table_NFI[[#This Row],[Camp Name]],CL,3,0),"")</f>
        <v>Closed</v>
      </c>
      <c r="AP539" s="436" t="str">
        <f ca="1">IF(Table_NFI[[#This Row],[Pcode]]="","",OFFSET(CampList[Priority],MATCH(Table_NFI[[#This Row],[Pcode]],CampList[CP_Pcode],0)-1,0,1,1))</f>
        <v/>
      </c>
      <c r="AQ539" s="438" t="str">
        <f>IFERROR(Table_NFI[[#This Row],[Kitchen Set]]/VLOOKUP(Table_NFI[[#This Row],[Camp Name]],CL,4,0),"")</f>
        <v/>
      </c>
      <c r="AR539" s="779" t="s">
        <v>1099</v>
      </c>
      <c r="AS539" s="783"/>
    </row>
    <row r="540" spans="1:45" s="784" customFormat="1" x14ac:dyDescent="0.25">
      <c r="A540" s="455">
        <f t="shared" si="8"/>
        <v>30.033333333333335</v>
      </c>
      <c r="B540" s="778">
        <v>41408</v>
      </c>
      <c r="C540" s="779" t="s">
        <v>908</v>
      </c>
      <c r="D540" s="779" t="s">
        <v>508</v>
      </c>
      <c r="E540" s="779" t="s">
        <v>380</v>
      </c>
      <c r="F540" s="779" t="s">
        <v>310</v>
      </c>
      <c r="G540" s="435" t="s">
        <v>334</v>
      </c>
      <c r="H540" s="436">
        <v>604</v>
      </c>
      <c r="I540" s="436"/>
      <c r="J540" s="436"/>
      <c r="K540" s="436"/>
      <c r="L540" s="437"/>
      <c r="M540" s="437"/>
      <c r="N540" s="437"/>
      <c r="O540" s="437"/>
      <c r="P540" s="437"/>
      <c r="Q540" s="437"/>
      <c r="R540" s="436"/>
      <c r="S540" s="436"/>
      <c r="T540" s="436"/>
      <c r="U540" s="436"/>
      <c r="V540" s="436"/>
      <c r="W540" s="436">
        <f>IF(NFI_Expiration=1,IF($A540&lt;VLOOKUP(H$5,NFI,5,0),1,0)*Table_NFI[[#This Row],[Hygiene Kit]],Table_NFI[Hygiene Kit])</f>
        <v>0</v>
      </c>
      <c r="X540" s="436">
        <f>IF(NFI_Expiration=1,IF($A540&lt;VLOOKUP(I$5,NFI,5,0),1,0)*Table_NFI[[#This Row],[NFI Core Kit]],Table_NFI[NFI Core Kit])</f>
        <v>0</v>
      </c>
      <c r="Y540" s="436">
        <f>IF(NFI_Expiration=1,IF($A540&lt;VLOOKUP(J$5,NFI,5,0),1,0)*Table_NFI[[#This Row],[Sanitary Kit]],Table_NFI[Sanitary Kit])</f>
        <v>0</v>
      </c>
      <c r="Z540" s="436">
        <f>IF(NFI_Expiration=1,IF($A540&lt;VLOOKUP(K$5,NFI,5,0),1,0)*Table_NFI[[#This Row],[Mosquito net]],Table_NFI[Mosquito net])</f>
        <v>0</v>
      </c>
      <c r="AA540" s="436">
        <f>IF(NFI_Expiration=1,IF($A540&lt;VLOOKUP(L$5,NFI,5,0),1,0)*Table_NFI[[#This Row],[Tarpaulin]],Table_NFI[[#This Row],[Tarpaulin]])</f>
        <v>0</v>
      </c>
      <c r="AB540" s="436">
        <f>IF(NFI_Expiration=1,IF($A540&lt;VLOOKUP(M$5,NFI,5,0),1,0)*Table_NFI[[#This Row],[Blanket]],Table_NFI[[#This Row],[Blanket]])</f>
        <v>0</v>
      </c>
      <c r="AC540" s="436">
        <f>IF(NFI_Expiration=1,IF($A540&lt;VLOOKUP(N$5,NFI,5,0),1,0)*Table_NFI[[#This Row],[Kitchen Set]],Table_NFI[Kitchen Set])</f>
        <v>0</v>
      </c>
      <c r="AD540" s="436">
        <f>IF(NFI_Expiration=1,IF($A540&lt;VLOOKUP(O$5,NFI,5,0),1,0)*Table_NFI[[#This Row],[Clothes Kit]],Table_NFI[Clothes Kit])</f>
        <v>0</v>
      </c>
      <c r="AE540" s="436">
        <f>IF(NFI_Expiration=1,IF($A540&lt;VLOOKUP(P$5,NFI,5,0),1,0)*Table_NFI[[#This Row],[Plastic Bucket]],Table_NFI[Plastic Bucket])</f>
        <v>0</v>
      </c>
      <c r="AF540" s="436">
        <f>IF(NFI_Expiration=1,IF($A540&lt;VLOOKUP(Q$5,NFI,5,0),1,0)*Table_NFI[[#This Row],[Plastic Mat]],Table_NFI[Plastic Mat])*IF(Table_NFI[[#This Row],[Distribution Date]]&gt;"2014-04-01",1,2.5)</f>
        <v>0</v>
      </c>
      <c r="AG540" s="436">
        <f>IF(NFI_Expiration=1,IF($A540&lt;VLOOKUP(R$5,NFI,5,0),1,0)*Table_NFI[[#This Row],[Winter Clothes Adult]],Table_NFI[Winter Clothes Adult])</f>
        <v>0</v>
      </c>
      <c r="AH540" s="436">
        <f>IF(NFI_Expiration=1,IF($A540&lt;VLOOKUP(S$5,NFI,5,0),1,0)*Table_NFI[[#This Row],[Winter Clothes Children]],Table_NFI[Winter Clothes Children])</f>
        <v>0</v>
      </c>
      <c r="AI540" s="436">
        <f>IF(NFI_Expiration=1,IF($A540&lt;VLOOKUP(T$5,NFI,5,0),1,0)*Table_NFI[[#This Row],[Winter Items Other]],Table_NFI[Winter Items Other])</f>
        <v>0</v>
      </c>
      <c r="AJ540" s="436">
        <f>IF(NFI_Expiration=1,IF($A540&lt;VLOOKUP(M$5,NFI,5,0),1,0)*Table_NFI[[#This Row],[Winter Blanket]],Table_NFI[[#This Row],[Winter Blanket]])</f>
        <v>0</v>
      </c>
      <c r="AK540" s="436">
        <f>IF(Table_NFI[[#This Row],[Winter Clothes Adult]]+Table_NFI[[#This Row],[Winter Clothes Children]]+Table_NFI[[#This Row],[Winter Items Other]]+Table_NFI[[#This Row],[Winter Blanket]]&gt;0,1,0)</f>
        <v>0</v>
      </c>
      <c r="AL540" s="439">
        <f>IF(NFI_Expiration=1,IF($A540&lt;VLOOKUP(V$5,NFI,5,0),1,0)*Table_NFI[[#This Row],[Jerry Can]],Table_NFI[Jerry Can])</f>
        <v>0</v>
      </c>
      <c r="AM540" s="781" t="str">
        <f>IFERROR(VLOOKUP(Table_NFI[[#This Row],[Camp Name]],CL,2,0),"")</f>
        <v>MMR001CMP113</v>
      </c>
      <c r="AN540" s="782">
        <f ca="1">IF(Table_NFI[[#This Row],[Pcode]]="","",IF(OFFSET(CampList[Opening Date],MATCH(Table_NFI[[#This Row],[Pcode]],CampList[CP_Pcode],0)-1,0,1,1)&gt;=NFI_Monitor_Date,1,0))</f>
        <v>0</v>
      </c>
      <c r="AO540" s="781" t="str">
        <f>IFERROR(VLOOKUP(Table_NFI[[#This Row],[Camp Name]],CL,3,0),"")</f>
        <v>Open</v>
      </c>
      <c r="AP540" s="436" t="str">
        <f ca="1">IF(Table_NFI[[#This Row],[Pcode]]="","",OFFSET(CampList[Priority],MATCH(Table_NFI[[#This Row],[Pcode]],CampList[CP_Pcode],0)-1,0,1,1))</f>
        <v>P1</v>
      </c>
      <c r="AQ540" s="438">
        <f>IFERROR(Table_NFI[[#This Row],[Kitchen Set]]/VLOOKUP(Table_NFI[[#This Row],[Camp Name]],CL,4,0),"")</f>
        <v>0</v>
      </c>
      <c r="AR540" s="779" t="s">
        <v>1099</v>
      </c>
      <c r="AS540" s="783"/>
    </row>
    <row r="541" spans="1:45" s="784" customFormat="1" x14ac:dyDescent="0.25">
      <c r="A541" s="455">
        <f t="shared" si="8"/>
        <v>30.133333333333333</v>
      </c>
      <c r="B541" s="778">
        <v>41405</v>
      </c>
      <c r="C541" s="779" t="s">
        <v>908</v>
      </c>
      <c r="D541" s="780" t="s">
        <v>508</v>
      </c>
      <c r="E541" s="779" t="s">
        <v>380</v>
      </c>
      <c r="F541" s="435" t="s">
        <v>310</v>
      </c>
      <c r="G541" s="435" t="s">
        <v>355</v>
      </c>
      <c r="H541" s="436">
        <v>490</v>
      </c>
      <c r="I541" s="436"/>
      <c r="J541" s="436"/>
      <c r="K541" s="436"/>
      <c r="L541" s="437"/>
      <c r="M541" s="437"/>
      <c r="N541" s="437"/>
      <c r="O541" s="437"/>
      <c r="P541" s="437"/>
      <c r="Q541" s="437"/>
      <c r="R541" s="436"/>
      <c r="S541" s="436"/>
      <c r="T541" s="436"/>
      <c r="U541" s="436"/>
      <c r="V541" s="436"/>
      <c r="W541" s="436">
        <f>IF(NFI_Expiration=1,IF($A541&lt;VLOOKUP(H$5,NFI,5,0),1,0)*Table_NFI[[#This Row],[Hygiene Kit]],Table_NFI[Hygiene Kit])</f>
        <v>0</v>
      </c>
      <c r="X541" s="436">
        <f>IF(NFI_Expiration=1,IF($A541&lt;VLOOKUP(I$5,NFI,5,0),1,0)*Table_NFI[[#This Row],[NFI Core Kit]],Table_NFI[NFI Core Kit])</f>
        <v>0</v>
      </c>
      <c r="Y541" s="436">
        <f>IF(NFI_Expiration=1,IF($A541&lt;VLOOKUP(J$5,NFI,5,0),1,0)*Table_NFI[[#This Row],[Sanitary Kit]],Table_NFI[Sanitary Kit])</f>
        <v>0</v>
      </c>
      <c r="Z541" s="436">
        <f>IF(NFI_Expiration=1,IF($A541&lt;VLOOKUP(K$5,NFI,5,0),1,0)*Table_NFI[[#This Row],[Mosquito net]],Table_NFI[Mosquito net])</f>
        <v>0</v>
      </c>
      <c r="AA541" s="436">
        <f>IF(NFI_Expiration=1,IF($A541&lt;VLOOKUP(L$5,NFI,5,0),1,0)*Table_NFI[[#This Row],[Tarpaulin]],Table_NFI[[#This Row],[Tarpaulin]])</f>
        <v>0</v>
      </c>
      <c r="AB541" s="436">
        <f>IF(NFI_Expiration=1,IF($A541&lt;VLOOKUP(M$5,NFI,5,0),1,0)*Table_NFI[[#This Row],[Blanket]],Table_NFI[[#This Row],[Blanket]])</f>
        <v>0</v>
      </c>
      <c r="AC541" s="436">
        <f>IF(NFI_Expiration=1,IF($A541&lt;VLOOKUP(N$5,NFI,5,0),1,0)*Table_NFI[[#This Row],[Kitchen Set]],Table_NFI[Kitchen Set])</f>
        <v>0</v>
      </c>
      <c r="AD541" s="436">
        <f>IF(NFI_Expiration=1,IF($A541&lt;VLOOKUP(O$5,NFI,5,0),1,0)*Table_NFI[[#This Row],[Clothes Kit]],Table_NFI[Clothes Kit])</f>
        <v>0</v>
      </c>
      <c r="AE541" s="436">
        <f>IF(NFI_Expiration=1,IF($A541&lt;VLOOKUP(P$5,NFI,5,0),1,0)*Table_NFI[[#This Row],[Plastic Bucket]],Table_NFI[Plastic Bucket])</f>
        <v>0</v>
      </c>
      <c r="AF541" s="436">
        <f>IF(NFI_Expiration=1,IF($A541&lt;VLOOKUP(Q$5,NFI,5,0),1,0)*Table_NFI[[#This Row],[Plastic Mat]],Table_NFI[Plastic Mat])*IF(Table_NFI[[#This Row],[Distribution Date]]&gt;"2014-04-01",1,2.5)</f>
        <v>0</v>
      </c>
      <c r="AG541" s="436">
        <f>IF(NFI_Expiration=1,IF($A541&lt;VLOOKUP(R$5,NFI,5,0),1,0)*Table_NFI[[#This Row],[Winter Clothes Adult]],Table_NFI[Winter Clothes Adult])</f>
        <v>0</v>
      </c>
      <c r="AH541" s="436">
        <f>IF(NFI_Expiration=1,IF($A541&lt;VLOOKUP(S$5,NFI,5,0),1,0)*Table_NFI[[#This Row],[Winter Clothes Children]],Table_NFI[Winter Clothes Children])</f>
        <v>0</v>
      </c>
      <c r="AI541" s="436">
        <f>IF(NFI_Expiration=1,IF($A541&lt;VLOOKUP(T$5,NFI,5,0),1,0)*Table_NFI[[#This Row],[Winter Items Other]],Table_NFI[Winter Items Other])</f>
        <v>0</v>
      </c>
      <c r="AJ541" s="436">
        <f>IF(NFI_Expiration=1,IF($A541&lt;VLOOKUP(M$5,NFI,5,0),1,0)*Table_NFI[[#This Row],[Winter Blanket]],Table_NFI[[#This Row],[Winter Blanket]])</f>
        <v>0</v>
      </c>
      <c r="AK541" s="436">
        <f>IF(Table_NFI[[#This Row],[Winter Clothes Adult]]+Table_NFI[[#This Row],[Winter Clothes Children]]+Table_NFI[[#This Row],[Winter Items Other]]+Table_NFI[[#This Row],[Winter Blanket]]&gt;0,1,0)</f>
        <v>0</v>
      </c>
      <c r="AL541" s="439">
        <f>IF(NFI_Expiration=1,IF($A541&lt;VLOOKUP(V$5,NFI,5,0),1,0)*Table_NFI[[#This Row],[Jerry Can]],Table_NFI[Jerry Can])</f>
        <v>0</v>
      </c>
      <c r="AM541" s="781" t="str">
        <f>IFERROR(VLOOKUP(Table_NFI[[#This Row],[Camp Name]],CL,2,0),"")</f>
        <v>MMR001CMP160</v>
      </c>
      <c r="AN541" s="782">
        <f ca="1">IF(Table_NFI[[#This Row],[Pcode]]="","",IF(OFFSET(CampList[Opening Date],MATCH(Table_NFI[[#This Row],[Pcode]],CampList[CP_Pcode],0)-1,0,1,1)&gt;=NFI_Monitor_Date,1,0))</f>
        <v>0</v>
      </c>
      <c r="AO541" s="781" t="str">
        <f>IFERROR(VLOOKUP(Table_NFI[[#This Row],[Camp Name]],CL,3,0),"")</f>
        <v>Open</v>
      </c>
      <c r="AP541" s="436" t="str">
        <f ca="1">IF(Table_NFI[[#This Row],[Pcode]]="","",OFFSET(CampList[Priority],MATCH(Table_NFI[[#This Row],[Pcode]],CampList[CP_Pcode],0)-1,0,1,1))</f>
        <v>P1</v>
      </c>
      <c r="AQ541" s="438">
        <f>IFERROR(Table_NFI[[#This Row],[Kitchen Set]]/VLOOKUP(Table_NFI[[#This Row],[Camp Name]],CL,4,0),"")</f>
        <v>0</v>
      </c>
      <c r="AR541" s="779" t="s">
        <v>1099</v>
      </c>
      <c r="AS541" s="783"/>
    </row>
    <row r="542" spans="1:45" s="784" customFormat="1" x14ac:dyDescent="0.25">
      <c r="A542" s="455">
        <f t="shared" si="8"/>
        <v>30.2</v>
      </c>
      <c r="B542" s="778">
        <v>41403</v>
      </c>
      <c r="C542" s="779" t="s">
        <v>908</v>
      </c>
      <c r="D542" s="780" t="s">
        <v>508</v>
      </c>
      <c r="E542" s="779" t="s">
        <v>380</v>
      </c>
      <c r="F542" s="435" t="s">
        <v>237</v>
      </c>
      <c r="G542" s="435" t="s">
        <v>255</v>
      </c>
      <c r="H542" s="436">
        <v>460</v>
      </c>
      <c r="I542" s="436"/>
      <c r="J542" s="436"/>
      <c r="K542" s="436"/>
      <c r="L542" s="437"/>
      <c r="M542" s="437"/>
      <c r="N542" s="437"/>
      <c r="O542" s="437"/>
      <c r="P542" s="437"/>
      <c r="Q542" s="437"/>
      <c r="R542" s="436"/>
      <c r="S542" s="436"/>
      <c r="T542" s="436"/>
      <c r="U542" s="436"/>
      <c r="V542" s="436"/>
      <c r="W542" s="436">
        <f>IF(NFI_Expiration=1,IF($A542&lt;VLOOKUP(H$5,NFI,5,0),1,0)*Table_NFI[[#This Row],[Hygiene Kit]],Table_NFI[Hygiene Kit])</f>
        <v>0</v>
      </c>
      <c r="X542" s="436">
        <f>IF(NFI_Expiration=1,IF($A542&lt;VLOOKUP(I$5,NFI,5,0),1,0)*Table_NFI[[#This Row],[NFI Core Kit]],Table_NFI[NFI Core Kit])</f>
        <v>0</v>
      </c>
      <c r="Y542" s="436">
        <f>IF(NFI_Expiration=1,IF($A542&lt;VLOOKUP(J$5,NFI,5,0),1,0)*Table_NFI[[#This Row],[Sanitary Kit]],Table_NFI[Sanitary Kit])</f>
        <v>0</v>
      </c>
      <c r="Z542" s="436">
        <f>IF(NFI_Expiration=1,IF($A542&lt;VLOOKUP(K$5,NFI,5,0),1,0)*Table_NFI[[#This Row],[Mosquito net]],Table_NFI[Mosquito net])</f>
        <v>0</v>
      </c>
      <c r="AA542" s="436">
        <f>IF(NFI_Expiration=1,IF($A542&lt;VLOOKUP(L$5,NFI,5,0),1,0)*Table_NFI[[#This Row],[Tarpaulin]],Table_NFI[[#This Row],[Tarpaulin]])</f>
        <v>0</v>
      </c>
      <c r="AB542" s="436">
        <f>IF(NFI_Expiration=1,IF($A542&lt;VLOOKUP(M$5,NFI,5,0),1,0)*Table_NFI[[#This Row],[Blanket]],Table_NFI[[#This Row],[Blanket]])</f>
        <v>0</v>
      </c>
      <c r="AC542" s="436">
        <f>IF(NFI_Expiration=1,IF($A542&lt;VLOOKUP(N$5,NFI,5,0),1,0)*Table_NFI[[#This Row],[Kitchen Set]],Table_NFI[Kitchen Set])</f>
        <v>0</v>
      </c>
      <c r="AD542" s="436">
        <f>IF(NFI_Expiration=1,IF($A542&lt;VLOOKUP(O$5,NFI,5,0),1,0)*Table_NFI[[#This Row],[Clothes Kit]],Table_NFI[Clothes Kit])</f>
        <v>0</v>
      </c>
      <c r="AE542" s="436">
        <f>IF(NFI_Expiration=1,IF($A542&lt;VLOOKUP(P$5,NFI,5,0),1,0)*Table_NFI[[#This Row],[Plastic Bucket]],Table_NFI[Plastic Bucket])</f>
        <v>0</v>
      </c>
      <c r="AF542" s="436">
        <f>IF(NFI_Expiration=1,IF($A542&lt;VLOOKUP(Q$5,NFI,5,0),1,0)*Table_NFI[[#This Row],[Plastic Mat]],Table_NFI[Plastic Mat])*IF(Table_NFI[[#This Row],[Distribution Date]]&gt;"2014-04-01",1,2.5)</f>
        <v>0</v>
      </c>
      <c r="AG542" s="436">
        <f>IF(NFI_Expiration=1,IF($A542&lt;VLOOKUP(R$5,NFI,5,0),1,0)*Table_NFI[[#This Row],[Winter Clothes Adult]],Table_NFI[Winter Clothes Adult])</f>
        <v>0</v>
      </c>
      <c r="AH542" s="436">
        <f>IF(NFI_Expiration=1,IF($A542&lt;VLOOKUP(S$5,NFI,5,0),1,0)*Table_NFI[[#This Row],[Winter Clothes Children]],Table_NFI[Winter Clothes Children])</f>
        <v>0</v>
      </c>
      <c r="AI542" s="436">
        <f>IF(NFI_Expiration=1,IF($A542&lt;VLOOKUP(T$5,NFI,5,0),1,0)*Table_NFI[[#This Row],[Winter Items Other]],Table_NFI[Winter Items Other])</f>
        <v>0</v>
      </c>
      <c r="AJ542" s="436">
        <f>IF(NFI_Expiration=1,IF($A542&lt;VLOOKUP(M$5,NFI,5,0),1,0)*Table_NFI[[#This Row],[Winter Blanket]],Table_NFI[[#This Row],[Winter Blanket]])</f>
        <v>0</v>
      </c>
      <c r="AK542" s="436">
        <f>IF(Table_NFI[[#This Row],[Winter Clothes Adult]]+Table_NFI[[#This Row],[Winter Clothes Children]]+Table_NFI[[#This Row],[Winter Items Other]]+Table_NFI[[#This Row],[Winter Blanket]]&gt;0,1,0)</f>
        <v>0</v>
      </c>
      <c r="AL542" s="439">
        <f>IF(NFI_Expiration=1,IF($A542&lt;VLOOKUP(V$5,NFI,5,0),1,0)*Table_NFI[[#This Row],[Jerry Can]],Table_NFI[Jerry Can])</f>
        <v>0</v>
      </c>
      <c r="AM542" s="781" t="str">
        <f>IFERROR(VLOOKUP(Table_NFI[[#This Row],[Camp Name]],CL,2,0),"")</f>
        <v>MMR001CMP019</v>
      </c>
      <c r="AN542" s="782">
        <f ca="1">IF(Table_NFI[[#This Row],[Pcode]]="","",IF(OFFSET(CampList[Opening Date],MATCH(Table_NFI[[#This Row],[Pcode]],CampList[CP_Pcode],0)-1,0,1,1)&gt;=NFI_Monitor_Date,1,0))</f>
        <v>0</v>
      </c>
      <c r="AO542" s="781" t="str">
        <f>IFERROR(VLOOKUP(Table_NFI[[#This Row],[Camp Name]],CL,3,0),"")</f>
        <v>Open</v>
      </c>
      <c r="AP542" s="436" t="str">
        <f ca="1">IF(Table_NFI[[#This Row],[Pcode]]="","",OFFSET(CampList[Priority],MATCH(Table_NFI[[#This Row],[Pcode]],CampList[CP_Pcode],0)-1,0,1,1))</f>
        <v>P4</v>
      </c>
      <c r="AQ542" s="438">
        <f>IFERROR(Table_NFI[[#This Row],[Kitchen Set]]/VLOOKUP(Table_NFI[[#This Row],[Camp Name]],CL,4,0),"")</f>
        <v>0</v>
      </c>
      <c r="AR542" s="779" t="s">
        <v>1099</v>
      </c>
      <c r="AS542" s="783"/>
    </row>
    <row r="543" spans="1:45" s="784" customFormat="1" x14ac:dyDescent="0.25">
      <c r="A543" s="455">
        <f t="shared" si="8"/>
        <v>30.2</v>
      </c>
      <c r="B543" s="778">
        <v>41403</v>
      </c>
      <c r="C543" s="779" t="s">
        <v>908</v>
      </c>
      <c r="D543" s="779" t="s">
        <v>508</v>
      </c>
      <c r="E543" s="779" t="s">
        <v>380</v>
      </c>
      <c r="F543" s="435" t="s">
        <v>237</v>
      </c>
      <c r="G543" s="435" t="s">
        <v>271</v>
      </c>
      <c r="H543" s="436">
        <v>324</v>
      </c>
      <c r="I543" s="436"/>
      <c r="J543" s="436"/>
      <c r="K543" s="436"/>
      <c r="L543" s="437"/>
      <c r="M543" s="437"/>
      <c r="N543" s="437"/>
      <c r="O543" s="437"/>
      <c r="P543" s="439"/>
      <c r="Q543" s="439"/>
      <c r="R543" s="436"/>
      <c r="S543" s="436"/>
      <c r="T543" s="436"/>
      <c r="U543" s="436"/>
      <c r="V543" s="436"/>
      <c r="W543" s="436">
        <f>IF(NFI_Expiration=1,IF($A543&lt;VLOOKUP(H$5,NFI,5,0),1,0)*Table_NFI[[#This Row],[Hygiene Kit]],Table_NFI[Hygiene Kit])</f>
        <v>0</v>
      </c>
      <c r="X543" s="436">
        <f>IF(NFI_Expiration=1,IF($A543&lt;VLOOKUP(I$5,NFI,5,0),1,0)*Table_NFI[[#This Row],[NFI Core Kit]],Table_NFI[NFI Core Kit])</f>
        <v>0</v>
      </c>
      <c r="Y543" s="436">
        <f>IF(NFI_Expiration=1,IF($A543&lt;VLOOKUP(J$5,NFI,5,0),1,0)*Table_NFI[[#This Row],[Sanitary Kit]],Table_NFI[Sanitary Kit])</f>
        <v>0</v>
      </c>
      <c r="Z543" s="436">
        <f>IF(NFI_Expiration=1,IF($A543&lt;VLOOKUP(K$5,NFI,5,0),1,0)*Table_NFI[[#This Row],[Mosquito net]],Table_NFI[Mosquito net])</f>
        <v>0</v>
      </c>
      <c r="AA543" s="436">
        <f>IF(NFI_Expiration=1,IF($A543&lt;VLOOKUP(L$5,NFI,5,0),1,0)*Table_NFI[[#This Row],[Tarpaulin]],Table_NFI[[#This Row],[Tarpaulin]])</f>
        <v>0</v>
      </c>
      <c r="AB543" s="436">
        <f>IF(NFI_Expiration=1,IF($A543&lt;VLOOKUP(M$5,NFI,5,0),1,0)*Table_NFI[[#This Row],[Blanket]],Table_NFI[[#This Row],[Blanket]])</f>
        <v>0</v>
      </c>
      <c r="AC543" s="436">
        <f>IF(NFI_Expiration=1,IF($A543&lt;VLOOKUP(N$5,NFI,5,0),1,0)*Table_NFI[[#This Row],[Kitchen Set]],Table_NFI[Kitchen Set])</f>
        <v>0</v>
      </c>
      <c r="AD543" s="436">
        <f>IF(NFI_Expiration=1,IF($A543&lt;VLOOKUP(O$5,NFI,5,0),1,0)*Table_NFI[[#This Row],[Clothes Kit]],Table_NFI[Clothes Kit])</f>
        <v>0</v>
      </c>
      <c r="AE543" s="436">
        <f>IF(NFI_Expiration=1,IF($A543&lt;VLOOKUP(P$5,NFI,5,0),1,0)*Table_NFI[[#This Row],[Plastic Bucket]],Table_NFI[Plastic Bucket])</f>
        <v>0</v>
      </c>
      <c r="AF543" s="436">
        <f>IF(NFI_Expiration=1,IF($A543&lt;VLOOKUP(Q$5,NFI,5,0),1,0)*Table_NFI[[#This Row],[Plastic Mat]],Table_NFI[Plastic Mat])*IF(Table_NFI[[#This Row],[Distribution Date]]&gt;"2014-04-01",1,2.5)</f>
        <v>0</v>
      </c>
      <c r="AG543" s="436">
        <f>IF(NFI_Expiration=1,IF($A543&lt;VLOOKUP(R$5,NFI,5,0),1,0)*Table_NFI[[#This Row],[Winter Clothes Adult]],Table_NFI[Winter Clothes Adult])</f>
        <v>0</v>
      </c>
      <c r="AH543" s="436">
        <f>IF(NFI_Expiration=1,IF($A543&lt;VLOOKUP(S$5,NFI,5,0),1,0)*Table_NFI[[#This Row],[Winter Clothes Children]],Table_NFI[Winter Clothes Children])</f>
        <v>0</v>
      </c>
      <c r="AI543" s="436">
        <f>IF(NFI_Expiration=1,IF($A543&lt;VLOOKUP(T$5,NFI,5,0),1,0)*Table_NFI[[#This Row],[Winter Items Other]],Table_NFI[Winter Items Other])</f>
        <v>0</v>
      </c>
      <c r="AJ543" s="436">
        <f>IF(NFI_Expiration=1,IF($A543&lt;VLOOKUP(M$5,NFI,5,0),1,0)*Table_NFI[[#This Row],[Winter Blanket]],Table_NFI[[#This Row],[Winter Blanket]])</f>
        <v>0</v>
      </c>
      <c r="AK543" s="436">
        <f>IF(Table_NFI[[#This Row],[Winter Clothes Adult]]+Table_NFI[[#This Row],[Winter Clothes Children]]+Table_NFI[[#This Row],[Winter Items Other]]+Table_NFI[[#This Row],[Winter Blanket]]&gt;0,1,0)</f>
        <v>0</v>
      </c>
      <c r="AL543" s="439">
        <f>IF(NFI_Expiration=1,IF($A543&lt;VLOOKUP(V$5,NFI,5,0),1,0)*Table_NFI[[#This Row],[Jerry Can]],Table_NFI[Jerry Can])</f>
        <v>0</v>
      </c>
      <c r="AM543" s="781" t="str">
        <f>IFERROR(VLOOKUP(Table_NFI[[#This Row],[Camp Name]],CL,2,0),"")</f>
        <v>MMR001CMP024</v>
      </c>
      <c r="AN543" s="782">
        <f ca="1">IF(Table_NFI[[#This Row],[Pcode]]="","",IF(OFFSET(CampList[Opening Date],MATCH(Table_NFI[[#This Row],[Pcode]],CampList[CP_Pcode],0)-1,0,1,1)&gt;=NFI_Monitor_Date,1,0))</f>
        <v>0</v>
      </c>
      <c r="AO543" s="781" t="str">
        <f>IFERROR(VLOOKUP(Table_NFI[[#This Row],[Camp Name]],CL,3,0),"")</f>
        <v>Open</v>
      </c>
      <c r="AP543" s="436" t="str">
        <f ca="1">IF(Table_NFI[[#This Row],[Pcode]]="","",OFFSET(CampList[Priority],MATCH(Table_NFI[[#This Row],[Pcode]],CampList[CP_Pcode],0)-1,0,1,1))</f>
        <v>P4</v>
      </c>
      <c r="AQ543" s="438">
        <f>IFERROR(Table_NFI[[#This Row],[Kitchen Set]]/VLOOKUP(Table_NFI[[#This Row],[Camp Name]],CL,4,0),"")</f>
        <v>0</v>
      </c>
      <c r="AR543" s="779" t="s">
        <v>1099</v>
      </c>
      <c r="AS543" s="783"/>
    </row>
    <row r="544" spans="1:45" s="784" customFormat="1" x14ac:dyDescent="0.25">
      <c r="A544" s="455">
        <f t="shared" si="8"/>
        <v>30.233333333333334</v>
      </c>
      <c r="B544" s="778">
        <v>41402</v>
      </c>
      <c r="C544" s="779" t="s">
        <v>908</v>
      </c>
      <c r="D544" s="780" t="s">
        <v>508</v>
      </c>
      <c r="E544" s="779" t="s">
        <v>380</v>
      </c>
      <c r="F544" s="435" t="s">
        <v>310</v>
      </c>
      <c r="G544" s="435" t="s">
        <v>330</v>
      </c>
      <c r="H544" s="436">
        <v>1062</v>
      </c>
      <c r="I544" s="436"/>
      <c r="J544" s="436"/>
      <c r="K544" s="436"/>
      <c r="L544" s="437"/>
      <c r="M544" s="437"/>
      <c r="N544" s="437"/>
      <c r="O544" s="437"/>
      <c r="P544" s="437"/>
      <c r="Q544" s="437"/>
      <c r="R544" s="436"/>
      <c r="S544" s="436"/>
      <c r="T544" s="436"/>
      <c r="U544" s="436"/>
      <c r="V544" s="436"/>
      <c r="W544" s="436">
        <f>IF(NFI_Expiration=1,IF($A544&lt;VLOOKUP(H$5,NFI,5,0),1,0)*Table_NFI[[#This Row],[Hygiene Kit]],Table_NFI[Hygiene Kit])</f>
        <v>0</v>
      </c>
      <c r="X544" s="436">
        <f>IF(NFI_Expiration=1,IF($A544&lt;VLOOKUP(I$5,NFI,5,0),1,0)*Table_NFI[[#This Row],[NFI Core Kit]],Table_NFI[NFI Core Kit])</f>
        <v>0</v>
      </c>
      <c r="Y544" s="436">
        <f>IF(NFI_Expiration=1,IF($A544&lt;VLOOKUP(J$5,NFI,5,0),1,0)*Table_NFI[[#This Row],[Sanitary Kit]],Table_NFI[Sanitary Kit])</f>
        <v>0</v>
      </c>
      <c r="Z544" s="436">
        <f>IF(NFI_Expiration=1,IF($A544&lt;VLOOKUP(K$5,NFI,5,0),1,0)*Table_NFI[[#This Row],[Mosquito net]],Table_NFI[Mosquito net])</f>
        <v>0</v>
      </c>
      <c r="AA544" s="436">
        <f>IF(NFI_Expiration=1,IF($A544&lt;VLOOKUP(L$5,NFI,5,0),1,0)*Table_NFI[[#This Row],[Tarpaulin]],Table_NFI[[#This Row],[Tarpaulin]])</f>
        <v>0</v>
      </c>
      <c r="AB544" s="436">
        <f>IF(NFI_Expiration=1,IF($A544&lt;VLOOKUP(M$5,NFI,5,0),1,0)*Table_NFI[[#This Row],[Blanket]],Table_NFI[[#This Row],[Blanket]])</f>
        <v>0</v>
      </c>
      <c r="AC544" s="436">
        <f>IF(NFI_Expiration=1,IF($A544&lt;VLOOKUP(N$5,NFI,5,0),1,0)*Table_NFI[[#This Row],[Kitchen Set]],Table_NFI[Kitchen Set])</f>
        <v>0</v>
      </c>
      <c r="AD544" s="436">
        <f>IF(NFI_Expiration=1,IF($A544&lt;VLOOKUP(O$5,NFI,5,0),1,0)*Table_NFI[[#This Row],[Clothes Kit]],Table_NFI[Clothes Kit])</f>
        <v>0</v>
      </c>
      <c r="AE544" s="436">
        <f>IF(NFI_Expiration=1,IF($A544&lt;VLOOKUP(P$5,NFI,5,0),1,0)*Table_NFI[[#This Row],[Plastic Bucket]],Table_NFI[Plastic Bucket])</f>
        <v>0</v>
      </c>
      <c r="AF544" s="436">
        <f>IF(NFI_Expiration=1,IF($A544&lt;VLOOKUP(Q$5,NFI,5,0),1,0)*Table_NFI[[#This Row],[Plastic Mat]],Table_NFI[Plastic Mat])*IF(Table_NFI[[#This Row],[Distribution Date]]&gt;"2014-04-01",1,2.5)</f>
        <v>0</v>
      </c>
      <c r="AG544" s="436">
        <f>IF(NFI_Expiration=1,IF($A544&lt;VLOOKUP(R$5,NFI,5,0),1,0)*Table_NFI[[#This Row],[Winter Clothes Adult]],Table_NFI[Winter Clothes Adult])</f>
        <v>0</v>
      </c>
      <c r="AH544" s="436">
        <f>IF(NFI_Expiration=1,IF($A544&lt;VLOOKUP(S$5,NFI,5,0),1,0)*Table_NFI[[#This Row],[Winter Clothes Children]],Table_NFI[Winter Clothes Children])</f>
        <v>0</v>
      </c>
      <c r="AI544" s="436">
        <f>IF(NFI_Expiration=1,IF($A544&lt;VLOOKUP(T$5,NFI,5,0),1,0)*Table_NFI[[#This Row],[Winter Items Other]],Table_NFI[Winter Items Other])</f>
        <v>0</v>
      </c>
      <c r="AJ544" s="436">
        <f>IF(NFI_Expiration=1,IF($A544&lt;VLOOKUP(M$5,NFI,5,0),1,0)*Table_NFI[[#This Row],[Winter Blanket]],Table_NFI[[#This Row],[Winter Blanket]])</f>
        <v>0</v>
      </c>
      <c r="AK544" s="436">
        <f>IF(Table_NFI[[#This Row],[Winter Clothes Adult]]+Table_NFI[[#This Row],[Winter Clothes Children]]+Table_NFI[[#This Row],[Winter Items Other]]+Table_NFI[[#This Row],[Winter Blanket]]&gt;0,1,0)</f>
        <v>0</v>
      </c>
      <c r="AL544" s="439">
        <f>IF(NFI_Expiration=1,IF($A544&lt;VLOOKUP(V$5,NFI,5,0),1,0)*Table_NFI[[#This Row],[Jerry Can]],Table_NFI[Jerry Can])</f>
        <v>0</v>
      </c>
      <c r="AM544" s="781" t="str">
        <f>IFERROR(VLOOKUP(Table_NFI[[#This Row],[Camp Name]],CL,2,0),"")</f>
        <v>MMR001CMP029</v>
      </c>
      <c r="AN544" s="782">
        <f ca="1">IF(Table_NFI[[#This Row],[Pcode]]="","",IF(OFFSET(CampList[Opening Date],MATCH(Table_NFI[[#This Row],[Pcode]],CampList[CP_Pcode],0)-1,0,1,1)&gt;=NFI_Monitor_Date,1,0))</f>
        <v>0</v>
      </c>
      <c r="AO544" s="781" t="str">
        <f>IFERROR(VLOOKUP(Table_NFI[[#This Row],[Camp Name]],CL,3,0),"")</f>
        <v>Open</v>
      </c>
      <c r="AP544" s="436" t="str">
        <f ca="1">IF(Table_NFI[[#This Row],[Pcode]]="","",OFFSET(CampList[Priority],MATCH(Table_NFI[[#This Row],[Pcode]],CampList[CP_Pcode],0)-1,0,1,1))</f>
        <v>P4</v>
      </c>
      <c r="AQ544" s="438">
        <f>IFERROR(Table_NFI[[#This Row],[Kitchen Set]]/VLOOKUP(Table_NFI[[#This Row],[Camp Name]],CL,4,0),"")</f>
        <v>0</v>
      </c>
      <c r="AR544" s="779" t="s">
        <v>1099</v>
      </c>
      <c r="AS544" s="783"/>
    </row>
    <row r="545" spans="1:45" s="784" customFormat="1" x14ac:dyDescent="0.25">
      <c r="A545" s="455">
        <f t="shared" si="8"/>
        <v>30.266666666666666</v>
      </c>
      <c r="B545" s="778">
        <v>41401</v>
      </c>
      <c r="C545" s="779" t="s">
        <v>908</v>
      </c>
      <c r="D545" s="780" t="s">
        <v>508</v>
      </c>
      <c r="E545" s="779" t="s">
        <v>380</v>
      </c>
      <c r="F545" s="435" t="s">
        <v>237</v>
      </c>
      <c r="G545" s="435" t="s">
        <v>273</v>
      </c>
      <c r="H545" s="436">
        <v>149</v>
      </c>
      <c r="I545" s="436"/>
      <c r="J545" s="436"/>
      <c r="K545" s="436"/>
      <c r="L545" s="437"/>
      <c r="M545" s="437"/>
      <c r="N545" s="437"/>
      <c r="O545" s="437"/>
      <c r="P545" s="437"/>
      <c r="Q545" s="437"/>
      <c r="R545" s="436"/>
      <c r="S545" s="436"/>
      <c r="T545" s="436"/>
      <c r="U545" s="436"/>
      <c r="V545" s="436"/>
      <c r="W545" s="436">
        <f>IF(NFI_Expiration=1,IF($A545&lt;VLOOKUP(H$5,NFI,5,0),1,0)*Table_NFI[[#This Row],[Hygiene Kit]],Table_NFI[Hygiene Kit])</f>
        <v>0</v>
      </c>
      <c r="X545" s="436">
        <f>IF(NFI_Expiration=1,IF($A545&lt;VLOOKUP(I$5,NFI,5,0),1,0)*Table_NFI[[#This Row],[NFI Core Kit]],Table_NFI[NFI Core Kit])</f>
        <v>0</v>
      </c>
      <c r="Y545" s="436">
        <f>IF(NFI_Expiration=1,IF($A545&lt;VLOOKUP(J$5,NFI,5,0),1,0)*Table_NFI[[#This Row],[Sanitary Kit]],Table_NFI[Sanitary Kit])</f>
        <v>0</v>
      </c>
      <c r="Z545" s="436">
        <f>IF(NFI_Expiration=1,IF($A545&lt;VLOOKUP(K$5,NFI,5,0),1,0)*Table_NFI[[#This Row],[Mosquito net]],Table_NFI[Mosquito net])</f>
        <v>0</v>
      </c>
      <c r="AA545" s="436">
        <f>IF(NFI_Expiration=1,IF($A545&lt;VLOOKUP(L$5,NFI,5,0),1,0)*Table_NFI[[#This Row],[Tarpaulin]],Table_NFI[[#This Row],[Tarpaulin]])</f>
        <v>0</v>
      </c>
      <c r="AB545" s="436">
        <f>IF(NFI_Expiration=1,IF($A545&lt;VLOOKUP(M$5,NFI,5,0),1,0)*Table_NFI[[#This Row],[Blanket]],Table_NFI[[#This Row],[Blanket]])</f>
        <v>0</v>
      </c>
      <c r="AC545" s="436">
        <f>IF(NFI_Expiration=1,IF($A545&lt;VLOOKUP(N$5,NFI,5,0),1,0)*Table_NFI[[#This Row],[Kitchen Set]],Table_NFI[Kitchen Set])</f>
        <v>0</v>
      </c>
      <c r="AD545" s="436">
        <f>IF(NFI_Expiration=1,IF($A545&lt;VLOOKUP(O$5,NFI,5,0),1,0)*Table_NFI[[#This Row],[Clothes Kit]],Table_NFI[Clothes Kit])</f>
        <v>0</v>
      </c>
      <c r="AE545" s="436">
        <f>IF(NFI_Expiration=1,IF($A545&lt;VLOOKUP(P$5,NFI,5,0),1,0)*Table_NFI[[#This Row],[Plastic Bucket]],Table_NFI[Plastic Bucket])</f>
        <v>0</v>
      </c>
      <c r="AF545" s="436">
        <f>IF(NFI_Expiration=1,IF($A545&lt;VLOOKUP(Q$5,NFI,5,0),1,0)*Table_NFI[[#This Row],[Plastic Mat]],Table_NFI[Plastic Mat])*IF(Table_NFI[[#This Row],[Distribution Date]]&gt;"2014-04-01",1,2.5)</f>
        <v>0</v>
      </c>
      <c r="AG545" s="436">
        <f>IF(NFI_Expiration=1,IF($A545&lt;VLOOKUP(R$5,NFI,5,0),1,0)*Table_NFI[[#This Row],[Winter Clothes Adult]],Table_NFI[Winter Clothes Adult])</f>
        <v>0</v>
      </c>
      <c r="AH545" s="436">
        <f>IF(NFI_Expiration=1,IF($A545&lt;VLOOKUP(S$5,NFI,5,0),1,0)*Table_NFI[[#This Row],[Winter Clothes Children]],Table_NFI[Winter Clothes Children])</f>
        <v>0</v>
      </c>
      <c r="AI545" s="436">
        <f>IF(NFI_Expiration=1,IF($A545&lt;VLOOKUP(T$5,NFI,5,0),1,0)*Table_NFI[[#This Row],[Winter Items Other]],Table_NFI[Winter Items Other])</f>
        <v>0</v>
      </c>
      <c r="AJ545" s="436">
        <f>IF(NFI_Expiration=1,IF($A545&lt;VLOOKUP(M$5,NFI,5,0),1,0)*Table_NFI[[#This Row],[Winter Blanket]],Table_NFI[[#This Row],[Winter Blanket]])</f>
        <v>0</v>
      </c>
      <c r="AK545" s="436">
        <f>IF(Table_NFI[[#This Row],[Winter Clothes Adult]]+Table_NFI[[#This Row],[Winter Clothes Children]]+Table_NFI[[#This Row],[Winter Items Other]]+Table_NFI[[#This Row],[Winter Blanket]]&gt;0,1,0)</f>
        <v>0</v>
      </c>
      <c r="AL545" s="439">
        <f>IF(NFI_Expiration=1,IF($A545&lt;VLOOKUP(V$5,NFI,5,0),1,0)*Table_NFI[[#This Row],[Jerry Can]],Table_NFI[Jerry Can])</f>
        <v>0</v>
      </c>
      <c r="AM545" s="781" t="str">
        <f>IFERROR(VLOOKUP(Table_NFI[[#This Row],[Camp Name]],CL,2,0),"")</f>
        <v>MMR001CMP162</v>
      </c>
      <c r="AN545" s="782">
        <f ca="1">IF(Table_NFI[[#This Row],[Pcode]]="","",IF(OFFSET(CampList[Opening Date],MATCH(Table_NFI[[#This Row],[Pcode]],CampList[CP_Pcode],0)-1,0,1,1)&gt;=NFI_Monitor_Date,1,0))</f>
        <v>0</v>
      </c>
      <c r="AO545" s="781" t="str">
        <f>IFERROR(VLOOKUP(Table_NFI[[#This Row],[Camp Name]],CL,3,0),"")</f>
        <v>Open</v>
      </c>
      <c r="AP545" s="436" t="str">
        <f ca="1">IF(Table_NFI[[#This Row],[Pcode]]="","",OFFSET(CampList[Priority],MATCH(Table_NFI[[#This Row],[Pcode]],CampList[CP_Pcode],0)-1,0,1,1))</f>
        <v>P4</v>
      </c>
      <c r="AQ545" s="438">
        <f>IFERROR(Table_NFI[[#This Row],[Kitchen Set]]/VLOOKUP(Table_NFI[[#This Row],[Camp Name]],CL,4,0),"")</f>
        <v>0</v>
      </c>
      <c r="AR545" s="779" t="s">
        <v>1099</v>
      </c>
      <c r="AS545" s="783"/>
    </row>
    <row r="546" spans="1:45" s="784" customFormat="1" x14ac:dyDescent="0.25">
      <c r="A546" s="455">
        <f t="shared" si="8"/>
        <v>31.4</v>
      </c>
      <c r="B546" s="778">
        <v>41367</v>
      </c>
      <c r="C546" s="779" t="s">
        <v>454</v>
      </c>
      <c r="D546" s="779" t="s">
        <v>454</v>
      </c>
      <c r="E546" s="779" t="s">
        <v>380</v>
      </c>
      <c r="F546" s="435" t="s">
        <v>310</v>
      </c>
      <c r="G546" s="435" t="s">
        <v>328</v>
      </c>
      <c r="H546" s="436"/>
      <c r="I546" s="436"/>
      <c r="J546" s="436">
        <v>15</v>
      </c>
      <c r="K546" s="436">
        <v>22</v>
      </c>
      <c r="L546" s="437">
        <v>11</v>
      </c>
      <c r="M546" s="437">
        <v>22</v>
      </c>
      <c r="N546" s="437">
        <v>11</v>
      </c>
      <c r="O546" s="437">
        <v>11</v>
      </c>
      <c r="P546" s="439">
        <v>11</v>
      </c>
      <c r="Q546" s="439">
        <v>11</v>
      </c>
      <c r="R546" s="436"/>
      <c r="S546" s="436"/>
      <c r="T546" s="436"/>
      <c r="U546" s="436"/>
      <c r="V546" s="436"/>
      <c r="W546" s="436">
        <f>IF(NFI_Expiration=1,IF($A546&lt;VLOOKUP(H$5,NFI,5,0),1,0)*Table_NFI[[#This Row],[Hygiene Kit]],Table_NFI[Hygiene Kit])</f>
        <v>0</v>
      </c>
      <c r="X546" s="436">
        <f>IF(NFI_Expiration=1,IF($A546&lt;VLOOKUP(I$5,NFI,5,0),1,0)*Table_NFI[[#This Row],[NFI Core Kit]],Table_NFI[NFI Core Kit])</f>
        <v>0</v>
      </c>
      <c r="Y546" s="436">
        <f>IF(NFI_Expiration=1,IF($A546&lt;VLOOKUP(J$5,NFI,5,0),1,0)*Table_NFI[[#This Row],[Sanitary Kit]],Table_NFI[Sanitary Kit])</f>
        <v>0</v>
      </c>
      <c r="Z546" s="436">
        <f>IF(NFI_Expiration=1,IF($A546&lt;VLOOKUP(K$5,NFI,5,0),1,0)*Table_NFI[[#This Row],[Mosquito net]],Table_NFI[Mosquito net])</f>
        <v>0</v>
      </c>
      <c r="AA546" s="436">
        <f>IF(NFI_Expiration=1,IF($A546&lt;VLOOKUP(L$5,NFI,5,0),1,0)*Table_NFI[[#This Row],[Tarpaulin]],Table_NFI[[#This Row],[Tarpaulin]])</f>
        <v>0</v>
      </c>
      <c r="AB546" s="436">
        <f>IF(NFI_Expiration=1,IF($A546&lt;VLOOKUP(M$5,NFI,5,0),1,0)*Table_NFI[[#This Row],[Blanket]],Table_NFI[[#This Row],[Blanket]])</f>
        <v>0</v>
      </c>
      <c r="AC546" s="436">
        <f>IF(NFI_Expiration=1,IF($A546&lt;VLOOKUP(N$5,NFI,5,0),1,0)*Table_NFI[[#This Row],[Kitchen Set]],Table_NFI[Kitchen Set])</f>
        <v>0</v>
      </c>
      <c r="AD546" s="436">
        <f>IF(NFI_Expiration=1,IF($A546&lt;VLOOKUP(O$5,NFI,5,0),1,0)*Table_NFI[[#This Row],[Clothes Kit]],Table_NFI[Clothes Kit])</f>
        <v>0</v>
      </c>
      <c r="AE546" s="436">
        <f>IF(NFI_Expiration=1,IF($A546&lt;VLOOKUP(P$5,NFI,5,0),1,0)*Table_NFI[[#This Row],[Plastic Bucket]],Table_NFI[Plastic Bucket])</f>
        <v>0</v>
      </c>
      <c r="AF546" s="436">
        <f>IF(NFI_Expiration=1,IF($A546&lt;VLOOKUP(Q$5,NFI,5,0),1,0)*Table_NFI[[#This Row],[Plastic Mat]],Table_NFI[Plastic Mat])*IF(Table_NFI[[#This Row],[Distribution Date]]&gt;"2014-04-01",1,2.5)</f>
        <v>0</v>
      </c>
      <c r="AG546" s="436">
        <f>IF(NFI_Expiration=1,IF($A546&lt;VLOOKUP(R$5,NFI,5,0),1,0)*Table_NFI[[#This Row],[Winter Clothes Adult]],Table_NFI[Winter Clothes Adult])</f>
        <v>0</v>
      </c>
      <c r="AH546" s="436">
        <f>IF(NFI_Expiration=1,IF($A546&lt;VLOOKUP(S$5,NFI,5,0),1,0)*Table_NFI[[#This Row],[Winter Clothes Children]],Table_NFI[Winter Clothes Children])</f>
        <v>0</v>
      </c>
      <c r="AI546" s="436">
        <f>IF(NFI_Expiration=1,IF($A546&lt;VLOOKUP(T$5,NFI,5,0),1,0)*Table_NFI[[#This Row],[Winter Items Other]],Table_NFI[Winter Items Other])</f>
        <v>0</v>
      </c>
      <c r="AJ546" s="436">
        <f>IF(NFI_Expiration=1,IF($A546&lt;VLOOKUP(M$5,NFI,5,0),1,0)*Table_NFI[[#This Row],[Winter Blanket]],Table_NFI[[#This Row],[Winter Blanket]])</f>
        <v>0</v>
      </c>
      <c r="AK546" s="436">
        <f>IF(Table_NFI[[#This Row],[Winter Clothes Adult]]+Table_NFI[[#This Row],[Winter Clothes Children]]+Table_NFI[[#This Row],[Winter Items Other]]+Table_NFI[[#This Row],[Winter Blanket]]&gt;0,1,0)</f>
        <v>0</v>
      </c>
      <c r="AL546" s="439">
        <f>IF(NFI_Expiration=1,IF($A546&lt;VLOOKUP(V$5,NFI,5,0),1,0)*Table_NFI[[#This Row],[Jerry Can]],Table_NFI[Jerry Can])</f>
        <v>0</v>
      </c>
      <c r="AM546" s="781" t="str">
        <f>IFERROR(VLOOKUP(Table_NFI[[#This Row],[Camp Name]],CL,2,0),"")</f>
        <v>MMR001CMP031</v>
      </c>
      <c r="AN546" s="782">
        <f ca="1">IF(Table_NFI[[#This Row],[Pcode]]="","",IF(OFFSET(CampList[Opening Date],MATCH(Table_NFI[[#This Row],[Pcode]],CampList[CP_Pcode],0)-1,0,1,1)&gt;=NFI_Monitor_Date,1,0))</f>
        <v>0</v>
      </c>
      <c r="AO546" s="781" t="str">
        <f>IFERROR(VLOOKUP(Table_NFI[[#This Row],[Camp Name]],CL,3,0),"")</f>
        <v>Open</v>
      </c>
      <c r="AP546" s="436" t="str">
        <f ca="1">IF(Table_NFI[[#This Row],[Pcode]]="","",OFFSET(CampList[Priority],MATCH(Table_NFI[[#This Row],[Pcode]],CampList[CP_Pcode],0)-1,0,1,1))</f>
        <v>P4</v>
      </c>
      <c r="AQ546" s="438">
        <f>IFERROR(Table_NFI[[#This Row],[Kitchen Set]]/VLOOKUP(Table_NFI[[#This Row],[Camp Name]],CL,4,0),"")</f>
        <v>8.1481481481481488E-2</v>
      </c>
      <c r="AR546" s="779" t="s">
        <v>1099</v>
      </c>
      <c r="AS546" s="783"/>
    </row>
    <row r="547" spans="1:45" s="784" customFormat="1" x14ac:dyDescent="0.25">
      <c r="A547" s="455">
        <f t="shared" si="8"/>
        <v>31.4</v>
      </c>
      <c r="B547" s="778">
        <v>41367</v>
      </c>
      <c r="C547" s="779" t="s">
        <v>454</v>
      </c>
      <c r="D547" s="780" t="s">
        <v>454</v>
      </c>
      <c r="E547" s="779" t="s">
        <v>380</v>
      </c>
      <c r="F547" s="435" t="s">
        <v>310</v>
      </c>
      <c r="G547" s="435" t="s">
        <v>316</v>
      </c>
      <c r="H547" s="436"/>
      <c r="I547" s="436"/>
      <c r="J547" s="436">
        <v>4</v>
      </c>
      <c r="K547" s="436">
        <v>7</v>
      </c>
      <c r="L547" s="437">
        <v>3</v>
      </c>
      <c r="M547" s="437">
        <v>7</v>
      </c>
      <c r="N547" s="437">
        <v>3</v>
      </c>
      <c r="O547" s="437">
        <v>3</v>
      </c>
      <c r="P547" s="437">
        <v>3</v>
      </c>
      <c r="Q547" s="437">
        <v>3</v>
      </c>
      <c r="R547" s="436"/>
      <c r="S547" s="436"/>
      <c r="T547" s="436"/>
      <c r="U547" s="436"/>
      <c r="V547" s="436"/>
      <c r="W547" s="436">
        <f>IF(NFI_Expiration=1,IF($A547&lt;VLOOKUP(H$5,NFI,5,0),1,0)*Table_NFI[[#This Row],[Hygiene Kit]],Table_NFI[Hygiene Kit])</f>
        <v>0</v>
      </c>
      <c r="X547" s="436">
        <f>IF(NFI_Expiration=1,IF($A547&lt;VLOOKUP(I$5,NFI,5,0),1,0)*Table_NFI[[#This Row],[NFI Core Kit]],Table_NFI[NFI Core Kit])</f>
        <v>0</v>
      </c>
      <c r="Y547" s="436">
        <f>IF(NFI_Expiration=1,IF($A547&lt;VLOOKUP(J$5,NFI,5,0),1,0)*Table_NFI[[#This Row],[Sanitary Kit]],Table_NFI[Sanitary Kit])</f>
        <v>0</v>
      </c>
      <c r="Z547" s="436">
        <f>IF(NFI_Expiration=1,IF($A547&lt;VLOOKUP(K$5,NFI,5,0),1,0)*Table_NFI[[#This Row],[Mosquito net]],Table_NFI[Mosquito net])</f>
        <v>0</v>
      </c>
      <c r="AA547" s="436">
        <f>IF(NFI_Expiration=1,IF($A547&lt;VLOOKUP(L$5,NFI,5,0),1,0)*Table_NFI[[#This Row],[Tarpaulin]],Table_NFI[[#This Row],[Tarpaulin]])</f>
        <v>0</v>
      </c>
      <c r="AB547" s="436">
        <f>IF(NFI_Expiration=1,IF($A547&lt;VLOOKUP(M$5,NFI,5,0),1,0)*Table_NFI[[#This Row],[Blanket]],Table_NFI[[#This Row],[Blanket]])</f>
        <v>0</v>
      </c>
      <c r="AC547" s="436">
        <f>IF(NFI_Expiration=1,IF($A547&lt;VLOOKUP(N$5,NFI,5,0),1,0)*Table_NFI[[#This Row],[Kitchen Set]],Table_NFI[Kitchen Set])</f>
        <v>0</v>
      </c>
      <c r="AD547" s="436">
        <f>IF(NFI_Expiration=1,IF($A547&lt;VLOOKUP(O$5,NFI,5,0),1,0)*Table_NFI[[#This Row],[Clothes Kit]],Table_NFI[Clothes Kit])</f>
        <v>0</v>
      </c>
      <c r="AE547" s="436">
        <f>IF(NFI_Expiration=1,IF($A547&lt;VLOOKUP(P$5,NFI,5,0),1,0)*Table_NFI[[#This Row],[Plastic Bucket]],Table_NFI[Plastic Bucket])</f>
        <v>0</v>
      </c>
      <c r="AF547" s="436">
        <f>IF(NFI_Expiration=1,IF($A547&lt;VLOOKUP(Q$5,NFI,5,0),1,0)*Table_NFI[[#This Row],[Plastic Mat]],Table_NFI[Plastic Mat])*IF(Table_NFI[[#This Row],[Distribution Date]]&gt;"2014-04-01",1,2.5)</f>
        <v>0</v>
      </c>
      <c r="AG547" s="436">
        <f>IF(NFI_Expiration=1,IF($A547&lt;VLOOKUP(R$5,NFI,5,0),1,0)*Table_NFI[[#This Row],[Winter Clothes Adult]],Table_NFI[Winter Clothes Adult])</f>
        <v>0</v>
      </c>
      <c r="AH547" s="436">
        <f>IF(NFI_Expiration=1,IF($A547&lt;VLOOKUP(S$5,NFI,5,0),1,0)*Table_NFI[[#This Row],[Winter Clothes Children]],Table_NFI[Winter Clothes Children])</f>
        <v>0</v>
      </c>
      <c r="AI547" s="436">
        <f>IF(NFI_Expiration=1,IF($A547&lt;VLOOKUP(T$5,NFI,5,0),1,0)*Table_NFI[[#This Row],[Winter Items Other]],Table_NFI[Winter Items Other])</f>
        <v>0</v>
      </c>
      <c r="AJ547" s="436">
        <f>IF(NFI_Expiration=1,IF($A547&lt;VLOOKUP(M$5,NFI,5,0),1,0)*Table_NFI[[#This Row],[Winter Blanket]],Table_NFI[[#This Row],[Winter Blanket]])</f>
        <v>0</v>
      </c>
      <c r="AK547" s="436">
        <f>IF(Table_NFI[[#This Row],[Winter Clothes Adult]]+Table_NFI[[#This Row],[Winter Clothes Children]]+Table_NFI[[#This Row],[Winter Items Other]]+Table_NFI[[#This Row],[Winter Blanket]]&gt;0,1,0)</f>
        <v>0</v>
      </c>
      <c r="AL547" s="439">
        <f>IF(NFI_Expiration=1,IF($A547&lt;VLOOKUP(V$5,NFI,5,0),1,0)*Table_NFI[[#This Row],[Jerry Can]],Table_NFI[Jerry Can])</f>
        <v>0</v>
      </c>
      <c r="AM547" s="781" t="str">
        <f>IFERROR(VLOOKUP(Table_NFI[[#This Row],[Camp Name]],CL,2,0),"")</f>
        <v>MMR001CMP038</v>
      </c>
      <c r="AN547" s="782">
        <f ca="1">IF(Table_NFI[[#This Row],[Pcode]]="","",IF(OFFSET(CampList[Opening Date],MATCH(Table_NFI[[#This Row],[Pcode]],CampList[CP_Pcode],0)-1,0,1,1)&gt;=NFI_Monitor_Date,1,0))</f>
        <v>0</v>
      </c>
      <c r="AO547" s="781" t="str">
        <f>IFERROR(VLOOKUP(Table_NFI[[#This Row],[Camp Name]],CL,3,0),"")</f>
        <v>Open</v>
      </c>
      <c r="AP547" s="436" t="str">
        <f ca="1">IF(Table_NFI[[#This Row],[Pcode]]="","",OFFSET(CampList[Priority],MATCH(Table_NFI[[#This Row],[Pcode]],CampList[CP_Pcode],0)-1,0,1,1))</f>
        <v>P4</v>
      </c>
      <c r="AQ547" s="438">
        <f>IFERROR(Table_NFI[[#This Row],[Kitchen Set]]/VLOOKUP(Table_NFI[[#This Row],[Camp Name]],CL,4,0),"")</f>
        <v>3.2967032967032968E-2</v>
      </c>
      <c r="AR547" s="779" t="s">
        <v>1099</v>
      </c>
      <c r="AS547" s="783"/>
    </row>
    <row r="548" spans="1:45" s="784" customFormat="1" x14ac:dyDescent="0.25">
      <c r="A548" s="455">
        <f t="shared" si="8"/>
        <v>31.566666666666666</v>
      </c>
      <c r="B548" s="778">
        <v>41362</v>
      </c>
      <c r="C548" s="779" t="s">
        <v>907</v>
      </c>
      <c r="D548" s="779" t="s">
        <v>907</v>
      </c>
      <c r="E548" s="779" t="s">
        <v>380</v>
      </c>
      <c r="F548" s="779" t="s">
        <v>813</v>
      </c>
      <c r="G548" s="435" t="s">
        <v>813</v>
      </c>
      <c r="H548" s="436"/>
      <c r="I548" s="436"/>
      <c r="J548" s="436">
        <v>6</v>
      </c>
      <c r="K548" s="436"/>
      <c r="L548" s="437"/>
      <c r="M548" s="437"/>
      <c r="N548" s="437">
        <v>6</v>
      </c>
      <c r="O548" s="437"/>
      <c r="P548" s="437">
        <v>0</v>
      </c>
      <c r="Q548" s="437">
        <v>0</v>
      </c>
      <c r="R548" s="436"/>
      <c r="S548" s="436"/>
      <c r="T548" s="436"/>
      <c r="U548" s="436"/>
      <c r="V548" s="436"/>
      <c r="W548" s="436">
        <f>IF(NFI_Expiration=1,IF($A548&lt;VLOOKUP(H$5,NFI,5,0),1,0)*Table_NFI[[#This Row],[Hygiene Kit]],Table_NFI[Hygiene Kit])</f>
        <v>0</v>
      </c>
      <c r="X548" s="436">
        <f>IF(NFI_Expiration=1,IF($A548&lt;VLOOKUP(I$5,NFI,5,0),1,0)*Table_NFI[[#This Row],[NFI Core Kit]],Table_NFI[NFI Core Kit])</f>
        <v>0</v>
      </c>
      <c r="Y548" s="436">
        <f>IF(NFI_Expiration=1,IF($A548&lt;VLOOKUP(J$5,NFI,5,0),1,0)*Table_NFI[[#This Row],[Sanitary Kit]],Table_NFI[Sanitary Kit])</f>
        <v>0</v>
      </c>
      <c r="Z548" s="436">
        <f>IF(NFI_Expiration=1,IF($A548&lt;VLOOKUP(K$5,NFI,5,0),1,0)*Table_NFI[[#This Row],[Mosquito net]],Table_NFI[Mosquito net])</f>
        <v>0</v>
      </c>
      <c r="AA548" s="436">
        <f>IF(NFI_Expiration=1,IF($A548&lt;VLOOKUP(L$5,NFI,5,0),1,0)*Table_NFI[[#This Row],[Tarpaulin]],Table_NFI[[#This Row],[Tarpaulin]])</f>
        <v>0</v>
      </c>
      <c r="AB548" s="436">
        <f>IF(NFI_Expiration=1,IF($A548&lt;VLOOKUP(M$5,NFI,5,0),1,0)*Table_NFI[[#This Row],[Blanket]],Table_NFI[[#This Row],[Blanket]])</f>
        <v>0</v>
      </c>
      <c r="AC548" s="436">
        <f>IF(NFI_Expiration=1,IF($A548&lt;VLOOKUP(N$5,NFI,5,0),1,0)*Table_NFI[[#This Row],[Kitchen Set]],Table_NFI[Kitchen Set])</f>
        <v>0</v>
      </c>
      <c r="AD548" s="436">
        <f>IF(NFI_Expiration=1,IF($A548&lt;VLOOKUP(O$5,NFI,5,0),1,0)*Table_NFI[[#This Row],[Clothes Kit]],Table_NFI[Clothes Kit])</f>
        <v>0</v>
      </c>
      <c r="AE548" s="436">
        <f>IF(NFI_Expiration=1,IF($A548&lt;VLOOKUP(P$5,NFI,5,0),1,0)*Table_NFI[[#This Row],[Plastic Bucket]],Table_NFI[Plastic Bucket])</f>
        <v>0</v>
      </c>
      <c r="AF548" s="436">
        <f>IF(NFI_Expiration=1,IF($A548&lt;VLOOKUP(Q$5,NFI,5,0),1,0)*Table_NFI[[#This Row],[Plastic Mat]],Table_NFI[Plastic Mat])*IF(Table_NFI[[#This Row],[Distribution Date]]&gt;"2014-04-01",1,2.5)</f>
        <v>0</v>
      </c>
      <c r="AG548" s="436">
        <f>IF(NFI_Expiration=1,IF($A548&lt;VLOOKUP(R$5,NFI,5,0),1,0)*Table_NFI[[#This Row],[Winter Clothes Adult]],Table_NFI[Winter Clothes Adult])</f>
        <v>0</v>
      </c>
      <c r="AH548" s="436">
        <f>IF(NFI_Expiration=1,IF($A548&lt;VLOOKUP(S$5,NFI,5,0),1,0)*Table_NFI[[#This Row],[Winter Clothes Children]],Table_NFI[Winter Clothes Children])</f>
        <v>0</v>
      </c>
      <c r="AI548" s="436">
        <f>IF(NFI_Expiration=1,IF($A548&lt;VLOOKUP(T$5,NFI,5,0),1,0)*Table_NFI[[#This Row],[Winter Items Other]],Table_NFI[Winter Items Other])</f>
        <v>0</v>
      </c>
      <c r="AJ548" s="436">
        <f>IF(NFI_Expiration=1,IF($A548&lt;VLOOKUP(M$5,NFI,5,0),1,0)*Table_NFI[[#This Row],[Winter Blanket]],Table_NFI[[#This Row],[Winter Blanket]])</f>
        <v>0</v>
      </c>
      <c r="AK548" s="436">
        <f>IF(Table_NFI[[#This Row],[Winter Clothes Adult]]+Table_NFI[[#This Row],[Winter Clothes Children]]+Table_NFI[[#This Row],[Winter Items Other]]+Table_NFI[[#This Row],[Winter Blanket]]&gt;0,1,0)</f>
        <v>0</v>
      </c>
      <c r="AL548" s="439">
        <f>IF(NFI_Expiration=1,IF($A548&lt;VLOOKUP(V$5,NFI,5,0),1,0)*Table_NFI[[#This Row],[Jerry Can]],Table_NFI[Jerry Can])</f>
        <v>0</v>
      </c>
      <c r="AM548" s="781" t="str">
        <f>IFERROR(VLOOKUP(Table_NFI[[#This Row],[Camp Name]],CL,2,0),"")</f>
        <v>MMR001CMP206</v>
      </c>
      <c r="AN548" s="782">
        <f ca="1">IF(Table_NFI[[#This Row],[Pcode]]="","",IF(OFFSET(CampList[Opening Date],MATCH(Table_NFI[[#This Row],[Pcode]],CampList[CP_Pcode],0)-1,0,1,1)&gt;=NFI_Monitor_Date,1,0))</f>
        <v>0</v>
      </c>
      <c r="AO548" s="781" t="str">
        <f>IFERROR(VLOOKUP(Table_NFI[[#This Row],[Camp Name]],CL,3,0),"")</f>
        <v>Open</v>
      </c>
      <c r="AP548" s="436" t="str">
        <f ca="1">IF(Table_NFI[[#This Row],[Pcode]]="","",OFFSET(CampList[Priority],MATCH(Table_NFI[[#This Row],[Pcode]],CampList[CP_Pcode],0)-1,0,1,1))</f>
        <v>P4</v>
      </c>
      <c r="AQ548" s="438">
        <f>IFERROR(Table_NFI[[#This Row],[Kitchen Set]]/VLOOKUP(Table_NFI[[#This Row],[Camp Name]],CL,4,0),"")</f>
        <v>1.2</v>
      </c>
      <c r="AR548" s="779" t="s">
        <v>1099</v>
      </c>
      <c r="AS548" s="783"/>
    </row>
    <row r="549" spans="1:45" s="784" customFormat="1" x14ac:dyDescent="0.25">
      <c r="A549" s="455">
        <f t="shared" si="8"/>
        <v>31.833333333333332</v>
      </c>
      <c r="B549" s="778">
        <v>41354</v>
      </c>
      <c r="C549" s="779" t="s">
        <v>454</v>
      </c>
      <c r="D549" s="780" t="s">
        <v>454</v>
      </c>
      <c r="E549" s="779" t="s">
        <v>380</v>
      </c>
      <c r="F549" s="435" t="s">
        <v>529</v>
      </c>
      <c r="G549" s="435" t="s">
        <v>90</v>
      </c>
      <c r="H549" s="436"/>
      <c r="I549" s="436"/>
      <c r="J549" s="436">
        <v>34</v>
      </c>
      <c r="K549" s="436">
        <v>40</v>
      </c>
      <c r="L549" s="437">
        <v>40</v>
      </c>
      <c r="M549" s="437">
        <v>75</v>
      </c>
      <c r="N549" s="437">
        <v>40</v>
      </c>
      <c r="O549" s="437">
        <v>75</v>
      </c>
      <c r="P549" s="437">
        <v>75</v>
      </c>
      <c r="Q549" s="437">
        <v>75</v>
      </c>
      <c r="R549" s="436"/>
      <c r="S549" s="436"/>
      <c r="T549" s="436"/>
      <c r="U549" s="436"/>
      <c r="V549" s="436"/>
      <c r="W549" s="436">
        <f>IF(NFI_Expiration=1,IF($A549&lt;VLOOKUP(H$5,NFI,5,0),1,0)*Table_NFI[[#This Row],[Hygiene Kit]],Table_NFI[Hygiene Kit])</f>
        <v>0</v>
      </c>
      <c r="X549" s="436">
        <f>IF(NFI_Expiration=1,IF($A549&lt;VLOOKUP(I$5,NFI,5,0),1,0)*Table_NFI[[#This Row],[NFI Core Kit]],Table_NFI[NFI Core Kit])</f>
        <v>0</v>
      </c>
      <c r="Y549" s="436">
        <f>IF(NFI_Expiration=1,IF($A549&lt;VLOOKUP(J$5,NFI,5,0),1,0)*Table_NFI[[#This Row],[Sanitary Kit]],Table_NFI[Sanitary Kit])</f>
        <v>0</v>
      </c>
      <c r="Z549" s="436">
        <f>IF(NFI_Expiration=1,IF($A549&lt;VLOOKUP(K$5,NFI,5,0),1,0)*Table_NFI[[#This Row],[Mosquito net]],Table_NFI[Mosquito net])</f>
        <v>0</v>
      </c>
      <c r="AA549" s="436">
        <f>IF(NFI_Expiration=1,IF($A549&lt;VLOOKUP(L$5,NFI,5,0),1,0)*Table_NFI[[#This Row],[Tarpaulin]],Table_NFI[[#This Row],[Tarpaulin]])</f>
        <v>0</v>
      </c>
      <c r="AB549" s="436">
        <f>IF(NFI_Expiration=1,IF($A549&lt;VLOOKUP(M$5,NFI,5,0),1,0)*Table_NFI[[#This Row],[Blanket]],Table_NFI[[#This Row],[Blanket]])</f>
        <v>0</v>
      </c>
      <c r="AC549" s="436">
        <f>IF(NFI_Expiration=1,IF($A549&lt;VLOOKUP(N$5,NFI,5,0),1,0)*Table_NFI[[#This Row],[Kitchen Set]],Table_NFI[Kitchen Set])</f>
        <v>0</v>
      </c>
      <c r="AD549" s="436">
        <f>IF(NFI_Expiration=1,IF($A549&lt;VLOOKUP(O$5,NFI,5,0),1,0)*Table_NFI[[#This Row],[Clothes Kit]],Table_NFI[Clothes Kit])</f>
        <v>0</v>
      </c>
      <c r="AE549" s="436">
        <f>IF(NFI_Expiration=1,IF($A549&lt;VLOOKUP(P$5,NFI,5,0),1,0)*Table_NFI[[#This Row],[Plastic Bucket]],Table_NFI[Plastic Bucket])</f>
        <v>0</v>
      </c>
      <c r="AF549" s="436">
        <f>IF(NFI_Expiration=1,IF($A549&lt;VLOOKUP(Q$5,NFI,5,0),1,0)*Table_NFI[[#This Row],[Plastic Mat]],Table_NFI[Plastic Mat])*IF(Table_NFI[[#This Row],[Distribution Date]]&gt;"2014-04-01",1,2.5)</f>
        <v>0</v>
      </c>
      <c r="AG549" s="436">
        <f>IF(NFI_Expiration=1,IF($A549&lt;VLOOKUP(R$5,NFI,5,0),1,0)*Table_NFI[[#This Row],[Winter Clothes Adult]],Table_NFI[Winter Clothes Adult])</f>
        <v>0</v>
      </c>
      <c r="AH549" s="436">
        <f>IF(NFI_Expiration=1,IF($A549&lt;VLOOKUP(S$5,NFI,5,0),1,0)*Table_NFI[[#This Row],[Winter Clothes Children]],Table_NFI[Winter Clothes Children])</f>
        <v>0</v>
      </c>
      <c r="AI549" s="436">
        <f>IF(NFI_Expiration=1,IF($A549&lt;VLOOKUP(T$5,NFI,5,0),1,0)*Table_NFI[[#This Row],[Winter Items Other]],Table_NFI[Winter Items Other])</f>
        <v>0</v>
      </c>
      <c r="AJ549" s="436">
        <f>IF(NFI_Expiration=1,IF($A549&lt;VLOOKUP(M$5,NFI,5,0),1,0)*Table_NFI[[#This Row],[Winter Blanket]],Table_NFI[[#This Row],[Winter Blanket]])</f>
        <v>0</v>
      </c>
      <c r="AK549" s="436">
        <f>IF(Table_NFI[[#This Row],[Winter Clothes Adult]]+Table_NFI[[#This Row],[Winter Clothes Children]]+Table_NFI[[#This Row],[Winter Items Other]]+Table_NFI[[#This Row],[Winter Blanket]]&gt;0,1,0)</f>
        <v>0</v>
      </c>
      <c r="AL549" s="439">
        <f>IF(NFI_Expiration=1,IF($A549&lt;VLOOKUP(V$5,NFI,5,0),1,0)*Table_NFI[[#This Row],[Jerry Can]],Table_NFI[Jerry Can])</f>
        <v>0</v>
      </c>
      <c r="AM549" s="781" t="str">
        <f>IFERROR(VLOOKUP(Table_NFI[[#This Row],[Camp Name]],CL,2,0),"")</f>
        <v>MMR001CMP181</v>
      </c>
      <c r="AN549" s="782">
        <f ca="1">IF(Table_NFI[[#This Row],[Pcode]]="","",IF(OFFSET(CampList[Opening Date],MATCH(Table_NFI[[#This Row],[Pcode]],CampList[CP_Pcode],0)-1,0,1,1)&gt;=NFI_Monitor_Date,1,0))</f>
        <v>0</v>
      </c>
      <c r="AO549" s="781" t="str">
        <f>IFERROR(VLOOKUP(Table_NFI[[#This Row],[Camp Name]],CL,3,0),"")</f>
        <v>Open</v>
      </c>
      <c r="AP549" s="436" t="str">
        <f ca="1">IF(Table_NFI[[#This Row],[Pcode]]="","",OFFSET(CampList[Priority],MATCH(Table_NFI[[#This Row],[Pcode]],CampList[CP_Pcode],0)-1,0,1,1))</f>
        <v>P4</v>
      </c>
      <c r="AQ549" s="438">
        <f>IFERROR(Table_NFI[[#This Row],[Kitchen Set]]/VLOOKUP(Table_NFI[[#This Row],[Camp Name]],CL,4,0),"")</f>
        <v>1.6</v>
      </c>
      <c r="AR549" s="779" t="s">
        <v>1099</v>
      </c>
      <c r="AS549" s="783"/>
    </row>
    <row r="550" spans="1:45" s="784" customFormat="1" x14ac:dyDescent="0.25">
      <c r="A550" s="455">
        <f t="shared" si="8"/>
        <v>31.833333333333332</v>
      </c>
      <c r="B550" s="778">
        <v>41354</v>
      </c>
      <c r="C550" s="779" t="s">
        <v>454</v>
      </c>
      <c r="D550" s="780" t="s">
        <v>454</v>
      </c>
      <c r="E550" s="779" t="s">
        <v>380</v>
      </c>
      <c r="F550" s="435" t="s">
        <v>529</v>
      </c>
      <c r="G550" s="435" t="s">
        <v>118</v>
      </c>
      <c r="H550" s="436"/>
      <c r="I550" s="436"/>
      <c r="J550" s="436">
        <v>15</v>
      </c>
      <c r="K550" s="436">
        <v>8</v>
      </c>
      <c r="L550" s="437">
        <v>8</v>
      </c>
      <c r="M550" s="437">
        <v>17</v>
      </c>
      <c r="N550" s="437">
        <v>8</v>
      </c>
      <c r="O550" s="437">
        <v>17</v>
      </c>
      <c r="P550" s="437">
        <v>17</v>
      </c>
      <c r="Q550" s="437">
        <v>17</v>
      </c>
      <c r="R550" s="436"/>
      <c r="S550" s="436"/>
      <c r="T550" s="436"/>
      <c r="U550" s="436"/>
      <c r="V550" s="436"/>
      <c r="W550" s="436">
        <f>IF(NFI_Expiration=1,IF($A550&lt;VLOOKUP(H$5,NFI,5,0),1,0)*Table_NFI[[#This Row],[Hygiene Kit]],Table_NFI[Hygiene Kit])</f>
        <v>0</v>
      </c>
      <c r="X550" s="436">
        <f>IF(NFI_Expiration=1,IF($A550&lt;VLOOKUP(I$5,NFI,5,0),1,0)*Table_NFI[[#This Row],[NFI Core Kit]],Table_NFI[NFI Core Kit])</f>
        <v>0</v>
      </c>
      <c r="Y550" s="436">
        <f>IF(NFI_Expiration=1,IF($A550&lt;VLOOKUP(J$5,NFI,5,0),1,0)*Table_NFI[[#This Row],[Sanitary Kit]],Table_NFI[Sanitary Kit])</f>
        <v>0</v>
      </c>
      <c r="Z550" s="436">
        <f>IF(NFI_Expiration=1,IF($A550&lt;VLOOKUP(K$5,NFI,5,0),1,0)*Table_NFI[[#This Row],[Mosquito net]],Table_NFI[Mosquito net])</f>
        <v>0</v>
      </c>
      <c r="AA550" s="436">
        <f>IF(NFI_Expiration=1,IF($A550&lt;VLOOKUP(L$5,NFI,5,0),1,0)*Table_NFI[[#This Row],[Tarpaulin]],Table_NFI[[#This Row],[Tarpaulin]])</f>
        <v>0</v>
      </c>
      <c r="AB550" s="436">
        <f>IF(NFI_Expiration=1,IF($A550&lt;VLOOKUP(M$5,NFI,5,0),1,0)*Table_NFI[[#This Row],[Blanket]],Table_NFI[[#This Row],[Blanket]])</f>
        <v>0</v>
      </c>
      <c r="AC550" s="436">
        <f>IF(NFI_Expiration=1,IF($A550&lt;VLOOKUP(N$5,NFI,5,0),1,0)*Table_NFI[[#This Row],[Kitchen Set]],Table_NFI[Kitchen Set])</f>
        <v>0</v>
      </c>
      <c r="AD550" s="436">
        <f>IF(NFI_Expiration=1,IF($A550&lt;VLOOKUP(O$5,NFI,5,0),1,0)*Table_NFI[[#This Row],[Clothes Kit]],Table_NFI[Clothes Kit])</f>
        <v>0</v>
      </c>
      <c r="AE550" s="436">
        <f>IF(NFI_Expiration=1,IF($A550&lt;VLOOKUP(P$5,NFI,5,0),1,0)*Table_NFI[[#This Row],[Plastic Bucket]],Table_NFI[Plastic Bucket])</f>
        <v>0</v>
      </c>
      <c r="AF550" s="436">
        <f>IF(NFI_Expiration=1,IF($A550&lt;VLOOKUP(Q$5,NFI,5,0),1,0)*Table_NFI[[#This Row],[Plastic Mat]],Table_NFI[Plastic Mat])*IF(Table_NFI[[#This Row],[Distribution Date]]&gt;"2014-04-01",1,2.5)</f>
        <v>0</v>
      </c>
      <c r="AG550" s="436">
        <f>IF(NFI_Expiration=1,IF($A550&lt;VLOOKUP(R$5,NFI,5,0),1,0)*Table_NFI[[#This Row],[Winter Clothes Adult]],Table_NFI[Winter Clothes Adult])</f>
        <v>0</v>
      </c>
      <c r="AH550" s="436">
        <f>IF(NFI_Expiration=1,IF($A550&lt;VLOOKUP(S$5,NFI,5,0),1,0)*Table_NFI[[#This Row],[Winter Clothes Children]],Table_NFI[Winter Clothes Children])</f>
        <v>0</v>
      </c>
      <c r="AI550" s="436">
        <f>IF(NFI_Expiration=1,IF($A550&lt;VLOOKUP(T$5,NFI,5,0),1,0)*Table_NFI[[#This Row],[Winter Items Other]],Table_NFI[Winter Items Other])</f>
        <v>0</v>
      </c>
      <c r="AJ550" s="436">
        <f>IF(NFI_Expiration=1,IF($A550&lt;VLOOKUP(M$5,NFI,5,0),1,0)*Table_NFI[[#This Row],[Winter Blanket]],Table_NFI[[#This Row],[Winter Blanket]])</f>
        <v>0</v>
      </c>
      <c r="AK550" s="436">
        <f>IF(Table_NFI[[#This Row],[Winter Clothes Adult]]+Table_NFI[[#This Row],[Winter Clothes Children]]+Table_NFI[[#This Row],[Winter Items Other]]+Table_NFI[[#This Row],[Winter Blanket]]&gt;0,1,0)</f>
        <v>0</v>
      </c>
      <c r="AL550" s="439">
        <f>IF(NFI_Expiration=1,IF($A550&lt;VLOOKUP(V$5,NFI,5,0),1,0)*Table_NFI[[#This Row],[Jerry Can]],Table_NFI[Jerry Can])</f>
        <v>0</v>
      </c>
      <c r="AM550" s="781" t="str">
        <f>IFERROR(VLOOKUP(Table_NFI[[#This Row],[Camp Name]],CL,2,0),"")</f>
        <v>MMR001CMP182</v>
      </c>
      <c r="AN550" s="782">
        <f ca="1">IF(Table_NFI[[#This Row],[Pcode]]="","",IF(OFFSET(CampList[Opening Date],MATCH(Table_NFI[[#This Row],[Pcode]],CampList[CP_Pcode],0)-1,0,1,1)&gt;=NFI_Monitor_Date,1,0))</f>
        <v>0</v>
      </c>
      <c r="AO550" s="781" t="str">
        <f>IFERROR(VLOOKUP(Table_NFI[[#This Row],[Camp Name]],CL,3,0),"")</f>
        <v>Open</v>
      </c>
      <c r="AP550" s="436" t="str">
        <f ca="1">IF(Table_NFI[[#This Row],[Pcode]]="","",OFFSET(CampList[Priority],MATCH(Table_NFI[[#This Row],[Pcode]],CampList[CP_Pcode],0)-1,0,1,1))</f>
        <v>P4</v>
      </c>
      <c r="AQ550" s="438">
        <f>IFERROR(Table_NFI[[#This Row],[Kitchen Set]]/VLOOKUP(Table_NFI[[#This Row],[Camp Name]],CL,4,0),"")</f>
        <v>0.8</v>
      </c>
      <c r="AR550" s="779" t="s">
        <v>1099</v>
      </c>
      <c r="AS550" s="783"/>
    </row>
    <row r="551" spans="1:45" s="784" customFormat="1" x14ac:dyDescent="0.25">
      <c r="A551" s="455">
        <f t="shared" si="8"/>
        <v>31.866666666666667</v>
      </c>
      <c r="B551" s="778">
        <v>41353</v>
      </c>
      <c r="C551" s="779" t="s">
        <v>454</v>
      </c>
      <c r="D551" s="779" t="s">
        <v>454</v>
      </c>
      <c r="E551" s="779" t="s">
        <v>380</v>
      </c>
      <c r="F551" s="779" t="s">
        <v>529</v>
      </c>
      <c r="G551" s="435" t="s">
        <v>43</v>
      </c>
      <c r="H551" s="436"/>
      <c r="I551" s="436"/>
      <c r="J551" s="436">
        <v>24</v>
      </c>
      <c r="K551" s="436">
        <v>17</v>
      </c>
      <c r="L551" s="437">
        <v>17</v>
      </c>
      <c r="M551" s="437">
        <v>41</v>
      </c>
      <c r="N551" s="437">
        <v>17</v>
      </c>
      <c r="O551" s="437">
        <v>41</v>
      </c>
      <c r="P551" s="437">
        <v>41</v>
      </c>
      <c r="Q551" s="437">
        <v>41</v>
      </c>
      <c r="R551" s="436"/>
      <c r="S551" s="436"/>
      <c r="T551" s="436"/>
      <c r="U551" s="436"/>
      <c r="V551" s="436"/>
      <c r="W551" s="436">
        <f>IF(NFI_Expiration=1,IF($A551&lt;VLOOKUP(H$5,NFI,5,0),1,0)*Table_NFI[[#This Row],[Hygiene Kit]],Table_NFI[Hygiene Kit])</f>
        <v>0</v>
      </c>
      <c r="X551" s="436">
        <f>IF(NFI_Expiration=1,IF($A551&lt;VLOOKUP(I$5,NFI,5,0),1,0)*Table_NFI[[#This Row],[NFI Core Kit]],Table_NFI[NFI Core Kit])</f>
        <v>0</v>
      </c>
      <c r="Y551" s="436">
        <f>IF(NFI_Expiration=1,IF($A551&lt;VLOOKUP(J$5,NFI,5,0),1,0)*Table_NFI[[#This Row],[Sanitary Kit]],Table_NFI[Sanitary Kit])</f>
        <v>0</v>
      </c>
      <c r="Z551" s="436">
        <f>IF(NFI_Expiration=1,IF($A551&lt;VLOOKUP(K$5,NFI,5,0),1,0)*Table_NFI[[#This Row],[Mosquito net]],Table_NFI[Mosquito net])</f>
        <v>0</v>
      </c>
      <c r="AA551" s="436">
        <f>IF(NFI_Expiration=1,IF($A551&lt;VLOOKUP(L$5,NFI,5,0),1,0)*Table_NFI[[#This Row],[Tarpaulin]],Table_NFI[[#This Row],[Tarpaulin]])</f>
        <v>0</v>
      </c>
      <c r="AB551" s="436">
        <f>IF(NFI_Expiration=1,IF($A551&lt;VLOOKUP(M$5,NFI,5,0),1,0)*Table_NFI[[#This Row],[Blanket]],Table_NFI[[#This Row],[Blanket]])</f>
        <v>0</v>
      </c>
      <c r="AC551" s="436">
        <f>IF(NFI_Expiration=1,IF($A551&lt;VLOOKUP(N$5,NFI,5,0),1,0)*Table_NFI[[#This Row],[Kitchen Set]],Table_NFI[Kitchen Set])</f>
        <v>0</v>
      </c>
      <c r="AD551" s="436">
        <f>IF(NFI_Expiration=1,IF($A551&lt;VLOOKUP(O$5,NFI,5,0),1,0)*Table_NFI[[#This Row],[Clothes Kit]],Table_NFI[Clothes Kit])</f>
        <v>0</v>
      </c>
      <c r="AE551" s="436">
        <f>IF(NFI_Expiration=1,IF($A551&lt;VLOOKUP(P$5,NFI,5,0),1,0)*Table_NFI[[#This Row],[Plastic Bucket]],Table_NFI[Plastic Bucket])</f>
        <v>0</v>
      </c>
      <c r="AF551" s="436">
        <f>IF(NFI_Expiration=1,IF($A551&lt;VLOOKUP(Q$5,NFI,5,0),1,0)*Table_NFI[[#This Row],[Plastic Mat]],Table_NFI[Plastic Mat])*IF(Table_NFI[[#This Row],[Distribution Date]]&gt;"2014-04-01",1,2.5)</f>
        <v>0</v>
      </c>
      <c r="AG551" s="436">
        <f>IF(NFI_Expiration=1,IF($A551&lt;VLOOKUP(R$5,NFI,5,0),1,0)*Table_NFI[[#This Row],[Winter Clothes Adult]],Table_NFI[Winter Clothes Adult])</f>
        <v>0</v>
      </c>
      <c r="AH551" s="436">
        <f>IF(NFI_Expiration=1,IF($A551&lt;VLOOKUP(S$5,NFI,5,0),1,0)*Table_NFI[[#This Row],[Winter Clothes Children]],Table_NFI[Winter Clothes Children])</f>
        <v>0</v>
      </c>
      <c r="AI551" s="436">
        <f>IF(NFI_Expiration=1,IF($A551&lt;VLOOKUP(T$5,NFI,5,0),1,0)*Table_NFI[[#This Row],[Winter Items Other]],Table_NFI[Winter Items Other])</f>
        <v>0</v>
      </c>
      <c r="AJ551" s="436">
        <f>IF(NFI_Expiration=1,IF($A551&lt;VLOOKUP(M$5,NFI,5,0),1,0)*Table_NFI[[#This Row],[Winter Blanket]],Table_NFI[[#This Row],[Winter Blanket]])</f>
        <v>0</v>
      </c>
      <c r="AK551" s="436">
        <f>IF(Table_NFI[[#This Row],[Winter Clothes Adult]]+Table_NFI[[#This Row],[Winter Clothes Children]]+Table_NFI[[#This Row],[Winter Items Other]]+Table_NFI[[#This Row],[Winter Blanket]]&gt;0,1,0)</f>
        <v>0</v>
      </c>
      <c r="AL551" s="439">
        <f>IF(NFI_Expiration=1,IF($A551&lt;VLOOKUP(V$5,NFI,5,0),1,0)*Table_NFI[[#This Row],[Jerry Can]],Table_NFI[Jerry Can])</f>
        <v>0</v>
      </c>
      <c r="AM551" s="781" t="str">
        <f>IFERROR(VLOOKUP(Table_NFI[[#This Row],[Camp Name]],CL,2,0),"")</f>
        <v>MMR001CMP190</v>
      </c>
      <c r="AN551" s="782">
        <f ca="1">IF(Table_NFI[[#This Row],[Pcode]]="","",IF(OFFSET(CampList[Opening Date],MATCH(Table_NFI[[#This Row],[Pcode]],CampList[CP_Pcode],0)-1,0,1,1)&gt;=NFI_Monitor_Date,1,0))</f>
        <v>0</v>
      </c>
      <c r="AO551" s="781" t="str">
        <f>IFERROR(VLOOKUP(Table_NFI[[#This Row],[Camp Name]],CL,3,0),"")</f>
        <v>Open</v>
      </c>
      <c r="AP551" s="436" t="str">
        <f ca="1">IF(Table_NFI[[#This Row],[Pcode]]="","",OFFSET(CampList[Priority],MATCH(Table_NFI[[#This Row],[Pcode]],CampList[CP_Pcode],0)-1,0,1,1))</f>
        <v>P4</v>
      </c>
      <c r="AQ551" s="438">
        <f>IFERROR(Table_NFI[[#This Row],[Kitchen Set]]/VLOOKUP(Table_NFI[[#This Row],[Camp Name]],CL,4,0),"")</f>
        <v>1.2142857142857142</v>
      </c>
      <c r="AR551" s="779" t="s">
        <v>1099</v>
      </c>
      <c r="AS551" s="783"/>
    </row>
    <row r="552" spans="1:45" s="784" customFormat="1" x14ac:dyDescent="0.25">
      <c r="A552" s="455">
        <f t="shared" si="8"/>
        <v>31.866666666666667</v>
      </c>
      <c r="B552" s="778">
        <v>41353</v>
      </c>
      <c r="C552" s="779" t="s">
        <v>454</v>
      </c>
      <c r="D552" s="779" t="s">
        <v>454</v>
      </c>
      <c r="E552" s="779" t="s">
        <v>380</v>
      </c>
      <c r="F552" s="435" t="s">
        <v>529</v>
      </c>
      <c r="G552" s="435" t="s">
        <v>39</v>
      </c>
      <c r="H552" s="436"/>
      <c r="I552" s="436"/>
      <c r="J552" s="436">
        <v>38</v>
      </c>
      <c r="K552" s="436">
        <v>11</v>
      </c>
      <c r="L552" s="437">
        <v>11</v>
      </c>
      <c r="M552" s="437">
        <v>87</v>
      </c>
      <c r="N552" s="437">
        <v>11</v>
      </c>
      <c r="O552" s="437">
        <v>26</v>
      </c>
      <c r="P552" s="439">
        <v>26</v>
      </c>
      <c r="Q552" s="439">
        <v>26</v>
      </c>
      <c r="R552" s="436"/>
      <c r="S552" s="436"/>
      <c r="T552" s="436"/>
      <c r="U552" s="436"/>
      <c r="V552" s="436"/>
      <c r="W552" s="436">
        <f>IF(NFI_Expiration=1,IF($A552&lt;VLOOKUP(H$5,NFI,5,0),1,0)*Table_NFI[[#This Row],[Hygiene Kit]],Table_NFI[Hygiene Kit])</f>
        <v>0</v>
      </c>
      <c r="X552" s="436">
        <f>IF(NFI_Expiration=1,IF($A552&lt;VLOOKUP(I$5,NFI,5,0),1,0)*Table_NFI[[#This Row],[NFI Core Kit]],Table_NFI[NFI Core Kit])</f>
        <v>0</v>
      </c>
      <c r="Y552" s="436">
        <f>IF(NFI_Expiration=1,IF($A552&lt;VLOOKUP(J$5,NFI,5,0),1,0)*Table_NFI[[#This Row],[Sanitary Kit]],Table_NFI[Sanitary Kit])</f>
        <v>0</v>
      </c>
      <c r="Z552" s="436">
        <f>IF(NFI_Expiration=1,IF($A552&lt;VLOOKUP(K$5,NFI,5,0),1,0)*Table_NFI[[#This Row],[Mosquito net]],Table_NFI[Mosquito net])</f>
        <v>0</v>
      </c>
      <c r="AA552" s="436">
        <f>IF(NFI_Expiration=1,IF($A552&lt;VLOOKUP(L$5,NFI,5,0),1,0)*Table_NFI[[#This Row],[Tarpaulin]],Table_NFI[[#This Row],[Tarpaulin]])</f>
        <v>0</v>
      </c>
      <c r="AB552" s="436">
        <f>IF(NFI_Expiration=1,IF($A552&lt;VLOOKUP(M$5,NFI,5,0),1,0)*Table_NFI[[#This Row],[Blanket]],Table_NFI[[#This Row],[Blanket]])</f>
        <v>0</v>
      </c>
      <c r="AC552" s="436">
        <f>IF(NFI_Expiration=1,IF($A552&lt;VLOOKUP(N$5,NFI,5,0),1,0)*Table_NFI[[#This Row],[Kitchen Set]],Table_NFI[Kitchen Set])</f>
        <v>0</v>
      </c>
      <c r="AD552" s="436">
        <f>IF(NFI_Expiration=1,IF($A552&lt;VLOOKUP(O$5,NFI,5,0),1,0)*Table_NFI[[#This Row],[Clothes Kit]],Table_NFI[Clothes Kit])</f>
        <v>0</v>
      </c>
      <c r="AE552" s="436">
        <f>IF(NFI_Expiration=1,IF($A552&lt;VLOOKUP(P$5,NFI,5,0),1,0)*Table_NFI[[#This Row],[Plastic Bucket]],Table_NFI[Plastic Bucket])</f>
        <v>0</v>
      </c>
      <c r="AF552" s="436">
        <f>IF(NFI_Expiration=1,IF($A552&lt;VLOOKUP(Q$5,NFI,5,0),1,0)*Table_NFI[[#This Row],[Plastic Mat]],Table_NFI[Plastic Mat])*IF(Table_NFI[[#This Row],[Distribution Date]]&gt;"2014-04-01",1,2.5)</f>
        <v>0</v>
      </c>
      <c r="AG552" s="436">
        <f>IF(NFI_Expiration=1,IF($A552&lt;VLOOKUP(R$5,NFI,5,0),1,0)*Table_NFI[[#This Row],[Winter Clothes Adult]],Table_NFI[Winter Clothes Adult])</f>
        <v>0</v>
      </c>
      <c r="AH552" s="436">
        <f>IF(NFI_Expiration=1,IF($A552&lt;VLOOKUP(S$5,NFI,5,0),1,0)*Table_NFI[[#This Row],[Winter Clothes Children]],Table_NFI[Winter Clothes Children])</f>
        <v>0</v>
      </c>
      <c r="AI552" s="436">
        <f>IF(NFI_Expiration=1,IF($A552&lt;VLOOKUP(T$5,NFI,5,0),1,0)*Table_NFI[[#This Row],[Winter Items Other]],Table_NFI[Winter Items Other])</f>
        <v>0</v>
      </c>
      <c r="AJ552" s="436">
        <f>IF(NFI_Expiration=1,IF($A552&lt;VLOOKUP(M$5,NFI,5,0),1,0)*Table_NFI[[#This Row],[Winter Blanket]],Table_NFI[[#This Row],[Winter Blanket]])</f>
        <v>0</v>
      </c>
      <c r="AK552" s="436">
        <f>IF(Table_NFI[[#This Row],[Winter Clothes Adult]]+Table_NFI[[#This Row],[Winter Clothes Children]]+Table_NFI[[#This Row],[Winter Items Other]]+Table_NFI[[#This Row],[Winter Blanket]]&gt;0,1,0)</f>
        <v>0</v>
      </c>
      <c r="AL552" s="439">
        <f>IF(NFI_Expiration=1,IF($A552&lt;VLOOKUP(V$5,NFI,5,0),1,0)*Table_NFI[[#This Row],[Jerry Can]],Table_NFI[Jerry Can])</f>
        <v>0</v>
      </c>
      <c r="AM552" s="781" t="str">
        <f>IFERROR(VLOOKUP(Table_NFI[[#This Row],[Camp Name]],CL,2,0),"")</f>
        <v>MMR001CMP173</v>
      </c>
      <c r="AN552" s="782">
        <f ca="1">IF(Table_NFI[[#This Row],[Pcode]]="","",IF(OFFSET(CampList[Opening Date],MATCH(Table_NFI[[#This Row],[Pcode]],CampList[CP_Pcode],0)-1,0,1,1)&gt;=NFI_Monitor_Date,1,0))</f>
        <v>0</v>
      </c>
      <c r="AO552" s="781" t="str">
        <f>IFERROR(VLOOKUP(Table_NFI[[#This Row],[Camp Name]],CL,3,0),"")</f>
        <v>Closed</v>
      </c>
      <c r="AP552" s="436" t="str">
        <f ca="1">IF(Table_NFI[[#This Row],[Pcode]]="","",OFFSET(CampList[Priority],MATCH(Table_NFI[[#This Row],[Pcode]],CampList[CP_Pcode],0)-1,0,1,1))</f>
        <v/>
      </c>
      <c r="AQ552" s="438" t="str">
        <f>IFERROR(Table_NFI[[#This Row],[Kitchen Set]]/VLOOKUP(Table_NFI[[#This Row],[Camp Name]],CL,4,0),"")</f>
        <v/>
      </c>
      <c r="AR552" s="779" t="s">
        <v>1099</v>
      </c>
      <c r="AS552" s="783"/>
    </row>
    <row r="553" spans="1:45" s="784" customFormat="1" x14ac:dyDescent="0.25">
      <c r="A553" s="455">
        <f t="shared" si="8"/>
        <v>31.866666666666667</v>
      </c>
      <c r="B553" s="778">
        <v>41353</v>
      </c>
      <c r="C553" s="779" t="s">
        <v>454</v>
      </c>
      <c r="D553" s="780" t="s">
        <v>454</v>
      </c>
      <c r="E553" s="779" t="s">
        <v>380</v>
      </c>
      <c r="F553" s="435" t="s">
        <v>529</v>
      </c>
      <c r="G553" s="435" t="s">
        <v>72</v>
      </c>
      <c r="H553" s="436"/>
      <c r="I553" s="436"/>
      <c r="J553" s="436">
        <v>3</v>
      </c>
      <c r="K553" s="436">
        <v>8</v>
      </c>
      <c r="L553" s="437">
        <v>8</v>
      </c>
      <c r="M553" s="437">
        <v>15</v>
      </c>
      <c r="N553" s="437">
        <v>8</v>
      </c>
      <c r="O553" s="437">
        <v>15</v>
      </c>
      <c r="P553" s="437">
        <v>15</v>
      </c>
      <c r="Q553" s="437">
        <v>15</v>
      </c>
      <c r="R553" s="436"/>
      <c r="S553" s="436"/>
      <c r="T553" s="436"/>
      <c r="U553" s="436"/>
      <c r="V553" s="436"/>
      <c r="W553" s="436">
        <f>IF(NFI_Expiration=1,IF($A553&lt;VLOOKUP(H$5,NFI,5,0),1,0)*Table_NFI[[#This Row],[Hygiene Kit]],Table_NFI[Hygiene Kit])</f>
        <v>0</v>
      </c>
      <c r="X553" s="436">
        <f>IF(NFI_Expiration=1,IF($A553&lt;VLOOKUP(I$5,NFI,5,0),1,0)*Table_NFI[[#This Row],[NFI Core Kit]],Table_NFI[NFI Core Kit])</f>
        <v>0</v>
      </c>
      <c r="Y553" s="436">
        <f>IF(NFI_Expiration=1,IF($A553&lt;VLOOKUP(J$5,NFI,5,0),1,0)*Table_NFI[[#This Row],[Sanitary Kit]],Table_NFI[Sanitary Kit])</f>
        <v>0</v>
      </c>
      <c r="Z553" s="436">
        <f>IF(NFI_Expiration=1,IF($A553&lt;VLOOKUP(K$5,NFI,5,0),1,0)*Table_NFI[[#This Row],[Mosquito net]],Table_NFI[Mosquito net])</f>
        <v>0</v>
      </c>
      <c r="AA553" s="436">
        <f>IF(NFI_Expiration=1,IF($A553&lt;VLOOKUP(L$5,NFI,5,0),1,0)*Table_NFI[[#This Row],[Tarpaulin]],Table_NFI[[#This Row],[Tarpaulin]])</f>
        <v>0</v>
      </c>
      <c r="AB553" s="436">
        <f>IF(NFI_Expiration=1,IF($A553&lt;VLOOKUP(M$5,NFI,5,0),1,0)*Table_NFI[[#This Row],[Blanket]],Table_NFI[[#This Row],[Blanket]])</f>
        <v>0</v>
      </c>
      <c r="AC553" s="436">
        <f>IF(NFI_Expiration=1,IF($A553&lt;VLOOKUP(N$5,NFI,5,0),1,0)*Table_NFI[[#This Row],[Kitchen Set]],Table_NFI[Kitchen Set])</f>
        <v>0</v>
      </c>
      <c r="AD553" s="436">
        <f>IF(NFI_Expiration=1,IF($A553&lt;VLOOKUP(O$5,NFI,5,0),1,0)*Table_NFI[[#This Row],[Clothes Kit]],Table_NFI[Clothes Kit])</f>
        <v>0</v>
      </c>
      <c r="AE553" s="436">
        <f>IF(NFI_Expiration=1,IF($A553&lt;VLOOKUP(P$5,NFI,5,0),1,0)*Table_NFI[[#This Row],[Plastic Bucket]],Table_NFI[Plastic Bucket])</f>
        <v>0</v>
      </c>
      <c r="AF553" s="436">
        <f>IF(NFI_Expiration=1,IF($A553&lt;VLOOKUP(Q$5,NFI,5,0),1,0)*Table_NFI[[#This Row],[Plastic Mat]],Table_NFI[Plastic Mat])*IF(Table_NFI[[#This Row],[Distribution Date]]&gt;"2014-04-01",1,2.5)</f>
        <v>0</v>
      </c>
      <c r="AG553" s="436">
        <f>IF(NFI_Expiration=1,IF($A553&lt;VLOOKUP(R$5,NFI,5,0),1,0)*Table_NFI[[#This Row],[Winter Clothes Adult]],Table_NFI[Winter Clothes Adult])</f>
        <v>0</v>
      </c>
      <c r="AH553" s="436">
        <f>IF(NFI_Expiration=1,IF($A553&lt;VLOOKUP(S$5,NFI,5,0),1,0)*Table_NFI[[#This Row],[Winter Clothes Children]],Table_NFI[Winter Clothes Children])</f>
        <v>0</v>
      </c>
      <c r="AI553" s="436">
        <f>IF(NFI_Expiration=1,IF($A553&lt;VLOOKUP(T$5,NFI,5,0),1,0)*Table_NFI[[#This Row],[Winter Items Other]],Table_NFI[Winter Items Other])</f>
        <v>0</v>
      </c>
      <c r="AJ553" s="436">
        <f>IF(NFI_Expiration=1,IF($A553&lt;VLOOKUP(M$5,NFI,5,0),1,0)*Table_NFI[[#This Row],[Winter Blanket]],Table_NFI[[#This Row],[Winter Blanket]])</f>
        <v>0</v>
      </c>
      <c r="AK553" s="436">
        <f>IF(Table_NFI[[#This Row],[Winter Clothes Adult]]+Table_NFI[[#This Row],[Winter Clothes Children]]+Table_NFI[[#This Row],[Winter Items Other]]+Table_NFI[[#This Row],[Winter Blanket]]&gt;0,1,0)</f>
        <v>0</v>
      </c>
      <c r="AL553" s="439">
        <f>IF(NFI_Expiration=1,IF($A553&lt;VLOOKUP(V$5,NFI,5,0),1,0)*Table_NFI[[#This Row],[Jerry Can]],Table_NFI[Jerry Can])</f>
        <v>0</v>
      </c>
      <c r="AM553" s="781" t="str">
        <f>IFERROR(VLOOKUP(Table_NFI[[#This Row],[Camp Name]],CL,2,0),"")</f>
        <v>MMR001CMP109</v>
      </c>
      <c r="AN553" s="782">
        <f ca="1">IF(Table_NFI[[#This Row],[Pcode]]="","",IF(OFFSET(CampList[Opening Date],MATCH(Table_NFI[[#This Row],[Pcode]],CampList[CP_Pcode],0)-1,0,1,1)&gt;=NFI_Monitor_Date,1,0))</f>
        <v>0</v>
      </c>
      <c r="AO553" s="781" t="str">
        <f>IFERROR(VLOOKUP(Table_NFI[[#This Row],[Camp Name]],CL,3,0),"")</f>
        <v>Open</v>
      </c>
      <c r="AP553" s="436" t="str">
        <f ca="1">IF(Table_NFI[[#This Row],[Pcode]]="","",OFFSET(CampList[Priority],MATCH(Table_NFI[[#This Row],[Pcode]],CampList[CP_Pcode],0)-1,0,1,1))</f>
        <v>P4</v>
      </c>
      <c r="AQ553" s="438">
        <f>IFERROR(Table_NFI[[#This Row],[Kitchen Set]]/VLOOKUP(Table_NFI[[#This Row],[Camp Name]],CL,4,0),"")</f>
        <v>1.3333333333333333</v>
      </c>
      <c r="AR553" s="779" t="s">
        <v>1099</v>
      </c>
      <c r="AS553" s="783"/>
    </row>
    <row r="554" spans="1:45" s="136" customFormat="1" x14ac:dyDescent="0.25">
      <c r="A554" s="455">
        <f t="shared" si="8"/>
        <v>31.866666666666667</v>
      </c>
      <c r="B554" s="778">
        <v>41353</v>
      </c>
      <c r="C554" s="779" t="s">
        <v>454</v>
      </c>
      <c r="D554" s="780" t="s">
        <v>454</v>
      </c>
      <c r="E554" s="779" t="s">
        <v>380</v>
      </c>
      <c r="F554" s="435" t="s">
        <v>529</v>
      </c>
      <c r="G554" s="435" t="s">
        <v>70</v>
      </c>
      <c r="H554" s="436"/>
      <c r="I554" s="436"/>
      <c r="J554" s="436">
        <v>9</v>
      </c>
      <c r="K554" s="436">
        <v>6</v>
      </c>
      <c r="L554" s="437">
        <v>6</v>
      </c>
      <c r="M554" s="437">
        <v>15</v>
      </c>
      <c r="N554" s="437">
        <v>6</v>
      </c>
      <c r="O554" s="437">
        <v>15</v>
      </c>
      <c r="P554" s="437">
        <v>15</v>
      </c>
      <c r="Q554" s="437">
        <v>15</v>
      </c>
      <c r="R554" s="436"/>
      <c r="S554" s="436"/>
      <c r="T554" s="436"/>
      <c r="U554" s="436"/>
      <c r="V554" s="436"/>
      <c r="W554" s="436">
        <f>IF(NFI_Expiration=1,IF($A554&lt;VLOOKUP(H$5,NFI,5,0),1,0)*Table_NFI[[#This Row],[Hygiene Kit]],Table_NFI[Hygiene Kit])</f>
        <v>0</v>
      </c>
      <c r="X554" s="436">
        <f>IF(NFI_Expiration=1,IF($A554&lt;VLOOKUP(I$5,NFI,5,0),1,0)*Table_NFI[[#This Row],[NFI Core Kit]],Table_NFI[NFI Core Kit])</f>
        <v>0</v>
      </c>
      <c r="Y554" s="436">
        <f>IF(NFI_Expiration=1,IF($A554&lt;VLOOKUP(J$5,NFI,5,0),1,0)*Table_NFI[[#This Row],[Sanitary Kit]],Table_NFI[Sanitary Kit])</f>
        <v>0</v>
      </c>
      <c r="Z554" s="436">
        <f>IF(NFI_Expiration=1,IF($A554&lt;VLOOKUP(K$5,NFI,5,0),1,0)*Table_NFI[[#This Row],[Mosquito net]],Table_NFI[Mosquito net])</f>
        <v>0</v>
      </c>
      <c r="AA554" s="436">
        <f>IF(NFI_Expiration=1,IF($A554&lt;VLOOKUP(L$5,NFI,5,0),1,0)*Table_NFI[[#This Row],[Tarpaulin]],Table_NFI[[#This Row],[Tarpaulin]])</f>
        <v>0</v>
      </c>
      <c r="AB554" s="436">
        <f>IF(NFI_Expiration=1,IF($A554&lt;VLOOKUP(M$5,NFI,5,0),1,0)*Table_NFI[[#This Row],[Blanket]],Table_NFI[[#This Row],[Blanket]])</f>
        <v>0</v>
      </c>
      <c r="AC554" s="436">
        <f>IF(NFI_Expiration=1,IF($A554&lt;VLOOKUP(N$5,NFI,5,0),1,0)*Table_NFI[[#This Row],[Kitchen Set]],Table_NFI[Kitchen Set])</f>
        <v>0</v>
      </c>
      <c r="AD554" s="436">
        <f>IF(NFI_Expiration=1,IF($A554&lt;VLOOKUP(O$5,NFI,5,0),1,0)*Table_NFI[[#This Row],[Clothes Kit]],Table_NFI[Clothes Kit])</f>
        <v>0</v>
      </c>
      <c r="AE554" s="436">
        <f>IF(NFI_Expiration=1,IF($A554&lt;VLOOKUP(P$5,NFI,5,0),1,0)*Table_NFI[[#This Row],[Plastic Bucket]],Table_NFI[Plastic Bucket])</f>
        <v>0</v>
      </c>
      <c r="AF554" s="436">
        <f>IF(NFI_Expiration=1,IF($A554&lt;VLOOKUP(Q$5,NFI,5,0),1,0)*Table_NFI[[#This Row],[Plastic Mat]],Table_NFI[Plastic Mat])*IF(Table_NFI[[#This Row],[Distribution Date]]&gt;"2014-04-01",1,2.5)</f>
        <v>0</v>
      </c>
      <c r="AG554" s="436">
        <f>IF(NFI_Expiration=1,IF($A554&lt;VLOOKUP(R$5,NFI,5,0),1,0)*Table_NFI[[#This Row],[Winter Clothes Adult]],Table_NFI[Winter Clothes Adult])</f>
        <v>0</v>
      </c>
      <c r="AH554" s="436">
        <f>IF(NFI_Expiration=1,IF($A554&lt;VLOOKUP(S$5,NFI,5,0),1,0)*Table_NFI[[#This Row],[Winter Clothes Children]],Table_NFI[Winter Clothes Children])</f>
        <v>0</v>
      </c>
      <c r="AI554" s="436">
        <f>IF(NFI_Expiration=1,IF($A554&lt;VLOOKUP(T$5,NFI,5,0),1,0)*Table_NFI[[#This Row],[Winter Items Other]],Table_NFI[Winter Items Other])</f>
        <v>0</v>
      </c>
      <c r="AJ554" s="436">
        <f>IF(NFI_Expiration=1,IF($A554&lt;VLOOKUP(M$5,NFI,5,0),1,0)*Table_NFI[[#This Row],[Winter Blanket]],Table_NFI[[#This Row],[Winter Blanket]])</f>
        <v>0</v>
      </c>
      <c r="AK554" s="436">
        <f>IF(Table_NFI[[#This Row],[Winter Clothes Adult]]+Table_NFI[[#This Row],[Winter Clothes Children]]+Table_NFI[[#This Row],[Winter Items Other]]+Table_NFI[[#This Row],[Winter Blanket]]&gt;0,1,0)</f>
        <v>0</v>
      </c>
      <c r="AL554" s="439">
        <f>IF(NFI_Expiration=1,IF($A554&lt;VLOOKUP(V$5,NFI,5,0),1,0)*Table_NFI[[#This Row],[Jerry Can]],Table_NFI[Jerry Can])</f>
        <v>0</v>
      </c>
      <c r="AM554" s="781" t="str">
        <f>IFERROR(VLOOKUP(Table_NFI[[#This Row],[Camp Name]],CL,2,0),"")</f>
        <v>MMR001CMP086</v>
      </c>
      <c r="AN554" s="782">
        <f ca="1">IF(Table_NFI[[#This Row],[Pcode]]="","",IF(OFFSET(CampList[Opening Date],MATCH(Table_NFI[[#This Row],[Pcode]],CampList[CP_Pcode],0)-1,0,1,1)&gt;=NFI_Monitor_Date,1,0))</f>
        <v>0</v>
      </c>
      <c r="AO554" s="781" t="str">
        <f>IFERROR(VLOOKUP(Table_NFI[[#This Row],[Camp Name]],CL,3,0),"")</f>
        <v>Closed</v>
      </c>
      <c r="AP554" s="436" t="str">
        <f ca="1">IF(Table_NFI[[#This Row],[Pcode]]="","",OFFSET(CampList[Priority],MATCH(Table_NFI[[#This Row],[Pcode]],CampList[CP_Pcode],0)-1,0,1,1))</f>
        <v/>
      </c>
      <c r="AQ554" s="438" t="str">
        <f>IFERROR(Table_NFI[[#This Row],[Kitchen Set]]/VLOOKUP(Table_NFI[[#This Row],[Camp Name]],CL,4,0),"")</f>
        <v/>
      </c>
      <c r="AR554" s="779" t="s">
        <v>1099</v>
      </c>
      <c r="AS554" s="783"/>
    </row>
    <row r="555" spans="1:45" s="136" customFormat="1" x14ac:dyDescent="0.25">
      <c r="A555" s="455">
        <f t="shared" si="8"/>
        <v>31.866666666666667</v>
      </c>
      <c r="B555" s="778">
        <v>41353</v>
      </c>
      <c r="C555" s="779" t="s">
        <v>454</v>
      </c>
      <c r="D555" s="780" t="s">
        <v>454</v>
      </c>
      <c r="E555" s="779" t="s">
        <v>380</v>
      </c>
      <c r="F555" s="435" t="s">
        <v>529</v>
      </c>
      <c r="G555" s="435" t="s">
        <v>92</v>
      </c>
      <c r="H555" s="436"/>
      <c r="I555" s="436"/>
      <c r="J555" s="436">
        <v>32</v>
      </c>
      <c r="K555" s="436">
        <v>27</v>
      </c>
      <c r="L555" s="437">
        <v>27</v>
      </c>
      <c r="M555" s="437">
        <v>66</v>
      </c>
      <c r="N555" s="437">
        <v>27</v>
      </c>
      <c r="O555" s="437">
        <v>66</v>
      </c>
      <c r="P555" s="437">
        <v>66</v>
      </c>
      <c r="Q555" s="437">
        <v>66</v>
      </c>
      <c r="R555" s="436"/>
      <c r="S555" s="436"/>
      <c r="T555" s="436"/>
      <c r="U555" s="436"/>
      <c r="V555" s="436"/>
      <c r="W555" s="436">
        <f>IF(NFI_Expiration=1,IF($A555&lt;VLOOKUP(H$5,NFI,5,0),1,0)*Table_NFI[[#This Row],[Hygiene Kit]],Table_NFI[Hygiene Kit])</f>
        <v>0</v>
      </c>
      <c r="X555" s="436">
        <f>IF(NFI_Expiration=1,IF($A555&lt;VLOOKUP(I$5,NFI,5,0),1,0)*Table_NFI[[#This Row],[NFI Core Kit]],Table_NFI[NFI Core Kit])</f>
        <v>0</v>
      </c>
      <c r="Y555" s="436">
        <f>IF(NFI_Expiration=1,IF($A555&lt;VLOOKUP(J$5,NFI,5,0),1,0)*Table_NFI[[#This Row],[Sanitary Kit]],Table_NFI[Sanitary Kit])</f>
        <v>0</v>
      </c>
      <c r="Z555" s="436">
        <f>IF(NFI_Expiration=1,IF($A555&lt;VLOOKUP(K$5,NFI,5,0),1,0)*Table_NFI[[#This Row],[Mosquito net]],Table_NFI[Mosquito net])</f>
        <v>0</v>
      </c>
      <c r="AA555" s="436">
        <f>IF(NFI_Expiration=1,IF($A555&lt;VLOOKUP(L$5,NFI,5,0),1,0)*Table_NFI[[#This Row],[Tarpaulin]],Table_NFI[[#This Row],[Tarpaulin]])</f>
        <v>0</v>
      </c>
      <c r="AB555" s="436">
        <f>IF(NFI_Expiration=1,IF($A555&lt;VLOOKUP(M$5,NFI,5,0),1,0)*Table_NFI[[#This Row],[Blanket]],Table_NFI[[#This Row],[Blanket]])</f>
        <v>0</v>
      </c>
      <c r="AC555" s="436">
        <f>IF(NFI_Expiration=1,IF($A555&lt;VLOOKUP(N$5,NFI,5,0),1,0)*Table_NFI[[#This Row],[Kitchen Set]],Table_NFI[Kitchen Set])</f>
        <v>0</v>
      </c>
      <c r="AD555" s="436">
        <f>IF(NFI_Expiration=1,IF($A555&lt;VLOOKUP(O$5,NFI,5,0),1,0)*Table_NFI[[#This Row],[Clothes Kit]],Table_NFI[Clothes Kit])</f>
        <v>0</v>
      </c>
      <c r="AE555" s="436">
        <f>IF(NFI_Expiration=1,IF($A555&lt;VLOOKUP(P$5,NFI,5,0),1,0)*Table_NFI[[#This Row],[Plastic Bucket]],Table_NFI[Plastic Bucket])</f>
        <v>0</v>
      </c>
      <c r="AF555" s="436">
        <f>IF(NFI_Expiration=1,IF($A555&lt;VLOOKUP(Q$5,NFI,5,0),1,0)*Table_NFI[[#This Row],[Plastic Mat]],Table_NFI[Plastic Mat])*IF(Table_NFI[[#This Row],[Distribution Date]]&gt;"2014-04-01",1,2.5)</f>
        <v>0</v>
      </c>
      <c r="AG555" s="436">
        <f>IF(NFI_Expiration=1,IF($A555&lt;VLOOKUP(R$5,NFI,5,0),1,0)*Table_NFI[[#This Row],[Winter Clothes Adult]],Table_NFI[Winter Clothes Adult])</f>
        <v>0</v>
      </c>
      <c r="AH555" s="436">
        <f>IF(NFI_Expiration=1,IF($A555&lt;VLOOKUP(S$5,NFI,5,0),1,0)*Table_NFI[[#This Row],[Winter Clothes Children]],Table_NFI[Winter Clothes Children])</f>
        <v>0</v>
      </c>
      <c r="AI555" s="436">
        <f>IF(NFI_Expiration=1,IF($A555&lt;VLOOKUP(T$5,NFI,5,0),1,0)*Table_NFI[[#This Row],[Winter Items Other]],Table_NFI[Winter Items Other])</f>
        <v>0</v>
      </c>
      <c r="AJ555" s="436">
        <f>IF(NFI_Expiration=1,IF($A555&lt;VLOOKUP(M$5,NFI,5,0),1,0)*Table_NFI[[#This Row],[Winter Blanket]],Table_NFI[[#This Row],[Winter Blanket]])</f>
        <v>0</v>
      </c>
      <c r="AK555" s="436">
        <f>IF(Table_NFI[[#This Row],[Winter Clothes Adult]]+Table_NFI[[#This Row],[Winter Clothes Children]]+Table_NFI[[#This Row],[Winter Items Other]]+Table_NFI[[#This Row],[Winter Blanket]]&gt;0,1,0)</f>
        <v>0</v>
      </c>
      <c r="AL555" s="439">
        <f>IF(NFI_Expiration=1,IF($A555&lt;VLOOKUP(V$5,NFI,5,0),1,0)*Table_NFI[[#This Row],[Jerry Can]],Table_NFI[Jerry Can])</f>
        <v>0</v>
      </c>
      <c r="AM555" s="781" t="str">
        <f>IFERROR(VLOOKUP(Table_NFI[[#This Row],[Camp Name]],CL,2,0),"")</f>
        <v>MMR001CMP167</v>
      </c>
      <c r="AN555" s="782">
        <f ca="1">IF(Table_NFI[[#This Row],[Pcode]]="","",IF(OFFSET(CampList[Opening Date],MATCH(Table_NFI[[#This Row],[Pcode]],CampList[CP_Pcode],0)-1,0,1,1)&gt;=NFI_Monitor_Date,1,0))</f>
        <v>0</v>
      </c>
      <c r="AO555" s="781" t="str">
        <f>IFERROR(VLOOKUP(Table_NFI[[#This Row],[Camp Name]],CL,3,0),"")</f>
        <v>Open</v>
      </c>
      <c r="AP555" s="436" t="str">
        <f ca="1">IF(Table_NFI[[#This Row],[Pcode]]="","",OFFSET(CampList[Priority],MATCH(Table_NFI[[#This Row],[Pcode]],CampList[CP_Pcode],0)-1,0,1,1))</f>
        <v>P4</v>
      </c>
      <c r="AQ555" s="438">
        <f>IFERROR(Table_NFI[[#This Row],[Kitchen Set]]/VLOOKUP(Table_NFI[[#This Row],[Camp Name]],CL,4,0),"")</f>
        <v>1.8</v>
      </c>
      <c r="AR555" s="779" t="s">
        <v>1099</v>
      </c>
      <c r="AS555" s="783"/>
    </row>
    <row r="556" spans="1:45" x14ac:dyDescent="0.25">
      <c r="A556" s="455">
        <f t="shared" si="8"/>
        <v>31.866666666666667</v>
      </c>
      <c r="B556" s="778">
        <v>41353</v>
      </c>
      <c r="C556" s="779" t="s">
        <v>454</v>
      </c>
      <c r="D556" s="779" t="s">
        <v>454</v>
      </c>
      <c r="E556" s="779" t="s">
        <v>380</v>
      </c>
      <c r="F556" s="779" t="s">
        <v>529</v>
      </c>
      <c r="G556" s="435" t="s">
        <v>84</v>
      </c>
      <c r="H556" s="436"/>
      <c r="I556" s="436"/>
      <c r="J556" s="436">
        <v>18</v>
      </c>
      <c r="K556" s="436">
        <v>17</v>
      </c>
      <c r="L556" s="437">
        <v>17</v>
      </c>
      <c r="M556" s="437">
        <v>42</v>
      </c>
      <c r="N556" s="437">
        <v>17</v>
      </c>
      <c r="O556" s="437">
        <v>42</v>
      </c>
      <c r="P556" s="437">
        <v>42</v>
      </c>
      <c r="Q556" s="437">
        <v>42</v>
      </c>
      <c r="R556" s="436"/>
      <c r="S556" s="436"/>
      <c r="T556" s="436"/>
      <c r="U556" s="436"/>
      <c r="V556" s="436"/>
      <c r="W556" s="436">
        <f>IF(NFI_Expiration=1,IF($A556&lt;VLOOKUP(H$5,NFI,5,0),1,0)*Table_NFI[[#This Row],[Hygiene Kit]],Table_NFI[Hygiene Kit])</f>
        <v>0</v>
      </c>
      <c r="X556" s="436">
        <f>IF(NFI_Expiration=1,IF($A556&lt;VLOOKUP(I$5,NFI,5,0),1,0)*Table_NFI[[#This Row],[NFI Core Kit]],Table_NFI[NFI Core Kit])</f>
        <v>0</v>
      </c>
      <c r="Y556" s="436">
        <f>IF(NFI_Expiration=1,IF($A556&lt;VLOOKUP(J$5,NFI,5,0),1,0)*Table_NFI[[#This Row],[Sanitary Kit]],Table_NFI[Sanitary Kit])</f>
        <v>0</v>
      </c>
      <c r="Z556" s="436">
        <f>IF(NFI_Expiration=1,IF($A556&lt;VLOOKUP(K$5,NFI,5,0),1,0)*Table_NFI[[#This Row],[Mosquito net]],Table_NFI[Mosquito net])</f>
        <v>0</v>
      </c>
      <c r="AA556" s="436">
        <f>IF(NFI_Expiration=1,IF($A556&lt;VLOOKUP(L$5,NFI,5,0),1,0)*Table_NFI[[#This Row],[Tarpaulin]],Table_NFI[[#This Row],[Tarpaulin]])</f>
        <v>0</v>
      </c>
      <c r="AB556" s="436">
        <f>IF(NFI_Expiration=1,IF($A556&lt;VLOOKUP(M$5,NFI,5,0),1,0)*Table_NFI[[#This Row],[Blanket]],Table_NFI[[#This Row],[Blanket]])</f>
        <v>0</v>
      </c>
      <c r="AC556" s="436">
        <f>IF(NFI_Expiration=1,IF($A556&lt;VLOOKUP(N$5,NFI,5,0),1,0)*Table_NFI[[#This Row],[Kitchen Set]],Table_NFI[Kitchen Set])</f>
        <v>0</v>
      </c>
      <c r="AD556" s="436">
        <f>IF(NFI_Expiration=1,IF($A556&lt;VLOOKUP(O$5,NFI,5,0),1,0)*Table_NFI[[#This Row],[Clothes Kit]],Table_NFI[Clothes Kit])</f>
        <v>0</v>
      </c>
      <c r="AE556" s="436">
        <f>IF(NFI_Expiration=1,IF($A556&lt;VLOOKUP(P$5,NFI,5,0),1,0)*Table_NFI[[#This Row],[Plastic Bucket]],Table_NFI[Plastic Bucket])</f>
        <v>0</v>
      </c>
      <c r="AF556" s="436">
        <f>IF(NFI_Expiration=1,IF($A556&lt;VLOOKUP(Q$5,NFI,5,0),1,0)*Table_NFI[[#This Row],[Plastic Mat]],Table_NFI[Plastic Mat])*IF(Table_NFI[[#This Row],[Distribution Date]]&gt;"2014-04-01",1,2.5)</f>
        <v>0</v>
      </c>
      <c r="AG556" s="436">
        <f>IF(NFI_Expiration=1,IF($A556&lt;VLOOKUP(R$5,NFI,5,0),1,0)*Table_NFI[[#This Row],[Winter Clothes Adult]],Table_NFI[Winter Clothes Adult])</f>
        <v>0</v>
      </c>
      <c r="AH556" s="436">
        <f>IF(NFI_Expiration=1,IF($A556&lt;VLOOKUP(S$5,NFI,5,0),1,0)*Table_NFI[[#This Row],[Winter Clothes Children]],Table_NFI[Winter Clothes Children])</f>
        <v>0</v>
      </c>
      <c r="AI556" s="436">
        <f>IF(NFI_Expiration=1,IF($A556&lt;VLOOKUP(T$5,NFI,5,0),1,0)*Table_NFI[[#This Row],[Winter Items Other]],Table_NFI[Winter Items Other])</f>
        <v>0</v>
      </c>
      <c r="AJ556" s="436">
        <f>IF(NFI_Expiration=1,IF($A556&lt;VLOOKUP(M$5,NFI,5,0),1,0)*Table_NFI[[#This Row],[Winter Blanket]],Table_NFI[[#This Row],[Winter Blanket]])</f>
        <v>0</v>
      </c>
      <c r="AK556" s="436">
        <f>IF(Table_NFI[[#This Row],[Winter Clothes Adult]]+Table_NFI[[#This Row],[Winter Clothes Children]]+Table_NFI[[#This Row],[Winter Items Other]]+Table_NFI[[#This Row],[Winter Blanket]]&gt;0,1,0)</f>
        <v>0</v>
      </c>
      <c r="AL556" s="439">
        <f>IF(NFI_Expiration=1,IF($A556&lt;VLOOKUP(V$5,NFI,5,0),1,0)*Table_NFI[[#This Row],[Jerry Can]],Table_NFI[Jerry Can])</f>
        <v>0</v>
      </c>
      <c r="AM556" s="781" t="str">
        <f>IFERROR(VLOOKUP(Table_NFI[[#This Row],[Camp Name]],CL,2,0),"")</f>
        <v>MMR001CMP085</v>
      </c>
      <c r="AN556" s="782">
        <f ca="1">IF(Table_NFI[[#This Row],[Pcode]]="","",IF(OFFSET(CampList[Opening Date],MATCH(Table_NFI[[#This Row],[Pcode]],CampList[CP_Pcode],0)-1,0,1,1)&gt;=NFI_Monitor_Date,1,0))</f>
        <v>0</v>
      </c>
      <c r="AO556" s="781" t="str">
        <f>IFERROR(VLOOKUP(Table_NFI[[#This Row],[Camp Name]],CL,3,0),"")</f>
        <v>Closed</v>
      </c>
      <c r="AP556" s="436" t="str">
        <f ca="1">IF(Table_NFI[[#This Row],[Pcode]]="","",OFFSET(CampList[Priority],MATCH(Table_NFI[[#This Row],[Pcode]],CampList[CP_Pcode],0)-1,0,1,1))</f>
        <v/>
      </c>
      <c r="AQ556" s="438" t="str">
        <f>IFERROR(Table_NFI[[#This Row],[Kitchen Set]]/VLOOKUP(Table_NFI[[#This Row],[Camp Name]],CL,4,0),"")</f>
        <v/>
      </c>
      <c r="AR556" s="779" t="s">
        <v>1099</v>
      </c>
      <c r="AS556" s="783"/>
    </row>
    <row r="557" spans="1:45" x14ac:dyDescent="0.25">
      <c r="A557" s="455">
        <f t="shared" si="8"/>
        <v>31.866666666666667</v>
      </c>
      <c r="B557" s="778">
        <v>41353</v>
      </c>
      <c r="C557" s="779" t="s">
        <v>454</v>
      </c>
      <c r="D557" s="780" t="s">
        <v>454</v>
      </c>
      <c r="E557" s="779" t="s">
        <v>380</v>
      </c>
      <c r="F557" s="435" t="s">
        <v>529</v>
      </c>
      <c r="G557" s="435" t="s">
        <v>100</v>
      </c>
      <c r="H557" s="436"/>
      <c r="I557" s="436"/>
      <c r="J557" s="436">
        <v>17</v>
      </c>
      <c r="K557" s="436">
        <v>17</v>
      </c>
      <c r="L557" s="437">
        <v>17</v>
      </c>
      <c r="M557" s="437">
        <v>41</v>
      </c>
      <c r="N557" s="437">
        <v>17</v>
      </c>
      <c r="O557" s="437">
        <v>41</v>
      </c>
      <c r="P557" s="437">
        <v>41</v>
      </c>
      <c r="Q557" s="437">
        <v>41</v>
      </c>
      <c r="R557" s="436"/>
      <c r="S557" s="436"/>
      <c r="T557" s="436"/>
      <c r="U557" s="436"/>
      <c r="V557" s="436"/>
      <c r="W557" s="436">
        <f>IF(NFI_Expiration=1,IF($A557&lt;VLOOKUP(H$5,NFI,5,0),1,0)*Table_NFI[[#This Row],[Hygiene Kit]],Table_NFI[Hygiene Kit])</f>
        <v>0</v>
      </c>
      <c r="X557" s="436">
        <f>IF(NFI_Expiration=1,IF($A557&lt;VLOOKUP(I$5,NFI,5,0),1,0)*Table_NFI[[#This Row],[NFI Core Kit]],Table_NFI[NFI Core Kit])</f>
        <v>0</v>
      </c>
      <c r="Y557" s="436">
        <f>IF(NFI_Expiration=1,IF($A557&lt;VLOOKUP(J$5,NFI,5,0),1,0)*Table_NFI[[#This Row],[Sanitary Kit]],Table_NFI[Sanitary Kit])</f>
        <v>0</v>
      </c>
      <c r="Z557" s="436">
        <f>IF(NFI_Expiration=1,IF($A557&lt;VLOOKUP(K$5,NFI,5,0),1,0)*Table_NFI[[#This Row],[Mosquito net]],Table_NFI[Mosquito net])</f>
        <v>0</v>
      </c>
      <c r="AA557" s="436">
        <f>IF(NFI_Expiration=1,IF($A557&lt;VLOOKUP(L$5,NFI,5,0),1,0)*Table_NFI[[#This Row],[Tarpaulin]],Table_NFI[[#This Row],[Tarpaulin]])</f>
        <v>0</v>
      </c>
      <c r="AB557" s="436">
        <f>IF(NFI_Expiration=1,IF($A557&lt;VLOOKUP(M$5,NFI,5,0),1,0)*Table_NFI[[#This Row],[Blanket]],Table_NFI[[#This Row],[Blanket]])</f>
        <v>0</v>
      </c>
      <c r="AC557" s="436">
        <f>IF(NFI_Expiration=1,IF($A557&lt;VLOOKUP(N$5,NFI,5,0),1,0)*Table_NFI[[#This Row],[Kitchen Set]],Table_NFI[Kitchen Set])</f>
        <v>0</v>
      </c>
      <c r="AD557" s="436">
        <f>IF(NFI_Expiration=1,IF($A557&lt;VLOOKUP(O$5,NFI,5,0),1,0)*Table_NFI[[#This Row],[Clothes Kit]],Table_NFI[Clothes Kit])</f>
        <v>0</v>
      </c>
      <c r="AE557" s="436">
        <f>IF(NFI_Expiration=1,IF($A557&lt;VLOOKUP(P$5,NFI,5,0),1,0)*Table_NFI[[#This Row],[Plastic Bucket]],Table_NFI[Plastic Bucket])</f>
        <v>0</v>
      </c>
      <c r="AF557" s="436">
        <f>IF(NFI_Expiration=1,IF($A557&lt;VLOOKUP(Q$5,NFI,5,0),1,0)*Table_NFI[[#This Row],[Plastic Mat]],Table_NFI[Plastic Mat])*IF(Table_NFI[[#This Row],[Distribution Date]]&gt;"2014-04-01",1,2.5)</f>
        <v>0</v>
      </c>
      <c r="AG557" s="436">
        <f>IF(NFI_Expiration=1,IF($A557&lt;VLOOKUP(R$5,NFI,5,0),1,0)*Table_NFI[[#This Row],[Winter Clothes Adult]],Table_NFI[Winter Clothes Adult])</f>
        <v>0</v>
      </c>
      <c r="AH557" s="436">
        <f>IF(NFI_Expiration=1,IF($A557&lt;VLOOKUP(S$5,NFI,5,0),1,0)*Table_NFI[[#This Row],[Winter Clothes Children]],Table_NFI[Winter Clothes Children])</f>
        <v>0</v>
      </c>
      <c r="AI557" s="436">
        <f>IF(NFI_Expiration=1,IF($A557&lt;VLOOKUP(T$5,NFI,5,0),1,0)*Table_NFI[[#This Row],[Winter Items Other]],Table_NFI[Winter Items Other])</f>
        <v>0</v>
      </c>
      <c r="AJ557" s="436">
        <f>IF(NFI_Expiration=1,IF($A557&lt;VLOOKUP(M$5,NFI,5,0),1,0)*Table_NFI[[#This Row],[Winter Blanket]],Table_NFI[[#This Row],[Winter Blanket]])</f>
        <v>0</v>
      </c>
      <c r="AK557" s="436">
        <f>IF(Table_NFI[[#This Row],[Winter Clothes Adult]]+Table_NFI[[#This Row],[Winter Clothes Children]]+Table_NFI[[#This Row],[Winter Items Other]]+Table_NFI[[#This Row],[Winter Blanket]]&gt;0,1,0)</f>
        <v>0</v>
      </c>
      <c r="AL557" s="439">
        <f>IF(NFI_Expiration=1,IF($A557&lt;VLOOKUP(V$5,NFI,5,0),1,0)*Table_NFI[[#This Row],[Jerry Can]],Table_NFI[Jerry Can])</f>
        <v>0</v>
      </c>
      <c r="AM557" s="781" t="str">
        <f>IFERROR(VLOOKUP(Table_NFI[[#This Row],[Camp Name]],CL,2,0),"")</f>
        <v>MMR001CMP091</v>
      </c>
      <c r="AN557" s="782">
        <f ca="1">IF(Table_NFI[[#This Row],[Pcode]]="","",IF(OFFSET(CampList[Opening Date],MATCH(Table_NFI[[#This Row],[Pcode]],CampList[CP_Pcode],0)-1,0,1,1)&gt;=NFI_Monitor_Date,1,0))</f>
        <v>0</v>
      </c>
      <c r="AO557" s="781" t="str">
        <f>IFERROR(VLOOKUP(Table_NFI[[#This Row],[Camp Name]],CL,3,0),"")</f>
        <v>Open</v>
      </c>
      <c r="AP557" s="436" t="str">
        <f ca="1">IF(Table_NFI[[#This Row],[Pcode]]="","",OFFSET(CampList[Priority],MATCH(Table_NFI[[#This Row],[Pcode]],CampList[CP_Pcode],0)-1,0,1,1))</f>
        <v>P4</v>
      </c>
      <c r="AQ557" s="438">
        <f>IFERROR(Table_NFI[[#This Row],[Kitchen Set]]/VLOOKUP(Table_NFI[[#This Row],[Camp Name]],CL,4,0),"")</f>
        <v>3.4</v>
      </c>
      <c r="AR557" s="779" t="s">
        <v>1099</v>
      </c>
      <c r="AS557" s="783"/>
    </row>
    <row r="558" spans="1:45" x14ac:dyDescent="0.25">
      <c r="A558" s="455">
        <f t="shared" si="8"/>
        <v>31.866666666666667</v>
      </c>
      <c r="B558" s="778">
        <v>41353</v>
      </c>
      <c r="C558" s="779" t="s">
        <v>454</v>
      </c>
      <c r="D558" s="780" t="s">
        <v>454</v>
      </c>
      <c r="E558" s="779" t="s">
        <v>380</v>
      </c>
      <c r="F558" s="435" t="s">
        <v>529</v>
      </c>
      <c r="G558" s="435" t="s">
        <v>142</v>
      </c>
      <c r="H558" s="436"/>
      <c r="I558" s="436"/>
      <c r="J558" s="436">
        <v>48</v>
      </c>
      <c r="K558" s="436">
        <v>48</v>
      </c>
      <c r="L558" s="437">
        <v>48</v>
      </c>
      <c r="M558" s="437">
        <v>98</v>
      </c>
      <c r="N558" s="437">
        <v>48</v>
      </c>
      <c r="O558" s="437">
        <v>98</v>
      </c>
      <c r="P558" s="437">
        <v>98</v>
      </c>
      <c r="Q558" s="437">
        <v>98</v>
      </c>
      <c r="R558" s="436"/>
      <c r="S558" s="436"/>
      <c r="T558" s="436"/>
      <c r="U558" s="436"/>
      <c r="V558" s="436"/>
      <c r="W558" s="436">
        <f>IF(NFI_Expiration=1,IF($A558&lt;VLOOKUP(H$5,NFI,5,0),1,0)*Table_NFI[[#This Row],[Hygiene Kit]],Table_NFI[Hygiene Kit])</f>
        <v>0</v>
      </c>
      <c r="X558" s="436">
        <f>IF(NFI_Expiration=1,IF($A558&lt;VLOOKUP(I$5,NFI,5,0),1,0)*Table_NFI[[#This Row],[NFI Core Kit]],Table_NFI[NFI Core Kit])</f>
        <v>0</v>
      </c>
      <c r="Y558" s="436">
        <f>IF(NFI_Expiration=1,IF($A558&lt;VLOOKUP(J$5,NFI,5,0),1,0)*Table_NFI[[#This Row],[Sanitary Kit]],Table_NFI[Sanitary Kit])</f>
        <v>0</v>
      </c>
      <c r="Z558" s="436">
        <f>IF(NFI_Expiration=1,IF($A558&lt;VLOOKUP(K$5,NFI,5,0),1,0)*Table_NFI[[#This Row],[Mosquito net]],Table_NFI[Mosquito net])</f>
        <v>0</v>
      </c>
      <c r="AA558" s="436">
        <f>IF(NFI_Expiration=1,IF($A558&lt;VLOOKUP(L$5,NFI,5,0),1,0)*Table_NFI[[#This Row],[Tarpaulin]],Table_NFI[[#This Row],[Tarpaulin]])</f>
        <v>0</v>
      </c>
      <c r="AB558" s="436">
        <f>IF(NFI_Expiration=1,IF($A558&lt;VLOOKUP(M$5,NFI,5,0),1,0)*Table_NFI[[#This Row],[Blanket]],Table_NFI[[#This Row],[Blanket]])</f>
        <v>0</v>
      </c>
      <c r="AC558" s="436">
        <f>IF(NFI_Expiration=1,IF($A558&lt;VLOOKUP(N$5,NFI,5,0),1,0)*Table_NFI[[#This Row],[Kitchen Set]],Table_NFI[Kitchen Set])</f>
        <v>0</v>
      </c>
      <c r="AD558" s="436">
        <f>IF(NFI_Expiration=1,IF($A558&lt;VLOOKUP(O$5,NFI,5,0),1,0)*Table_NFI[[#This Row],[Clothes Kit]],Table_NFI[Clothes Kit])</f>
        <v>0</v>
      </c>
      <c r="AE558" s="436">
        <f>IF(NFI_Expiration=1,IF($A558&lt;VLOOKUP(P$5,NFI,5,0),1,0)*Table_NFI[[#This Row],[Plastic Bucket]],Table_NFI[Plastic Bucket])</f>
        <v>0</v>
      </c>
      <c r="AF558" s="436">
        <f>IF(NFI_Expiration=1,IF($A558&lt;VLOOKUP(Q$5,NFI,5,0),1,0)*Table_NFI[[#This Row],[Plastic Mat]],Table_NFI[Plastic Mat])*IF(Table_NFI[[#This Row],[Distribution Date]]&gt;"2014-04-01",1,2.5)</f>
        <v>0</v>
      </c>
      <c r="AG558" s="436">
        <f>IF(NFI_Expiration=1,IF($A558&lt;VLOOKUP(R$5,NFI,5,0),1,0)*Table_NFI[[#This Row],[Winter Clothes Adult]],Table_NFI[Winter Clothes Adult])</f>
        <v>0</v>
      </c>
      <c r="AH558" s="436">
        <f>IF(NFI_Expiration=1,IF($A558&lt;VLOOKUP(S$5,NFI,5,0),1,0)*Table_NFI[[#This Row],[Winter Clothes Children]],Table_NFI[Winter Clothes Children])</f>
        <v>0</v>
      </c>
      <c r="AI558" s="436">
        <f>IF(NFI_Expiration=1,IF($A558&lt;VLOOKUP(T$5,NFI,5,0),1,0)*Table_NFI[[#This Row],[Winter Items Other]],Table_NFI[Winter Items Other])</f>
        <v>0</v>
      </c>
      <c r="AJ558" s="436">
        <f>IF(NFI_Expiration=1,IF($A558&lt;VLOOKUP(M$5,NFI,5,0),1,0)*Table_NFI[[#This Row],[Winter Blanket]],Table_NFI[[#This Row],[Winter Blanket]])</f>
        <v>0</v>
      </c>
      <c r="AK558" s="436">
        <f>IF(Table_NFI[[#This Row],[Winter Clothes Adult]]+Table_NFI[[#This Row],[Winter Clothes Children]]+Table_NFI[[#This Row],[Winter Items Other]]+Table_NFI[[#This Row],[Winter Blanket]]&gt;0,1,0)</f>
        <v>0</v>
      </c>
      <c r="AL558" s="439">
        <f>IF(NFI_Expiration=1,IF($A558&lt;VLOOKUP(V$5,NFI,5,0),1,0)*Table_NFI[[#This Row],[Jerry Can]],Table_NFI[Jerry Can])</f>
        <v>0</v>
      </c>
      <c r="AM558" s="781" t="str">
        <f>IFERROR(VLOOKUP(Table_NFI[[#This Row],[Camp Name]],CL,2,0),"")</f>
        <v>MMR001CMP177</v>
      </c>
      <c r="AN558" s="782">
        <f ca="1">IF(Table_NFI[[#This Row],[Pcode]]="","",IF(OFFSET(CampList[Opening Date],MATCH(Table_NFI[[#This Row],[Pcode]],CampList[CP_Pcode],0)-1,0,1,1)&gt;=NFI_Monitor_Date,1,0))</f>
        <v>0</v>
      </c>
      <c r="AO558" s="781" t="str">
        <f>IFERROR(VLOOKUP(Table_NFI[[#This Row],[Camp Name]],CL,3,0),"")</f>
        <v>Closed</v>
      </c>
      <c r="AP558" s="436" t="str">
        <f ca="1">IF(Table_NFI[[#This Row],[Pcode]]="","",OFFSET(CampList[Priority],MATCH(Table_NFI[[#This Row],[Pcode]],CampList[CP_Pcode],0)-1,0,1,1))</f>
        <v/>
      </c>
      <c r="AQ558" s="438" t="str">
        <f>IFERROR(Table_NFI[[#This Row],[Kitchen Set]]/VLOOKUP(Table_NFI[[#This Row],[Camp Name]],CL,4,0),"")</f>
        <v/>
      </c>
      <c r="AR558" s="779" t="s">
        <v>1099</v>
      </c>
      <c r="AS558" s="783"/>
    </row>
    <row r="559" spans="1:45" x14ac:dyDescent="0.25">
      <c r="A559" s="455">
        <f t="shared" si="8"/>
        <v>31.866666666666667</v>
      </c>
      <c r="B559" s="778">
        <v>41353</v>
      </c>
      <c r="C559" s="779" t="s">
        <v>454</v>
      </c>
      <c r="D559" s="780" t="s">
        <v>454</v>
      </c>
      <c r="E559" s="779" t="s">
        <v>380</v>
      </c>
      <c r="F559" s="435" t="s">
        <v>529</v>
      </c>
      <c r="G559" s="435" t="s">
        <v>126</v>
      </c>
      <c r="H559" s="436"/>
      <c r="I559" s="436"/>
      <c r="J559" s="436">
        <v>124</v>
      </c>
      <c r="K559" s="436">
        <v>117</v>
      </c>
      <c r="L559" s="437">
        <v>121</v>
      </c>
      <c r="M559" s="437">
        <v>227</v>
      </c>
      <c r="N559" s="437">
        <v>122</v>
      </c>
      <c r="O559" s="437">
        <v>263</v>
      </c>
      <c r="P559" s="437">
        <v>263</v>
      </c>
      <c r="Q559" s="437">
        <v>263</v>
      </c>
      <c r="R559" s="436"/>
      <c r="S559" s="436"/>
      <c r="T559" s="436"/>
      <c r="U559" s="436"/>
      <c r="V559" s="436"/>
      <c r="W559" s="436">
        <f>IF(NFI_Expiration=1,IF($A559&lt;VLOOKUP(H$5,NFI,5,0),1,0)*Table_NFI[[#This Row],[Hygiene Kit]],Table_NFI[Hygiene Kit])</f>
        <v>0</v>
      </c>
      <c r="X559" s="436">
        <f>IF(NFI_Expiration=1,IF($A559&lt;VLOOKUP(I$5,NFI,5,0),1,0)*Table_NFI[[#This Row],[NFI Core Kit]],Table_NFI[NFI Core Kit])</f>
        <v>0</v>
      </c>
      <c r="Y559" s="436">
        <f>IF(NFI_Expiration=1,IF($A559&lt;VLOOKUP(J$5,NFI,5,0),1,0)*Table_NFI[[#This Row],[Sanitary Kit]],Table_NFI[Sanitary Kit])</f>
        <v>0</v>
      </c>
      <c r="Z559" s="436">
        <f>IF(NFI_Expiration=1,IF($A559&lt;VLOOKUP(K$5,NFI,5,0),1,0)*Table_NFI[[#This Row],[Mosquito net]],Table_NFI[Mosquito net])</f>
        <v>0</v>
      </c>
      <c r="AA559" s="436">
        <f>IF(NFI_Expiration=1,IF($A559&lt;VLOOKUP(L$5,NFI,5,0),1,0)*Table_NFI[[#This Row],[Tarpaulin]],Table_NFI[[#This Row],[Tarpaulin]])</f>
        <v>0</v>
      </c>
      <c r="AB559" s="436">
        <f>IF(NFI_Expiration=1,IF($A559&lt;VLOOKUP(M$5,NFI,5,0),1,0)*Table_NFI[[#This Row],[Blanket]],Table_NFI[[#This Row],[Blanket]])</f>
        <v>0</v>
      </c>
      <c r="AC559" s="436">
        <f>IF(NFI_Expiration=1,IF($A559&lt;VLOOKUP(N$5,NFI,5,0),1,0)*Table_NFI[[#This Row],[Kitchen Set]],Table_NFI[Kitchen Set])</f>
        <v>0</v>
      </c>
      <c r="AD559" s="436">
        <f>IF(NFI_Expiration=1,IF($A559&lt;VLOOKUP(O$5,NFI,5,0),1,0)*Table_NFI[[#This Row],[Clothes Kit]],Table_NFI[Clothes Kit])</f>
        <v>0</v>
      </c>
      <c r="AE559" s="436">
        <f>IF(NFI_Expiration=1,IF($A559&lt;VLOOKUP(P$5,NFI,5,0),1,0)*Table_NFI[[#This Row],[Plastic Bucket]],Table_NFI[Plastic Bucket])</f>
        <v>0</v>
      </c>
      <c r="AF559" s="436">
        <f>IF(NFI_Expiration=1,IF($A559&lt;VLOOKUP(Q$5,NFI,5,0),1,0)*Table_NFI[[#This Row],[Plastic Mat]],Table_NFI[Plastic Mat])*IF(Table_NFI[[#This Row],[Distribution Date]]&gt;"2014-04-01",1,2.5)</f>
        <v>0</v>
      </c>
      <c r="AG559" s="436">
        <f>IF(NFI_Expiration=1,IF($A559&lt;VLOOKUP(R$5,NFI,5,0),1,0)*Table_NFI[[#This Row],[Winter Clothes Adult]],Table_NFI[Winter Clothes Adult])</f>
        <v>0</v>
      </c>
      <c r="AH559" s="436">
        <f>IF(NFI_Expiration=1,IF($A559&lt;VLOOKUP(S$5,NFI,5,0),1,0)*Table_NFI[[#This Row],[Winter Clothes Children]],Table_NFI[Winter Clothes Children])</f>
        <v>0</v>
      </c>
      <c r="AI559" s="436">
        <f>IF(NFI_Expiration=1,IF($A559&lt;VLOOKUP(T$5,NFI,5,0),1,0)*Table_NFI[[#This Row],[Winter Items Other]],Table_NFI[Winter Items Other])</f>
        <v>0</v>
      </c>
      <c r="AJ559" s="436">
        <f>IF(NFI_Expiration=1,IF($A559&lt;VLOOKUP(M$5,NFI,5,0),1,0)*Table_NFI[[#This Row],[Winter Blanket]],Table_NFI[[#This Row],[Winter Blanket]])</f>
        <v>0</v>
      </c>
      <c r="AK559" s="436">
        <f>IF(Table_NFI[[#This Row],[Winter Clothes Adult]]+Table_NFI[[#This Row],[Winter Clothes Children]]+Table_NFI[[#This Row],[Winter Items Other]]+Table_NFI[[#This Row],[Winter Blanket]]&gt;0,1,0)</f>
        <v>0</v>
      </c>
      <c r="AL559" s="439">
        <f>IF(NFI_Expiration=1,IF($A559&lt;VLOOKUP(V$5,NFI,5,0),1,0)*Table_NFI[[#This Row],[Jerry Can]],Table_NFI[Jerry Can])</f>
        <v>0</v>
      </c>
      <c r="AM559" s="781" t="str">
        <f>IFERROR(VLOOKUP(Table_NFI[[#This Row],[Camp Name]],CL,2,0),"")</f>
        <v>MMR001CMP184</v>
      </c>
      <c r="AN559" s="782">
        <f ca="1">IF(Table_NFI[[#This Row],[Pcode]]="","",IF(OFFSET(CampList[Opening Date],MATCH(Table_NFI[[#This Row],[Pcode]],CampList[CP_Pcode],0)-1,0,1,1)&gt;=NFI_Monitor_Date,1,0))</f>
        <v>0</v>
      </c>
      <c r="AO559" s="781" t="str">
        <f>IFERROR(VLOOKUP(Table_NFI[[#This Row],[Camp Name]],CL,3,0),"")</f>
        <v>Open</v>
      </c>
      <c r="AP559" s="436" t="str">
        <f ca="1">IF(Table_NFI[[#This Row],[Pcode]]="","",OFFSET(CampList[Priority],MATCH(Table_NFI[[#This Row],[Pcode]],CampList[CP_Pcode],0)-1,0,1,1))</f>
        <v>P4</v>
      </c>
      <c r="AQ559" s="438">
        <f>IFERROR(Table_NFI[[#This Row],[Kitchen Set]]/VLOOKUP(Table_NFI[[#This Row],[Camp Name]],CL,4,0),"")</f>
        <v>2.975609756097561</v>
      </c>
      <c r="AR559" s="779" t="s">
        <v>1099</v>
      </c>
      <c r="AS559" s="783"/>
    </row>
    <row r="560" spans="1:45" x14ac:dyDescent="0.25">
      <c r="A560" s="455">
        <f t="shared" si="8"/>
        <v>31.866666666666667</v>
      </c>
      <c r="B560" s="778">
        <v>41353</v>
      </c>
      <c r="C560" s="779" t="s">
        <v>454</v>
      </c>
      <c r="D560" s="780" t="s">
        <v>454</v>
      </c>
      <c r="E560" s="779" t="s">
        <v>380</v>
      </c>
      <c r="F560" s="435" t="s">
        <v>529</v>
      </c>
      <c r="G560" s="435" t="s">
        <v>74</v>
      </c>
      <c r="H560" s="436"/>
      <c r="I560" s="436"/>
      <c r="J560" s="436">
        <v>34</v>
      </c>
      <c r="K560" s="436">
        <v>26</v>
      </c>
      <c r="L560" s="437">
        <v>26</v>
      </c>
      <c r="M560" s="437">
        <v>60</v>
      </c>
      <c r="N560" s="437">
        <v>26</v>
      </c>
      <c r="O560" s="437">
        <v>60</v>
      </c>
      <c r="P560" s="437">
        <v>60</v>
      </c>
      <c r="Q560" s="437">
        <v>60</v>
      </c>
      <c r="R560" s="436"/>
      <c r="S560" s="436"/>
      <c r="T560" s="436"/>
      <c r="U560" s="436"/>
      <c r="V560" s="436"/>
      <c r="W560" s="436">
        <f>IF(NFI_Expiration=1,IF($A560&lt;VLOOKUP(H$5,NFI,5,0),1,0)*Table_NFI[[#This Row],[Hygiene Kit]],Table_NFI[Hygiene Kit])</f>
        <v>0</v>
      </c>
      <c r="X560" s="436">
        <f>IF(NFI_Expiration=1,IF($A560&lt;VLOOKUP(I$5,NFI,5,0),1,0)*Table_NFI[[#This Row],[NFI Core Kit]],Table_NFI[NFI Core Kit])</f>
        <v>0</v>
      </c>
      <c r="Y560" s="436">
        <f>IF(NFI_Expiration=1,IF($A560&lt;VLOOKUP(J$5,NFI,5,0),1,0)*Table_NFI[[#This Row],[Sanitary Kit]],Table_NFI[Sanitary Kit])</f>
        <v>0</v>
      </c>
      <c r="Z560" s="436">
        <f>IF(NFI_Expiration=1,IF($A560&lt;VLOOKUP(K$5,NFI,5,0),1,0)*Table_NFI[[#This Row],[Mosquito net]],Table_NFI[Mosquito net])</f>
        <v>0</v>
      </c>
      <c r="AA560" s="436">
        <f>IF(NFI_Expiration=1,IF($A560&lt;VLOOKUP(L$5,NFI,5,0),1,0)*Table_NFI[[#This Row],[Tarpaulin]],Table_NFI[[#This Row],[Tarpaulin]])</f>
        <v>0</v>
      </c>
      <c r="AB560" s="436">
        <f>IF(NFI_Expiration=1,IF($A560&lt;VLOOKUP(M$5,NFI,5,0),1,0)*Table_NFI[[#This Row],[Blanket]],Table_NFI[[#This Row],[Blanket]])</f>
        <v>0</v>
      </c>
      <c r="AC560" s="436">
        <f>IF(NFI_Expiration=1,IF($A560&lt;VLOOKUP(N$5,NFI,5,0),1,0)*Table_NFI[[#This Row],[Kitchen Set]],Table_NFI[Kitchen Set])</f>
        <v>0</v>
      </c>
      <c r="AD560" s="436">
        <f>IF(NFI_Expiration=1,IF($A560&lt;VLOOKUP(O$5,NFI,5,0),1,0)*Table_NFI[[#This Row],[Clothes Kit]],Table_NFI[Clothes Kit])</f>
        <v>0</v>
      </c>
      <c r="AE560" s="436">
        <f>IF(NFI_Expiration=1,IF($A560&lt;VLOOKUP(P$5,NFI,5,0),1,0)*Table_NFI[[#This Row],[Plastic Bucket]],Table_NFI[Plastic Bucket])</f>
        <v>0</v>
      </c>
      <c r="AF560" s="436">
        <f>IF(NFI_Expiration=1,IF($A560&lt;VLOOKUP(Q$5,NFI,5,0),1,0)*Table_NFI[[#This Row],[Plastic Mat]],Table_NFI[Plastic Mat])*IF(Table_NFI[[#This Row],[Distribution Date]]&gt;"2014-04-01",1,2.5)</f>
        <v>0</v>
      </c>
      <c r="AG560" s="436">
        <f>IF(NFI_Expiration=1,IF($A560&lt;VLOOKUP(R$5,NFI,5,0),1,0)*Table_NFI[[#This Row],[Winter Clothes Adult]],Table_NFI[Winter Clothes Adult])</f>
        <v>0</v>
      </c>
      <c r="AH560" s="436">
        <f>IF(NFI_Expiration=1,IF($A560&lt;VLOOKUP(S$5,NFI,5,0),1,0)*Table_NFI[[#This Row],[Winter Clothes Children]],Table_NFI[Winter Clothes Children])</f>
        <v>0</v>
      </c>
      <c r="AI560" s="436">
        <f>IF(NFI_Expiration=1,IF($A560&lt;VLOOKUP(T$5,NFI,5,0),1,0)*Table_NFI[[#This Row],[Winter Items Other]],Table_NFI[Winter Items Other])</f>
        <v>0</v>
      </c>
      <c r="AJ560" s="436">
        <f>IF(NFI_Expiration=1,IF($A560&lt;VLOOKUP(M$5,NFI,5,0),1,0)*Table_NFI[[#This Row],[Winter Blanket]],Table_NFI[[#This Row],[Winter Blanket]])</f>
        <v>0</v>
      </c>
      <c r="AK560" s="436">
        <f>IF(Table_NFI[[#This Row],[Winter Clothes Adult]]+Table_NFI[[#This Row],[Winter Clothes Children]]+Table_NFI[[#This Row],[Winter Items Other]]+Table_NFI[[#This Row],[Winter Blanket]]&gt;0,1,0)</f>
        <v>0</v>
      </c>
      <c r="AL560" s="439">
        <f>IF(NFI_Expiration=1,IF($A560&lt;VLOOKUP(V$5,NFI,5,0),1,0)*Table_NFI[[#This Row],[Jerry Can]],Table_NFI[Jerry Can])</f>
        <v>0</v>
      </c>
      <c r="AM560" s="781" t="str">
        <f>IFERROR(VLOOKUP(Table_NFI[[#This Row],[Camp Name]],CL,2,0),"")</f>
        <v>MMR001CMP175</v>
      </c>
      <c r="AN560" s="782">
        <f ca="1">IF(Table_NFI[[#This Row],[Pcode]]="","",IF(OFFSET(CampList[Opening Date],MATCH(Table_NFI[[#This Row],[Pcode]],CampList[CP_Pcode],0)-1,0,1,1)&gt;=NFI_Monitor_Date,1,0))</f>
        <v>0</v>
      </c>
      <c r="AO560" s="781" t="str">
        <f>IFERROR(VLOOKUP(Table_NFI[[#This Row],[Camp Name]],CL,3,0),"")</f>
        <v>Closed</v>
      </c>
      <c r="AP560" s="436" t="str">
        <f ca="1">IF(Table_NFI[[#This Row],[Pcode]]="","",OFFSET(CampList[Priority],MATCH(Table_NFI[[#This Row],[Pcode]],CampList[CP_Pcode],0)-1,0,1,1))</f>
        <v/>
      </c>
      <c r="AQ560" s="438" t="str">
        <f>IFERROR(Table_NFI[[#This Row],[Kitchen Set]]/VLOOKUP(Table_NFI[[#This Row],[Camp Name]],CL,4,0),"")</f>
        <v/>
      </c>
      <c r="AR560" s="779" t="s">
        <v>1099</v>
      </c>
      <c r="AS560" s="783"/>
    </row>
    <row r="561" spans="1:45" x14ac:dyDescent="0.25">
      <c r="A561" s="455">
        <f t="shared" si="8"/>
        <v>31.866666666666667</v>
      </c>
      <c r="B561" s="778">
        <v>41353</v>
      </c>
      <c r="C561" s="779" t="s">
        <v>454</v>
      </c>
      <c r="D561" s="779" t="s">
        <v>454</v>
      </c>
      <c r="E561" s="779" t="s">
        <v>380</v>
      </c>
      <c r="F561" s="435" t="s">
        <v>529</v>
      </c>
      <c r="G561" s="435" t="s">
        <v>516</v>
      </c>
      <c r="H561" s="436"/>
      <c r="I561" s="436"/>
      <c r="J561" s="436">
        <v>6</v>
      </c>
      <c r="K561" s="436">
        <v>0</v>
      </c>
      <c r="L561" s="437">
        <v>0</v>
      </c>
      <c r="M561" s="437">
        <v>11</v>
      </c>
      <c r="N561" s="437">
        <v>0</v>
      </c>
      <c r="O561" s="437">
        <v>0</v>
      </c>
      <c r="P561" s="439"/>
      <c r="Q561" s="439"/>
      <c r="R561" s="436"/>
      <c r="S561" s="436"/>
      <c r="T561" s="436"/>
      <c r="U561" s="436"/>
      <c r="V561" s="436"/>
      <c r="W561" s="436">
        <f>IF(NFI_Expiration=1,IF($A561&lt;VLOOKUP(H$5,NFI,5,0),1,0)*Table_NFI[[#This Row],[Hygiene Kit]],Table_NFI[Hygiene Kit])</f>
        <v>0</v>
      </c>
      <c r="X561" s="436">
        <f>IF(NFI_Expiration=1,IF($A561&lt;VLOOKUP(I$5,NFI,5,0),1,0)*Table_NFI[[#This Row],[NFI Core Kit]],Table_NFI[NFI Core Kit])</f>
        <v>0</v>
      </c>
      <c r="Y561" s="436">
        <f>IF(NFI_Expiration=1,IF($A561&lt;VLOOKUP(J$5,NFI,5,0),1,0)*Table_NFI[[#This Row],[Sanitary Kit]],Table_NFI[Sanitary Kit])</f>
        <v>0</v>
      </c>
      <c r="Z561" s="436">
        <f>IF(NFI_Expiration=1,IF($A561&lt;VLOOKUP(K$5,NFI,5,0),1,0)*Table_NFI[[#This Row],[Mosquito net]],Table_NFI[Mosquito net])</f>
        <v>0</v>
      </c>
      <c r="AA561" s="436">
        <f>IF(NFI_Expiration=1,IF($A561&lt;VLOOKUP(L$5,NFI,5,0),1,0)*Table_NFI[[#This Row],[Tarpaulin]],Table_NFI[[#This Row],[Tarpaulin]])</f>
        <v>0</v>
      </c>
      <c r="AB561" s="436">
        <f>IF(NFI_Expiration=1,IF($A561&lt;VLOOKUP(M$5,NFI,5,0),1,0)*Table_NFI[[#This Row],[Blanket]],Table_NFI[[#This Row],[Blanket]])</f>
        <v>0</v>
      </c>
      <c r="AC561" s="436">
        <f>IF(NFI_Expiration=1,IF($A561&lt;VLOOKUP(N$5,NFI,5,0),1,0)*Table_NFI[[#This Row],[Kitchen Set]],Table_NFI[Kitchen Set])</f>
        <v>0</v>
      </c>
      <c r="AD561" s="436">
        <f>IF(NFI_Expiration=1,IF($A561&lt;VLOOKUP(O$5,NFI,5,0),1,0)*Table_NFI[[#This Row],[Clothes Kit]],Table_NFI[Clothes Kit])</f>
        <v>0</v>
      </c>
      <c r="AE561" s="436">
        <f>IF(NFI_Expiration=1,IF($A561&lt;VLOOKUP(P$5,NFI,5,0),1,0)*Table_NFI[[#This Row],[Plastic Bucket]],Table_NFI[Plastic Bucket])</f>
        <v>0</v>
      </c>
      <c r="AF561" s="436">
        <f>IF(NFI_Expiration=1,IF($A561&lt;VLOOKUP(Q$5,NFI,5,0),1,0)*Table_NFI[[#This Row],[Plastic Mat]],Table_NFI[Plastic Mat])*IF(Table_NFI[[#This Row],[Distribution Date]]&gt;"2014-04-01",1,2.5)</f>
        <v>0</v>
      </c>
      <c r="AG561" s="436">
        <f>IF(NFI_Expiration=1,IF($A561&lt;VLOOKUP(R$5,NFI,5,0),1,0)*Table_NFI[[#This Row],[Winter Clothes Adult]],Table_NFI[Winter Clothes Adult])</f>
        <v>0</v>
      </c>
      <c r="AH561" s="436">
        <f>IF(NFI_Expiration=1,IF($A561&lt;VLOOKUP(S$5,NFI,5,0),1,0)*Table_NFI[[#This Row],[Winter Clothes Children]],Table_NFI[Winter Clothes Children])</f>
        <v>0</v>
      </c>
      <c r="AI561" s="436">
        <f>IF(NFI_Expiration=1,IF($A561&lt;VLOOKUP(T$5,NFI,5,0),1,0)*Table_NFI[[#This Row],[Winter Items Other]],Table_NFI[Winter Items Other])</f>
        <v>0</v>
      </c>
      <c r="AJ561" s="436">
        <f>IF(NFI_Expiration=1,IF($A561&lt;VLOOKUP(M$5,NFI,5,0),1,0)*Table_NFI[[#This Row],[Winter Blanket]],Table_NFI[[#This Row],[Winter Blanket]])</f>
        <v>0</v>
      </c>
      <c r="AK561" s="436">
        <f>IF(Table_NFI[[#This Row],[Winter Clothes Adult]]+Table_NFI[[#This Row],[Winter Clothes Children]]+Table_NFI[[#This Row],[Winter Items Other]]+Table_NFI[[#This Row],[Winter Blanket]]&gt;0,1,0)</f>
        <v>0</v>
      </c>
      <c r="AL561" s="439">
        <f>IF(NFI_Expiration=1,IF($A561&lt;VLOOKUP(V$5,NFI,5,0),1,0)*Table_NFI[[#This Row],[Jerry Can]],Table_NFI[Jerry Can])</f>
        <v>0</v>
      </c>
      <c r="AM561" s="781" t="str">
        <f>IFERROR(VLOOKUP(Table_NFI[[#This Row],[Camp Name]],CL,2,0),"")</f>
        <v>MMR001CMP201</v>
      </c>
      <c r="AN561" s="782">
        <f ca="1">IF(Table_NFI[[#This Row],[Pcode]]="","",IF(OFFSET(CampList[Opening Date],MATCH(Table_NFI[[#This Row],[Pcode]],CampList[CP_Pcode],0)-1,0,1,1)&gt;=NFI_Monitor_Date,1,0))</f>
        <v>0</v>
      </c>
      <c r="AO561" s="781" t="str">
        <f>IFERROR(VLOOKUP(Table_NFI[[#This Row],[Camp Name]],CL,3,0),"")</f>
        <v>Closed</v>
      </c>
      <c r="AP561" s="436" t="str">
        <f ca="1">IF(Table_NFI[[#This Row],[Pcode]]="","",OFFSET(CampList[Priority],MATCH(Table_NFI[[#This Row],[Pcode]],CampList[CP_Pcode],0)-1,0,1,1))</f>
        <v/>
      </c>
      <c r="AQ561" s="438" t="str">
        <f>IFERROR(Table_NFI[[#This Row],[Kitchen Set]]/VLOOKUP(Table_NFI[[#This Row],[Camp Name]],CL,4,0),"")</f>
        <v/>
      </c>
      <c r="AR561" s="779" t="s">
        <v>1099</v>
      </c>
      <c r="AS561" s="783"/>
    </row>
    <row r="562" spans="1:45" x14ac:dyDescent="0.25">
      <c r="A562" s="455">
        <f t="shared" si="8"/>
        <v>32.333333333333336</v>
      </c>
      <c r="B562" s="778">
        <v>41339</v>
      </c>
      <c r="C562" s="779" t="s">
        <v>454</v>
      </c>
      <c r="D562" s="779" t="s">
        <v>454</v>
      </c>
      <c r="E562" s="779" t="s">
        <v>380</v>
      </c>
      <c r="F562" s="779" t="s">
        <v>310</v>
      </c>
      <c r="G562" s="435" t="s">
        <v>324</v>
      </c>
      <c r="H562" s="436"/>
      <c r="I562" s="436"/>
      <c r="J562" s="436">
        <v>34</v>
      </c>
      <c r="K562" s="436">
        <v>73</v>
      </c>
      <c r="L562" s="437">
        <v>38</v>
      </c>
      <c r="M562" s="437">
        <v>73</v>
      </c>
      <c r="N562" s="437">
        <v>38</v>
      </c>
      <c r="O562" s="437">
        <v>33</v>
      </c>
      <c r="P562" s="437">
        <v>33</v>
      </c>
      <c r="Q562" s="437">
        <v>33</v>
      </c>
      <c r="R562" s="436"/>
      <c r="S562" s="436"/>
      <c r="T562" s="436"/>
      <c r="U562" s="436"/>
      <c r="V562" s="436"/>
      <c r="W562" s="436">
        <f>IF(NFI_Expiration=1,IF($A562&lt;VLOOKUP(H$5,NFI,5,0),1,0)*Table_NFI[[#This Row],[Hygiene Kit]],Table_NFI[Hygiene Kit])</f>
        <v>0</v>
      </c>
      <c r="X562" s="436">
        <f>IF(NFI_Expiration=1,IF($A562&lt;VLOOKUP(I$5,NFI,5,0),1,0)*Table_NFI[[#This Row],[NFI Core Kit]],Table_NFI[NFI Core Kit])</f>
        <v>0</v>
      </c>
      <c r="Y562" s="436">
        <f>IF(NFI_Expiration=1,IF($A562&lt;VLOOKUP(J$5,NFI,5,0),1,0)*Table_NFI[[#This Row],[Sanitary Kit]],Table_NFI[Sanitary Kit])</f>
        <v>0</v>
      </c>
      <c r="Z562" s="436">
        <f>IF(NFI_Expiration=1,IF($A562&lt;VLOOKUP(K$5,NFI,5,0),1,0)*Table_NFI[[#This Row],[Mosquito net]],Table_NFI[Mosquito net])</f>
        <v>0</v>
      </c>
      <c r="AA562" s="436">
        <f>IF(NFI_Expiration=1,IF($A562&lt;VLOOKUP(L$5,NFI,5,0),1,0)*Table_NFI[[#This Row],[Tarpaulin]],Table_NFI[[#This Row],[Tarpaulin]])</f>
        <v>0</v>
      </c>
      <c r="AB562" s="436">
        <f>IF(NFI_Expiration=1,IF($A562&lt;VLOOKUP(M$5,NFI,5,0),1,0)*Table_NFI[[#This Row],[Blanket]],Table_NFI[[#This Row],[Blanket]])</f>
        <v>0</v>
      </c>
      <c r="AC562" s="436">
        <f>IF(NFI_Expiration=1,IF($A562&lt;VLOOKUP(N$5,NFI,5,0),1,0)*Table_NFI[[#This Row],[Kitchen Set]],Table_NFI[Kitchen Set])</f>
        <v>0</v>
      </c>
      <c r="AD562" s="436">
        <f>IF(NFI_Expiration=1,IF($A562&lt;VLOOKUP(O$5,NFI,5,0),1,0)*Table_NFI[[#This Row],[Clothes Kit]],Table_NFI[Clothes Kit])</f>
        <v>0</v>
      </c>
      <c r="AE562" s="436">
        <f>IF(NFI_Expiration=1,IF($A562&lt;VLOOKUP(P$5,NFI,5,0),1,0)*Table_NFI[[#This Row],[Plastic Bucket]],Table_NFI[Plastic Bucket])</f>
        <v>0</v>
      </c>
      <c r="AF562" s="436">
        <f>IF(NFI_Expiration=1,IF($A562&lt;VLOOKUP(Q$5,NFI,5,0),1,0)*Table_NFI[[#This Row],[Plastic Mat]],Table_NFI[Plastic Mat])*IF(Table_NFI[[#This Row],[Distribution Date]]&gt;"2014-04-01",1,2.5)</f>
        <v>0</v>
      </c>
      <c r="AG562" s="436">
        <f>IF(NFI_Expiration=1,IF($A562&lt;VLOOKUP(R$5,NFI,5,0),1,0)*Table_NFI[[#This Row],[Winter Clothes Adult]],Table_NFI[Winter Clothes Adult])</f>
        <v>0</v>
      </c>
      <c r="AH562" s="436">
        <f>IF(NFI_Expiration=1,IF($A562&lt;VLOOKUP(S$5,NFI,5,0),1,0)*Table_NFI[[#This Row],[Winter Clothes Children]],Table_NFI[Winter Clothes Children])</f>
        <v>0</v>
      </c>
      <c r="AI562" s="436">
        <f>IF(NFI_Expiration=1,IF($A562&lt;VLOOKUP(T$5,NFI,5,0),1,0)*Table_NFI[[#This Row],[Winter Items Other]],Table_NFI[Winter Items Other])</f>
        <v>0</v>
      </c>
      <c r="AJ562" s="436">
        <f>IF(NFI_Expiration=1,IF($A562&lt;VLOOKUP(M$5,NFI,5,0),1,0)*Table_NFI[[#This Row],[Winter Blanket]],Table_NFI[[#This Row],[Winter Blanket]])</f>
        <v>0</v>
      </c>
      <c r="AK562" s="436">
        <f>IF(Table_NFI[[#This Row],[Winter Clothes Adult]]+Table_NFI[[#This Row],[Winter Clothes Children]]+Table_NFI[[#This Row],[Winter Items Other]]+Table_NFI[[#This Row],[Winter Blanket]]&gt;0,1,0)</f>
        <v>0</v>
      </c>
      <c r="AL562" s="439">
        <f>IF(NFI_Expiration=1,IF($A562&lt;VLOOKUP(V$5,NFI,5,0),1,0)*Table_NFI[[#This Row],[Jerry Can]],Table_NFI[Jerry Can])</f>
        <v>0</v>
      </c>
      <c r="AM562" s="781" t="str">
        <f>IFERROR(VLOOKUP(Table_NFI[[#This Row],[Camp Name]],CL,2,0),"")</f>
        <v>MMR001CMP040</v>
      </c>
      <c r="AN562" s="782">
        <f ca="1">IF(Table_NFI[[#This Row],[Pcode]]="","",IF(OFFSET(CampList[Opening Date],MATCH(Table_NFI[[#This Row],[Pcode]],CampList[CP_Pcode],0)-1,0,1,1)&gt;=NFI_Monitor_Date,1,0))</f>
        <v>0</v>
      </c>
      <c r="AO562" s="781" t="str">
        <f>IFERROR(VLOOKUP(Table_NFI[[#This Row],[Camp Name]],CL,3,0),"")</f>
        <v>Open</v>
      </c>
      <c r="AP562" s="436" t="str">
        <f ca="1">IF(Table_NFI[[#This Row],[Pcode]]="","",OFFSET(CampList[Priority],MATCH(Table_NFI[[#This Row],[Pcode]],CampList[CP_Pcode],0)-1,0,1,1))</f>
        <v>P4</v>
      </c>
      <c r="AQ562" s="438">
        <f>IFERROR(Table_NFI[[#This Row],[Kitchen Set]]/VLOOKUP(Table_NFI[[#This Row],[Camp Name]],CL,4,0),"")</f>
        <v>8.8785046728971959E-2</v>
      </c>
      <c r="AR562" s="779" t="s">
        <v>1099</v>
      </c>
      <c r="AS562" s="783"/>
    </row>
    <row r="563" spans="1:45" x14ac:dyDescent="0.25">
      <c r="A563" s="455">
        <f t="shared" si="8"/>
        <v>32.333333333333336</v>
      </c>
      <c r="B563" s="778">
        <v>41339</v>
      </c>
      <c r="C563" s="779" t="s">
        <v>454</v>
      </c>
      <c r="D563" s="780" t="s">
        <v>454</v>
      </c>
      <c r="E563" s="779" t="s">
        <v>380</v>
      </c>
      <c r="F563" s="435" t="s">
        <v>310</v>
      </c>
      <c r="G563" s="435" t="s">
        <v>318</v>
      </c>
      <c r="H563" s="436"/>
      <c r="I563" s="436"/>
      <c r="J563" s="436">
        <v>6</v>
      </c>
      <c r="K563" s="436">
        <v>11</v>
      </c>
      <c r="L563" s="437">
        <v>5</v>
      </c>
      <c r="M563" s="437">
        <v>11</v>
      </c>
      <c r="N563" s="437">
        <v>5</v>
      </c>
      <c r="O563" s="437">
        <v>5</v>
      </c>
      <c r="P563" s="437">
        <v>5</v>
      </c>
      <c r="Q563" s="437">
        <v>5</v>
      </c>
      <c r="R563" s="436"/>
      <c r="S563" s="436"/>
      <c r="T563" s="436"/>
      <c r="U563" s="436"/>
      <c r="V563" s="436"/>
      <c r="W563" s="436">
        <f>IF(NFI_Expiration=1,IF($A563&lt;VLOOKUP(H$5,NFI,5,0),1,0)*Table_NFI[[#This Row],[Hygiene Kit]],Table_NFI[Hygiene Kit])</f>
        <v>0</v>
      </c>
      <c r="X563" s="436">
        <f>IF(NFI_Expiration=1,IF($A563&lt;VLOOKUP(I$5,NFI,5,0),1,0)*Table_NFI[[#This Row],[NFI Core Kit]],Table_NFI[NFI Core Kit])</f>
        <v>0</v>
      </c>
      <c r="Y563" s="436">
        <f>IF(NFI_Expiration=1,IF($A563&lt;VLOOKUP(J$5,NFI,5,0),1,0)*Table_NFI[[#This Row],[Sanitary Kit]],Table_NFI[Sanitary Kit])</f>
        <v>0</v>
      </c>
      <c r="Z563" s="436">
        <f>IF(NFI_Expiration=1,IF($A563&lt;VLOOKUP(K$5,NFI,5,0),1,0)*Table_NFI[[#This Row],[Mosquito net]],Table_NFI[Mosquito net])</f>
        <v>0</v>
      </c>
      <c r="AA563" s="436">
        <f>IF(NFI_Expiration=1,IF($A563&lt;VLOOKUP(L$5,NFI,5,0),1,0)*Table_NFI[[#This Row],[Tarpaulin]],Table_NFI[[#This Row],[Tarpaulin]])</f>
        <v>0</v>
      </c>
      <c r="AB563" s="436">
        <f>IF(NFI_Expiration=1,IF($A563&lt;VLOOKUP(M$5,NFI,5,0),1,0)*Table_NFI[[#This Row],[Blanket]],Table_NFI[[#This Row],[Blanket]])</f>
        <v>0</v>
      </c>
      <c r="AC563" s="436">
        <f>IF(NFI_Expiration=1,IF($A563&lt;VLOOKUP(N$5,NFI,5,0),1,0)*Table_NFI[[#This Row],[Kitchen Set]],Table_NFI[Kitchen Set])</f>
        <v>0</v>
      </c>
      <c r="AD563" s="436">
        <f>IF(NFI_Expiration=1,IF($A563&lt;VLOOKUP(O$5,NFI,5,0),1,0)*Table_NFI[[#This Row],[Clothes Kit]],Table_NFI[Clothes Kit])</f>
        <v>0</v>
      </c>
      <c r="AE563" s="436">
        <f>IF(NFI_Expiration=1,IF($A563&lt;VLOOKUP(P$5,NFI,5,0),1,0)*Table_NFI[[#This Row],[Plastic Bucket]],Table_NFI[Plastic Bucket])</f>
        <v>0</v>
      </c>
      <c r="AF563" s="436">
        <f>IF(NFI_Expiration=1,IF($A563&lt;VLOOKUP(Q$5,NFI,5,0),1,0)*Table_NFI[[#This Row],[Plastic Mat]],Table_NFI[Plastic Mat])*IF(Table_NFI[[#This Row],[Distribution Date]]&gt;"2014-04-01",1,2.5)</f>
        <v>0</v>
      </c>
      <c r="AG563" s="436">
        <f>IF(NFI_Expiration=1,IF($A563&lt;VLOOKUP(R$5,NFI,5,0),1,0)*Table_NFI[[#This Row],[Winter Clothes Adult]],Table_NFI[Winter Clothes Adult])</f>
        <v>0</v>
      </c>
      <c r="AH563" s="436">
        <f>IF(NFI_Expiration=1,IF($A563&lt;VLOOKUP(S$5,NFI,5,0),1,0)*Table_NFI[[#This Row],[Winter Clothes Children]],Table_NFI[Winter Clothes Children])</f>
        <v>0</v>
      </c>
      <c r="AI563" s="436">
        <f>IF(NFI_Expiration=1,IF($A563&lt;VLOOKUP(T$5,NFI,5,0),1,0)*Table_NFI[[#This Row],[Winter Items Other]],Table_NFI[Winter Items Other])</f>
        <v>0</v>
      </c>
      <c r="AJ563" s="436">
        <f>IF(NFI_Expiration=1,IF($A563&lt;VLOOKUP(M$5,NFI,5,0),1,0)*Table_NFI[[#This Row],[Winter Blanket]],Table_NFI[[#This Row],[Winter Blanket]])</f>
        <v>0</v>
      </c>
      <c r="AK563" s="436">
        <f>IF(Table_NFI[[#This Row],[Winter Clothes Adult]]+Table_NFI[[#This Row],[Winter Clothes Children]]+Table_NFI[[#This Row],[Winter Items Other]]+Table_NFI[[#This Row],[Winter Blanket]]&gt;0,1,0)</f>
        <v>0</v>
      </c>
      <c r="AL563" s="439">
        <f>IF(NFI_Expiration=1,IF($A563&lt;VLOOKUP(V$5,NFI,5,0),1,0)*Table_NFI[[#This Row],[Jerry Can]],Table_NFI[Jerry Can])</f>
        <v>0</v>
      </c>
      <c r="AM563" s="781" t="str">
        <f>IFERROR(VLOOKUP(Table_NFI[[#This Row],[Camp Name]],CL,2,0),"")</f>
        <v>MMR001CMP032</v>
      </c>
      <c r="AN563" s="782">
        <f ca="1">IF(Table_NFI[[#This Row],[Pcode]]="","",IF(OFFSET(CampList[Opening Date],MATCH(Table_NFI[[#This Row],[Pcode]],CampList[CP_Pcode],0)-1,0,1,1)&gt;=NFI_Monitor_Date,1,0))</f>
        <v>0</v>
      </c>
      <c r="AO563" s="781" t="str">
        <f>IFERROR(VLOOKUP(Table_NFI[[#This Row],[Camp Name]],CL,3,0),"")</f>
        <v>Open</v>
      </c>
      <c r="AP563" s="436" t="str">
        <f ca="1">IF(Table_NFI[[#This Row],[Pcode]]="","",OFFSET(CampList[Priority],MATCH(Table_NFI[[#This Row],[Pcode]],CampList[CP_Pcode],0)-1,0,1,1))</f>
        <v>P4</v>
      </c>
      <c r="AQ563" s="438">
        <f>IFERROR(Table_NFI[[#This Row],[Kitchen Set]]/VLOOKUP(Table_NFI[[#This Row],[Camp Name]],CL,4,0),"")</f>
        <v>5.3191489361702128E-2</v>
      </c>
      <c r="AR563" s="779" t="s">
        <v>1099</v>
      </c>
      <c r="AS563" s="783"/>
    </row>
    <row r="564" spans="1:45" x14ac:dyDescent="0.25">
      <c r="A564" s="455">
        <f t="shared" si="8"/>
        <v>32.43333333333333</v>
      </c>
      <c r="B564" s="778">
        <v>41336</v>
      </c>
      <c r="C564" s="779" t="s">
        <v>912</v>
      </c>
      <c r="D564" s="780" t="s">
        <v>912</v>
      </c>
      <c r="E564" s="779" t="s">
        <v>380</v>
      </c>
      <c r="F564" s="435" t="s">
        <v>185</v>
      </c>
      <c r="G564" s="435" t="s">
        <v>225</v>
      </c>
      <c r="H564" s="436">
        <v>33</v>
      </c>
      <c r="I564" s="436"/>
      <c r="J564" s="436"/>
      <c r="K564" s="436"/>
      <c r="L564" s="437"/>
      <c r="M564" s="437"/>
      <c r="N564" s="437"/>
      <c r="O564" s="437"/>
      <c r="P564" s="437">
        <v>0</v>
      </c>
      <c r="Q564" s="437">
        <v>0</v>
      </c>
      <c r="R564" s="436"/>
      <c r="S564" s="436"/>
      <c r="T564" s="436"/>
      <c r="U564" s="436"/>
      <c r="V564" s="436"/>
      <c r="W564" s="436">
        <f>IF(NFI_Expiration=1,IF($A564&lt;VLOOKUP(H$5,NFI,5,0),1,0)*Table_NFI[[#This Row],[Hygiene Kit]],Table_NFI[Hygiene Kit])</f>
        <v>0</v>
      </c>
      <c r="X564" s="436">
        <f>IF(NFI_Expiration=1,IF($A564&lt;VLOOKUP(I$5,NFI,5,0),1,0)*Table_NFI[[#This Row],[NFI Core Kit]],Table_NFI[NFI Core Kit])</f>
        <v>0</v>
      </c>
      <c r="Y564" s="436">
        <f>IF(NFI_Expiration=1,IF($A564&lt;VLOOKUP(J$5,NFI,5,0),1,0)*Table_NFI[[#This Row],[Sanitary Kit]],Table_NFI[Sanitary Kit])</f>
        <v>0</v>
      </c>
      <c r="Z564" s="436">
        <f>IF(NFI_Expiration=1,IF($A564&lt;VLOOKUP(K$5,NFI,5,0),1,0)*Table_NFI[[#This Row],[Mosquito net]],Table_NFI[Mosquito net])</f>
        <v>0</v>
      </c>
      <c r="AA564" s="436">
        <f>IF(NFI_Expiration=1,IF($A564&lt;VLOOKUP(L$5,NFI,5,0),1,0)*Table_NFI[[#This Row],[Tarpaulin]],Table_NFI[[#This Row],[Tarpaulin]])</f>
        <v>0</v>
      </c>
      <c r="AB564" s="436">
        <f>IF(NFI_Expiration=1,IF($A564&lt;VLOOKUP(M$5,NFI,5,0),1,0)*Table_NFI[[#This Row],[Blanket]],Table_NFI[[#This Row],[Blanket]])</f>
        <v>0</v>
      </c>
      <c r="AC564" s="436">
        <f>IF(NFI_Expiration=1,IF($A564&lt;VLOOKUP(N$5,NFI,5,0),1,0)*Table_NFI[[#This Row],[Kitchen Set]],Table_NFI[Kitchen Set])</f>
        <v>0</v>
      </c>
      <c r="AD564" s="436">
        <f>IF(NFI_Expiration=1,IF($A564&lt;VLOOKUP(O$5,NFI,5,0),1,0)*Table_NFI[[#This Row],[Clothes Kit]],Table_NFI[Clothes Kit])</f>
        <v>0</v>
      </c>
      <c r="AE564" s="436">
        <f>IF(NFI_Expiration=1,IF($A564&lt;VLOOKUP(P$5,NFI,5,0),1,0)*Table_NFI[[#This Row],[Plastic Bucket]],Table_NFI[Plastic Bucket])</f>
        <v>0</v>
      </c>
      <c r="AF564" s="436">
        <f>IF(NFI_Expiration=1,IF($A564&lt;VLOOKUP(Q$5,NFI,5,0),1,0)*Table_NFI[[#This Row],[Plastic Mat]],Table_NFI[Plastic Mat])*IF(Table_NFI[[#This Row],[Distribution Date]]&gt;"2014-04-01",1,2.5)</f>
        <v>0</v>
      </c>
      <c r="AG564" s="436">
        <f>IF(NFI_Expiration=1,IF($A564&lt;VLOOKUP(R$5,NFI,5,0),1,0)*Table_NFI[[#This Row],[Winter Clothes Adult]],Table_NFI[Winter Clothes Adult])</f>
        <v>0</v>
      </c>
      <c r="AH564" s="436">
        <f>IF(NFI_Expiration=1,IF($A564&lt;VLOOKUP(S$5,NFI,5,0),1,0)*Table_NFI[[#This Row],[Winter Clothes Children]],Table_NFI[Winter Clothes Children])</f>
        <v>0</v>
      </c>
      <c r="AI564" s="436">
        <f>IF(NFI_Expiration=1,IF($A564&lt;VLOOKUP(T$5,NFI,5,0),1,0)*Table_NFI[[#This Row],[Winter Items Other]],Table_NFI[Winter Items Other])</f>
        <v>0</v>
      </c>
      <c r="AJ564" s="436">
        <f>IF(NFI_Expiration=1,IF($A564&lt;VLOOKUP(M$5,NFI,5,0),1,0)*Table_NFI[[#This Row],[Winter Blanket]],Table_NFI[[#This Row],[Winter Blanket]])</f>
        <v>0</v>
      </c>
      <c r="AK564" s="436">
        <f>IF(Table_NFI[[#This Row],[Winter Clothes Adult]]+Table_NFI[[#This Row],[Winter Clothes Children]]+Table_NFI[[#This Row],[Winter Items Other]]+Table_NFI[[#This Row],[Winter Blanket]]&gt;0,1,0)</f>
        <v>0</v>
      </c>
      <c r="AL564" s="439">
        <f>IF(NFI_Expiration=1,IF($A564&lt;VLOOKUP(V$5,NFI,5,0),1,0)*Table_NFI[[#This Row],[Jerry Can]],Table_NFI[Jerry Can])</f>
        <v>0</v>
      </c>
      <c r="AM564" s="781" t="str">
        <f>IFERROR(VLOOKUP(Table_NFI[[#This Row],[Camp Name]],CL,2,0),"")</f>
        <v>MMR001CMP073</v>
      </c>
      <c r="AN564" s="782">
        <f ca="1">IF(Table_NFI[[#This Row],[Pcode]]="","",IF(OFFSET(CampList[Opening Date],MATCH(Table_NFI[[#This Row],[Pcode]],CampList[CP_Pcode],0)-1,0,1,1)&gt;=NFI_Monitor_Date,1,0))</f>
        <v>0</v>
      </c>
      <c r="AO564" s="781" t="str">
        <f>IFERROR(VLOOKUP(Table_NFI[[#This Row],[Camp Name]],CL,3,0),"")</f>
        <v>Open</v>
      </c>
      <c r="AP564" s="436" t="str">
        <f ca="1">IF(Table_NFI[[#This Row],[Pcode]]="","",OFFSET(CampList[Priority],MATCH(Table_NFI[[#This Row],[Pcode]],CampList[CP_Pcode],0)-1,0,1,1))</f>
        <v>P3</v>
      </c>
      <c r="AQ564" s="438">
        <f>IFERROR(Table_NFI[[#This Row],[Kitchen Set]]/VLOOKUP(Table_NFI[[#This Row],[Camp Name]],CL,4,0),"")</f>
        <v>0</v>
      </c>
      <c r="AR564" s="779" t="s">
        <v>1099</v>
      </c>
      <c r="AS564" s="783"/>
    </row>
    <row r="565" spans="1:45" x14ac:dyDescent="0.25">
      <c r="A565" s="455">
        <f t="shared" si="8"/>
        <v>32.466666666666669</v>
      </c>
      <c r="B565" s="778">
        <v>41335</v>
      </c>
      <c r="C565" s="779" t="s">
        <v>912</v>
      </c>
      <c r="D565" s="780" t="s">
        <v>912</v>
      </c>
      <c r="E565" s="779" t="s">
        <v>380</v>
      </c>
      <c r="F565" s="435" t="s">
        <v>185</v>
      </c>
      <c r="G565" s="435" t="s">
        <v>186</v>
      </c>
      <c r="H565" s="436">
        <v>3</v>
      </c>
      <c r="I565" s="436"/>
      <c r="J565" s="436"/>
      <c r="K565" s="436"/>
      <c r="L565" s="437"/>
      <c r="M565" s="437"/>
      <c r="N565" s="437"/>
      <c r="O565" s="437"/>
      <c r="P565" s="437">
        <v>0</v>
      </c>
      <c r="Q565" s="437">
        <v>0</v>
      </c>
      <c r="R565" s="436"/>
      <c r="S565" s="436"/>
      <c r="T565" s="436"/>
      <c r="U565" s="436"/>
      <c r="V565" s="436"/>
      <c r="W565" s="436">
        <f>IF(NFI_Expiration=1,IF($A565&lt;VLOOKUP(H$5,NFI,5,0),1,0)*Table_NFI[[#This Row],[Hygiene Kit]],Table_NFI[Hygiene Kit])</f>
        <v>0</v>
      </c>
      <c r="X565" s="436">
        <f>IF(NFI_Expiration=1,IF($A565&lt;VLOOKUP(I$5,NFI,5,0),1,0)*Table_NFI[[#This Row],[NFI Core Kit]],Table_NFI[NFI Core Kit])</f>
        <v>0</v>
      </c>
      <c r="Y565" s="436">
        <f>IF(NFI_Expiration=1,IF($A565&lt;VLOOKUP(J$5,NFI,5,0),1,0)*Table_NFI[[#This Row],[Sanitary Kit]],Table_NFI[Sanitary Kit])</f>
        <v>0</v>
      </c>
      <c r="Z565" s="436">
        <f>IF(NFI_Expiration=1,IF($A565&lt;VLOOKUP(K$5,NFI,5,0),1,0)*Table_NFI[[#This Row],[Mosquito net]],Table_NFI[Mosquito net])</f>
        <v>0</v>
      </c>
      <c r="AA565" s="436">
        <f>IF(NFI_Expiration=1,IF($A565&lt;VLOOKUP(L$5,NFI,5,0),1,0)*Table_NFI[[#This Row],[Tarpaulin]],Table_NFI[[#This Row],[Tarpaulin]])</f>
        <v>0</v>
      </c>
      <c r="AB565" s="436">
        <f>IF(NFI_Expiration=1,IF($A565&lt;VLOOKUP(M$5,NFI,5,0),1,0)*Table_NFI[[#This Row],[Blanket]],Table_NFI[[#This Row],[Blanket]])</f>
        <v>0</v>
      </c>
      <c r="AC565" s="436">
        <f>IF(NFI_Expiration=1,IF($A565&lt;VLOOKUP(N$5,NFI,5,0),1,0)*Table_NFI[[#This Row],[Kitchen Set]],Table_NFI[Kitchen Set])</f>
        <v>0</v>
      </c>
      <c r="AD565" s="436">
        <f>IF(NFI_Expiration=1,IF($A565&lt;VLOOKUP(O$5,NFI,5,0),1,0)*Table_NFI[[#This Row],[Clothes Kit]],Table_NFI[Clothes Kit])</f>
        <v>0</v>
      </c>
      <c r="AE565" s="436">
        <f>IF(NFI_Expiration=1,IF($A565&lt;VLOOKUP(P$5,NFI,5,0),1,0)*Table_NFI[[#This Row],[Plastic Bucket]],Table_NFI[Plastic Bucket])</f>
        <v>0</v>
      </c>
      <c r="AF565" s="436">
        <f>IF(NFI_Expiration=1,IF($A565&lt;VLOOKUP(Q$5,NFI,5,0),1,0)*Table_NFI[[#This Row],[Plastic Mat]],Table_NFI[Plastic Mat])*IF(Table_NFI[[#This Row],[Distribution Date]]&gt;"2014-04-01",1,2.5)</f>
        <v>0</v>
      </c>
      <c r="AG565" s="436">
        <f>IF(NFI_Expiration=1,IF($A565&lt;VLOOKUP(R$5,NFI,5,0),1,0)*Table_NFI[[#This Row],[Winter Clothes Adult]],Table_NFI[Winter Clothes Adult])</f>
        <v>0</v>
      </c>
      <c r="AH565" s="436">
        <f>IF(NFI_Expiration=1,IF($A565&lt;VLOOKUP(S$5,NFI,5,0),1,0)*Table_NFI[[#This Row],[Winter Clothes Children]],Table_NFI[Winter Clothes Children])</f>
        <v>0</v>
      </c>
      <c r="AI565" s="436">
        <f>IF(NFI_Expiration=1,IF($A565&lt;VLOOKUP(T$5,NFI,5,0),1,0)*Table_NFI[[#This Row],[Winter Items Other]],Table_NFI[Winter Items Other])</f>
        <v>0</v>
      </c>
      <c r="AJ565" s="436">
        <f>IF(NFI_Expiration=1,IF($A565&lt;VLOOKUP(M$5,NFI,5,0),1,0)*Table_NFI[[#This Row],[Winter Blanket]],Table_NFI[[#This Row],[Winter Blanket]])</f>
        <v>0</v>
      </c>
      <c r="AK565" s="436">
        <f>IF(Table_NFI[[#This Row],[Winter Clothes Adult]]+Table_NFI[[#This Row],[Winter Clothes Children]]+Table_NFI[[#This Row],[Winter Items Other]]+Table_NFI[[#This Row],[Winter Blanket]]&gt;0,1,0)</f>
        <v>0</v>
      </c>
      <c r="AL565" s="439">
        <f>IF(NFI_Expiration=1,IF($A565&lt;VLOOKUP(V$5,NFI,5,0),1,0)*Table_NFI[[#This Row],[Jerry Can]],Table_NFI[Jerry Can])</f>
        <v>0</v>
      </c>
      <c r="AM565" s="781" t="str">
        <f>IFERROR(VLOOKUP(Table_NFI[[#This Row],[Camp Name]],CL,2,0),"")</f>
        <v>MMR001CMP071</v>
      </c>
      <c r="AN565" s="782">
        <f ca="1">IF(Table_NFI[[#This Row],[Pcode]]="","",IF(OFFSET(CampList[Opening Date],MATCH(Table_NFI[[#This Row],[Pcode]],CampList[CP_Pcode],0)-1,0,1,1)&gt;=NFI_Monitor_Date,1,0))</f>
        <v>0</v>
      </c>
      <c r="AO565" s="781" t="str">
        <f>IFERROR(VLOOKUP(Table_NFI[[#This Row],[Camp Name]],CL,3,0),"")</f>
        <v>Open</v>
      </c>
      <c r="AP565" s="436" t="str">
        <f ca="1">IF(Table_NFI[[#This Row],[Pcode]]="","",OFFSET(CampList[Priority],MATCH(Table_NFI[[#This Row],[Pcode]],CampList[CP_Pcode],0)-1,0,1,1))</f>
        <v>P3</v>
      </c>
      <c r="AQ565" s="438">
        <f>IFERROR(Table_NFI[[#This Row],[Kitchen Set]]/VLOOKUP(Table_NFI[[#This Row],[Camp Name]],CL,4,0),"")</f>
        <v>0</v>
      </c>
      <c r="AR565" s="779" t="s">
        <v>1099</v>
      </c>
      <c r="AS565" s="783"/>
    </row>
    <row r="566" spans="1:45" x14ac:dyDescent="0.25">
      <c r="A566" s="455">
        <f t="shared" si="8"/>
        <v>32.466666666666669</v>
      </c>
      <c r="B566" s="778">
        <v>41335</v>
      </c>
      <c r="C566" s="779" t="s">
        <v>912</v>
      </c>
      <c r="D566" s="780" t="s">
        <v>912</v>
      </c>
      <c r="E566" s="779" t="s">
        <v>380</v>
      </c>
      <c r="F566" s="435" t="s">
        <v>185</v>
      </c>
      <c r="G566" s="435" t="s">
        <v>190</v>
      </c>
      <c r="H566" s="436">
        <v>368</v>
      </c>
      <c r="I566" s="436"/>
      <c r="J566" s="436"/>
      <c r="K566" s="436"/>
      <c r="L566" s="437"/>
      <c r="M566" s="437"/>
      <c r="N566" s="437"/>
      <c r="O566" s="437"/>
      <c r="P566" s="437">
        <v>0</v>
      </c>
      <c r="Q566" s="437">
        <v>0</v>
      </c>
      <c r="R566" s="436"/>
      <c r="S566" s="436"/>
      <c r="T566" s="436"/>
      <c r="U566" s="436"/>
      <c r="V566" s="436"/>
      <c r="W566" s="436">
        <f>IF(NFI_Expiration=1,IF($A566&lt;VLOOKUP(H$5,NFI,5,0),1,0)*Table_NFI[[#This Row],[Hygiene Kit]],Table_NFI[Hygiene Kit])</f>
        <v>0</v>
      </c>
      <c r="X566" s="436">
        <f>IF(NFI_Expiration=1,IF($A566&lt;VLOOKUP(I$5,NFI,5,0),1,0)*Table_NFI[[#This Row],[NFI Core Kit]],Table_NFI[NFI Core Kit])</f>
        <v>0</v>
      </c>
      <c r="Y566" s="436">
        <f>IF(NFI_Expiration=1,IF($A566&lt;VLOOKUP(J$5,NFI,5,0),1,0)*Table_NFI[[#This Row],[Sanitary Kit]],Table_NFI[Sanitary Kit])</f>
        <v>0</v>
      </c>
      <c r="Z566" s="436">
        <f>IF(NFI_Expiration=1,IF($A566&lt;VLOOKUP(K$5,NFI,5,0),1,0)*Table_NFI[[#This Row],[Mosquito net]],Table_NFI[Mosquito net])</f>
        <v>0</v>
      </c>
      <c r="AA566" s="436">
        <f>IF(NFI_Expiration=1,IF($A566&lt;VLOOKUP(L$5,NFI,5,0),1,0)*Table_NFI[[#This Row],[Tarpaulin]],Table_NFI[[#This Row],[Tarpaulin]])</f>
        <v>0</v>
      </c>
      <c r="AB566" s="436">
        <f>IF(NFI_Expiration=1,IF($A566&lt;VLOOKUP(M$5,NFI,5,0),1,0)*Table_NFI[[#This Row],[Blanket]],Table_NFI[[#This Row],[Blanket]])</f>
        <v>0</v>
      </c>
      <c r="AC566" s="436">
        <f>IF(NFI_Expiration=1,IF($A566&lt;VLOOKUP(N$5,NFI,5,0),1,0)*Table_NFI[[#This Row],[Kitchen Set]],Table_NFI[Kitchen Set])</f>
        <v>0</v>
      </c>
      <c r="AD566" s="436">
        <f>IF(NFI_Expiration=1,IF($A566&lt;VLOOKUP(O$5,NFI,5,0),1,0)*Table_NFI[[#This Row],[Clothes Kit]],Table_NFI[Clothes Kit])</f>
        <v>0</v>
      </c>
      <c r="AE566" s="436">
        <f>IF(NFI_Expiration=1,IF($A566&lt;VLOOKUP(P$5,NFI,5,0),1,0)*Table_NFI[[#This Row],[Plastic Bucket]],Table_NFI[Plastic Bucket])</f>
        <v>0</v>
      </c>
      <c r="AF566" s="436">
        <f>IF(NFI_Expiration=1,IF($A566&lt;VLOOKUP(Q$5,NFI,5,0),1,0)*Table_NFI[[#This Row],[Plastic Mat]],Table_NFI[Plastic Mat])*IF(Table_NFI[[#This Row],[Distribution Date]]&gt;"2014-04-01",1,2.5)</f>
        <v>0</v>
      </c>
      <c r="AG566" s="436">
        <f>IF(NFI_Expiration=1,IF($A566&lt;VLOOKUP(R$5,NFI,5,0),1,0)*Table_NFI[[#This Row],[Winter Clothes Adult]],Table_NFI[Winter Clothes Adult])</f>
        <v>0</v>
      </c>
      <c r="AH566" s="436">
        <f>IF(NFI_Expiration=1,IF($A566&lt;VLOOKUP(S$5,NFI,5,0),1,0)*Table_NFI[[#This Row],[Winter Clothes Children]],Table_NFI[Winter Clothes Children])</f>
        <v>0</v>
      </c>
      <c r="AI566" s="436">
        <f>IF(NFI_Expiration=1,IF($A566&lt;VLOOKUP(T$5,NFI,5,0),1,0)*Table_NFI[[#This Row],[Winter Items Other]],Table_NFI[Winter Items Other])</f>
        <v>0</v>
      </c>
      <c r="AJ566" s="436">
        <f>IF(NFI_Expiration=1,IF($A566&lt;VLOOKUP(M$5,NFI,5,0),1,0)*Table_NFI[[#This Row],[Winter Blanket]],Table_NFI[[#This Row],[Winter Blanket]])</f>
        <v>0</v>
      </c>
      <c r="AK566" s="436">
        <f>IF(Table_NFI[[#This Row],[Winter Clothes Adult]]+Table_NFI[[#This Row],[Winter Clothes Children]]+Table_NFI[[#This Row],[Winter Items Other]]+Table_NFI[[#This Row],[Winter Blanket]]&gt;0,1,0)</f>
        <v>0</v>
      </c>
      <c r="AL566" s="439">
        <f>IF(NFI_Expiration=1,IF($A566&lt;VLOOKUP(V$5,NFI,5,0),1,0)*Table_NFI[[#This Row],[Jerry Can]],Table_NFI[Jerry Can])</f>
        <v>0</v>
      </c>
      <c r="AM566" s="781" t="str">
        <f>IFERROR(VLOOKUP(Table_NFI[[#This Row],[Camp Name]],CL,2,0),"")</f>
        <v>MMR001CMP070</v>
      </c>
      <c r="AN566" s="782">
        <f ca="1">IF(Table_NFI[[#This Row],[Pcode]]="","",IF(OFFSET(CampList[Opening Date],MATCH(Table_NFI[[#This Row],[Pcode]],CampList[CP_Pcode],0)-1,0,1,1)&gt;=NFI_Monitor_Date,1,0))</f>
        <v>0</v>
      </c>
      <c r="AO566" s="781" t="str">
        <f>IFERROR(VLOOKUP(Table_NFI[[#This Row],[Camp Name]],CL,3,0),"")</f>
        <v>Open</v>
      </c>
      <c r="AP566" s="436" t="str">
        <f ca="1">IF(Table_NFI[[#This Row],[Pcode]]="","",OFFSET(CampList[Priority],MATCH(Table_NFI[[#This Row],[Pcode]],CampList[CP_Pcode],0)-1,0,1,1))</f>
        <v>P3</v>
      </c>
      <c r="AQ566" s="438">
        <f>IFERROR(Table_NFI[[#This Row],[Kitchen Set]]/VLOOKUP(Table_NFI[[#This Row],[Camp Name]],CL,4,0),"")</f>
        <v>0</v>
      </c>
      <c r="AR566" s="779" t="s">
        <v>1099</v>
      </c>
      <c r="AS566" s="783"/>
    </row>
    <row r="567" spans="1:45" x14ac:dyDescent="0.25">
      <c r="A567" s="455">
        <f t="shared" si="8"/>
        <v>32.466666666666669</v>
      </c>
      <c r="B567" s="778">
        <v>41335</v>
      </c>
      <c r="C567" s="779" t="s">
        <v>912</v>
      </c>
      <c r="D567" s="779" t="s">
        <v>912</v>
      </c>
      <c r="E567" s="779" t="s">
        <v>380</v>
      </c>
      <c r="F567" s="435" t="s">
        <v>151</v>
      </c>
      <c r="G567" s="435" t="s">
        <v>154</v>
      </c>
      <c r="H567" s="436">
        <v>1542</v>
      </c>
      <c r="I567" s="436"/>
      <c r="J567" s="436">
        <v>1800</v>
      </c>
      <c r="K567" s="436"/>
      <c r="L567" s="437"/>
      <c r="M567" s="437"/>
      <c r="N567" s="437"/>
      <c r="O567" s="437"/>
      <c r="P567" s="439">
        <v>0</v>
      </c>
      <c r="Q567" s="439">
        <v>0</v>
      </c>
      <c r="R567" s="436"/>
      <c r="S567" s="436"/>
      <c r="T567" s="436"/>
      <c r="U567" s="436"/>
      <c r="V567" s="436"/>
      <c r="W567" s="436">
        <f>IF(NFI_Expiration=1,IF($A567&lt;VLOOKUP(H$5,NFI,5,0),1,0)*Table_NFI[[#This Row],[Hygiene Kit]],Table_NFI[Hygiene Kit])</f>
        <v>0</v>
      </c>
      <c r="X567" s="436">
        <f>IF(NFI_Expiration=1,IF($A567&lt;VLOOKUP(I$5,NFI,5,0),1,0)*Table_NFI[[#This Row],[NFI Core Kit]],Table_NFI[NFI Core Kit])</f>
        <v>0</v>
      </c>
      <c r="Y567" s="436">
        <f>IF(NFI_Expiration=1,IF($A567&lt;VLOOKUP(J$5,NFI,5,0),1,0)*Table_NFI[[#This Row],[Sanitary Kit]],Table_NFI[Sanitary Kit])</f>
        <v>0</v>
      </c>
      <c r="Z567" s="436">
        <f>IF(NFI_Expiration=1,IF($A567&lt;VLOOKUP(K$5,NFI,5,0),1,0)*Table_NFI[[#This Row],[Mosquito net]],Table_NFI[Mosquito net])</f>
        <v>0</v>
      </c>
      <c r="AA567" s="436">
        <f>IF(NFI_Expiration=1,IF($A567&lt;VLOOKUP(L$5,NFI,5,0),1,0)*Table_NFI[[#This Row],[Tarpaulin]],Table_NFI[[#This Row],[Tarpaulin]])</f>
        <v>0</v>
      </c>
      <c r="AB567" s="436">
        <f>IF(NFI_Expiration=1,IF($A567&lt;VLOOKUP(M$5,NFI,5,0),1,0)*Table_NFI[[#This Row],[Blanket]],Table_NFI[[#This Row],[Blanket]])</f>
        <v>0</v>
      </c>
      <c r="AC567" s="436">
        <f>IF(NFI_Expiration=1,IF($A567&lt;VLOOKUP(N$5,NFI,5,0),1,0)*Table_NFI[[#This Row],[Kitchen Set]],Table_NFI[Kitchen Set])</f>
        <v>0</v>
      </c>
      <c r="AD567" s="436">
        <f>IF(NFI_Expiration=1,IF($A567&lt;VLOOKUP(O$5,NFI,5,0),1,0)*Table_NFI[[#This Row],[Clothes Kit]],Table_NFI[Clothes Kit])</f>
        <v>0</v>
      </c>
      <c r="AE567" s="436">
        <f>IF(NFI_Expiration=1,IF($A567&lt;VLOOKUP(P$5,NFI,5,0),1,0)*Table_NFI[[#This Row],[Plastic Bucket]],Table_NFI[Plastic Bucket])</f>
        <v>0</v>
      </c>
      <c r="AF567" s="436">
        <f>IF(NFI_Expiration=1,IF($A567&lt;VLOOKUP(Q$5,NFI,5,0),1,0)*Table_NFI[[#This Row],[Plastic Mat]],Table_NFI[Plastic Mat])*IF(Table_NFI[[#This Row],[Distribution Date]]&gt;"2014-04-01",1,2.5)</f>
        <v>0</v>
      </c>
      <c r="AG567" s="436">
        <f>IF(NFI_Expiration=1,IF($A567&lt;VLOOKUP(R$5,NFI,5,0),1,0)*Table_NFI[[#This Row],[Winter Clothes Adult]],Table_NFI[Winter Clothes Adult])</f>
        <v>0</v>
      </c>
      <c r="AH567" s="436">
        <f>IF(NFI_Expiration=1,IF($A567&lt;VLOOKUP(S$5,NFI,5,0),1,0)*Table_NFI[[#This Row],[Winter Clothes Children]],Table_NFI[Winter Clothes Children])</f>
        <v>0</v>
      </c>
      <c r="AI567" s="436">
        <f>IF(NFI_Expiration=1,IF($A567&lt;VLOOKUP(T$5,NFI,5,0),1,0)*Table_NFI[[#This Row],[Winter Items Other]],Table_NFI[Winter Items Other])</f>
        <v>0</v>
      </c>
      <c r="AJ567" s="436">
        <f>IF(NFI_Expiration=1,IF($A567&lt;VLOOKUP(M$5,NFI,5,0),1,0)*Table_NFI[[#This Row],[Winter Blanket]],Table_NFI[[#This Row],[Winter Blanket]])</f>
        <v>0</v>
      </c>
      <c r="AK567" s="436">
        <f>IF(Table_NFI[[#This Row],[Winter Clothes Adult]]+Table_NFI[[#This Row],[Winter Clothes Children]]+Table_NFI[[#This Row],[Winter Items Other]]+Table_NFI[[#This Row],[Winter Blanket]]&gt;0,1,0)</f>
        <v>0</v>
      </c>
      <c r="AL567" s="439">
        <f>IF(NFI_Expiration=1,IF($A567&lt;VLOOKUP(V$5,NFI,5,0),1,0)*Table_NFI[[#This Row],[Jerry Can]],Table_NFI[Jerry Can])</f>
        <v>0</v>
      </c>
      <c r="AM567" s="781" t="str">
        <f>IFERROR(VLOOKUP(Table_NFI[[#This Row],[Camp Name]],CL,2,0),"")</f>
        <v>MMR001CMP132</v>
      </c>
      <c r="AN567" s="782">
        <f ca="1">IF(Table_NFI[[#This Row],[Pcode]]="","",IF(OFFSET(CampList[Opening Date],MATCH(Table_NFI[[#This Row],[Pcode]],CampList[CP_Pcode],0)-1,0,1,1)&gt;=NFI_Monitor_Date,1,0))</f>
        <v>0</v>
      </c>
      <c r="AO567" s="781" t="str">
        <f>IFERROR(VLOOKUP(Table_NFI[[#This Row],[Camp Name]],CL,3,0),"")</f>
        <v>Open</v>
      </c>
      <c r="AP567" s="436" t="str">
        <f ca="1">IF(Table_NFI[[#This Row],[Pcode]]="","",OFFSET(CampList[Priority],MATCH(Table_NFI[[#This Row],[Pcode]],CampList[CP_Pcode],0)-1,0,1,1))</f>
        <v>P4</v>
      </c>
      <c r="AQ567" s="438">
        <f>IFERROR(Table_NFI[[#This Row],[Kitchen Set]]/VLOOKUP(Table_NFI[[#This Row],[Camp Name]],CL,4,0),"")</f>
        <v>0</v>
      </c>
      <c r="AR567" s="779" t="s">
        <v>1099</v>
      </c>
      <c r="AS567" s="783"/>
    </row>
    <row r="568" spans="1:45" x14ac:dyDescent="0.25">
      <c r="A568" s="455">
        <f t="shared" si="8"/>
        <v>32.56666666666667</v>
      </c>
      <c r="B568" s="778">
        <v>41332</v>
      </c>
      <c r="C568" s="779" t="s">
        <v>454</v>
      </c>
      <c r="D568" s="780" t="s">
        <v>454</v>
      </c>
      <c r="E568" s="779" t="s">
        <v>380</v>
      </c>
      <c r="F568" s="435" t="s">
        <v>310</v>
      </c>
      <c r="G568" s="435" t="s">
        <v>328</v>
      </c>
      <c r="H568" s="436"/>
      <c r="I568" s="436"/>
      <c r="J568" s="436">
        <v>23</v>
      </c>
      <c r="K568" s="436">
        <v>40</v>
      </c>
      <c r="L568" s="437">
        <v>18</v>
      </c>
      <c r="M568" s="437">
        <v>40</v>
      </c>
      <c r="N568" s="437">
        <v>18</v>
      </c>
      <c r="O568" s="437">
        <v>18</v>
      </c>
      <c r="P568" s="437">
        <v>18</v>
      </c>
      <c r="Q568" s="437">
        <v>18</v>
      </c>
      <c r="R568" s="436"/>
      <c r="S568" s="436"/>
      <c r="T568" s="436"/>
      <c r="U568" s="436"/>
      <c r="V568" s="436"/>
      <c r="W568" s="436">
        <f>IF(NFI_Expiration=1,IF($A568&lt;VLOOKUP(H$5,NFI,5,0),1,0)*Table_NFI[[#This Row],[Hygiene Kit]],Table_NFI[Hygiene Kit])</f>
        <v>0</v>
      </c>
      <c r="X568" s="436">
        <f>IF(NFI_Expiration=1,IF($A568&lt;VLOOKUP(I$5,NFI,5,0),1,0)*Table_NFI[[#This Row],[NFI Core Kit]],Table_NFI[NFI Core Kit])</f>
        <v>0</v>
      </c>
      <c r="Y568" s="436">
        <f>IF(NFI_Expiration=1,IF($A568&lt;VLOOKUP(J$5,NFI,5,0),1,0)*Table_NFI[[#This Row],[Sanitary Kit]],Table_NFI[Sanitary Kit])</f>
        <v>0</v>
      </c>
      <c r="Z568" s="436">
        <f>IF(NFI_Expiration=1,IF($A568&lt;VLOOKUP(K$5,NFI,5,0),1,0)*Table_NFI[[#This Row],[Mosquito net]],Table_NFI[Mosquito net])</f>
        <v>0</v>
      </c>
      <c r="AA568" s="436">
        <f>IF(NFI_Expiration=1,IF($A568&lt;VLOOKUP(L$5,NFI,5,0),1,0)*Table_NFI[[#This Row],[Tarpaulin]],Table_NFI[[#This Row],[Tarpaulin]])</f>
        <v>0</v>
      </c>
      <c r="AB568" s="436">
        <f>IF(NFI_Expiration=1,IF($A568&lt;VLOOKUP(M$5,NFI,5,0),1,0)*Table_NFI[[#This Row],[Blanket]],Table_NFI[[#This Row],[Blanket]])</f>
        <v>0</v>
      </c>
      <c r="AC568" s="436">
        <f>IF(NFI_Expiration=1,IF($A568&lt;VLOOKUP(N$5,NFI,5,0),1,0)*Table_NFI[[#This Row],[Kitchen Set]],Table_NFI[Kitchen Set])</f>
        <v>0</v>
      </c>
      <c r="AD568" s="436">
        <f>IF(NFI_Expiration=1,IF($A568&lt;VLOOKUP(O$5,NFI,5,0),1,0)*Table_NFI[[#This Row],[Clothes Kit]],Table_NFI[Clothes Kit])</f>
        <v>0</v>
      </c>
      <c r="AE568" s="436">
        <f>IF(NFI_Expiration=1,IF($A568&lt;VLOOKUP(P$5,NFI,5,0),1,0)*Table_NFI[[#This Row],[Plastic Bucket]],Table_NFI[Plastic Bucket])</f>
        <v>0</v>
      </c>
      <c r="AF568" s="436">
        <f>IF(NFI_Expiration=1,IF($A568&lt;VLOOKUP(Q$5,NFI,5,0),1,0)*Table_NFI[[#This Row],[Plastic Mat]],Table_NFI[Plastic Mat])*IF(Table_NFI[[#This Row],[Distribution Date]]&gt;"2014-04-01",1,2.5)</f>
        <v>0</v>
      </c>
      <c r="AG568" s="436">
        <f>IF(NFI_Expiration=1,IF($A568&lt;VLOOKUP(R$5,NFI,5,0),1,0)*Table_NFI[[#This Row],[Winter Clothes Adult]],Table_NFI[Winter Clothes Adult])</f>
        <v>0</v>
      </c>
      <c r="AH568" s="436">
        <f>IF(NFI_Expiration=1,IF($A568&lt;VLOOKUP(S$5,NFI,5,0),1,0)*Table_NFI[[#This Row],[Winter Clothes Children]],Table_NFI[Winter Clothes Children])</f>
        <v>0</v>
      </c>
      <c r="AI568" s="436">
        <f>IF(NFI_Expiration=1,IF($A568&lt;VLOOKUP(T$5,NFI,5,0),1,0)*Table_NFI[[#This Row],[Winter Items Other]],Table_NFI[Winter Items Other])</f>
        <v>0</v>
      </c>
      <c r="AJ568" s="436">
        <f>IF(NFI_Expiration=1,IF($A568&lt;VLOOKUP(M$5,NFI,5,0),1,0)*Table_NFI[[#This Row],[Winter Blanket]],Table_NFI[[#This Row],[Winter Blanket]])</f>
        <v>0</v>
      </c>
      <c r="AK568" s="436">
        <f>IF(Table_NFI[[#This Row],[Winter Clothes Adult]]+Table_NFI[[#This Row],[Winter Clothes Children]]+Table_NFI[[#This Row],[Winter Items Other]]+Table_NFI[[#This Row],[Winter Blanket]]&gt;0,1,0)</f>
        <v>0</v>
      </c>
      <c r="AL568" s="439">
        <f>IF(NFI_Expiration=1,IF($A568&lt;VLOOKUP(V$5,NFI,5,0),1,0)*Table_NFI[[#This Row],[Jerry Can]],Table_NFI[Jerry Can])</f>
        <v>0</v>
      </c>
      <c r="AM568" s="781" t="str">
        <f>IFERROR(VLOOKUP(Table_NFI[[#This Row],[Camp Name]],CL,2,0),"")</f>
        <v>MMR001CMP031</v>
      </c>
      <c r="AN568" s="782">
        <f ca="1">IF(Table_NFI[[#This Row],[Pcode]]="","",IF(OFFSET(CampList[Opening Date],MATCH(Table_NFI[[#This Row],[Pcode]],CampList[CP_Pcode],0)-1,0,1,1)&gt;=NFI_Monitor_Date,1,0))</f>
        <v>0</v>
      </c>
      <c r="AO568" s="781" t="str">
        <f>IFERROR(VLOOKUP(Table_NFI[[#This Row],[Camp Name]],CL,3,0),"")</f>
        <v>Open</v>
      </c>
      <c r="AP568" s="436" t="str">
        <f ca="1">IF(Table_NFI[[#This Row],[Pcode]]="","",OFFSET(CampList[Priority],MATCH(Table_NFI[[#This Row],[Pcode]],CampList[CP_Pcode],0)-1,0,1,1))</f>
        <v>P4</v>
      </c>
      <c r="AQ568" s="438">
        <f>IFERROR(Table_NFI[[#This Row],[Kitchen Set]]/VLOOKUP(Table_NFI[[#This Row],[Camp Name]],CL,4,0),"")</f>
        <v>0.13333333333333333</v>
      </c>
      <c r="AR568" s="779" t="s">
        <v>1099</v>
      </c>
      <c r="AS568" s="783"/>
    </row>
    <row r="569" spans="1:45" x14ac:dyDescent="0.25">
      <c r="A569" s="455">
        <f t="shared" si="8"/>
        <v>32.56666666666667</v>
      </c>
      <c r="B569" s="778">
        <v>41332</v>
      </c>
      <c r="C569" s="779" t="s">
        <v>912</v>
      </c>
      <c r="D569" s="780" t="s">
        <v>912</v>
      </c>
      <c r="E569" s="779" t="s">
        <v>380</v>
      </c>
      <c r="F569" s="435" t="s">
        <v>151</v>
      </c>
      <c r="G569" s="435" t="s">
        <v>160</v>
      </c>
      <c r="H569" s="436">
        <v>595</v>
      </c>
      <c r="I569" s="436"/>
      <c r="J569" s="436">
        <v>740</v>
      </c>
      <c r="K569" s="436"/>
      <c r="L569" s="437"/>
      <c r="M569" s="437"/>
      <c r="N569" s="437"/>
      <c r="O569" s="437"/>
      <c r="P569" s="437">
        <v>0</v>
      </c>
      <c r="Q569" s="437">
        <v>0</v>
      </c>
      <c r="R569" s="436"/>
      <c r="S569" s="436"/>
      <c r="T569" s="436"/>
      <c r="U569" s="436"/>
      <c r="V569" s="436"/>
      <c r="W569" s="436">
        <f>IF(NFI_Expiration=1,IF($A569&lt;VLOOKUP(H$5,NFI,5,0),1,0)*Table_NFI[[#This Row],[Hygiene Kit]],Table_NFI[Hygiene Kit])</f>
        <v>0</v>
      </c>
      <c r="X569" s="436">
        <f>IF(NFI_Expiration=1,IF($A569&lt;VLOOKUP(I$5,NFI,5,0),1,0)*Table_NFI[[#This Row],[NFI Core Kit]],Table_NFI[NFI Core Kit])</f>
        <v>0</v>
      </c>
      <c r="Y569" s="436">
        <f>IF(NFI_Expiration=1,IF($A569&lt;VLOOKUP(J$5,NFI,5,0),1,0)*Table_NFI[[#This Row],[Sanitary Kit]],Table_NFI[Sanitary Kit])</f>
        <v>0</v>
      </c>
      <c r="Z569" s="436">
        <f>IF(NFI_Expiration=1,IF($A569&lt;VLOOKUP(K$5,NFI,5,0),1,0)*Table_NFI[[#This Row],[Mosquito net]],Table_NFI[Mosquito net])</f>
        <v>0</v>
      </c>
      <c r="AA569" s="436">
        <f>IF(NFI_Expiration=1,IF($A569&lt;VLOOKUP(L$5,NFI,5,0),1,0)*Table_NFI[[#This Row],[Tarpaulin]],Table_NFI[[#This Row],[Tarpaulin]])</f>
        <v>0</v>
      </c>
      <c r="AB569" s="436">
        <f>IF(NFI_Expiration=1,IF($A569&lt;VLOOKUP(M$5,NFI,5,0),1,0)*Table_NFI[[#This Row],[Blanket]],Table_NFI[[#This Row],[Blanket]])</f>
        <v>0</v>
      </c>
      <c r="AC569" s="436">
        <f>IF(NFI_Expiration=1,IF($A569&lt;VLOOKUP(N$5,NFI,5,0),1,0)*Table_NFI[[#This Row],[Kitchen Set]],Table_NFI[Kitchen Set])</f>
        <v>0</v>
      </c>
      <c r="AD569" s="436">
        <f>IF(NFI_Expiration=1,IF($A569&lt;VLOOKUP(O$5,NFI,5,0),1,0)*Table_NFI[[#This Row],[Clothes Kit]],Table_NFI[Clothes Kit])</f>
        <v>0</v>
      </c>
      <c r="AE569" s="436">
        <f>IF(NFI_Expiration=1,IF($A569&lt;VLOOKUP(P$5,NFI,5,0),1,0)*Table_NFI[[#This Row],[Plastic Bucket]],Table_NFI[Plastic Bucket])</f>
        <v>0</v>
      </c>
      <c r="AF569" s="436">
        <f>IF(NFI_Expiration=1,IF($A569&lt;VLOOKUP(Q$5,NFI,5,0),1,0)*Table_NFI[[#This Row],[Plastic Mat]],Table_NFI[Plastic Mat])*IF(Table_NFI[[#This Row],[Distribution Date]]&gt;"2014-04-01",1,2.5)</f>
        <v>0</v>
      </c>
      <c r="AG569" s="436">
        <f>IF(NFI_Expiration=1,IF($A569&lt;VLOOKUP(R$5,NFI,5,0),1,0)*Table_NFI[[#This Row],[Winter Clothes Adult]],Table_NFI[Winter Clothes Adult])</f>
        <v>0</v>
      </c>
      <c r="AH569" s="436">
        <f>IF(NFI_Expiration=1,IF($A569&lt;VLOOKUP(S$5,NFI,5,0),1,0)*Table_NFI[[#This Row],[Winter Clothes Children]],Table_NFI[Winter Clothes Children])</f>
        <v>0</v>
      </c>
      <c r="AI569" s="436">
        <f>IF(NFI_Expiration=1,IF($A569&lt;VLOOKUP(T$5,NFI,5,0),1,0)*Table_NFI[[#This Row],[Winter Items Other]],Table_NFI[Winter Items Other])</f>
        <v>0</v>
      </c>
      <c r="AJ569" s="436">
        <f>IF(NFI_Expiration=1,IF($A569&lt;VLOOKUP(M$5,NFI,5,0),1,0)*Table_NFI[[#This Row],[Winter Blanket]],Table_NFI[[#This Row],[Winter Blanket]])</f>
        <v>0</v>
      </c>
      <c r="AK569" s="436">
        <f>IF(Table_NFI[[#This Row],[Winter Clothes Adult]]+Table_NFI[[#This Row],[Winter Clothes Children]]+Table_NFI[[#This Row],[Winter Items Other]]+Table_NFI[[#This Row],[Winter Blanket]]&gt;0,1,0)</f>
        <v>0</v>
      </c>
      <c r="AL569" s="439">
        <f>IF(NFI_Expiration=1,IF($A569&lt;VLOOKUP(V$5,NFI,5,0),1,0)*Table_NFI[[#This Row],[Jerry Can]],Table_NFI[Jerry Can])</f>
        <v>0</v>
      </c>
      <c r="AM569" s="781" t="str">
        <f>IFERROR(VLOOKUP(Table_NFI[[#This Row],[Camp Name]],CL,2,0),"")</f>
        <v>MMR001CMP133</v>
      </c>
      <c r="AN569" s="782">
        <f ca="1">IF(Table_NFI[[#This Row],[Pcode]]="","",IF(OFFSET(CampList[Opening Date],MATCH(Table_NFI[[#This Row],[Pcode]],CampList[CP_Pcode],0)-1,0,1,1)&gt;=NFI_Monitor_Date,1,0))</f>
        <v>0</v>
      </c>
      <c r="AO569" s="781" t="str">
        <f>IFERROR(VLOOKUP(Table_NFI[[#This Row],[Camp Name]],CL,3,0),"")</f>
        <v>Open</v>
      </c>
      <c r="AP569" s="436" t="str">
        <f ca="1">IF(Table_NFI[[#This Row],[Pcode]]="","",OFFSET(CampList[Priority],MATCH(Table_NFI[[#This Row],[Pcode]],CampList[CP_Pcode],0)-1,0,1,1))</f>
        <v>P4</v>
      </c>
      <c r="AQ569" s="438">
        <f>IFERROR(Table_NFI[[#This Row],[Kitchen Set]]/VLOOKUP(Table_NFI[[#This Row],[Camp Name]],CL,4,0),"")</f>
        <v>0</v>
      </c>
      <c r="AR569" s="779" t="s">
        <v>1099</v>
      </c>
      <c r="AS569" s="783"/>
    </row>
    <row r="570" spans="1:45" x14ac:dyDescent="0.25">
      <c r="A570" s="455">
        <f t="shared" si="8"/>
        <v>32.6</v>
      </c>
      <c r="B570" s="778">
        <v>41331</v>
      </c>
      <c r="C570" s="779" t="s">
        <v>907</v>
      </c>
      <c r="D570" s="780" t="s">
        <v>907</v>
      </c>
      <c r="E570" s="779" t="s">
        <v>380</v>
      </c>
      <c r="F570" s="779" t="s">
        <v>310</v>
      </c>
      <c r="G570" s="435" t="s">
        <v>313</v>
      </c>
      <c r="H570" s="436"/>
      <c r="I570" s="436"/>
      <c r="J570" s="436">
        <v>136</v>
      </c>
      <c r="K570" s="436"/>
      <c r="L570" s="437">
        <v>66</v>
      </c>
      <c r="M570" s="437"/>
      <c r="N570" s="437">
        <v>70</v>
      </c>
      <c r="O570" s="437"/>
      <c r="P570" s="437">
        <v>0</v>
      </c>
      <c r="Q570" s="437">
        <v>0</v>
      </c>
      <c r="R570" s="436"/>
      <c r="S570" s="436"/>
      <c r="T570" s="436"/>
      <c r="U570" s="436"/>
      <c r="V570" s="436"/>
      <c r="W570" s="436">
        <f>IF(NFI_Expiration=1,IF($A570&lt;VLOOKUP(H$5,NFI,5,0),1,0)*Table_NFI[[#This Row],[Hygiene Kit]],Table_NFI[Hygiene Kit])</f>
        <v>0</v>
      </c>
      <c r="X570" s="436">
        <f>IF(NFI_Expiration=1,IF($A570&lt;VLOOKUP(I$5,NFI,5,0),1,0)*Table_NFI[[#This Row],[NFI Core Kit]],Table_NFI[NFI Core Kit])</f>
        <v>0</v>
      </c>
      <c r="Y570" s="436">
        <f>IF(NFI_Expiration=1,IF($A570&lt;VLOOKUP(J$5,NFI,5,0),1,0)*Table_NFI[[#This Row],[Sanitary Kit]],Table_NFI[Sanitary Kit])</f>
        <v>0</v>
      </c>
      <c r="Z570" s="436">
        <f>IF(NFI_Expiration=1,IF($A570&lt;VLOOKUP(K$5,NFI,5,0),1,0)*Table_NFI[[#This Row],[Mosquito net]],Table_NFI[Mosquito net])</f>
        <v>0</v>
      </c>
      <c r="AA570" s="436">
        <f>IF(NFI_Expiration=1,IF($A570&lt;VLOOKUP(L$5,NFI,5,0),1,0)*Table_NFI[[#This Row],[Tarpaulin]],Table_NFI[[#This Row],[Tarpaulin]])</f>
        <v>0</v>
      </c>
      <c r="AB570" s="436">
        <f>IF(NFI_Expiration=1,IF($A570&lt;VLOOKUP(M$5,NFI,5,0),1,0)*Table_NFI[[#This Row],[Blanket]],Table_NFI[[#This Row],[Blanket]])</f>
        <v>0</v>
      </c>
      <c r="AC570" s="436">
        <f>IF(NFI_Expiration=1,IF($A570&lt;VLOOKUP(N$5,NFI,5,0),1,0)*Table_NFI[[#This Row],[Kitchen Set]],Table_NFI[Kitchen Set])</f>
        <v>0</v>
      </c>
      <c r="AD570" s="436">
        <f>IF(NFI_Expiration=1,IF($A570&lt;VLOOKUP(O$5,NFI,5,0),1,0)*Table_NFI[[#This Row],[Clothes Kit]],Table_NFI[Clothes Kit])</f>
        <v>0</v>
      </c>
      <c r="AE570" s="436">
        <f>IF(NFI_Expiration=1,IF($A570&lt;VLOOKUP(P$5,NFI,5,0),1,0)*Table_NFI[[#This Row],[Plastic Bucket]],Table_NFI[Plastic Bucket])</f>
        <v>0</v>
      </c>
      <c r="AF570" s="436">
        <f>IF(NFI_Expiration=1,IF($A570&lt;VLOOKUP(Q$5,NFI,5,0),1,0)*Table_NFI[[#This Row],[Plastic Mat]],Table_NFI[Plastic Mat])*IF(Table_NFI[[#This Row],[Distribution Date]]&gt;"2014-04-01",1,2.5)</f>
        <v>0</v>
      </c>
      <c r="AG570" s="436">
        <f>IF(NFI_Expiration=1,IF($A570&lt;VLOOKUP(R$5,NFI,5,0),1,0)*Table_NFI[[#This Row],[Winter Clothes Adult]],Table_NFI[Winter Clothes Adult])</f>
        <v>0</v>
      </c>
      <c r="AH570" s="436">
        <f>IF(NFI_Expiration=1,IF($A570&lt;VLOOKUP(S$5,NFI,5,0),1,0)*Table_NFI[[#This Row],[Winter Clothes Children]],Table_NFI[Winter Clothes Children])</f>
        <v>0</v>
      </c>
      <c r="AI570" s="436">
        <f>IF(NFI_Expiration=1,IF($A570&lt;VLOOKUP(T$5,NFI,5,0),1,0)*Table_NFI[[#This Row],[Winter Items Other]],Table_NFI[Winter Items Other])</f>
        <v>0</v>
      </c>
      <c r="AJ570" s="436">
        <f>IF(NFI_Expiration=1,IF($A570&lt;VLOOKUP(M$5,NFI,5,0),1,0)*Table_NFI[[#This Row],[Winter Blanket]],Table_NFI[[#This Row],[Winter Blanket]])</f>
        <v>0</v>
      </c>
      <c r="AK570" s="436">
        <f>IF(Table_NFI[[#This Row],[Winter Clothes Adult]]+Table_NFI[[#This Row],[Winter Clothes Children]]+Table_NFI[[#This Row],[Winter Items Other]]+Table_NFI[[#This Row],[Winter Blanket]]&gt;0,1,0)</f>
        <v>0</v>
      </c>
      <c r="AL570" s="439">
        <f>IF(NFI_Expiration=1,IF($A570&lt;VLOOKUP(V$5,NFI,5,0),1,0)*Table_NFI[[#This Row],[Jerry Can]],Table_NFI[Jerry Can])</f>
        <v>0</v>
      </c>
      <c r="AM570" s="781" t="str">
        <f>IFERROR(VLOOKUP(Table_NFI[[#This Row],[Camp Name]],CL,2,0),"")</f>
        <v>MMR001CMP028</v>
      </c>
      <c r="AN570" s="782">
        <f ca="1">IF(Table_NFI[[#This Row],[Pcode]]="","",IF(OFFSET(CampList[Opening Date],MATCH(Table_NFI[[#This Row],[Pcode]],CampList[CP_Pcode],0)-1,0,1,1)&gt;=NFI_Monitor_Date,1,0))</f>
        <v>0</v>
      </c>
      <c r="AO570" s="781" t="str">
        <f>IFERROR(VLOOKUP(Table_NFI[[#This Row],[Camp Name]],CL,3,0),"")</f>
        <v>Open</v>
      </c>
      <c r="AP570" s="436" t="str">
        <f ca="1">IF(Table_NFI[[#This Row],[Pcode]]="","",OFFSET(CampList[Priority],MATCH(Table_NFI[[#This Row],[Pcode]],CampList[CP_Pcode],0)-1,0,1,1))</f>
        <v>P4</v>
      </c>
      <c r="AQ570" s="438">
        <f>IFERROR(Table_NFI[[#This Row],[Kitchen Set]]/VLOOKUP(Table_NFI[[#This Row],[Camp Name]],CL,4,0),"")</f>
        <v>0.63636363636363635</v>
      </c>
      <c r="AR570" s="779" t="s">
        <v>1099</v>
      </c>
      <c r="AS570" s="783"/>
    </row>
    <row r="571" spans="1:45" x14ac:dyDescent="0.25">
      <c r="A571" s="455">
        <f t="shared" si="8"/>
        <v>32.6</v>
      </c>
      <c r="B571" s="778">
        <v>41331</v>
      </c>
      <c r="C571" s="779" t="s">
        <v>907</v>
      </c>
      <c r="D571" s="779" t="s">
        <v>907</v>
      </c>
      <c r="E571" s="779" t="s">
        <v>380</v>
      </c>
      <c r="F571" s="779" t="s">
        <v>237</v>
      </c>
      <c r="G571" s="435" t="s">
        <v>255</v>
      </c>
      <c r="H571" s="436"/>
      <c r="I571" s="436"/>
      <c r="J571" s="436">
        <v>99</v>
      </c>
      <c r="K571" s="436"/>
      <c r="L571" s="437">
        <v>99</v>
      </c>
      <c r="M571" s="437"/>
      <c r="N571" s="437"/>
      <c r="O571" s="437"/>
      <c r="P571" s="437">
        <v>0</v>
      </c>
      <c r="Q571" s="437">
        <v>0</v>
      </c>
      <c r="R571" s="436"/>
      <c r="S571" s="436"/>
      <c r="T571" s="436"/>
      <c r="U571" s="436"/>
      <c r="V571" s="436"/>
      <c r="W571" s="436">
        <f>IF(NFI_Expiration=1,IF($A571&lt;VLOOKUP(H$5,NFI,5,0),1,0)*Table_NFI[[#This Row],[Hygiene Kit]],Table_NFI[Hygiene Kit])</f>
        <v>0</v>
      </c>
      <c r="X571" s="436">
        <f>IF(NFI_Expiration=1,IF($A571&lt;VLOOKUP(I$5,NFI,5,0),1,0)*Table_NFI[[#This Row],[NFI Core Kit]],Table_NFI[NFI Core Kit])</f>
        <v>0</v>
      </c>
      <c r="Y571" s="436">
        <f>IF(NFI_Expiration=1,IF($A571&lt;VLOOKUP(J$5,NFI,5,0),1,0)*Table_NFI[[#This Row],[Sanitary Kit]],Table_NFI[Sanitary Kit])</f>
        <v>0</v>
      </c>
      <c r="Z571" s="436">
        <f>IF(NFI_Expiration=1,IF($A571&lt;VLOOKUP(K$5,NFI,5,0),1,0)*Table_NFI[[#This Row],[Mosquito net]],Table_NFI[Mosquito net])</f>
        <v>0</v>
      </c>
      <c r="AA571" s="436">
        <f>IF(NFI_Expiration=1,IF($A571&lt;VLOOKUP(L$5,NFI,5,0),1,0)*Table_NFI[[#This Row],[Tarpaulin]],Table_NFI[[#This Row],[Tarpaulin]])</f>
        <v>0</v>
      </c>
      <c r="AB571" s="436">
        <f>IF(NFI_Expiration=1,IF($A571&lt;VLOOKUP(M$5,NFI,5,0),1,0)*Table_NFI[[#This Row],[Blanket]],Table_NFI[[#This Row],[Blanket]])</f>
        <v>0</v>
      </c>
      <c r="AC571" s="436">
        <f>IF(NFI_Expiration=1,IF($A571&lt;VLOOKUP(N$5,NFI,5,0),1,0)*Table_NFI[[#This Row],[Kitchen Set]],Table_NFI[Kitchen Set])</f>
        <v>0</v>
      </c>
      <c r="AD571" s="436">
        <f>IF(NFI_Expiration=1,IF($A571&lt;VLOOKUP(O$5,NFI,5,0),1,0)*Table_NFI[[#This Row],[Clothes Kit]],Table_NFI[Clothes Kit])</f>
        <v>0</v>
      </c>
      <c r="AE571" s="436">
        <f>IF(NFI_Expiration=1,IF($A571&lt;VLOOKUP(P$5,NFI,5,0),1,0)*Table_NFI[[#This Row],[Plastic Bucket]],Table_NFI[Plastic Bucket])</f>
        <v>0</v>
      </c>
      <c r="AF571" s="436">
        <f>IF(NFI_Expiration=1,IF($A571&lt;VLOOKUP(Q$5,NFI,5,0),1,0)*Table_NFI[[#This Row],[Plastic Mat]],Table_NFI[Plastic Mat])*IF(Table_NFI[[#This Row],[Distribution Date]]&gt;"2014-04-01",1,2.5)</f>
        <v>0</v>
      </c>
      <c r="AG571" s="436">
        <f>IF(NFI_Expiration=1,IF($A571&lt;VLOOKUP(R$5,NFI,5,0),1,0)*Table_NFI[[#This Row],[Winter Clothes Adult]],Table_NFI[Winter Clothes Adult])</f>
        <v>0</v>
      </c>
      <c r="AH571" s="436">
        <f>IF(NFI_Expiration=1,IF($A571&lt;VLOOKUP(S$5,NFI,5,0),1,0)*Table_NFI[[#This Row],[Winter Clothes Children]],Table_NFI[Winter Clothes Children])</f>
        <v>0</v>
      </c>
      <c r="AI571" s="436">
        <f>IF(NFI_Expiration=1,IF($A571&lt;VLOOKUP(T$5,NFI,5,0),1,0)*Table_NFI[[#This Row],[Winter Items Other]],Table_NFI[Winter Items Other])</f>
        <v>0</v>
      </c>
      <c r="AJ571" s="436">
        <f>IF(NFI_Expiration=1,IF($A571&lt;VLOOKUP(M$5,NFI,5,0),1,0)*Table_NFI[[#This Row],[Winter Blanket]],Table_NFI[[#This Row],[Winter Blanket]])</f>
        <v>0</v>
      </c>
      <c r="AK571" s="436">
        <f>IF(Table_NFI[[#This Row],[Winter Clothes Adult]]+Table_NFI[[#This Row],[Winter Clothes Children]]+Table_NFI[[#This Row],[Winter Items Other]]+Table_NFI[[#This Row],[Winter Blanket]]&gt;0,1,0)</f>
        <v>0</v>
      </c>
      <c r="AL571" s="439">
        <f>IF(NFI_Expiration=1,IF($A571&lt;VLOOKUP(V$5,NFI,5,0),1,0)*Table_NFI[[#This Row],[Jerry Can]],Table_NFI[Jerry Can])</f>
        <v>0</v>
      </c>
      <c r="AM571" s="781" t="str">
        <f>IFERROR(VLOOKUP(Table_NFI[[#This Row],[Camp Name]],CL,2,0),"")</f>
        <v>MMR001CMP019</v>
      </c>
      <c r="AN571" s="782">
        <f ca="1">IF(Table_NFI[[#This Row],[Pcode]]="","",IF(OFFSET(CampList[Opening Date],MATCH(Table_NFI[[#This Row],[Pcode]],CampList[CP_Pcode],0)-1,0,1,1)&gt;=NFI_Monitor_Date,1,0))</f>
        <v>0</v>
      </c>
      <c r="AO571" s="781" t="str">
        <f>IFERROR(VLOOKUP(Table_NFI[[#This Row],[Camp Name]],CL,3,0),"")</f>
        <v>Open</v>
      </c>
      <c r="AP571" s="436" t="str">
        <f ca="1">IF(Table_NFI[[#This Row],[Pcode]]="","",OFFSET(CampList[Priority],MATCH(Table_NFI[[#This Row],[Pcode]],CampList[CP_Pcode],0)-1,0,1,1))</f>
        <v>P4</v>
      </c>
      <c r="AQ571" s="438">
        <f>IFERROR(Table_NFI[[#This Row],[Kitchen Set]]/VLOOKUP(Table_NFI[[#This Row],[Camp Name]],CL,4,0),"")</f>
        <v>0</v>
      </c>
      <c r="AR571" s="779" t="s">
        <v>1099</v>
      </c>
      <c r="AS571" s="783"/>
    </row>
    <row r="572" spans="1:45" x14ac:dyDescent="0.25">
      <c r="A572" s="455">
        <f t="shared" si="8"/>
        <v>32.633333333333333</v>
      </c>
      <c r="B572" s="778">
        <v>41330</v>
      </c>
      <c r="C572" s="779" t="s">
        <v>454</v>
      </c>
      <c r="D572" s="780" t="s">
        <v>911</v>
      </c>
      <c r="E572" s="779" t="s">
        <v>380</v>
      </c>
      <c r="F572" s="435" t="s">
        <v>27</v>
      </c>
      <c r="G572" s="435" t="s">
        <v>28</v>
      </c>
      <c r="H572" s="436"/>
      <c r="I572" s="436"/>
      <c r="J572" s="436">
        <v>11</v>
      </c>
      <c r="K572" s="436">
        <v>17</v>
      </c>
      <c r="L572" s="437">
        <v>7</v>
      </c>
      <c r="M572" s="437">
        <v>17</v>
      </c>
      <c r="N572" s="437">
        <v>7</v>
      </c>
      <c r="O572" s="437">
        <v>7</v>
      </c>
      <c r="P572" s="437">
        <v>7</v>
      </c>
      <c r="Q572" s="437">
        <v>7</v>
      </c>
      <c r="R572" s="436"/>
      <c r="S572" s="436"/>
      <c r="T572" s="436"/>
      <c r="U572" s="436"/>
      <c r="V572" s="436"/>
      <c r="W572" s="436">
        <f>IF(NFI_Expiration=1,IF($A572&lt;VLOOKUP(H$5,NFI,5,0),1,0)*Table_NFI[[#This Row],[Hygiene Kit]],Table_NFI[Hygiene Kit])</f>
        <v>0</v>
      </c>
      <c r="X572" s="436">
        <f>IF(NFI_Expiration=1,IF($A572&lt;VLOOKUP(I$5,NFI,5,0),1,0)*Table_NFI[[#This Row],[NFI Core Kit]],Table_NFI[NFI Core Kit])</f>
        <v>0</v>
      </c>
      <c r="Y572" s="436">
        <f>IF(NFI_Expiration=1,IF($A572&lt;VLOOKUP(J$5,NFI,5,0),1,0)*Table_NFI[[#This Row],[Sanitary Kit]],Table_NFI[Sanitary Kit])</f>
        <v>0</v>
      </c>
      <c r="Z572" s="436">
        <f>IF(NFI_Expiration=1,IF($A572&lt;VLOOKUP(K$5,NFI,5,0),1,0)*Table_NFI[[#This Row],[Mosquito net]],Table_NFI[Mosquito net])</f>
        <v>0</v>
      </c>
      <c r="AA572" s="436">
        <f>IF(NFI_Expiration=1,IF($A572&lt;VLOOKUP(L$5,NFI,5,0),1,0)*Table_NFI[[#This Row],[Tarpaulin]],Table_NFI[[#This Row],[Tarpaulin]])</f>
        <v>0</v>
      </c>
      <c r="AB572" s="436">
        <f>IF(NFI_Expiration=1,IF($A572&lt;VLOOKUP(M$5,NFI,5,0),1,0)*Table_NFI[[#This Row],[Blanket]],Table_NFI[[#This Row],[Blanket]])</f>
        <v>0</v>
      </c>
      <c r="AC572" s="436">
        <f>IF(NFI_Expiration=1,IF($A572&lt;VLOOKUP(N$5,NFI,5,0),1,0)*Table_NFI[[#This Row],[Kitchen Set]],Table_NFI[Kitchen Set])</f>
        <v>0</v>
      </c>
      <c r="AD572" s="436">
        <f>IF(NFI_Expiration=1,IF($A572&lt;VLOOKUP(O$5,NFI,5,0),1,0)*Table_NFI[[#This Row],[Clothes Kit]],Table_NFI[Clothes Kit])</f>
        <v>0</v>
      </c>
      <c r="AE572" s="436">
        <f>IF(NFI_Expiration=1,IF($A572&lt;VLOOKUP(P$5,NFI,5,0),1,0)*Table_NFI[[#This Row],[Plastic Bucket]],Table_NFI[Plastic Bucket])</f>
        <v>0</v>
      </c>
      <c r="AF572" s="436">
        <f>IF(NFI_Expiration=1,IF($A572&lt;VLOOKUP(Q$5,NFI,5,0),1,0)*Table_NFI[[#This Row],[Plastic Mat]],Table_NFI[Plastic Mat])*IF(Table_NFI[[#This Row],[Distribution Date]]&gt;"2014-04-01",1,2.5)</f>
        <v>0</v>
      </c>
      <c r="AG572" s="436">
        <f>IF(NFI_Expiration=1,IF($A572&lt;VLOOKUP(R$5,NFI,5,0),1,0)*Table_NFI[[#This Row],[Winter Clothes Adult]],Table_NFI[Winter Clothes Adult])</f>
        <v>0</v>
      </c>
      <c r="AH572" s="436">
        <f>IF(NFI_Expiration=1,IF($A572&lt;VLOOKUP(S$5,NFI,5,0),1,0)*Table_NFI[[#This Row],[Winter Clothes Children]],Table_NFI[Winter Clothes Children])</f>
        <v>0</v>
      </c>
      <c r="AI572" s="436">
        <f>IF(NFI_Expiration=1,IF($A572&lt;VLOOKUP(T$5,NFI,5,0),1,0)*Table_NFI[[#This Row],[Winter Items Other]],Table_NFI[Winter Items Other])</f>
        <v>0</v>
      </c>
      <c r="AJ572" s="436">
        <f>IF(NFI_Expiration=1,IF($A572&lt;VLOOKUP(M$5,NFI,5,0),1,0)*Table_NFI[[#This Row],[Winter Blanket]],Table_NFI[[#This Row],[Winter Blanket]])</f>
        <v>0</v>
      </c>
      <c r="AK572" s="436">
        <f>IF(Table_NFI[[#This Row],[Winter Clothes Adult]]+Table_NFI[[#This Row],[Winter Clothes Children]]+Table_NFI[[#This Row],[Winter Items Other]]+Table_NFI[[#This Row],[Winter Blanket]]&gt;0,1,0)</f>
        <v>0</v>
      </c>
      <c r="AL572" s="439">
        <f>IF(NFI_Expiration=1,IF($A572&lt;VLOOKUP(V$5,NFI,5,0),1,0)*Table_NFI[[#This Row],[Jerry Can]],Table_NFI[Jerry Can])</f>
        <v>0</v>
      </c>
      <c r="AM572" s="781" t="str">
        <f>IFERROR(VLOOKUP(Table_NFI[[#This Row],[Camp Name]],CL,2,0),"")</f>
        <v>MMR001CMP042</v>
      </c>
      <c r="AN572" s="782">
        <f ca="1">IF(Table_NFI[[#This Row],[Pcode]]="","",IF(OFFSET(CampList[Opening Date],MATCH(Table_NFI[[#This Row],[Pcode]],CampList[CP_Pcode],0)-1,0,1,1)&gt;=NFI_Monitor_Date,1,0))</f>
        <v>0</v>
      </c>
      <c r="AO572" s="781" t="str">
        <f>IFERROR(VLOOKUP(Table_NFI[[#This Row],[Camp Name]],CL,3,0),"")</f>
        <v>Open</v>
      </c>
      <c r="AP572" s="436" t="str">
        <f ca="1">IF(Table_NFI[[#This Row],[Pcode]]="","",OFFSET(CampList[Priority],MATCH(Table_NFI[[#This Row],[Pcode]],CampList[CP_Pcode],0)-1,0,1,1))</f>
        <v>P1</v>
      </c>
      <c r="AQ572" s="438">
        <f>IFERROR(Table_NFI[[#This Row],[Kitchen Set]]/VLOOKUP(Table_NFI[[#This Row],[Camp Name]],CL,4,0),"")</f>
        <v>5.9322033898305086E-2</v>
      </c>
      <c r="AR572" s="779" t="s">
        <v>1099</v>
      </c>
      <c r="AS572" s="783"/>
    </row>
    <row r="573" spans="1:45" x14ac:dyDescent="0.25">
      <c r="A573" s="455">
        <f t="shared" si="8"/>
        <v>32.633333333333333</v>
      </c>
      <c r="B573" s="778">
        <v>41330</v>
      </c>
      <c r="C573" s="779" t="s">
        <v>454</v>
      </c>
      <c r="D573" s="780" t="s">
        <v>911</v>
      </c>
      <c r="E573" s="779" t="s">
        <v>380</v>
      </c>
      <c r="F573" s="435" t="s">
        <v>27</v>
      </c>
      <c r="G573" s="435" t="s">
        <v>32</v>
      </c>
      <c r="H573" s="436"/>
      <c r="I573" s="436"/>
      <c r="J573" s="436">
        <v>11</v>
      </c>
      <c r="K573" s="436">
        <v>17</v>
      </c>
      <c r="L573" s="437">
        <v>7</v>
      </c>
      <c r="M573" s="437">
        <v>17</v>
      </c>
      <c r="N573" s="437">
        <v>7</v>
      </c>
      <c r="O573" s="437">
        <v>7</v>
      </c>
      <c r="P573" s="437">
        <v>7</v>
      </c>
      <c r="Q573" s="437">
        <v>7</v>
      </c>
      <c r="R573" s="436"/>
      <c r="S573" s="436"/>
      <c r="T573" s="436"/>
      <c r="U573" s="436"/>
      <c r="V573" s="436"/>
      <c r="W573" s="436">
        <f>IF(NFI_Expiration=1,IF($A573&lt;VLOOKUP(H$5,NFI,5,0),1,0)*Table_NFI[[#This Row],[Hygiene Kit]],Table_NFI[Hygiene Kit])</f>
        <v>0</v>
      </c>
      <c r="X573" s="436">
        <f>IF(NFI_Expiration=1,IF($A573&lt;VLOOKUP(I$5,NFI,5,0),1,0)*Table_NFI[[#This Row],[NFI Core Kit]],Table_NFI[NFI Core Kit])</f>
        <v>0</v>
      </c>
      <c r="Y573" s="436">
        <f>IF(NFI_Expiration=1,IF($A573&lt;VLOOKUP(J$5,NFI,5,0),1,0)*Table_NFI[[#This Row],[Sanitary Kit]],Table_NFI[Sanitary Kit])</f>
        <v>0</v>
      </c>
      <c r="Z573" s="436">
        <f>IF(NFI_Expiration=1,IF($A573&lt;VLOOKUP(K$5,NFI,5,0),1,0)*Table_NFI[[#This Row],[Mosquito net]],Table_NFI[Mosquito net])</f>
        <v>0</v>
      </c>
      <c r="AA573" s="436">
        <f>IF(NFI_Expiration=1,IF($A573&lt;VLOOKUP(L$5,NFI,5,0),1,0)*Table_NFI[[#This Row],[Tarpaulin]],Table_NFI[[#This Row],[Tarpaulin]])</f>
        <v>0</v>
      </c>
      <c r="AB573" s="436">
        <f>IF(NFI_Expiration=1,IF($A573&lt;VLOOKUP(M$5,NFI,5,0),1,0)*Table_NFI[[#This Row],[Blanket]],Table_NFI[[#This Row],[Blanket]])</f>
        <v>0</v>
      </c>
      <c r="AC573" s="436">
        <f>IF(NFI_Expiration=1,IF($A573&lt;VLOOKUP(N$5,NFI,5,0),1,0)*Table_NFI[[#This Row],[Kitchen Set]],Table_NFI[Kitchen Set])</f>
        <v>0</v>
      </c>
      <c r="AD573" s="436">
        <f>IF(NFI_Expiration=1,IF($A573&lt;VLOOKUP(O$5,NFI,5,0),1,0)*Table_NFI[[#This Row],[Clothes Kit]],Table_NFI[Clothes Kit])</f>
        <v>0</v>
      </c>
      <c r="AE573" s="436">
        <f>IF(NFI_Expiration=1,IF($A573&lt;VLOOKUP(P$5,NFI,5,0),1,0)*Table_NFI[[#This Row],[Plastic Bucket]],Table_NFI[Plastic Bucket])</f>
        <v>0</v>
      </c>
      <c r="AF573" s="436">
        <f>IF(NFI_Expiration=1,IF($A573&lt;VLOOKUP(Q$5,NFI,5,0),1,0)*Table_NFI[[#This Row],[Plastic Mat]],Table_NFI[Plastic Mat])*IF(Table_NFI[[#This Row],[Distribution Date]]&gt;"2014-04-01",1,2.5)</f>
        <v>0</v>
      </c>
      <c r="AG573" s="436">
        <f>IF(NFI_Expiration=1,IF($A573&lt;VLOOKUP(R$5,NFI,5,0),1,0)*Table_NFI[[#This Row],[Winter Clothes Adult]],Table_NFI[Winter Clothes Adult])</f>
        <v>0</v>
      </c>
      <c r="AH573" s="436">
        <f>IF(NFI_Expiration=1,IF($A573&lt;VLOOKUP(S$5,NFI,5,0),1,0)*Table_NFI[[#This Row],[Winter Clothes Children]],Table_NFI[Winter Clothes Children])</f>
        <v>0</v>
      </c>
      <c r="AI573" s="436">
        <f>IF(NFI_Expiration=1,IF($A573&lt;VLOOKUP(T$5,NFI,5,0),1,0)*Table_NFI[[#This Row],[Winter Items Other]],Table_NFI[Winter Items Other])</f>
        <v>0</v>
      </c>
      <c r="AJ573" s="436">
        <f>IF(NFI_Expiration=1,IF($A573&lt;VLOOKUP(M$5,NFI,5,0),1,0)*Table_NFI[[#This Row],[Winter Blanket]],Table_NFI[[#This Row],[Winter Blanket]])</f>
        <v>0</v>
      </c>
      <c r="AK573" s="436">
        <f>IF(Table_NFI[[#This Row],[Winter Clothes Adult]]+Table_NFI[[#This Row],[Winter Clothes Children]]+Table_NFI[[#This Row],[Winter Items Other]]+Table_NFI[[#This Row],[Winter Blanket]]&gt;0,1,0)</f>
        <v>0</v>
      </c>
      <c r="AL573" s="439">
        <f>IF(NFI_Expiration=1,IF($A573&lt;VLOOKUP(V$5,NFI,5,0),1,0)*Table_NFI[[#This Row],[Jerry Can]],Table_NFI[Jerry Can])</f>
        <v>0</v>
      </c>
      <c r="AM573" s="781" t="str">
        <f>IFERROR(VLOOKUP(Table_NFI[[#This Row],[Camp Name]],CL,2,0),"")</f>
        <v>MMR001CMP046</v>
      </c>
      <c r="AN573" s="782">
        <f ca="1">IF(Table_NFI[[#This Row],[Pcode]]="","",IF(OFFSET(CampList[Opening Date],MATCH(Table_NFI[[#This Row],[Pcode]],CampList[CP_Pcode],0)-1,0,1,1)&gt;=NFI_Monitor_Date,1,0))</f>
        <v>0</v>
      </c>
      <c r="AO573" s="781" t="str">
        <f>IFERROR(VLOOKUP(Table_NFI[[#This Row],[Camp Name]],CL,3,0),"")</f>
        <v>Closed</v>
      </c>
      <c r="AP573" s="436" t="str">
        <f ca="1">IF(Table_NFI[[#This Row],[Pcode]]="","",OFFSET(CampList[Priority],MATCH(Table_NFI[[#This Row],[Pcode]],CampList[CP_Pcode],0)-1,0,1,1))</f>
        <v>P1</v>
      </c>
      <c r="AQ573" s="438" t="str">
        <f>IFERROR(Table_NFI[[#This Row],[Kitchen Set]]/VLOOKUP(Table_NFI[[#This Row],[Camp Name]],CL,4,0),"")</f>
        <v/>
      </c>
      <c r="AR573" s="779" t="s">
        <v>1099</v>
      </c>
      <c r="AS573" s="783"/>
    </row>
    <row r="574" spans="1:45" x14ac:dyDescent="0.25">
      <c r="A574" s="455">
        <f t="shared" si="8"/>
        <v>32.633333333333333</v>
      </c>
      <c r="B574" s="778">
        <v>41330</v>
      </c>
      <c r="C574" s="779" t="s">
        <v>907</v>
      </c>
      <c r="D574" s="780" t="s">
        <v>907</v>
      </c>
      <c r="E574" s="779" t="s">
        <v>380</v>
      </c>
      <c r="F574" s="779" t="s">
        <v>310</v>
      </c>
      <c r="G574" s="435" t="s">
        <v>313</v>
      </c>
      <c r="H574" s="436"/>
      <c r="I574" s="436"/>
      <c r="J574" s="436"/>
      <c r="K574" s="436"/>
      <c r="L574" s="437">
        <v>1</v>
      </c>
      <c r="M574" s="437"/>
      <c r="N574" s="437"/>
      <c r="O574" s="437"/>
      <c r="P574" s="437">
        <v>0</v>
      </c>
      <c r="Q574" s="437">
        <v>0</v>
      </c>
      <c r="R574" s="436"/>
      <c r="S574" s="436"/>
      <c r="T574" s="436"/>
      <c r="U574" s="436"/>
      <c r="V574" s="436"/>
      <c r="W574" s="436">
        <f>IF(NFI_Expiration=1,IF($A574&lt;VLOOKUP(H$5,NFI,5,0),1,0)*Table_NFI[[#This Row],[Hygiene Kit]],Table_NFI[Hygiene Kit])</f>
        <v>0</v>
      </c>
      <c r="X574" s="436">
        <f>IF(NFI_Expiration=1,IF($A574&lt;VLOOKUP(I$5,NFI,5,0),1,0)*Table_NFI[[#This Row],[NFI Core Kit]],Table_NFI[NFI Core Kit])</f>
        <v>0</v>
      </c>
      <c r="Y574" s="436">
        <f>IF(NFI_Expiration=1,IF($A574&lt;VLOOKUP(J$5,NFI,5,0),1,0)*Table_NFI[[#This Row],[Sanitary Kit]],Table_NFI[Sanitary Kit])</f>
        <v>0</v>
      </c>
      <c r="Z574" s="436">
        <f>IF(NFI_Expiration=1,IF($A574&lt;VLOOKUP(K$5,NFI,5,0),1,0)*Table_NFI[[#This Row],[Mosquito net]],Table_NFI[Mosquito net])</f>
        <v>0</v>
      </c>
      <c r="AA574" s="436">
        <f>IF(NFI_Expiration=1,IF($A574&lt;VLOOKUP(L$5,NFI,5,0),1,0)*Table_NFI[[#This Row],[Tarpaulin]],Table_NFI[[#This Row],[Tarpaulin]])</f>
        <v>0</v>
      </c>
      <c r="AB574" s="436">
        <f>IF(NFI_Expiration=1,IF($A574&lt;VLOOKUP(M$5,NFI,5,0),1,0)*Table_NFI[[#This Row],[Blanket]],Table_NFI[[#This Row],[Blanket]])</f>
        <v>0</v>
      </c>
      <c r="AC574" s="436">
        <f>IF(NFI_Expiration=1,IF($A574&lt;VLOOKUP(N$5,NFI,5,0),1,0)*Table_NFI[[#This Row],[Kitchen Set]],Table_NFI[Kitchen Set])</f>
        <v>0</v>
      </c>
      <c r="AD574" s="436">
        <f>IF(NFI_Expiration=1,IF($A574&lt;VLOOKUP(O$5,NFI,5,0),1,0)*Table_NFI[[#This Row],[Clothes Kit]],Table_NFI[Clothes Kit])</f>
        <v>0</v>
      </c>
      <c r="AE574" s="436">
        <f>IF(NFI_Expiration=1,IF($A574&lt;VLOOKUP(P$5,NFI,5,0),1,0)*Table_NFI[[#This Row],[Plastic Bucket]],Table_NFI[Plastic Bucket])</f>
        <v>0</v>
      </c>
      <c r="AF574" s="436">
        <f>IF(NFI_Expiration=1,IF($A574&lt;VLOOKUP(Q$5,NFI,5,0),1,0)*Table_NFI[[#This Row],[Plastic Mat]],Table_NFI[Plastic Mat])*IF(Table_NFI[[#This Row],[Distribution Date]]&gt;"2014-04-01",1,2.5)</f>
        <v>0</v>
      </c>
      <c r="AG574" s="436">
        <f>IF(NFI_Expiration=1,IF($A574&lt;VLOOKUP(R$5,NFI,5,0),1,0)*Table_NFI[[#This Row],[Winter Clothes Adult]],Table_NFI[Winter Clothes Adult])</f>
        <v>0</v>
      </c>
      <c r="AH574" s="436">
        <f>IF(NFI_Expiration=1,IF($A574&lt;VLOOKUP(S$5,NFI,5,0),1,0)*Table_NFI[[#This Row],[Winter Clothes Children]],Table_NFI[Winter Clothes Children])</f>
        <v>0</v>
      </c>
      <c r="AI574" s="436">
        <f>IF(NFI_Expiration=1,IF($A574&lt;VLOOKUP(T$5,NFI,5,0),1,0)*Table_NFI[[#This Row],[Winter Items Other]],Table_NFI[Winter Items Other])</f>
        <v>0</v>
      </c>
      <c r="AJ574" s="436">
        <f>IF(NFI_Expiration=1,IF($A574&lt;VLOOKUP(M$5,NFI,5,0),1,0)*Table_NFI[[#This Row],[Winter Blanket]],Table_NFI[[#This Row],[Winter Blanket]])</f>
        <v>0</v>
      </c>
      <c r="AK574" s="436">
        <f>IF(Table_NFI[[#This Row],[Winter Clothes Adult]]+Table_NFI[[#This Row],[Winter Clothes Children]]+Table_NFI[[#This Row],[Winter Items Other]]+Table_NFI[[#This Row],[Winter Blanket]]&gt;0,1,0)</f>
        <v>0</v>
      </c>
      <c r="AL574" s="439">
        <f>IF(NFI_Expiration=1,IF($A574&lt;VLOOKUP(V$5,NFI,5,0),1,0)*Table_NFI[[#This Row],[Jerry Can]],Table_NFI[Jerry Can])</f>
        <v>0</v>
      </c>
      <c r="AM574" s="781" t="str">
        <f>IFERROR(VLOOKUP(Table_NFI[[#This Row],[Camp Name]],CL,2,0),"")</f>
        <v>MMR001CMP028</v>
      </c>
      <c r="AN574" s="782">
        <f ca="1">IF(Table_NFI[[#This Row],[Pcode]]="","",IF(OFFSET(CampList[Opening Date],MATCH(Table_NFI[[#This Row],[Pcode]],CampList[CP_Pcode],0)-1,0,1,1)&gt;=NFI_Monitor_Date,1,0))</f>
        <v>0</v>
      </c>
      <c r="AO574" s="781" t="str">
        <f>IFERROR(VLOOKUP(Table_NFI[[#This Row],[Camp Name]],CL,3,0),"")</f>
        <v>Open</v>
      </c>
      <c r="AP574" s="436" t="str">
        <f ca="1">IF(Table_NFI[[#This Row],[Pcode]]="","",OFFSET(CampList[Priority],MATCH(Table_NFI[[#This Row],[Pcode]],CampList[CP_Pcode],0)-1,0,1,1))</f>
        <v>P4</v>
      </c>
      <c r="AQ574" s="438">
        <f>IFERROR(Table_NFI[[#This Row],[Kitchen Set]]/VLOOKUP(Table_NFI[[#This Row],[Camp Name]],CL,4,0),"")</f>
        <v>0</v>
      </c>
      <c r="AR574" s="779" t="s">
        <v>1099</v>
      </c>
      <c r="AS574" s="783"/>
    </row>
    <row r="575" spans="1:45" x14ac:dyDescent="0.25">
      <c r="A575" s="455">
        <f t="shared" si="8"/>
        <v>32.633333333333333</v>
      </c>
      <c r="B575" s="778">
        <v>41330</v>
      </c>
      <c r="C575" s="779" t="s">
        <v>454</v>
      </c>
      <c r="D575" s="780" t="s">
        <v>911</v>
      </c>
      <c r="E575" s="779" t="s">
        <v>380</v>
      </c>
      <c r="F575" s="435" t="s">
        <v>27</v>
      </c>
      <c r="G575" s="435" t="s">
        <v>364</v>
      </c>
      <c r="H575" s="436"/>
      <c r="I575" s="436"/>
      <c r="J575" s="436">
        <v>11</v>
      </c>
      <c r="K575" s="436">
        <v>17</v>
      </c>
      <c r="L575" s="437">
        <v>7</v>
      </c>
      <c r="M575" s="437">
        <v>17</v>
      </c>
      <c r="N575" s="437">
        <v>7</v>
      </c>
      <c r="O575" s="437">
        <v>7</v>
      </c>
      <c r="P575" s="437">
        <v>7</v>
      </c>
      <c r="Q575" s="437">
        <v>7</v>
      </c>
      <c r="R575" s="436"/>
      <c r="S575" s="436"/>
      <c r="T575" s="436"/>
      <c r="U575" s="436"/>
      <c r="V575" s="436"/>
      <c r="W575" s="436">
        <f>IF(NFI_Expiration=1,IF($A575&lt;VLOOKUP(H$5,NFI,5,0),1,0)*Table_NFI[[#This Row],[Hygiene Kit]],Table_NFI[Hygiene Kit])</f>
        <v>0</v>
      </c>
      <c r="X575" s="436">
        <f>IF(NFI_Expiration=1,IF($A575&lt;VLOOKUP(I$5,NFI,5,0),1,0)*Table_NFI[[#This Row],[NFI Core Kit]],Table_NFI[NFI Core Kit])</f>
        <v>0</v>
      </c>
      <c r="Y575" s="436">
        <f>IF(NFI_Expiration=1,IF($A575&lt;VLOOKUP(J$5,NFI,5,0),1,0)*Table_NFI[[#This Row],[Sanitary Kit]],Table_NFI[Sanitary Kit])</f>
        <v>0</v>
      </c>
      <c r="Z575" s="436">
        <f>IF(NFI_Expiration=1,IF($A575&lt;VLOOKUP(K$5,NFI,5,0),1,0)*Table_NFI[[#This Row],[Mosquito net]],Table_NFI[Mosquito net])</f>
        <v>0</v>
      </c>
      <c r="AA575" s="436">
        <f>IF(NFI_Expiration=1,IF($A575&lt;VLOOKUP(L$5,NFI,5,0),1,0)*Table_NFI[[#This Row],[Tarpaulin]],Table_NFI[[#This Row],[Tarpaulin]])</f>
        <v>0</v>
      </c>
      <c r="AB575" s="436">
        <f>IF(NFI_Expiration=1,IF($A575&lt;VLOOKUP(M$5,NFI,5,0),1,0)*Table_NFI[[#This Row],[Blanket]],Table_NFI[[#This Row],[Blanket]])</f>
        <v>0</v>
      </c>
      <c r="AC575" s="436">
        <f>IF(NFI_Expiration=1,IF($A575&lt;VLOOKUP(N$5,NFI,5,0),1,0)*Table_NFI[[#This Row],[Kitchen Set]],Table_NFI[Kitchen Set])</f>
        <v>0</v>
      </c>
      <c r="AD575" s="436">
        <f>IF(NFI_Expiration=1,IF($A575&lt;VLOOKUP(O$5,NFI,5,0),1,0)*Table_NFI[[#This Row],[Clothes Kit]],Table_NFI[Clothes Kit])</f>
        <v>0</v>
      </c>
      <c r="AE575" s="436">
        <f>IF(NFI_Expiration=1,IF($A575&lt;VLOOKUP(P$5,NFI,5,0),1,0)*Table_NFI[[#This Row],[Plastic Bucket]],Table_NFI[Plastic Bucket])</f>
        <v>0</v>
      </c>
      <c r="AF575" s="436">
        <f>IF(NFI_Expiration=1,IF($A575&lt;VLOOKUP(Q$5,NFI,5,0),1,0)*Table_NFI[[#This Row],[Plastic Mat]],Table_NFI[Plastic Mat])*IF(Table_NFI[[#This Row],[Distribution Date]]&gt;"2014-04-01",1,2.5)</f>
        <v>0</v>
      </c>
      <c r="AG575" s="436">
        <f>IF(NFI_Expiration=1,IF($A575&lt;VLOOKUP(R$5,NFI,5,0),1,0)*Table_NFI[[#This Row],[Winter Clothes Adult]],Table_NFI[Winter Clothes Adult])</f>
        <v>0</v>
      </c>
      <c r="AH575" s="436">
        <f>IF(NFI_Expiration=1,IF($A575&lt;VLOOKUP(S$5,NFI,5,0),1,0)*Table_NFI[[#This Row],[Winter Clothes Children]],Table_NFI[Winter Clothes Children])</f>
        <v>0</v>
      </c>
      <c r="AI575" s="436">
        <f>IF(NFI_Expiration=1,IF($A575&lt;VLOOKUP(T$5,NFI,5,0),1,0)*Table_NFI[[#This Row],[Winter Items Other]],Table_NFI[Winter Items Other])</f>
        <v>0</v>
      </c>
      <c r="AJ575" s="436">
        <f>IF(NFI_Expiration=1,IF($A575&lt;VLOOKUP(M$5,NFI,5,0),1,0)*Table_NFI[[#This Row],[Winter Blanket]],Table_NFI[[#This Row],[Winter Blanket]])</f>
        <v>0</v>
      </c>
      <c r="AK575" s="436">
        <f>IF(Table_NFI[[#This Row],[Winter Clothes Adult]]+Table_NFI[[#This Row],[Winter Clothes Children]]+Table_NFI[[#This Row],[Winter Items Other]]+Table_NFI[[#This Row],[Winter Blanket]]&gt;0,1,0)</f>
        <v>0</v>
      </c>
      <c r="AL575" s="439">
        <f>IF(NFI_Expiration=1,IF($A575&lt;VLOOKUP(V$5,NFI,5,0),1,0)*Table_NFI[[#This Row],[Jerry Can]],Table_NFI[Jerry Can])</f>
        <v>0</v>
      </c>
      <c r="AM575" s="781" t="str">
        <f>IFERROR(VLOOKUP(Table_NFI[[#This Row],[Camp Name]],CL,2,0),"")</f>
        <v>MMR001CMP043</v>
      </c>
      <c r="AN575" s="782">
        <f ca="1">IF(Table_NFI[[#This Row],[Pcode]]="","",IF(OFFSET(CampList[Opening Date],MATCH(Table_NFI[[#This Row],[Pcode]],CampList[CP_Pcode],0)-1,0,1,1)&gt;=NFI_Monitor_Date,1,0))</f>
        <v>0</v>
      </c>
      <c r="AO575" s="781" t="str">
        <f>IFERROR(VLOOKUP(Table_NFI[[#This Row],[Camp Name]],CL,3,0),"")</f>
        <v>Open</v>
      </c>
      <c r="AP575" s="436" t="str">
        <f ca="1">IF(Table_NFI[[#This Row],[Pcode]]="","",OFFSET(CampList[Priority],MATCH(Table_NFI[[#This Row],[Pcode]],CampList[CP_Pcode],0)-1,0,1,1))</f>
        <v>P1</v>
      </c>
      <c r="AQ575" s="438">
        <f>IFERROR(Table_NFI[[#This Row],[Kitchen Set]]/VLOOKUP(Table_NFI[[#This Row],[Camp Name]],CL,4,0),"")</f>
        <v>4.5454545454545456E-2</v>
      </c>
      <c r="AR575" s="779" t="s">
        <v>1099</v>
      </c>
      <c r="AS575" s="783"/>
    </row>
    <row r="576" spans="1:45" x14ac:dyDescent="0.25">
      <c r="A576" s="455">
        <f t="shared" si="8"/>
        <v>32.633333333333333</v>
      </c>
      <c r="B576" s="778">
        <v>41330</v>
      </c>
      <c r="C576" s="779" t="s">
        <v>454</v>
      </c>
      <c r="D576" s="780" t="s">
        <v>911</v>
      </c>
      <c r="E576" s="779" t="s">
        <v>380</v>
      </c>
      <c r="F576" s="435" t="s">
        <v>27</v>
      </c>
      <c r="G576" s="435" t="s">
        <v>34</v>
      </c>
      <c r="H576" s="436"/>
      <c r="I576" s="436"/>
      <c r="J576" s="436">
        <v>11</v>
      </c>
      <c r="K576" s="436">
        <v>17</v>
      </c>
      <c r="L576" s="437">
        <v>7</v>
      </c>
      <c r="M576" s="437">
        <v>17</v>
      </c>
      <c r="N576" s="437">
        <v>7</v>
      </c>
      <c r="O576" s="437">
        <v>7</v>
      </c>
      <c r="P576" s="437">
        <v>7</v>
      </c>
      <c r="Q576" s="437">
        <v>7</v>
      </c>
      <c r="R576" s="436"/>
      <c r="S576" s="436"/>
      <c r="T576" s="436"/>
      <c r="U576" s="436"/>
      <c r="V576" s="436"/>
      <c r="W576" s="436">
        <f>IF(NFI_Expiration=1,IF($A576&lt;VLOOKUP(H$5,NFI,5,0),1,0)*Table_NFI[[#This Row],[Hygiene Kit]],Table_NFI[Hygiene Kit])</f>
        <v>0</v>
      </c>
      <c r="X576" s="436">
        <f>IF(NFI_Expiration=1,IF($A576&lt;VLOOKUP(I$5,NFI,5,0),1,0)*Table_NFI[[#This Row],[NFI Core Kit]],Table_NFI[NFI Core Kit])</f>
        <v>0</v>
      </c>
      <c r="Y576" s="436">
        <f>IF(NFI_Expiration=1,IF($A576&lt;VLOOKUP(J$5,NFI,5,0),1,0)*Table_NFI[[#This Row],[Sanitary Kit]],Table_NFI[Sanitary Kit])</f>
        <v>0</v>
      </c>
      <c r="Z576" s="436">
        <f>IF(NFI_Expiration=1,IF($A576&lt;VLOOKUP(K$5,NFI,5,0),1,0)*Table_NFI[[#This Row],[Mosquito net]],Table_NFI[Mosquito net])</f>
        <v>0</v>
      </c>
      <c r="AA576" s="436">
        <f>IF(NFI_Expiration=1,IF($A576&lt;VLOOKUP(L$5,NFI,5,0),1,0)*Table_NFI[[#This Row],[Tarpaulin]],Table_NFI[[#This Row],[Tarpaulin]])</f>
        <v>0</v>
      </c>
      <c r="AB576" s="436">
        <f>IF(NFI_Expiration=1,IF($A576&lt;VLOOKUP(M$5,NFI,5,0),1,0)*Table_NFI[[#This Row],[Blanket]],Table_NFI[[#This Row],[Blanket]])</f>
        <v>0</v>
      </c>
      <c r="AC576" s="436">
        <f>IF(NFI_Expiration=1,IF($A576&lt;VLOOKUP(N$5,NFI,5,0),1,0)*Table_NFI[[#This Row],[Kitchen Set]],Table_NFI[Kitchen Set])</f>
        <v>0</v>
      </c>
      <c r="AD576" s="436">
        <f>IF(NFI_Expiration=1,IF($A576&lt;VLOOKUP(O$5,NFI,5,0),1,0)*Table_NFI[[#This Row],[Clothes Kit]],Table_NFI[Clothes Kit])</f>
        <v>0</v>
      </c>
      <c r="AE576" s="436">
        <f>IF(NFI_Expiration=1,IF($A576&lt;VLOOKUP(P$5,NFI,5,0),1,0)*Table_NFI[[#This Row],[Plastic Bucket]],Table_NFI[Plastic Bucket])</f>
        <v>0</v>
      </c>
      <c r="AF576" s="436">
        <f>IF(NFI_Expiration=1,IF($A576&lt;VLOOKUP(Q$5,NFI,5,0),1,0)*Table_NFI[[#This Row],[Plastic Mat]],Table_NFI[Plastic Mat])*IF(Table_NFI[[#This Row],[Distribution Date]]&gt;"2014-04-01",1,2.5)</f>
        <v>0</v>
      </c>
      <c r="AG576" s="436">
        <f>IF(NFI_Expiration=1,IF($A576&lt;VLOOKUP(R$5,NFI,5,0),1,0)*Table_NFI[[#This Row],[Winter Clothes Adult]],Table_NFI[Winter Clothes Adult])</f>
        <v>0</v>
      </c>
      <c r="AH576" s="436">
        <f>IF(NFI_Expiration=1,IF($A576&lt;VLOOKUP(S$5,NFI,5,0),1,0)*Table_NFI[[#This Row],[Winter Clothes Children]],Table_NFI[Winter Clothes Children])</f>
        <v>0</v>
      </c>
      <c r="AI576" s="436">
        <f>IF(NFI_Expiration=1,IF($A576&lt;VLOOKUP(T$5,NFI,5,0),1,0)*Table_NFI[[#This Row],[Winter Items Other]],Table_NFI[Winter Items Other])</f>
        <v>0</v>
      </c>
      <c r="AJ576" s="436">
        <f>IF(NFI_Expiration=1,IF($A576&lt;VLOOKUP(M$5,NFI,5,0),1,0)*Table_NFI[[#This Row],[Winter Blanket]],Table_NFI[[#This Row],[Winter Blanket]])</f>
        <v>0</v>
      </c>
      <c r="AK576" s="436">
        <f>IF(Table_NFI[[#This Row],[Winter Clothes Adult]]+Table_NFI[[#This Row],[Winter Clothes Children]]+Table_NFI[[#This Row],[Winter Items Other]]+Table_NFI[[#This Row],[Winter Blanket]]&gt;0,1,0)</f>
        <v>0</v>
      </c>
      <c r="AL576" s="439">
        <f>IF(NFI_Expiration=1,IF($A576&lt;VLOOKUP(V$5,NFI,5,0),1,0)*Table_NFI[[#This Row],[Jerry Can]],Table_NFI[Jerry Can])</f>
        <v>0</v>
      </c>
      <c r="AM576" s="781" t="str">
        <f>IFERROR(VLOOKUP(Table_NFI[[#This Row],[Camp Name]],CL,2,0),"")</f>
        <v>MMR001CMP045</v>
      </c>
      <c r="AN576" s="782">
        <f ca="1">IF(Table_NFI[[#This Row],[Pcode]]="","",IF(OFFSET(CampList[Opening Date],MATCH(Table_NFI[[#This Row],[Pcode]],CampList[CP_Pcode],0)-1,0,1,1)&gt;=NFI_Monitor_Date,1,0))</f>
        <v>0</v>
      </c>
      <c r="AO576" s="781" t="str">
        <f>IFERROR(VLOOKUP(Table_NFI[[#This Row],[Camp Name]],CL,3,0),"")</f>
        <v>Open</v>
      </c>
      <c r="AP576" s="436" t="str">
        <f ca="1">IF(Table_NFI[[#This Row],[Pcode]]="","",OFFSET(CampList[Priority],MATCH(Table_NFI[[#This Row],[Pcode]],CampList[CP_Pcode],0)-1,0,1,1))</f>
        <v>P1</v>
      </c>
      <c r="AQ576" s="438" t="str">
        <f>IFERROR(Table_NFI[[#This Row],[Kitchen Set]]/VLOOKUP(Table_NFI[[#This Row],[Camp Name]],CL,4,0),"")</f>
        <v/>
      </c>
      <c r="AR576" s="779" t="s">
        <v>1099</v>
      </c>
      <c r="AS576" s="783"/>
    </row>
    <row r="577" spans="1:45" x14ac:dyDescent="0.25">
      <c r="A577" s="455">
        <f t="shared" si="8"/>
        <v>32.633333333333333</v>
      </c>
      <c r="B577" s="778">
        <v>41330</v>
      </c>
      <c r="C577" s="779" t="s">
        <v>454</v>
      </c>
      <c r="D577" s="779" t="s">
        <v>911</v>
      </c>
      <c r="E577" s="779" t="s">
        <v>380</v>
      </c>
      <c r="F577" s="435" t="s">
        <v>27</v>
      </c>
      <c r="G577" s="435" t="s">
        <v>365</v>
      </c>
      <c r="H577" s="436"/>
      <c r="I577" s="436"/>
      <c r="J577" s="436">
        <v>12</v>
      </c>
      <c r="K577" s="436">
        <v>17</v>
      </c>
      <c r="L577" s="437">
        <v>7</v>
      </c>
      <c r="M577" s="437">
        <v>17</v>
      </c>
      <c r="N577" s="437">
        <v>7</v>
      </c>
      <c r="O577" s="437">
        <v>7</v>
      </c>
      <c r="P577" s="439">
        <v>7</v>
      </c>
      <c r="Q577" s="439">
        <v>7</v>
      </c>
      <c r="R577" s="436"/>
      <c r="S577" s="436"/>
      <c r="T577" s="436"/>
      <c r="U577" s="436"/>
      <c r="V577" s="436"/>
      <c r="W577" s="436">
        <f>IF(NFI_Expiration=1,IF($A577&lt;VLOOKUP(H$5,NFI,5,0),1,0)*Table_NFI[[#This Row],[Hygiene Kit]],Table_NFI[Hygiene Kit])</f>
        <v>0</v>
      </c>
      <c r="X577" s="436">
        <f>IF(NFI_Expiration=1,IF($A577&lt;VLOOKUP(I$5,NFI,5,0),1,0)*Table_NFI[[#This Row],[NFI Core Kit]],Table_NFI[NFI Core Kit])</f>
        <v>0</v>
      </c>
      <c r="Y577" s="436">
        <f>IF(NFI_Expiration=1,IF($A577&lt;VLOOKUP(J$5,NFI,5,0),1,0)*Table_NFI[[#This Row],[Sanitary Kit]],Table_NFI[Sanitary Kit])</f>
        <v>0</v>
      </c>
      <c r="Z577" s="436">
        <f>IF(NFI_Expiration=1,IF($A577&lt;VLOOKUP(K$5,NFI,5,0),1,0)*Table_NFI[[#This Row],[Mosquito net]],Table_NFI[Mosquito net])</f>
        <v>0</v>
      </c>
      <c r="AA577" s="436">
        <f>IF(NFI_Expiration=1,IF($A577&lt;VLOOKUP(L$5,NFI,5,0),1,0)*Table_NFI[[#This Row],[Tarpaulin]],Table_NFI[[#This Row],[Tarpaulin]])</f>
        <v>0</v>
      </c>
      <c r="AB577" s="436">
        <f>IF(NFI_Expiration=1,IF($A577&lt;VLOOKUP(M$5,NFI,5,0),1,0)*Table_NFI[[#This Row],[Blanket]],Table_NFI[[#This Row],[Blanket]])</f>
        <v>0</v>
      </c>
      <c r="AC577" s="436">
        <f>IF(NFI_Expiration=1,IF($A577&lt;VLOOKUP(N$5,NFI,5,0),1,0)*Table_NFI[[#This Row],[Kitchen Set]],Table_NFI[Kitchen Set])</f>
        <v>0</v>
      </c>
      <c r="AD577" s="436">
        <f>IF(NFI_Expiration=1,IF($A577&lt;VLOOKUP(O$5,NFI,5,0),1,0)*Table_NFI[[#This Row],[Clothes Kit]],Table_NFI[Clothes Kit])</f>
        <v>0</v>
      </c>
      <c r="AE577" s="436">
        <f>IF(NFI_Expiration=1,IF($A577&lt;VLOOKUP(P$5,NFI,5,0),1,0)*Table_NFI[[#This Row],[Plastic Bucket]],Table_NFI[Plastic Bucket])</f>
        <v>0</v>
      </c>
      <c r="AF577" s="436">
        <f>IF(NFI_Expiration=1,IF($A577&lt;VLOOKUP(Q$5,NFI,5,0),1,0)*Table_NFI[[#This Row],[Plastic Mat]],Table_NFI[Plastic Mat])*IF(Table_NFI[[#This Row],[Distribution Date]]&gt;"2014-04-01",1,2.5)</f>
        <v>0</v>
      </c>
      <c r="AG577" s="436">
        <f>IF(NFI_Expiration=1,IF($A577&lt;VLOOKUP(R$5,NFI,5,0),1,0)*Table_NFI[[#This Row],[Winter Clothes Adult]],Table_NFI[Winter Clothes Adult])</f>
        <v>0</v>
      </c>
      <c r="AH577" s="436">
        <f>IF(NFI_Expiration=1,IF($A577&lt;VLOOKUP(S$5,NFI,5,0),1,0)*Table_NFI[[#This Row],[Winter Clothes Children]],Table_NFI[Winter Clothes Children])</f>
        <v>0</v>
      </c>
      <c r="AI577" s="436">
        <f>IF(NFI_Expiration=1,IF($A577&lt;VLOOKUP(T$5,NFI,5,0),1,0)*Table_NFI[[#This Row],[Winter Items Other]],Table_NFI[Winter Items Other])</f>
        <v>0</v>
      </c>
      <c r="AJ577" s="436">
        <f>IF(NFI_Expiration=1,IF($A577&lt;VLOOKUP(M$5,NFI,5,0),1,0)*Table_NFI[[#This Row],[Winter Blanket]],Table_NFI[[#This Row],[Winter Blanket]])</f>
        <v>0</v>
      </c>
      <c r="AK577" s="436">
        <f>IF(Table_NFI[[#This Row],[Winter Clothes Adult]]+Table_NFI[[#This Row],[Winter Clothes Children]]+Table_NFI[[#This Row],[Winter Items Other]]+Table_NFI[[#This Row],[Winter Blanket]]&gt;0,1,0)</f>
        <v>0</v>
      </c>
      <c r="AL577" s="439">
        <f>IF(NFI_Expiration=1,IF($A577&lt;VLOOKUP(V$5,NFI,5,0),1,0)*Table_NFI[[#This Row],[Jerry Can]],Table_NFI[Jerry Can])</f>
        <v>0</v>
      </c>
      <c r="AM577" s="781" t="str">
        <f>IFERROR(VLOOKUP(Table_NFI[[#This Row],[Camp Name]],CL,2,0),"")</f>
        <v>MMR001CMP195</v>
      </c>
      <c r="AN577" s="782">
        <f ca="1">IF(Table_NFI[[#This Row],[Pcode]]="","",IF(OFFSET(CampList[Opening Date],MATCH(Table_NFI[[#This Row],[Pcode]],CampList[CP_Pcode],0)-1,0,1,1)&gt;=NFI_Monitor_Date,1,0))</f>
        <v>0</v>
      </c>
      <c r="AO577" s="781" t="str">
        <f>IFERROR(VLOOKUP(Table_NFI[[#This Row],[Camp Name]],CL,3,0),"")</f>
        <v>Open</v>
      </c>
      <c r="AP577" s="436" t="str">
        <f ca="1">IF(Table_NFI[[#This Row],[Pcode]]="","",OFFSET(CampList[Priority],MATCH(Table_NFI[[#This Row],[Pcode]],CampList[CP_Pcode],0)-1,0,1,1))</f>
        <v>P1</v>
      </c>
      <c r="AQ577" s="438">
        <f>IFERROR(Table_NFI[[#This Row],[Kitchen Set]]/VLOOKUP(Table_NFI[[#This Row],[Camp Name]],CL,4,0),"")</f>
        <v>4.8611111111111112E-2</v>
      </c>
      <c r="AR577" s="779" t="s">
        <v>1099</v>
      </c>
      <c r="AS577" s="783"/>
    </row>
    <row r="578" spans="1:45" x14ac:dyDescent="0.25">
      <c r="A578" s="455">
        <f t="shared" si="8"/>
        <v>32.633333333333333</v>
      </c>
      <c r="B578" s="778">
        <v>41330</v>
      </c>
      <c r="C578" s="779" t="s">
        <v>907</v>
      </c>
      <c r="D578" s="780" t="s">
        <v>907</v>
      </c>
      <c r="E578" s="779" t="s">
        <v>380</v>
      </c>
      <c r="F578" s="435" t="s">
        <v>310</v>
      </c>
      <c r="G578" s="435" t="s">
        <v>324</v>
      </c>
      <c r="H578" s="436"/>
      <c r="I578" s="436"/>
      <c r="J578" s="436">
        <v>235</v>
      </c>
      <c r="K578" s="436"/>
      <c r="L578" s="437">
        <v>174</v>
      </c>
      <c r="M578" s="437"/>
      <c r="N578" s="437">
        <v>61</v>
      </c>
      <c r="O578" s="437"/>
      <c r="P578" s="437">
        <v>0</v>
      </c>
      <c r="Q578" s="437">
        <v>0</v>
      </c>
      <c r="R578" s="436"/>
      <c r="S578" s="436"/>
      <c r="T578" s="436"/>
      <c r="U578" s="436"/>
      <c r="V578" s="436"/>
      <c r="W578" s="436">
        <f>IF(NFI_Expiration=1,IF($A578&lt;VLOOKUP(H$5,NFI,5,0),1,0)*Table_NFI[[#This Row],[Hygiene Kit]],Table_NFI[Hygiene Kit])</f>
        <v>0</v>
      </c>
      <c r="X578" s="436">
        <f>IF(NFI_Expiration=1,IF($A578&lt;VLOOKUP(I$5,NFI,5,0),1,0)*Table_NFI[[#This Row],[NFI Core Kit]],Table_NFI[NFI Core Kit])</f>
        <v>0</v>
      </c>
      <c r="Y578" s="436">
        <f>IF(NFI_Expiration=1,IF($A578&lt;VLOOKUP(J$5,NFI,5,0),1,0)*Table_NFI[[#This Row],[Sanitary Kit]],Table_NFI[Sanitary Kit])</f>
        <v>0</v>
      </c>
      <c r="Z578" s="436">
        <f>IF(NFI_Expiration=1,IF($A578&lt;VLOOKUP(K$5,NFI,5,0),1,0)*Table_NFI[[#This Row],[Mosquito net]],Table_NFI[Mosquito net])</f>
        <v>0</v>
      </c>
      <c r="AA578" s="436">
        <f>IF(NFI_Expiration=1,IF($A578&lt;VLOOKUP(L$5,NFI,5,0),1,0)*Table_NFI[[#This Row],[Tarpaulin]],Table_NFI[[#This Row],[Tarpaulin]])</f>
        <v>0</v>
      </c>
      <c r="AB578" s="436">
        <f>IF(NFI_Expiration=1,IF($A578&lt;VLOOKUP(M$5,NFI,5,0),1,0)*Table_NFI[[#This Row],[Blanket]],Table_NFI[[#This Row],[Blanket]])</f>
        <v>0</v>
      </c>
      <c r="AC578" s="436">
        <f>IF(NFI_Expiration=1,IF($A578&lt;VLOOKUP(N$5,NFI,5,0),1,0)*Table_NFI[[#This Row],[Kitchen Set]],Table_NFI[Kitchen Set])</f>
        <v>0</v>
      </c>
      <c r="AD578" s="436">
        <f>IF(NFI_Expiration=1,IF($A578&lt;VLOOKUP(O$5,NFI,5,0),1,0)*Table_NFI[[#This Row],[Clothes Kit]],Table_NFI[Clothes Kit])</f>
        <v>0</v>
      </c>
      <c r="AE578" s="436">
        <f>IF(NFI_Expiration=1,IF($A578&lt;VLOOKUP(P$5,NFI,5,0),1,0)*Table_NFI[[#This Row],[Plastic Bucket]],Table_NFI[Plastic Bucket])</f>
        <v>0</v>
      </c>
      <c r="AF578" s="436">
        <f>IF(NFI_Expiration=1,IF($A578&lt;VLOOKUP(Q$5,NFI,5,0),1,0)*Table_NFI[[#This Row],[Plastic Mat]],Table_NFI[Plastic Mat])*IF(Table_NFI[[#This Row],[Distribution Date]]&gt;"2014-04-01",1,2.5)</f>
        <v>0</v>
      </c>
      <c r="AG578" s="436">
        <f>IF(NFI_Expiration=1,IF($A578&lt;VLOOKUP(R$5,NFI,5,0),1,0)*Table_NFI[[#This Row],[Winter Clothes Adult]],Table_NFI[Winter Clothes Adult])</f>
        <v>0</v>
      </c>
      <c r="AH578" s="436">
        <f>IF(NFI_Expiration=1,IF($A578&lt;VLOOKUP(S$5,NFI,5,0),1,0)*Table_NFI[[#This Row],[Winter Clothes Children]],Table_NFI[Winter Clothes Children])</f>
        <v>0</v>
      </c>
      <c r="AI578" s="436">
        <f>IF(NFI_Expiration=1,IF($A578&lt;VLOOKUP(T$5,NFI,5,0),1,0)*Table_NFI[[#This Row],[Winter Items Other]],Table_NFI[Winter Items Other])</f>
        <v>0</v>
      </c>
      <c r="AJ578" s="436">
        <f>IF(NFI_Expiration=1,IF($A578&lt;VLOOKUP(M$5,NFI,5,0),1,0)*Table_NFI[[#This Row],[Winter Blanket]],Table_NFI[[#This Row],[Winter Blanket]])</f>
        <v>0</v>
      </c>
      <c r="AK578" s="436">
        <f>IF(Table_NFI[[#This Row],[Winter Clothes Adult]]+Table_NFI[[#This Row],[Winter Clothes Children]]+Table_NFI[[#This Row],[Winter Items Other]]+Table_NFI[[#This Row],[Winter Blanket]]&gt;0,1,0)</f>
        <v>0</v>
      </c>
      <c r="AL578" s="439">
        <f>IF(NFI_Expiration=1,IF($A578&lt;VLOOKUP(V$5,NFI,5,0),1,0)*Table_NFI[[#This Row],[Jerry Can]],Table_NFI[Jerry Can])</f>
        <v>0</v>
      </c>
      <c r="AM578" s="781" t="str">
        <f>IFERROR(VLOOKUP(Table_NFI[[#This Row],[Camp Name]],CL,2,0),"")</f>
        <v>MMR001CMP040</v>
      </c>
      <c r="AN578" s="782">
        <f ca="1">IF(Table_NFI[[#This Row],[Pcode]]="","",IF(OFFSET(CampList[Opening Date],MATCH(Table_NFI[[#This Row],[Pcode]],CampList[CP_Pcode],0)-1,0,1,1)&gt;=NFI_Monitor_Date,1,0))</f>
        <v>0</v>
      </c>
      <c r="AO578" s="781" t="str">
        <f>IFERROR(VLOOKUP(Table_NFI[[#This Row],[Camp Name]],CL,3,0),"")</f>
        <v>Open</v>
      </c>
      <c r="AP578" s="436" t="str">
        <f ca="1">IF(Table_NFI[[#This Row],[Pcode]]="","",OFFSET(CampList[Priority],MATCH(Table_NFI[[#This Row],[Pcode]],CampList[CP_Pcode],0)-1,0,1,1))</f>
        <v>P4</v>
      </c>
      <c r="AQ578" s="438">
        <f>IFERROR(Table_NFI[[#This Row],[Kitchen Set]]/VLOOKUP(Table_NFI[[#This Row],[Camp Name]],CL,4,0),"")</f>
        <v>0.1425233644859813</v>
      </c>
      <c r="AR578" s="779" t="s">
        <v>1099</v>
      </c>
      <c r="AS578" s="783"/>
    </row>
    <row r="579" spans="1:45" x14ac:dyDescent="0.25">
      <c r="A579" s="455">
        <f t="shared" si="8"/>
        <v>32.633333333333333</v>
      </c>
      <c r="B579" s="778">
        <v>41330</v>
      </c>
      <c r="C579" s="779" t="s">
        <v>454</v>
      </c>
      <c r="D579" s="780" t="s">
        <v>911</v>
      </c>
      <c r="E579" s="779" t="s">
        <v>380</v>
      </c>
      <c r="F579" s="435" t="s">
        <v>27</v>
      </c>
      <c r="G579" s="435" t="s">
        <v>37</v>
      </c>
      <c r="H579" s="436"/>
      <c r="I579" s="436"/>
      <c r="J579" s="436">
        <v>12</v>
      </c>
      <c r="K579" s="436">
        <v>18</v>
      </c>
      <c r="L579" s="437">
        <v>8</v>
      </c>
      <c r="M579" s="437">
        <v>18</v>
      </c>
      <c r="N579" s="437">
        <v>8</v>
      </c>
      <c r="O579" s="437">
        <v>8</v>
      </c>
      <c r="P579" s="437">
        <v>8</v>
      </c>
      <c r="Q579" s="437">
        <v>8</v>
      </c>
      <c r="R579" s="436"/>
      <c r="S579" s="436"/>
      <c r="T579" s="436"/>
      <c r="U579" s="436"/>
      <c r="V579" s="436"/>
      <c r="W579" s="436">
        <f>IF(NFI_Expiration=1,IF($A579&lt;VLOOKUP(H$5,NFI,5,0),1,0)*Table_NFI[[#This Row],[Hygiene Kit]],Table_NFI[Hygiene Kit])</f>
        <v>0</v>
      </c>
      <c r="X579" s="436">
        <f>IF(NFI_Expiration=1,IF($A579&lt;VLOOKUP(I$5,NFI,5,0),1,0)*Table_NFI[[#This Row],[NFI Core Kit]],Table_NFI[NFI Core Kit])</f>
        <v>0</v>
      </c>
      <c r="Y579" s="436">
        <f>IF(NFI_Expiration=1,IF($A579&lt;VLOOKUP(J$5,NFI,5,0),1,0)*Table_NFI[[#This Row],[Sanitary Kit]],Table_NFI[Sanitary Kit])</f>
        <v>0</v>
      </c>
      <c r="Z579" s="436">
        <f>IF(NFI_Expiration=1,IF($A579&lt;VLOOKUP(K$5,NFI,5,0),1,0)*Table_NFI[[#This Row],[Mosquito net]],Table_NFI[Mosquito net])</f>
        <v>0</v>
      </c>
      <c r="AA579" s="436">
        <f>IF(NFI_Expiration=1,IF($A579&lt;VLOOKUP(L$5,NFI,5,0),1,0)*Table_NFI[[#This Row],[Tarpaulin]],Table_NFI[[#This Row],[Tarpaulin]])</f>
        <v>0</v>
      </c>
      <c r="AB579" s="436">
        <f>IF(NFI_Expiration=1,IF($A579&lt;VLOOKUP(M$5,NFI,5,0),1,0)*Table_NFI[[#This Row],[Blanket]],Table_NFI[[#This Row],[Blanket]])</f>
        <v>0</v>
      </c>
      <c r="AC579" s="436">
        <f>IF(NFI_Expiration=1,IF($A579&lt;VLOOKUP(N$5,NFI,5,0),1,0)*Table_NFI[[#This Row],[Kitchen Set]],Table_NFI[Kitchen Set])</f>
        <v>0</v>
      </c>
      <c r="AD579" s="436">
        <f>IF(NFI_Expiration=1,IF($A579&lt;VLOOKUP(O$5,NFI,5,0),1,0)*Table_NFI[[#This Row],[Clothes Kit]],Table_NFI[Clothes Kit])</f>
        <v>0</v>
      </c>
      <c r="AE579" s="436">
        <f>IF(NFI_Expiration=1,IF($A579&lt;VLOOKUP(P$5,NFI,5,0),1,0)*Table_NFI[[#This Row],[Plastic Bucket]],Table_NFI[Plastic Bucket])</f>
        <v>0</v>
      </c>
      <c r="AF579" s="436">
        <f>IF(NFI_Expiration=1,IF($A579&lt;VLOOKUP(Q$5,NFI,5,0),1,0)*Table_NFI[[#This Row],[Plastic Mat]],Table_NFI[Plastic Mat])*IF(Table_NFI[[#This Row],[Distribution Date]]&gt;"2014-04-01",1,2.5)</f>
        <v>0</v>
      </c>
      <c r="AG579" s="436">
        <f>IF(NFI_Expiration=1,IF($A579&lt;VLOOKUP(R$5,NFI,5,0),1,0)*Table_NFI[[#This Row],[Winter Clothes Adult]],Table_NFI[Winter Clothes Adult])</f>
        <v>0</v>
      </c>
      <c r="AH579" s="436">
        <f>IF(NFI_Expiration=1,IF($A579&lt;VLOOKUP(S$5,NFI,5,0),1,0)*Table_NFI[[#This Row],[Winter Clothes Children]],Table_NFI[Winter Clothes Children])</f>
        <v>0</v>
      </c>
      <c r="AI579" s="436">
        <f>IF(NFI_Expiration=1,IF($A579&lt;VLOOKUP(T$5,NFI,5,0),1,0)*Table_NFI[[#This Row],[Winter Items Other]],Table_NFI[Winter Items Other])</f>
        <v>0</v>
      </c>
      <c r="AJ579" s="436">
        <f>IF(NFI_Expiration=1,IF($A579&lt;VLOOKUP(M$5,NFI,5,0),1,0)*Table_NFI[[#This Row],[Winter Blanket]],Table_NFI[[#This Row],[Winter Blanket]])</f>
        <v>0</v>
      </c>
      <c r="AK579" s="436">
        <f>IF(Table_NFI[[#This Row],[Winter Clothes Adult]]+Table_NFI[[#This Row],[Winter Clothes Children]]+Table_NFI[[#This Row],[Winter Items Other]]+Table_NFI[[#This Row],[Winter Blanket]]&gt;0,1,0)</f>
        <v>0</v>
      </c>
      <c r="AL579" s="439">
        <f>IF(NFI_Expiration=1,IF($A579&lt;VLOOKUP(V$5,NFI,5,0),1,0)*Table_NFI[[#This Row],[Jerry Can]],Table_NFI[Jerry Can])</f>
        <v>0</v>
      </c>
      <c r="AM579" s="781" t="str">
        <f>IFERROR(VLOOKUP(Table_NFI[[#This Row],[Camp Name]],CL,2,0),"")</f>
        <v>MMR001CMP044</v>
      </c>
      <c r="AN579" s="782">
        <f ca="1">IF(Table_NFI[[#This Row],[Pcode]]="","",IF(OFFSET(CampList[Opening Date],MATCH(Table_NFI[[#This Row],[Pcode]],CampList[CP_Pcode],0)-1,0,1,1)&gt;=NFI_Monitor_Date,1,0))</f>
        <v>0</v>
      </c>
      <c r="AO579" s="781" t="str">
        <f>IFERROR(VLOOKUP(Table_NFI[[#This Row],[Camp Name]],CL,3,0),"")</f>
        <v>Closed</v>
      </c>
      <c r="AP579" s="436" t="str">
        <f ca="1">IF(Table_NFI[[#This Row],[Pcode]]="","",OFFSET(CampList[Priority],MATCH(Table_NFI[[#This Row],[Pcode]],CampList[CP_Pcode],0)-1,0,1,1))</f>
        <v/>
      </c>
      <c r="AQ579" s="438" t="str">
        <f>IFERROR(Table_NFI[[#This Row],[Kitchen Set]]/VLOOKUP(Table_NFI[[#This Row],[Camp Name]],CL,4,0),"")</f>
        <v/>
      </c>
      <c r="AR579" s="779" t="s">
        <v>1099</v>
      </c>
      <c r="AS579" s="783"/>
    </row>
    <row r="580" spans="1:45" x14ac:dyDescent="0.25">
      <c r="A580" s="455">
        <f t="shared" si="8"/>
        <v>32.799999999999997</v>
      </c>
      <c r="B580" s="778">
        <v>41325</v>
      </c>
      <c r="C580" s="779" t="s">
        <v>454</v>
      </c>
      <c r="D580" s="780" t="s">
        <v>454</v>
      </c>
      <c r="E580" s="779" t="s">
        <v>380</v>
      </c>
      <c r="F580" s="435" t="s">
        <v>529</v>
      </c>
      <c r="G580" s="435" t="s">
        <v>43</v>
      </c>
      <c r="H580" s="436"/>
      <c r="I580" s="436"/>
      <c r="J580" s="436"/>
      <c r="K580" s="436">
        <v>59</v>
      </c>
      <c r="L580" s="437">
        <v>28</v>
      </c>
      <c r="M580" s="437">
        <v>0</v>
      </c>
      <c r="N580" s="437">
        <v>28</v>
      </c>
      <c r="O580" s="437">
        <v>28</v>
      </c>
      <c r="P580" s="437">
        <v>28</v>
      </c>
      <c r="Q580" s="437">
        <v>28</v>
      </c>
      <c r="R580" s="436"/>
      <c r="S580" s="436"/>
      <c r="T580" s="436"/>
      <c r="U580" s="436"/>
      <c r="V580" s="436"/>
      <c r="W580" s="436">
        <f>IF(NFI_Expiration=1,IF($A580&lt;VLOOKUP(H$5,NFI,5,0),1,0)*Table_NFI[[#This Row],[Hygiene Kit]],Table_NFI[Hygiene Kit])</f>
        <v>0</v>
      </c>
      <c r="X580" s="436">
        <f>IF(NFI_Expiration=1,IF($A580&lt;VLOOKUP(I$5,NFI,5,0),1,0)*Table_NFI[[#This Row],[NFI Core Kit]],Table_NFI[NFI Core Kit])</f>
        <v>0</v>
      </c>
      <c r="Y580" s="436">
        <f>IF(NFI_Expiration=1,IF($A580&lt;VLOOKUP(J$5,NFI,5,0),1,0)*Table_NFI[[#This Row],[Sanitary Kit]],Table_NFI[Sanitary Kit])</f>
        <v>0</v>
      </c>
      <c r="Z580" s="436">
        <f>IF(NFI_Expiration=1,IF($A580&lt;VLOOKUP(K$5,NFI,5,0),1,0)*Table_NFI[[#This Row],[Mosquito net]],Table_NFI[Mosquito net])</f>
        <v>0</v>
      </c>
      <c r="AA580" s="436">
        <f>IF(NFI_Expiration=1,IF($A580&lt;VLOOKUP(L$5,NFI,5,0),1,0)*Table_NFI[[#This Row],[Tarpaulin]],Table_NFI[[#This Row],[Tarpaulin]])</f>
        <v>0</v>
      </c>
      <c r="AB580" s="436">
        <f>IF(NFI_Expiration=1,IF($A580&lt;VLOOKUP(M$5,NFI,5,0),1,0)*Table_NFI[[#This Row],[Blanket]],Table_NFI[[#This Row],[Blanket]])</f>
        <v>0</v>
      </c>
      <c r="AC580" s="436">
        <f>IF(NFI_Expiration=1,IF($A580&lt;VLOOKUP(N$5,NFI,5,0),1,0)*Table_NFI[[#This Row],[Kitchen Set]],Table_NFI[Kitchen Set])</f>
        <v>0</v>
      </c>
      <c r="AD580" s="436">
        <f>IF(NFI_Expiration=1,IF($A580&lt;VLOOKUP(O$5,NFI,5,0),1,0)*Table_NFI[[#This Row],[Clothes Kit]],Table_NFI[Clothes Kit])</f>
        <v>0</v>
      </c>
      <c r="AE580" s="436">
        <f>IF(NFI_Expiration=1,IF($A580&lt;VLOOKUP(P$5,NFI,5,0),1,0)*Table_NFI[[#This Row],[Plastic Bucket]],Table_NFI[Plastic Bucket])</f>
        <v>0</v>
      </c>
      <c r="AF580" s="436">
        <f>IF(NFI_Expiration=1,IF($A580&lt;VLOOKUP(Q$5,NFI,5,0),1,0)*Table_NFI[[#This Row],[Plastic Mat]],Table_NFI[Plastic Mat])*IF(Table_NFI[[#This Row],[Distribution Date]]&gt;"2014-04-01",1,2.5)</f>
        <v>0</v>
      </c>
      <c r="AG580" s="436">
        <f>IF(NFI_Expiration=1,IF($A580&lt;VLOOKUP(R$5,NFI,5,0),1,0)*Table_NFI[[#This Row],[Winter Clothes Adult]],Table_NFI[Winter Clothes Adult])</f>
        <v>0</v>
      </c>
      <c r="AH580" s="436">
        <f>IF(NFI_Expiration=1,IF($A580&lt;VLOOKUP(S$5,NFI,5,0),1,0)*Table_NFI[[#This Row],[Winter Clothes Children]],Table_NFI[Winter Clothes Children])</f>
        <v>0</v>
      </c>
      <c r="AI580" s="436">
        <f>IF(NFI_Expiration=1,IF($A580&lt;VLOOKUP(T$5,NFI,5,0),1,0)*Table_NFI[[#This Row],[Winter Items Other]],Table_NFI[Winter Items Other])</f>
        <v>0</v>
      </c>
      <c r="AJ580" s="436">
        <f>IF(NFI_Expiration=1,IF($A580&lt;VLOOKUP(M$5,NFI,5,0),1,0)*Table_NFI[[#This Row],[Winter Blanket]],Table_NFI[[#This Row],[Winter Blanket]])</f>
        <v>0</v>
      </c>
      <c r="AK580" s="436">
        <f>IF(Table_NFI[[#This Row],[Winter Clothes Adult]]+Table_NFI[[#This Row],[Winter Clothes Children]]+Table_NFI[[#This Row],[Winter Items Other]]+Table_NFI[[#This Row],[Winter Blanket]]&gt;0,1,0)</f>
        <v>0</v>
      </c>
      <c r="AL580" s="439">
        <f>IF(NFI_Expiration=1,IF($A580&lt;VLOOKUP(V$5,NFI,5,0),1,0)*Table_NFI[[#This Row],[Jerry Can]],Table_NFI[Jerry Can])</f>
        <v>0</v>
      </c>
      <c r="AM580" s="781" t="str">
        <f>IFERROR(VLOOKUP(Table_NFI[[#This Row],[Camp Name]],CL,2,0),"")</f>
        <v>MMR001CMP190</v>
      </c>
      <c r="AN580" s="782">
        <f ca="1">IF(Table_NFI[[#This Row],[Pcode]]="","",IF(OFFSET(CampList[Opening Date],MATCH(Table_NFI[[#This Row],[Pcode]],CampList[CP_Pcode],0)-1,0,1,1)&gt;=NFI_Monitor_Date,1,0))</f>
        <v>0</v>
      </c>
      <c r="AO580" s="781" t="str">
        <f>IFERROR(VLOOKUP(Table_NFI[[#This Row],[Camp Name]],CL,3,0),"")</f>
        <v>Open</v>
      </c>
      <c r="AP580" s="436" t="str">
        <f ca="1">IF(Table_NFI[[#This Row],[Pcode]]="","",OFFSET(CampList[Priority],MATCH(Table_NFI[[#This Row],[Pcode]],CampList[CP_Pcode],0)-1,0,1,1))</f>
        <v>P4</v>
      </c>
      <c r="AQ580" s="438">
        <f>IFERROR(Table_NFI[[#This Row],[Kitchen Set]]/VLOOKUP(Table_NFI[[#This Row],[Camp Name]],CL,4,0),"")</f>
        <v>2</v>
      </c>
      <c r="AR580" s="779" t="s">
        <v>1099</v>
      </c>
      <c r="AS580" s="783"/>
    </row>
    <row r="581" spans="1:45" x14ac:dyDescent="0.25">
      <c r="A581" s="455">
        <f t="shared" si="8"/>
        <v>32.799999999999997</v>
      </c>
      <c r="B581" s="778">
        <v>41325</v>
      </c>
      <c r="C581" s="779" t="s">
        <v>454</v>
      </c>
      <c r="D581" s="779" t="s">
        <v>454</v>
      </c>
      <c r="E581" s="779" t="s">
        <v>380</v>
      </c>
      <c r="F581" s="779" t="s">
        <v>529</v>
      </c>
      <c r="G581" s="435" t="s">
        <v>50</v>
      </c>
      <c r="H581" s="436"/>
      <c r="I581" s="436"/>
      <c r="J581" s="436">
        <v>18</v>
      </c>
      <c r="K581" s="436">
        <v>0</v>
      </c>
      <c r="L581" s="437">
        <v>0</v>
      </c>
      <c r="M581" s="437">
        <v>0</v>
      </c>
      <c r="N581" s="437">
        <v>0</v>
      </c>
      <c r="O581" s="437">
        <v>0</v>
      </c>
      <c r="P581" s="439"/>
      <c r="Q581" s="439"/>
      <c r="R581" s="436"/>
      <c r="S581" s="436"/>
      <c r="T581" s="436"/>
      <c r="U581" s="436"/>
      <c r="V581" s="436"/>
      <c r="W581" s="436">
        <f>IF(NFI_Expiration=1,IF($A581&lt;VLOOKUP(H$5,NFI,5,0),1,0)*Table_NFI[[#This Row],[Hygiene Kit]],Table_NFI[Hygiene Kit])</f>
        <v>0</v>
      </c>
      <c r="X581" s="436">
        <f>IF(NFI_Expiration=1,IF($A581&lt;VLOOKUP(I$5,NFI,5,0),1,0)*Table_NFI[[#This Row],[NFI Core Kit]],Table_NFI[NFI Core Kit])</f>
        <v>0</v>
      </c>
      <c r="Y581" s="436">
        <f>IF(NFI_Expiration=1,IF($A581&lt;VLOOKUP(J$5,NFI,5,0),1,0)*Table_NFI[[#This Row],[Sanitary Kit]],Table_NFI[Sanitary Kit])</f>
        <v>0</v>
      </c>
      <c r="Z581" s="436">
        <f>IF(NFI_Expiration=1,IF($A581&lt;VLOOKUP(K$5,NFI,5,0),1,0)*Table_NFI[[#This Row],[Mosquito net]],Table_NFI[Mosquito net])</f>
        <v>0</v>
      </c>
      <c r="AA581" s="436">
        <f>IF(NFI_Expiration=1,IF($A581&lt;VLOOKUP(L$5,NFI,5,0),1,0)*Table_NFI[[#This Row],[Tarpaulin]],Table_NFI[[#This Row],[Tarpaulin]])</f>
        <v>0</v>
      </c>
      <c r="AB581" s="436">
        <f>IF(NFI_Expiration=1,IF($A581&lt;VLOOKUP(M$5,NFI,5,0),1,0)*Table_NFI[[#This Row],[Blanket]],Table_NFI[[#This Row],[Blanket]])</f>
        <v>0</v>
      </c>
      <c r="AC581" s="436">
        <f>IF(NFI_Expiration=1,IF($A581&lt;VLOOKUP(N$5,NFI,5,0),1,0)*Table_NFI[[#This Row],[Kitchen Set]],Table_NFI[Kitchen Set])</f>
        <v>0</v>
      </c>
      <c r="AD581" s="436">
        <f>IF(NFI_Expiration=1,IF($A581&lt;VLOOKUP(O$5,NFI,5,0),1,0)*Table_NFI[[#This Row],[Clothes Kit]],Table_NFI[Clothes Kit])</f>
        <v>0</v>
      </c>
      <c r="AE581" s="436">
        <f>IF(NFI_Expiration=1,IF($A581&lt;VLOOKUP(P$5,NFI,5,0),1,0)*Table_NFI[[#This Row],[Plastic Bucket]],Table_NFI[Plastic Bucket])</f>
        <v>0</v>
      </c>
      <c r="AF581" s="436">
        <f>IF(NFI_Expiration=1,IF($A581&lt;VLOOKUP(Q$5,NFI,5,0),1,0)*Table_NFI[[#This Row],[Plastic Mat]],Table_NFI[Plastic Mat])*IF(Table_NFI[[#This Row],[Distribution Date]]&gt;"2014-04-01",1,2.5)</f>
        <v>0</v>
      </c>
      <c r="AG581" s="436">
        <f>IF(NFI_Expiration=1,IF($A581&lt;VLOOKUP(R$5,NFI,5,0),1,0)*Table_NFI[[#This Row],[Winter Clothes Adult]],Table_NFI[Winter Clothes Adult])</f>
        <v>0</v>
      </c>
      <c r="AH581" s="436">
        <f>IF(NFI_Expiration=1,IF($A581&lt;VLOOKUP(S$5,NFI,5,0),1,0)*Table_NFI[[#This Row],[Winter Clothes Children]],Table_NFI[Winter Clothes Children])</f>
        <v>0</v>
      </c>
      <c r="AI581" s="436">
        <f>IF(NFI_Expiration=1,IF($A581&lt;VLOOKUP(T$5,NFI,5,0),1,0)*Table_NFI[[#This Row],[Winter Items Other]],Table_NFI[Winter Items Other])</f>
        <v>0</v>
      </c>
      <c r="AJ581" s="436">
        <f>IF(NFI_Expiration=1,IF($A581&lt;VLOOKUP(M$5,NFI,5,0),1,0)*Table_NFI[[#This Row],[Winter Blanket]],Table_NFI[[#This Row],[Winter Blanket]])</f>
        <v>0</v>
      </c>
      <c r="AK581" s="436">
        <f>IF(Table_NFI[[#This Row],[Winter Clothes Adult]]+Table_NFI[[#This Row],[Winter Clothes Children]]+Table_NFI[[#This Row],[Winter Items Other]]+Table_NFI[[#This Row],[Winter Blanket]]&gt;0,1,0)</f>
        <v>0</v>
      </c>
      <c r="AL581" s="439">
        <f>IF(NFI_Expiration=1,IF($A581&lt;VLOOKUP(V$5,NFI,5,0),1,0)*Table_NFI[[#This Row],[Jerry Can]],Table_NFI[Jerry Can])</f>
        <v>0</v>
      </c>
      <c r="AM581" s="781" t="str">
        <f>IFERROR(VLOOKUP(Table_NFI[[#This Row],[Camp Name]],CL,2,0),"")</f>
        <v>MMR001CMP092</v>
      </c>
      <c r="AN581" s="782">
        <f ca="1">IF(Table_NFI[[#This Row],[Pcode]]="","",IF(OFFSET(CampList[Opening Date],MATCH(Table_NFI[[#This Row],[Pcode]],CampList[CP_Pcode],0)-1,0,1,1)&gt;=NFI_Monitor_Date,1,0))</f>
        <v>0</v>
      </c>
      <c r="AO581" s="781" t="str">
        <f>IFERROR(VLOOKUP(Table_NFI[[#This Row],[Camp Name]],CL,3,0),"")</f>
        <v>Closed</v>
      </c>
      <c r="AP581" s="436" t="str">
        <f ca="1">IF(Table_NFI[[#This Row],[Pcode]]="","",OFFSET(CampList[Priority],MATCH(Table_NFI[[#This Row],[Pcode]],CampList[CP_Pcode],0)-1,0,1,1))</f>
        <v/>
      </c>
      <c r="AQ581" s="438" t="str">
        <f>IFERROR(Table_NFI[[#This Row],[Kitchen Set]]/VLOOKUP(Table_NFI[[#This Row],[Camp Name]],CL,4,0),"")</f>
        <v/>
      </c>
      <c r="AR581" s="779" t="s">
        <v>1099</v>
      </c>
      <c r="AS581" s="783"/>
    </row>
    <row r="582" spans="1:45" x14ac:dyDescent="0.25">
      <c r="A582" s="455">
        <f t="shared" ref="A582:A645" si="9">IF(ISBLANK(B582),"",(Report_Date-B582)/30)</f>
        <v>32.799999999999997</v>
      </c>
      <c r="B582" s="778">
        <v>41325</v>
      </c>
      <c r="C582" s="779" t="s">
        <v>454</v>
      </c>
      <c r="D582" s="779" t="s">
        <v>454</v>
      </c>
      <c r="E582" s="779" t="s">
        <v>380</v>
      </c>
      <c r="F582" s="435" t="s">
        <v>529</v>
      </c>
      <c r="G582" s="435" t="s">
        <v>70</v>
      </c>
      <c r="H582" s="436"/>
      <c r="I582" s="436"/>
      <c r="J582" s="436">
        <v>13</v>
      </c>
      <c r="K582" s="436">
        <v>28</v>
      </c>
      <c r="L582" s="437">
        <v>15</v>
      </c>
      <c r="M582" s="437">
        <v>28</v>
      </c>
      <c r="N582" s="437">
        <v>15</v>
      </c>
      <c r="O582" s="437">
        <v>15</v>
      </c>
      <c r="P582" s="439">
        <v>15</v>
      </c>
      <c r="Q582" s="439">
        <v>15</v>
      </c>
      <c r="R582" s="436"/>
      <c r="S582" s="436"/>
      <c r="T582" s="436"/>
      <c r="U582" s="436"/>
      <c r="V582" s="436"/>
      <c r="W582" s="436">
        <f>IF(NFI_Expiration=1,IF($A582&lt;VLOOKUP(H$5,NFI,5,0),1,0)*Table_NFI[[#This Row],[Hygiene Kit]],Table_NFI[Hygiene Kit])</f>
        <v>0</v>
      </c>
      <c r="X582" s="436">
        <f>IF(NFI_Expiration=1,IF($A582&lt;VLOOKUP(I$5,NFI,5,0),1,0)*Table_NFI[[#This Row],[NFI Core Kit]],Table_NFI[NFI Core Kit])</f>
        <v>0</v>
      </c>
      <c r="Y582" s="436">
        <f>IF(NFI_Expiration=1,IF($A582&lt;VLOOKUP(J$5,NFI,5,0),1,0)*Table_NFI[[#This Row],[Sanitary Kit]],Table_NFI[Sanitary Kit])</f>
        <v>0</v>
      </c>
      <c r="Z582" s="436">
        <f>IF(NFI_Expiration=1,IF($A582&lt;VLOOKUP(K$5,NFI,5,0),1,0)*Table_NFI[[#This Row],[Mosquito net]],Table_NFI[Mosquito net])</f>
        <v>0</v>
      </c>
      <c r="AA582" s="436">
        <f>IF(NFI_Expiration=1,IF($A582&lt;VLOOKUP(L$5,NFI,5,0),1,0)*Table_NFI[[#This Row],[Tarpaulin]],Table_NFI[[#This Row],[Tarpaulin]])</f>
        <v>0</v>
      </c>
      <c r="AB582" s="436">
        <f>IF(NFI_Expiration=1,IF($A582&lt;VLOOKUP(M$5,NFI,5,0),1,0)*Table_NFI[[#This Row],[Blanket]],Table_NFI[[#This Row],[Blanket]])</f>
        <v>0</v>
      </c>
      <c r="AC582" s="436">
        <f>IF(NFI_Expiration=1,IF($A582&lt;VLOOKUP(N$5,NFI,5,0),1,0)*Table_NFI[[#This Row],[Kitchen Set]],Table_NFI[Kitchen Set])</f>
        <v>0</v>
      </c>
      <c r="AD582" s="436">
        <f>IF(NFI_Expiration=1,IF($A582&lt;VLOOKUP(O$5,NFI,5,0),1,0)*Table_NFI[[#This Row],[Clothes Kit]],Table_NFI[Clothes Kit])</f>
        <v>0</v>
      </c>
      <c r="AE582" s="436">
        <f>IF(NFI_Expiration=1,IF($A582&lt;VLOOKUP(P$5,NFI,5,0),1,0)*Table_NFI[[#This Row],[Plastic Bucket]],Table_NFI[Plastic Bucket])</f>
        <v>0</v>
      </c>
      <c r="AF582" s="436">
        <f>IF(NFI_Expiration=1,IF($A582&lt;VLOOKUP(Q$5,NFI,5,0),1,0)*Table_NFI[[#This Row],[Plastic Mat]],Table_NFI[Plastic Mat])*IF(Table_NFI[[#This Row],[Distribution Date]]&gt;"2014-04-01",1,2.5)</f>
        <v>0</v>
      </c>
      <c r="AG582" s="436">
        <f>IF(NFI_Expiration=1,IF($A582&lt;VLOOKUP(R$5,NFI,5,0),1,0)*Table_NFI[[#This Row],[Winter Clothes Adult]],Table_NFI[Winter Clothes Adult])</f>
        <v>0</v>
      </c>
      <c r="AH582" s="436">
        <f>IF(NFI_Expiration=1,IF($A582&lt;VLOOKUP(S$5,NFI,5,0),1,0)*Table_NFI[[#This Row],[Winter Clothes Children]],Table_NFI[Winter Clothes Children])</f>
        <v>0</v>
      </c>
      <c r="AI582" s="436">
        <f>IF(NFI_Expiration=1,IF($A582&lt;VLOOKUP(T$5,NFI,5,0),1,0)*Table_NFI[[#This Row],[Winter Items Other]],Table_NFI[Winter Items Other])</f>
        <v>0</v>
      </c>
      <c r="AJ582" s="436">
        <f>IF(NFI_Expiration=1,IF($A582&lt;VLOOKUP(M$5,NFI,5,0),1,0)*Table_NFI[[#This Row],[Winter Blanket]],Table_NFI[[#This Row],[Winter Blanket]])</f>
        <v>0</v>
      </c>
      <c r="AK582" s="436">
        <f>IF(Table_NFI[[#This Row],[Winter Clothes Adult]]+Table_NFI[[#This Row],[Winter Clothes Children]]+Table_NFI[[#This Row],[Winter Items Other]]+Table_NFI[[#This Row],[Winter Blanket]]&gt;0,1,0)</f>
        <v>0</v>
      </c>
      <c r="AL582" s="439">
        <f>IF(NFI_Expiration=1,IF($A582&lt;VLOOKUP(V$5,NFI,5,0),1,0)*Table_NFI[[#This Row],[Jerry Can]],Table_NFI[Jerry Can])</f>
        <v>0</v>
      </c>
      <c r="AM582" s="781" t="str">
        <f>IFERROR(VLOOKUP(Table_NFI[[#This Row],[Camp Name]],CL,2,0),"")</f>
        <v>MMR001CMP086</v>
      </c>
      <c r="AN582" s="782">
        <f ca="1">IF(Table_NFI[[#This Row],[Pcode]]="","",IF(OFFSET(CampList[Opening Date],MATCH(Table_NFI[[#This Row],[Pcode]],CampList[CP_Pcode],0)-1,0,1,1)&gt;=NFI_Monitor_Date,1,0))</f>
        <v>0</v>
      </c>
      <c r="AO582" s="781" t="str">
        <f>IFERROR(VLOOKUP(Table_NFI[[#This Row],[Camp Name]],CL,3,0),"")</f>
        <v>Closed</v>
      </c>
      <c r="AP582" s="436" t="str">
        <f ca="1">IF(Table_NFI[[#This Row],[Pcode]]="","",OFFSET(CampList[Priority],MATCH(Table_NFI[[#This Row],[Pcode]],CampList[CP_Pcode],0)-1,0,1,1))</f>
        <v/>
      </c>
      <c r="AQ582" s="438" t="str">
        <f>IFERROR(Table_NFI[[#This Row],[Kitchen Set]]/VLOOKUP(Table_NFI[[#This Row],[Camp Name]],CL,4,0),"")</f>
        <v/>
      </c>
      <c r="AR582" s="779" t="s">
        <v>1099</v>
      </c>
      <c r="AS582" s="783"/>
    </row>
    <row r="583" spans="1:45" x14ac:dyDescent="0.25">
      <c r="A583" s="455">
        <f t="shared" si="9"/>
        <v>32.799999999999997</v>
      </c>
      <c r="B583" s="778">
        <v>41325</v>
      </c>
      <c r="C583" s="779" t="s">
        <v>454</v>
      </c>
      <c r="D583" s="779" t="s">
        <v>454</v>
      </c>
      <c r="E583" s="779" t="s">
        <v>380</v>
      </c>
      <c r="F583" s="435" t="s">
        <v>529</v>
      </c>
      <c r="G583" s="435" t="s">
        <v>92</v>
      </c>
      <c r="H583" s="436"/>
      <c r="I583" s="436"/>
      <c r="J583" s="436">
        <v>12</v>
      </c>
      <c r="K583" s="436">
        <v>20</v>
      </c>
      <c r="L583" s="437">
        <v>8</v>
      </c>
      <c r="M583" s="437">
        <v>20</v>
      </c>
      <c r="N583" s="437">
        <v>8</v>
      </c>
      <c r="O583" s="437">
        <v>8</v>
      </c>
      <c r="P583" s="439">
        <v>8</v>
      </c>
      <c r="Q583" s="439">
        <v>8</v>
      </c>
      <c r="R583" s="436"/>
      <c r="S583" s="436"/>
      <c r="T583" s="436"/>
      <c r="U583" s="436"/>
      <c r="V583" s="436"/>
      <c r="W583" s="436">
        <f>IF(NFI_Expiration=1,IF($A583&lt;VLOOKUP(H$5,NFI,5,0),1,0)*Table_NFI[[#This Row],[Hygiene Kit]],Table_NFI[Hygiene Kit])</f>
        <v>0</v>
      </c>
      <c r="X583" s="436">
        <f>IF(NFI_Expiration=1,IF($A583&lt;VLOOKUP(I$5,NFI,5,0),1,0)*Table_NFI[[#This Row],[NFI Core Kit]],Table_NFI[NFI Core Kit])</f>
        <v>0</v>
      </c>
      <c r="Y583" s="436">
        <f>IF(NFI_Expiration=1,IF($A583&lt;VLOOKUP(J$5,NFI,5,0),1,0)*Table_NFI[[#This Row],[Sanitary Kit]],Table_NFI[Sanitary Kit])</f>
        <v>0</v>
      </c>
      <c r="Z583" s="436">
        <f>IF(NFI_Expiration=1,IF($A583&lt;VLOOKUP(K$5,NFI,5,0),1,0)*Table_NFI[[#This Row],[Mosquito net]],Table_NFI[Mosquito net])</f>
        <v>0</v>
      </c>
      <c r="AA583" s="436">
        <f>IF(NFI_Expiration=1,IF($A583&lt;VLOOKUP(L$5,NFI,5,0),1,0)*Table_NFI[[#This Row],[Tarpaulin]],Table_NFI[[#This Row],[Tarpaulin]])</f>
        <v>0</v>
      </c>
      <c r="AB583" s="436">
        <f>IF(NFI_Expiration=1,IF($A583&lt;VLOOKUP(M$5,NFI,5,0),1,0)*Table_NFI[[#This Row],[Blanket]],Table_NFI[[#This Row],[Blanket]])</f>
        <v>0</v>
      </c>
      <c r="AC583" s="436">
        <f>IF(NFI_Expiration=1,IF($A583&lt;VLOOKUP(N$5,NFI,5,0),1,0)*Table_NFI[[#This Row],[Kitchen Set]],Table_NFI[Kitchen Set])</f>
        <v>0</v>
      </c>
      <c r="AD583" s="436">
        <f>IF(NFI_Expiration=1,IF($A583&lt;VLOOKUP(O$5,NFI,5,0),1,0)*Table_NFI[[#This Row],[Clothes Kit]],Table_NFI[Clothes Kit])</f>
        <v>0</v>
      </c>
      <c r="AE583" s="436">
        <f>IF(NFI_Expiration=1,IF($A583&lt;VLOOKUP(P$5,NFI,5,0),1,0)*Table_NFI[[#This Row],[Plastic Bucket]],Table_NFI[Plastic Bucket])</f>
        <v>0</v>
      </c>
      <c r="AF583" s="436">
        <f>IF(NFI_Expiration=1,IF($A583&lt;VLOOKUP(Q$5,NFI,5,0),1,0)*Table_NFI[[#This Row],[Plastic Mat]],Table_NFI[Plastic Mat])*IF(Table_NFI[[#This Row],[Distribution Date]]&gt;"2014-04-01",1,2.5)</f>
        <v>0</v>
      </c>
      <c r="AG583" s="436">
        <f>IF(NFI_Expiration=1,IF($A583&lt;VLOOKUP(R$5,NFI,5,0),1,0)*Table_NFI[[#This Row],[Winter Clothes Adult]],Table_NFI[Winter Clothes Adult])</f>
        <v>0</v>
      </c>
      <c r="AH583" s="436">
        <f>IF(NFI_Expiration=1,IF($A583&lt;VLOOKUP(S$5,NFI,5,0),1,0)*Table_NFI[[#This Row],[Winter Clothes Children]],Table_NFI[Winter Clothes Children])</f>
        <v>0</v>
      </c>
      <c r="AI583" s="436">
        <f>IF(NFI_Expiration=1,IF($A583&lt;VLOOKUP(T$5,NFI,5,0),1,0)*Table_NFI[[#This Row],[Winter Items Other]],Table_NFI[Winter Items Other])</f>
        <v>0</v>
      </c>
      <c r="AJ583" s="436">
        <f>IF(NFI_Expiration=1,IF($A583&lt;VLOOKUP(M$5,NFI,5,0),1,0)*Table_NFI[[#This Row],[Winter Blanket]],Table_NFI[[#This Row],[Winter Blanket]])</f>
        <v>0</v>
      </c>
      <c r="AK583" s="436">
        <f>IF(Table_NFI[[#This Row],[Winter Clothes Adult]]+Table_NFI[[#This Row],[Winter Clothes Children]]+Table_NFI[[#This Row],[Winter Items Other]]+Table_NFI[[#This Row],[Winter Blanket]]&gt;0,1,0)</f>
        <v>0</v>
      </c>
      <c r="AL583" s="439">
        <f>IF(NFI_Expiration=1,IF($A583&lt;VLOOKUP(V$5,NFI,5,0),1,0)*Table_NFI[[#This Row],[Jerry Can]],Table_NFI[Jerry Can])</f>
        <v>0</v>
      </c>
      <c r="AM583" s="781" t="str">
        <f>IFERROR(VLOOKUP(Table_NFI[[#This Row],[Camp Name]],CL,2,0),"")</f>
        <v>MMR001CMP167</v>
      </c>
      <c r="AN583" s="782">
        <f ca="1">IF(Table_NFI[[#This Row],[Pcode]]="","",IF(OFFSET(CampList[Opening Date],MATCH(Table_NFI[[#This Row],[Pcode]],CampList[CP_Pcode],0)-1,0,1,1)&gt;=NFI_Monitor_Date,1,0))</f>
        <v>0</v>
      </c>
      <c r="AO583" s="781" t="str">
        <f>IFERROR(VLOOKUP(Table_NFI[[#This Row],[Camp Name]],CL,3,0),"")</f>
        <v>Open</v>
      </c>
      <c r="AP583" s="436" t="str">
        <f ca="1">IF(Table_NFI[[#This Row],[Pcode]]="","",OFFSET(CampList[Priority],MATCH(Table_NFI[[#This Row],[Pcode]],CampList[CP_Pcode],0)-1,0,1,1))</f>
        <v>P4</v>
      </c>
      <c r="AQ583" s="438">
        <f>IFERROR(Table_NFI[[#This Row],[Kitchen Set]]/VLOOKUP(Table_NFI[[#This Row],[Camp Name]],CL,4,0),"")</f>
        <v>0.53333333333333333</v>
      </c>
      <c r="AR583" s="779" t="s">
        <v>1099</v>
      </c>
      <c r="AS583" s="783"/>
    </row>
    <row r="584" spans="1:45" x14ac:dyDescent="0.25">
      <c r="A584" s="455">
        <f t="shared" si="9"/>
        <v>32.799999999999997</v>
      </c>
      <c r="B584" s="778">
        <v>41325</v>
      </c>
      <c r="C584" s="779" t="s">
        <v>454</v>
      </c>
      <c r="D584" s="780" t="s">
        <v>454</v>
      </c>
      <c r="E584" s="779" t="s">
        <v>380</v>
      </c>
      <c r="F584" s="435" t="s">
        <v>529</v>
      </c>
      <c r="G584" s="435" t="s">
        <v>54</v>
      </c>
      <c r="H584" s="436"/>
      <c r="I584" s="436"/>
      <c r="J584" s="436">
        <v>74</v>
      </c>
      <c r="K584" s="436">
        <v>0</v>
      </c>
      <c r="L584" s="437">
        <v>0</v>
      </c>
      <c r="M584" s="437">
        <v>0</v>
      </c>
      <c r="N584" s="437">
        <v>0</v>
      </c>
      <c r="O584" s="437">
        <v>0</v>
      </c>
      <c r="P584" s="437"/>
      <c r="Q584" s="437"/>
      <c r="R584" s="436"/>
      <c r="S584" s="436"/>
      <c r="T584" s="436"/>
      <c r="U584" s="436"/>
      <c r="V584" s="436"/>
      <c r="W584" s="436">
        <f>IF(NFI_Expiration=1,IF($A584&lt;VLOOKUP(H$5,NFI,5,0),1,0)*Table_NFI[[#This Row],[Hygiene Kit]],Table_NFI[Hygiene Kit])</f>
        <v>0</v>
      </c>
      <c r="X584" s="436">
        <f>IF(NFI_Expiration=1,IF($A584&lt;VLOOKUP(I$5,NFI,5,0),1,0)*Table_NFI[[#This Row],[NFI Core Kit]],Table_NFI[NFI Core Kit])</f>
        <v>0</v>
      </c>
      <c r="Y584" s="436">
        <f>IF(NFI_Expiration=1,IF($A584&lt;VLOOKUP(J$5,NFI,5,0),1,0)*Table_NFI[[#This Row],[Sanitary Kit]],Table_NFI[Sanitary Kit])</f>
        <v>0</v>
      </c>
      <c r="Z584" s="436">
        <f>IF(NFI_Expiration=1,IF($A584&lt;VLOOKUP(K$5,NFI,5,0),1,0)*Table_NFI[[#This Row],[Mosquito net]],Table_NFI[Mosquito net])</f>
        <v>0</v>
      </c>
      <c r="AA584" s="436">
        <f>IF(NFI_Expiration=1,IF($A584&lt;VLOOKUP(L$5,NFI,5,0),1,0)*Table_NFI[[#This Row],[Tarpaulin]],Table_NFI[[#This Row],[Tarpaulin]])</f>
        <v>0</v>
      </c>
      <c r="AB584" s="436">
        <f>IF(NFI_Expiration=1,IF($A584&lt;VLOOKUP(M$5,NFI,5,0),1,0)*Table_NFI[[#This Row],[Blanket]],Table_NFI[[#This Row],[Blanket]])</f>
        <v>0</v>
      </c>
      <c r="AC584" s="436">
        <f>IF(NFI_Expiration=1,IF($A584&lt;VLOOKUP(N$5,NFI,5,0),1,0)*Table_NFI[[#This Row],[Kitchen Set]],Table_NFI[Kitchen Set])</f>
        <v>0</v>
      </c>
      <c r="AD584" s="436">
        <f>IF(NFI_Expiration=1,IF($A584&lt;VLOOKUP(O$5,NFI,5,0),1,0)*Table_NFI[[#This Row],[Clothes Kit]],Table_NFI[Clothes Kit])</f>
        <v>0</v>
      </c>
      <c r="AE584" s="436">
        <f>IF(NFI_Expiration=1,IF($A584&lt;VLOOKUP(P$5,NFI,5,0),1,0)*Table_NFI[[#This Row],[Plastic Bucket]],Table_NFI[Plastic Bucket])</f>
        <v>0</v>
      </c>
      <c r="AF584" s="436">
        <f>IF(NFI_Expiration=1,IF($A584&lt;VLOOKUP(Q$5,NFI,5,0),1,0)*Table_NFI[[#This Row],[Plastic Mat]],Table_NFI[Plastic Mat])*IF(Table_NFI[[#This Row],[Distribution Date]]&gt;"2014-04-01",1,2.5)</f>
        <v>0</v>
      </c>
      <c r="AG584" s="436">
        <f>IF(NFI_Expiration=1,IF($A584&lt;VLOOKUP(R$5,NFI,5,0),1,0)*Table_NFI[[#This Row],[Winter Clothes Adult]],Table_NFI[Winter Clothes Adult])</f>
        <v>0</v>
      </c>
      <c r="AH584" s="436">
        <f>IF(NFI_Expiration=1,IF($A584&lt;VLOOKUP(S$5,NFI,5,0),1,0)*Table_NFI[[#This Row],[Winter Clothes Children]],Table_NFI[Winter Clothes Children])</f>
        <v>0</v>
      </c>
      <c r="AI584" s="436">
        <f>IF(NFI_Expiration=1,IF($A584&lt;VLOOKUP(T$5,NFI,5,0),1,0)*Table_NFI[[#This Row],[Winter Items Other]],Table_NFI[Winter Items Other])</f>
        <v>0</v>
      </c>
      <c r="AJ584" s="436">
        <f>IF(NFI_Expiration=1,IF($A584&lt;VLOOKUP(M$5,NFI,5,0),1,0)*Table_NFI[[#This Row],[Winter Blanket]],Table_NFI[[#This Row],[Winter Blanket]])</f>
        <v>0</v>
      </c>
      <c r="AK584" s="436">
        <f>IF(Table_NFI[[#This Row],[Winter Clothes Adult]]+Table_NFI[[#This Row],[Winter Clothes Children]]+Table_NFI[[#This Row],[Winter Items Other]]+Table_NFI[[#This Row],[Winter Blanket]]&gt;0,1,0)</f>
        <v>0</v>
      </c>
      <c r="AL584" s="439">
        <f>IF(NFI_Expiration=1,IF($A584&lt;VLOOKUP(V$5,NFI,5,0),1,0)*Table_NFI[[#This Row],[Jerry Can]],Table_NFI[Jerry Can])</f>
        <v>0</v>
      </c>
      <c r="AM584" s="781" t="str">
        <f>IFERROR(VLOOKUP(Table_NFI[[#This Row],[Camp Name]],CL,2,0),"")</f>
        <v>MMR001CMP094</v>
      </c>
      <c r="AN584" s="782">
        <f ca="1">IF(Table_NFI[[#This Row],[Pcode]]="","",IF(OFFSET(CampList[Opening Date],MATCH(Table_NFI[[#This Row],[Pcode]],CampList[CP_Pcode],0)-1,0,1,1)&gt;=NFI_Monitor_Date,1,0))</f>
        <v>0</v>
      </c>
      <c r="AO584" s="781" t="str">
        <f>IFERROR(VLOOKUP(Table_NFI[[#This Row],[Camp Name]],CL,3,0),"")</f>
        <v>Closed</v>
      </c>
      <c r="AP584" s="436" t="str">
        <f ca="1">IF(Table_NFI[[#This Row],[Pcode]]="","",OFFSET(CampList[Priority],MATCH(Table_NFI[[#This Row],[Pcode]],CampList[CP_Pcode],0)-1,0,1,1))</f>
        <v/>
      </c>
      <c r="AQ584" s="438" t="str">
        <f>IFERROR(Table_NFI[[#This Row],[Kitchen Set]]/VLOOKUP(Table_NFI[[#This Row],[Camp Name]],CL,4,0),"")</f>
        <v/>
      </c>
      <c r="AR584" s="779" t="s">
        <v>1099</v>
      </c>
      <c r="AS584" s="783"/>
    </row>
    <row r="585" spans="1:45" x14ac:dyDescent="0.25">
      <c r="A585" s="455">
        <f t="shared" si="9"/>
        <v>32.799999999999997</v>
      </c>
      <c r="B585" s="778">
        <v>41325</v>
      </c>
      <c r="C585" s="779" t="s">
        <v>454</v>
      </c>
      <c r="D585" s="780" t="s">
        <v>454</v>
      </c>
      <c r="E585" s="779" t="s">
        <v>380</v>
      </c>
      <c r="F585" s="435" t="s">
        <v>529</v>
      </c>
      <c r="G585" s="435" t="s">
        <v>66</v>
      </c>
      <c r="H585" s="436"/>
      <c r="I585" s="436"/>
      <c r="J585" s="436">
        <v>16</v>
      </c>
      <c r="K585" s="436">
        <v>26</v>
      </c>
      <c r="L585" s="437">
        <v>13</v>
      </c>
      <c r="M585" s="437">
        <v>26</v>
      </c>
      <c r="N585" s="437">
        <v>13</v>
      </c>
      <c r="O585" s="437">
        <v>13</v>
      </c>
      <c r="P585" s="437">
        <v>13</v>
      </c>
      <c r="Q585" s="437">
        <v>13</v>
      </c>
      <c r="R585" s="436"/>
      <c r="S585" s="436"/>
      <c r="T585" s="436"/>
      <c r="U585" s="436"/>
      <c r="V585" s="436"/>
      <c r="W585" s="436">
        <f>IF(NFI_Expiration=1,IF($A585&lt;VLOOKUP(H$5,NFI,5,0),1,0)*Table_NFI[[#This Row],[Hygiene Kit]],Table_NFI[Hygiene Kit])</f>
        <v>0</v>
      </c>
      <c r="X585" s="436">
        <f>IF(NFI_Expiration=1,IF($A585&lt;VLOOKUP(I$5,NFI,5,0),1,0)*Table_NFI[[#This Row],[NFI Core Kit]],Table_NFI[NFI Core Kit])</f>
        <v>0</v>
      </c>
      <c r="Y585" s="436">
        <f>IF(NFI_Expiration=1,IF($A585&lt;VLOOKUP(J$5,NFI,5,0),1,0)*Table_NFI[[#This Row],[Sanitary Kit]],Table_NFI[Sanitary Kit])</f>
        <v>0</v>
      </c>
      <c r="Z585" s="436">
        <f>IF(NFI_Expiration=1,IF($A585&lt;VLOOKUP(K$5,NFI,5,0),1,0)*Table_NFI[[#This Row],[Mosquito net]],Table_NFI[Mosquito net])</f>
        <v>0</v>
      </c>
      <c r="AA585" s="436">
        <f>IF(NFI_Expiration=1,IF($A585&lt;VLOOKUP(L$5,NFI,5,0),1,0)*Table_NFI[[#This Row],[Tarpaulin]],Table_NFI[[#This Row],[Tarpaulin]])</f>
        <v>0</v>
      </c>
      <c r="AB585" s="436">
        <f>IF(NFI_Expiration=1,IF($A585&lt;VLOOKUP(M$5,NFI,5,0),1,0)*Table_NFI[[#This Row],[Blanket]],Table_NFI[[#This Row],[Blanket]])</f>
        <v>0</v>
      </c>
      <c r="AC585" s="436">
        <f>IF(NFI_Expiration=1,IF($A585&lt;VLOOKUP(N$5,NFI,5,0),1,0)*Table_NFI[[#This Row],[Kitchen Set]],Table_NFI[Kitchen Set])</f>
        <v>0</v>
      </c>
      <c r="AD585" s="436">
        <f>IF(NFI_Expiration=1,IF($A585&lt;VLOOKUP(O$5,NFI,5,0),1,0)*Table_NFI[[#This Row],[Clothes Kit]],Table_NFI[Clothes Kit])</f>
        <v>0</v>
      </c>
      <c r="AE585" s="436">
        <f>IF(NFI_Expiration=1,IF($A585&lt;VLOOKUP(P$5,NFI,5,0),1,0)*Table_NFI[[#This Row],[Plastic Bucket]],Table_NFI[Plastic Bucket])</f>
        <v>0</v>
      </c>
      <c r="AF585" s="436">
        <f>IF(NFI_Expiration=1,IF($A585&lt;VLOOKUP(Q$5,NFI,5,0),1,0)*Table_NFI[[#This Row],[Plastic Mat]],Table_NFI[Plastic Mat])*IF(Table_NFI[[#This Row],[Distribution Date]]&gt;"2014-04-01",1,2.5)</f>
        <v>0</v>
      </c>
      <c r="AG585" s="436">
        <f>IF(NFI_Expiration=1,IF($A585&lt;VLOOKUP(R$5,NFI,5,0),1,0)*Table_NFI[[#This Row],[Winter Clothes Adult]],Table_NFI[Winter Clothes Adult])</f>
        <v>0</v>
      </c>
      <c r="AH585" s="436">
        <f>IF(NFI_Expiration=1,IF($A585&lt;VLOOKUP(S$5,NFI,5,0),1,0)*Table_NFI[[#This Row],[Winter Clothes Children]],Table_NFI[Winter Clothes Children])</f>
        <v>0</v>
      </c>
      <c r="AI585" s="436">
        <f>IF(NFI_Expiration=1,IF($A585&lt;VLOOKUP(T$5,NFI,5,0),1,0)*Table_NFI[[#This Row],[Winter Items Other]],Table_NFI[Winter Items Other])</f>
        <v>0</v>
      </c>
      <c r="AJ585" s="436">
        <f>IF(NFI_Expiration=1,IF($A585&lt;VLOOKUP(M$5,NFI,5,0),1,0)*Table_NFI[[#This Row],[Winter Blanket]],Table_NFI[[#This Row],[Winter Blanket]])</f>
        <v>0</v>
      </c>
      <c r="AK585" s="436">
        <f>IF(Table_NFI[[#This Row],[Winter Clothes Adult]]+Table_NFI[[#This Row],[Winter Clothes Children]]+Table_NFI[[#This Row],[Winter Items Other]]+Table_NFI[[#This Row],[Winter Blanket]]&gt;0,1,0)</f>
        <v>0</v>
      </c>
      <c r="AL585" s="439">
        <f>IF(NFI_Expiration=1,IF($A585&lt;VLOOKUP(V$5,NFI,5,0),1,0)*Table_NFI[[#This Row],[Jerry Can]],Table_NFI[Jerry Can])</f>
        <v>0</v>
      </c>
      <c r="AM585" s="781" t="str">
        <f>IFERROR(VLOOKUP(Table_NFI[[#This Row],[Camp Name]],CL,2,0),"")</f>
        <v>MMR001CMP093</v>
      </c>
      <c r="AN585" s="782">
        <f ca="1">IF(Table_NFI[[#This Row],[Pcode]]="","",IF(OFFSET(CampList[Opening Date],MATCH(Table_NFI[[#This Row],[Pcode]],CampList[CP_Pcode],0)-1,0,1,1)&gt;=NFI_Monitor_Date,1,0))</f>
        <v>0</v>
      </c>
      <c r="AO585" s="781" t="str">
        <f>IFERROR(VLOOKUP(Table_NFI[[#This Row],[Camp Name]],CL,3,0),"")</f>
        <v>Closed</v>
      </c>
      <c r="AP585" s="436" t="str">
        <f ca="1">IF(Table_NFI[[#This Row],[Pcode]]="","",OFFSET(CampList[Priority],MATCH(Table_NFI[[#This Row],[Pcode]],CampList[CP_Pcode],0)-1,0,1,1))</f>
        <v/>
      </c>
      <c r="AQ585" s="438" t="str">
        <f>IFERROR(Table_NFI[[#This Row],[Kitchen Set]]/VLOOKUP(Table_NFI[[#This Row],[Camp Name]],CL,4,0),"")</f>
        <v/>
      </c>
      <c r="AR585" s="779" t="s">
        <v>1099</v>
      </c>
      <c r="AS585" s="783"/>
    </row>
    <row r="586" spans="1:45" x14ac:dyDescent="0.25">
      <c r="A586" s="455">
        <f t="shared" si="9"/>
        <v>32.799999999999997</v>
      </c>
      <c r="B586" s="778">
        <v>41325</v>
      </c>
      <c r="C586" s="779" t="s">
        <v>454</v>
      </c>
      <c r="D586" s="779" t="s">
        <v>454</v>
      </c>
      <c r="E586" s="779" t="s">
        <v>380</v>
      </c>
      <c r="F586" s="779" t="s">
        <v>529</v>
      </c>
      <c r="G586" s="435" t="s">
        <v>84</v>
      </c>
      <c r="H586" s="436"/>
      <c r="I586" s="436"/>
      <c r="J586" s="436">
        <v>85</v>
      </c>
      <c r="K586" s="436">
        <v>138</v>
      </c>
      <c r="L586" s="437">
        <v>65</v>
      </c>
      <c r="M586" s="437">
        <v>138</v>
      </c>
      <c r="N586" s="437">
        <v>65</v>
      </c>
      <c r="O586" s="437">
        <v>65</v>
      </c>
      <c r="P586" s="437">
        <v>65</v>
      </c>
      <c r="Q586" s="437">
        <v>65</v>
      </c>
      <c r="R586" s="436"/>
      <c r="S586" s="436"/>
      <c r="T586" s="436"/>
      <c r="U586" s="436"/>
      <c r="V586" s="436"/>
      <c r="W586" s="436">
        <f>IF(NFI_Expiration=1,IF($A586&lt;VLOOKUP(H$5,NFI,5,0),1,0)*Table_NFI[[#This Row],[Hygiene Kit]],Table_NFI[Hygiene Kit])</f>
        <v>0</v>
      </c>
      <c r="X586" s="436">
        <f>IF(NFI_Expiration=1,IF($A586&lt;VLOOKUP(I$5,NFI,5,0),1,0)*Table_NFI[[#This Row],[NFI Core Kit]],Table_NFI[NFI Core Kit])</f>
        <v>0</v>
      </c>
      <c r="Y586" s="436">
        <f>IF(NFI_Expiration=1,IF($A586&lt;VLOOKUP(J$5,NFI,5,0),1,0)*Table_NFI[[#This Row],[Sanitary Kit]],Table_NFI[Sanitary Kit])</f>
        <v>0</v>
      </c>
      <c r="Z586" s="436">
        <f>IF(NFI_Expiration=1,IF($A586&lt;VLOOKUP(K$5,NFI,5,0),1,0)*Table_NFI[[#This Row],[Mosquito net]],Table_NFI[Mosquito net])</f>
        <v>0</v>
      </c>
      <c r="AA586" s="436">
        <f>IF(NFI_Expiration=1,IF($A586&lt;VLOOKUP(L$5,NFI,5,0),1,0)*Table_NFI[[#This Row],[Tarpaulin]],Table_NFI[[#This Row],[Tarpaulin]])</f>
        <v>0</v>
      </c>
      <c r="AB586" s="436">
        <f>IF(NFI_Expiration=1,IF($A586&lt;VLOOKUP(M$5,NFI,5,0),1,0)*Table_NFI[[#This Row],[Blanket]],Table_NFI[[#This Row],[Blanket]])</f>
        <v>0</v>
      </c>
      <c r="AC586" s="436">
        <f>IF(NFI_Expiration=1,IF($A586&lt;VLOOKUP(N$5,NFI,5,0),1,0)*Table_NFI[[#This Row],[Kitchen Set]],Table_NFI[Kitchen Set])</f>
        <v>0</v>
      </c>
      <c r="AD586" s="436">
        <f>IF(NFI_Expiration=1,IF($A586&lt;VLOOKUP(O$5,NFI,5,0),1,0)*Table_NFI[[#This Row],[Clothes Kit]],Table_NFI[Clothes Kit])</f>
        <v>0</v>
      </c>
      <c r="AE586" s="436">
        <f>IF(NFI_Expiration=1,IF($A586&lt;VLOOKUP(P$5,NFI,5,0),1,0)*Table_NFI[[#This Row],[Plastic Bucket]],Table_NFI[Plastic Bucket])</f>
        <v>0</v>
      </c>
      <c r="AF586" s="436">
        <f>IF(NFI_Expiration=1,IF($A586&lt;VLOOKUP(Q$5,NFI,5,0),1,0)*Table_NFI[[#This Row],[Plastic Mat]],Table_NFI[Plastic Mat])*IF(Table_NFI[[#This Row],[Distribution Date]]&gt;"2014-04-01",1,2.5)</f>
        <v>0</v>
      </c>
      <c r="AG586" s="436">
        <f>IF(NFI_Expiration=1,IF($A586&lt;VLOOKUP(R$5,NFI,5,0),1,0)*Table_NFI[[#This Row],[Winter Clothes Adult]],Table_NFI[Winter Clothes Adult])</f>
        <v>0</v>
      </c>
      <c r="AH586" s="436">
        <f>IF(NFI_Expiration=1,IF($A586&lt;VLOOKUP(S$5,NFI,5,0),1,0)*Table_NFI[[#This Row],[Winter Clothes Children]],Table_NFI[Winter Clothes Children])</f>
        <v>0</v>
      </c>
      <c r="AI586" s="436">
        <f>IF(NFI_Expiration=1,IF($A586&lt;VLOOKUP(T$5,NFI,5,0),1,0)*Table_NFI[[#This Row],[Winter Items Other]],Table_NFI[Winter Items Other])</f>
        <v>0</v>
      </c>
      <c r="AJ586" s="436">
        <f>IF(NFI_Expiration=1,IF($A586&lt;VLOOKUP(M$5,NFI,5,0),1,0)*Table_NFI[[#This Row],[Winter Blanket]],Table_NFI[[#This Row],[Winter Blanket]])</f>
        <v>0</v>
      </c>
      <c r="AK586" s="436">
        <f>IF(Table_NFI[[#This Row],[Winter Clothes Adult]]+Table_NFI[[#This Row],[Winter Clothes Children]]+Table_NFI[[#This Row],[Winter Items Other]]+Table_NFI[[#This Row],[Winter Blanket]]&gt;0,1,0)</f>
        <v>0</v>
      </c>
      <c r="AL586" s="439">
        <f>IF(NFI_Expiration=1,IF($A586&lt;VLOOKUP(V$5,NFI,5,0),1,0)*Table_NFI[[#This Row],[Jerry Can]],Table_NFI[Jerry Can])</f>
        <v>0</v>
      </c>
      <c r="AM586" s="781" t="str">
        <f>IFERROR(VLOOKUP(Table_NFI[[#This Row],[Camp Name]],CL,2,0),"")</f>
        <v>MMR001CMP085</v>
      </c>
      <c r="AN586" s="782">
        <f ca="1">IF(Table_NFI[[#This Row],[Pcode]]="","",IF(OFFSET(CampList[Opening Date],MATCH(Table_NFI[[#This Row],[Pcode]],CampList[CP_Pcode],0)-1,0,1,1)&gt;=NFI_Monitor_Date,1,0))</f>
        <v>0</v>
      </c>
      <c r="AO586" s="781" t="str">
        <f>IFERROR(VLOOKUP(Table_NFI[[#This Row],[Camp Name]],CL,3,0),"")</f>
        <v>Closed</v>
      </c>
      <c r="AP586" s="436" t="str">
        <f ca="1">IF(Table_NFI[[#This Row],[Pcode]]="","",OFFSET(CampList[Priority],MATCH(Table_NFI[[#This Row],[Pcode]],CampList[CP_Pcode],0)-1,0,1,1))</f>
        <v/>
      </c>
      <c r="AQ586" s="438" t="str">
        <f>IFERROR(Table_NFI[[#This Row],[Kitchen Set]]/VLOOKUP(Table_NFI[[#This Row],[Camp Name]],CL,4,0),"")</f>
        <v/>
      </c>
      <c r="AR586" s="779" t="s">
        <v>1099</v>
      </c>
      <c r="AS586" s="783"/>
    </row>
    <row r="587" spans="1:45" x14ac:dyDescent="0.25">
      <c r="A587" s="455">
        <f t="shared" si="9"/>
        <v>32.799999999999997</v>
      </c>
      <c r="B587" s="778">
        <v>41325</v>
      </c>
      <c r="C587" s="779" t="s">
        <v>454</v>
      </c>
      <c r="D587" s="780" t="s">
        <v>454</v>
      </c>
      <c r="E587" s="779" t="s">
        <v>380</v>
      </c>
      <c r="F587" s="435" t="s">
        <v>529</v>
      </c>
      <c r="G587" s="435" t="s">
        <v>108</v>
      </c>
      <c r="H587" s="436"/>
      <c r="I587" s="441"/>
      <c r="J587" s="434">
        <v>35</v>
      </c>
      <c r="K587" s="434">
        <v>0</v>
      </c>
      <c r="L587" s="434">
        <v>0</v>
      </c>
      <c r="M587" s="434">
        <v>0</v>
      </c>
      <c r="N587" s="434">
        <v>0</v>
      </c>
      <c r="O587" s="434">
        <v>0</v>
      </c>
      <c r="P587" s="437"/>
      <c r="Q587" s="437"/>
      <c r="R587" s="436"/>
      <c r="S587" s="436"/>
      <c r="T587" s="436"/>
      <c r="U587" s="436"/>
      <c r="V587" s="436"/>
      <c r="W587" s="436">
        <f>IF(NFI_Expiration=1,IF($A587&lt;VLOOKUP(H$5,NFI,5,0),1,0)*Table_NFI[[#This Row],[Hygiene Kit]],Table_NFI[Hygiene Kit])</f>
        <v>0</v>
      </c>
      <c r="X587" s="436">
        <f>IF(NFI_Expiration=1,IF($A587&lt;VLOOKUP(I$5,NFI,5,0),1,0)*Table_NFI[[#This Row],[NFI Core Kit]],Table_NFI[NFI Core Kit])</f>
        <v>0</v>
      </c>
      <c r="Y587" s="436">
        <f>IF(NFI_Expiration=1,IF($A587&lt;VLOOKUP(J$5,NFI,5,0),1,0)*Table_NFI[[#This Row],[Sanitary Kit]],Table_NFI[Sanitary Kit])</f>
        <v>0</v>
      </c>
      <c r="Z587" s="436">
        <f>IF(NFI_Expiration=1,IF($A587&lt;VLOOKUP(K$5,NFI,5,0),1,0)*Table_NFI[[#This Row],[Mosquito net]],Table_NFI[Mosquito net])</f>
        <v>0</v>
      </c>
      <c r="AA587" s="436">
        <f>IF(NFI_Expiration=1,IF($A587&lt;VLOOKUP(L$5,NFI,5,0),1,0)*Table_NFI[[#This Row],[Tarpaulin]],Table_NFI[[#This Row],[Tarpaulin]])</f>
        <v>0</v>
      </c>
      <c r="AB587" s="436">
        <f>IF(NFI_Expiration=1,IF($A587&lt;VLOOKUP(M$5,NFI,5,0),1,0)*Table_NFI[[#This Row],[Blanket]],Table_NFI[[#This Row],[Blanket]])</f>
        <v>0</v>
      </c>
      <c r="AC587" s="436">
        <f>IF(NFI_Expiration=1,IF($A587&lt;VLOOKUP(N$5,NFI,5,0),1,0)*Table_NFI[[#This Row],[Kitchen Set]],Table_NFI[Kitchen Set])</f>
        <v>0</v>
      </c>
      <c r="AD587" s="436">
        <f>IF(NFI_Expiration=1,IF($A587&lt;VLOOKUP(O$5,NFI,5,0),1,0)*Table_NFI[[#This Row],[Clothes Kit]],Table_NFI[Clothes Kit])</f>
        <v>0</v>
      </c>
      <c r="AE587" s="436">
        <f>IF(NFI_Expiration=1,IF($A587&lt;VLOOKUP(P$5,NFI,5,0),1,0)*Table_NFI[[#This Row],[Plastic Bucket]],Table_NFI[Plastic Bucket])</f>
        <v>0</v>
      </c>
      <c r="AF587" s="436">
        <f>IF(NFI_Expiration=1,IF($A587&lt;VLOOKUP(Q$5,NFI,5,0),1,0)*Table_NFI[[#This Row],[Plastic Mat]],Table_NFI[Plastic Mat])*IF(Table_NFI[[#This Row],[Distribution Date]]&gt;"2014-04-01",1,2.5)</f>
        <v>0</v>
      </c>
      <c r="AG587" s="436">
        <f>IF(NFI_Expiration=1,IF($A587&lt;VLOOKUP(R$5,NFI,5,0),1,0)*Table_NFI[[#This Row],[Winter Clothes Adult]],Table_NFI[Winter Clothes Adult])</f>
        <v>0</v>
      </c>
      <c r="AH587" s="436">
        <f>IF(NFI_Expiration=1,IF($A587&lt;VLOOKUP(S$5,NFI,5,0),1,0)*Table_NFI[[#This Row],[Winter Clothes Children]],Table_NFI[Winter Clothes Children])</f>
        <v>0</v>
      </c>
      <c r="AI587" s="436">
        <f>IF(NFI_Expiration=1,IF($A587&lt;VLOOKUP(T$5,NFI,5,0),1,0)*Table_NFI[[#This Row],[Winter Items Other]],Table_NFI[Winter Items Other])</f>
        <v>0</v>
      </c>
      <c r="AJ587" s="436">
        <f>IF(NFI_Expiration=1,IF($A587&lt;VLOOKUP(M$5,NFI,5,0),1,0)*Table_NFI[[#This Row],[Winter Blanket]],Table_NFI[[#This Row],[Winter Blanket]])</f>
        <v>0</v>
      </c>
      <c r="AK587" s="436">
        <f>IF(Table_NFI[[#This Row],[Winter Clothes Adult]]+Table_NFI[[#This Row],[Winter Clothes Children]]+Table_NFI[[#This Row],[Winter Items Other]]+Table_NFI[[#This Row],[Winter Blanket]]&gt;0,1,0)</f>
        <v>0</v>
      </c>
      <c r="AL587" s="439">
        <f>IF(NFI_Expiration=1,IF($A587&lt;VLOOKUP(V$5,NFI,5,0),1,0)*Table_NFI[[#This Row],[Jerry Can]],Table_NFI[Jerry Can])</f>
        <v>0</v>
      </c>
      <c r="AM587" s="781" t="str">
        <f>IFERROR(VLOOKUP(Table_NFI[[#This Row],[Camp Name]],CL,2,0),"")</f>
        <v>MMR001CMP103</v>
      </c>
      <c r="AN587" s="782">
        <f ca="1">IF(Table_NFI[[#This Row],[Pcode]]="","",IF(OFFSET(CampList[Opening Date],MATCH(Table_NFI[[#This Row],[Pcode]],CampList[CP_Pcode],0)-1,0,1,1)&gt;=NFI_Monitor_Date,1,0))</f>
        <v>0</v>
      </c>
      <c r="AO587" s="781" t="str">
        <f>IFERROR(VLOOKUP(Table_NFI[[#This Row],[Camp Name]],CL,3,0),"")</f>
        <v>Open</v>
      </c>
      <c r="AP587" s="436" t="str">
        <f ca="1">IF(Table_NFI[[#This Row],[Pcode]]="","",OFFSET(CampList[Priority],MATCH(Table_NFI[[#This Row],[Pcode]],CampList[CP_Pcode],0)-1,0,1,1))</f>
        <v>P4</v>
      </c>
      <c r="AQ587" s="438">
        <f>IFERROR(Table_NFI[[#This Row],[Kitchen Set]]/VLOOKUP(Table_NFI[[#This Row],[Camp Name]],CL,4,0),"")</f>
        <v>0</v>
      </c>
      <c r="AR587" s="779" t="s">
        <v>1099</v>
      </c>
      <c r="AS587" s="783"/>
    </row>
    <row r="588" spans="1:45" x14ac:dyDescent="0.25">
      <c r="A588" s="455">
        <f t="shared" si="9"/>
        <v>32.799999999999997</v>
      </c>
      <c r="B588" s="778">
        <v>41325</v>
      </c>
      <c r="C588" s="779" t="s">
        <v>454</v>
      </c>
      <c r="D588" s="780" t="s">
        <v>454</v>
      </c>
      <c r="E588" s="779" t="s">
        <v>380</v>
      </c>
      <c r="F588" s="435" t="s">
        <v>529</v>
      </c>
      <c r="G588" s="435" t="s">
        <v>108</v>
      </c>
      <c r="H588" s="436"/>
      <c r="I588" s="441"/>
      <c r="J588" s="434">
        <v>32</v>
      </c>
      <c r="K588" s="434">
        <v>64</v>
      </c>
      <c r="L588" s="434">
        <v>33</v>
      </c>
      <c r="M588" s="434">
        <v>64</v>
      </c>
      <c r="N588" s="434">
        <v>33</v>
      </c>
      <c r="O588" s="434">
        <v>33</v>
      </c>
      <c r="P588" s="437">
        <v>33</v>
      </c>
      <c r="Q588" s="437">
        <v>33</v>
      </c>
      <c r="R588" s="436"/>
      <c r="S588" s="436"/>
      <c r="T588" s="436"/>
      <c r="U588" s="436"/>
      <c r="V588" s="436"/>
      <c r="W588" s="436">
        <f>IF(NFI_Expiration=1,IF($A588&lt;VLOOKUP(H$5,NFI,5,0),1,0)*Table_NFI[[#This Row],[Hygiene Kit]],Table_NFI[Hygiene Kit])</f>
        <v>0</v>
      </c>
      <c r="X588" s="436">
        <f>IF(NFI_Expiration=1,IF($A588&lt;VLOOKUP(I$5,NFI,5,0),1,0)*Table_NFI[[#This Row],[NFI Core Kit]],Table_NFI[NFI Core Kit])</f>
        <v>0</v>
      </c>
      <c r="Y588" s="436">
        <f>IF(NFI_Expiration=1,IF($A588&lt;VLOOKUP(J$5,NFI,5,0),1,0)*Table_NFI[[#This Row],[Sanitary Kit]],Table_NFI[Sanitary Kit])</f>
        <v>0</v>
      </c>
      <c r="Z588" s="436">
        <f>IF(NFI_Expiration=1,IF($A588&lt;VLOOKUP(K$5,NFI,5,0),1,0)*Table_NFI[[#This Row],[Mosquito net]],Table_NFI[Mosquito net])</f>
        <v>0</v>
      </c>
      <c r="AA588" s="436">
        <f>IF(NFI_Expiration=1,IF($A588&lt;VLOOKUP(L$5,NFI,5,0),1,0)*Table_NFI[[#This Row],[Tarpaulin]],Table_NFI[[#This Row],[Tarpaulin]])</f>
        <v>0</v>
      </c>
      <c r="AB588" s="436">
        <f>IF(NFI_Expiration=1,IF($A588&lt;VLOOKUP(M$5,NFI,5,0),1,0)*Table_NFI[[#This Row],[Blanket]],Table_NFI[[#This Row],[Blanket]])</f>
        <v>0</v>
      </c>
      <c r="AC588" s="436">
        <f>IF(NFI_Expiration=1,IF($A588&lt;VLOOKUP(N$5,NFI,5,0),1,0)*Table_NFI[[#This Row],[Kitchen Set]],Table_NFI[Kitchen Set])</f>
        <v>0</v>
      </c>
      <c r="AD588" s="436">
        <f>IF(NFI_Expiration=1,IF($A588&lt;VLOOKUP(O$5,NFI,5,0),1,0)*Table_NFI[[#This Row],[Clothes Kit]],Table_NFI[Clothes Kit])</f>
        <v>0</v>
      </c>
      <c r="AE588" s="436">
        <f>IF(NFI_Expiration=1,IF($A588&lt;VLOOKUP(P$5,NFI,5,0),1,0)*Table_NFI[[#This Row],[Plastic Bucket]],Table_NFI[Plastic Bucket])</f>
        <v>0</v>
      </c>
      <c r="AF588" s="436">
        <f>IF(NFI_Expiration=1,IF($A588&lt;VLOOKUP(Q$5,NFI,5,0),1,0)*Table_NFI[[#This Row],[Plastic Mat]],Table_NFI[Plastic Mat])*IF(Table_NFI[[#This Row],[Distribution Date]]&gt;"2014-04-01",1,2.5)</f>
        <v>0</v>
      </c>
      <c r="AG588" s="436">
        <f>IF(NFI_Expiration=1,IF($A588&lt;VLOOKUP(R$5,NFI,5,0),1,0)*Table_NFI[[#This Row],[Winter Clothes Adult]],Table_NFI[Winter Clothes Adult])</f>
        <v>0</v>
      </c>
      <c r="AH588" s="436">
        <f>IF(NFI_Expiration=1,IF($A588&lt;VLOOKUP(S$5,NFI,5,0),1,0)*Table_NFI[[#This Row],[Winter Clothes Children]],Table_NFI[Winter Clothes Children])</f>
        <v>0</v>
      </c>
      <c r="AI588" s="436">
        <f>IF(NFI_Expiration=1,IF($A588&lt;VLOOKUP(T$5,NFI,5,0),1,0)*Table_NFI[[#This Row],[Winter Items Other]],Table_NFI[Winter Items Other])</f>
        <v>0</v>
      </c>
      <c r="AJ588" s="436">
        <f>IF(NFI_Expiration=1,IF($A588&lt;VLOOKUP(M$5,NFI,5,0),1,0)*Table_NFI[[#This Row],[Winter Blanket]],Table_NFI[[#This Row],[Winter Blanket]])</f>
        <v>0</v>
      </c>
      <c r="AK588" s="436">
        <f>IF(Table_NFI[[#This Row],[Winter Clothes Adult]]+Table_NFI[[#This Row],[Winter Clothes Children]]+Table_NFI[[#This Row],[Winter Items Other]]+Table_NFI[[#This Row],[Winter Blanket]]&gt;0,1,0)</f>
        <v>0</v>
      </c>
      <c r="AL588" s="439">
        <f>IF(NFI_Expiration=1,IF($A588&lt;VLOOKUP(V$5,NFI,5,0),1,0)*Table_NFI[[#This Row],[Jerry Can]],Table_NFI[Jerry Can])</f>
        <v>0</v>
      </c>
      <c r="AM588" s="781" t="str">
        <f>IFERROR(VLOOKUP(Table_NFI[[#This Row],[Camp Name]],CL,2,0),"")</f>
        <v>MMR001CMP103</v>
      </c>
      <c r="AN588" s="782">
        <f ca="1">IF(Table_NFI[[#This Row],[Pcode]]="","",IF(OFFSET(CampList[Opening Date],MATCH(Table_NFI[[#This Row],[Pcode]],CampList[CP_Pcode],0)-1,0,1,1)&gt;=NFI_Monitor_Date,1,0))</f>
        <v>0</v>
      </c>
      <c r="AO588" s="781" t="str">
        <f>IFERROR(VLOOKUP(Table_NFI[[#This Row],[Camp Name]],CL,3,0),"")</f>
        <v>Open</v>
      </c>
      <c r="AP588" s="436" t="str">
        <f ca="1">IF(Table_NFI[[#This Row],[Pcode]]="","",OFFSET(CampList[Priority],MATCH(Table_NFI[[#This Row],[Pcode]],CampList[CP_Pcode],0)-1,0,1,1))</f>
        <v>P4</v>
      </c>
      <c r="AQ588" s="438">
        <f>IFERROR(Table_NFI[[#This Row],[Kitchen Set]]/VLOOKUP(Table_NFI[[#This Row],[Camp Name]],CL,4,0),"")</f>
        <v>0.61111111111111116</v>
      </c>
      <c r="AR588" s="779" t="s">
        <v>1099</v>
      </c>
      <c r="AS588" s="783"/>
    </row>
    <row r="589" spans="1:45" x14ac:dyDescent="0.25">
      <c r="A589" s="455">
        <f t="shared" si="9"/>
        <v>32.799999999999997</v>
      </c>
      <c r="B589" s="778">
        <v>41325</v>
      </c>
      <c r="C589" s="779" t="s">
        <v>454</v>
      </c>
      <c r="D589" s="780" t="s">
        <v>454</v>
      </c>
      <c r="E589" s="779" t="s">
        <v>380</v>
      </c>
      <c r="F589" s="435" t="s">
        <v>529</v>
      </c>
      <c r="G589" s="435" t="s">
        <v>110</v>
      </c>
      <c r="H589" s="436"/>
      <c r="I589" s="436"/>
      <c r="J589" s="436">
        <v>175</v>
      </c>
      <c r="K589" s="436">
        <v>0</v>
      </c>
      <c r="L589" s="437">
        <v>0</v>
      </c>
      <c r="M589" s="437">
        <v>0</v>
      </c>
      <c r="N589" s="437">
        <v>0</v>
      </c>
      <c r="O589" s="437">
        <v>0</v>
      </c>
      <c r="P589" s="437"/>
      <c r="Q589" s="437"/>
      <c r="R589" s="436"/>
      <c r="S589" s="436"/>
      <c r="T589" s="436"/>
      <c r="U589" s="436"/>
      <c r="V589" s="436"/>
      <c r="W589" s="436">
        <f>IF(NFI_Expiration=1,IF($A589&lt;VLOOKUP(H$5,NFI,5,0),1,0)*Table_NFI[[#This Row],[Hygiene Kit]],Table_NFI[Hygiene Kit])</f>
        <v>0</v>
      </c>
      <c r="X589" s="436">
        <f>IF(NFI_Expiration=1,IF($A589&lt;VLOOKUP(I$5,NFI,5,0),1,0)*Table_NFI[[#This Row],[NFI Core Kit]],Table_NFI[NFI Core Kit])</f>
        <v>0</v>
      </c>
      <c r="Y589" s="436">
        <f>IF(NFI_Expiration=1,IF($A589&lt;VLOOKUP(J$5,NFI,5,0),1,0)*Table_NFI[[#This Row],[Sanitary Kit]],Table_NFI[Sanitary Kit])</f>
        <v>0</v>
      </c>
      <c r="Z589" s="436">
        <f>IF(NFI_Expiration=1,IF($A589&lt;VLOOKUP(K$5,NFI,5,0),1,0)*Table_NFI[[#This Row],[Mosquito net]],Table_NFI[Mosquito net])</f>
        <v>0</v>
      </c>
      <c r="AA589" s="436">
        <f>IF(NFI_Expiration=1,IF($A589&lt;VLOOKUP(L$5,NFI,5,0),1,0)*Table_NFI[[#This Row],[Tarpaulin]],Table_NFI[[#This Row],[Tarpaulin]])</f>
        <v>0</v>
      </c>
      <c r="AB589" s="436">
        <f>IF(NFI_Expiration=1,IF($A589&lt;VLOOKUP(M$5,NFI,5,0),1,0)*Table_NFI[[#This Row],[Blanket]],Table_NFI[[#This Row],[Blanket]])</f>
        <v>0</v>
      </c>
      <c r="AC589" s="436">
        <f>IF(NFI_Expiration=1,IF($A589&lt;VLOOKUP(N$5,NFI,5,0),1,0)*Table_NFI[[#This Row],[Kitchen Set]],Table_NFI[Kitchen Set])</f>
        <v>0</v>
      </c>
      <c r="AD589" s="436">
        <f>IF(NFI_Expiration=1,IF($A589&lt;VLOOKUP(O$5,NFI,5,0),1,0)*Table_NFI[[#This Row],[Clothes Kit]],Table_NFI[Clothes Kit])</f>
        <v>0</v>
      </c>
      <c r="AE589" s="436">
        <f>IF(NFI_Expiration=1,IF($A589&lt;VLOOKUP(P$5,NFI,5,0),1,0)*Table_NFI[[#This Row],[Plastic Bucket]],Table_NFI[Plastic Bucket])</f>
        <v>0</v>
      </c>
      <c r="AF589" s="436">
        <f>IF(NFI_Expiration=1,IF($A589&lt;VLOOKUP(Q$5,NFI,5,0),1,0)*Table_NFI[[#This Row],[Plastic Mat]],Table_NFI[Plastic Mat])*IF(Table_NFI[[#This Row],[Distribution Date]]&gt;"2014-04-01",1,2.5)</f>
        <v>0</v>
      </c>
      <c r="AG589" s="436">
        <f>IF(NFI_Expiration=1,IF($A589&lt;VLOOKUP(R$5,NFI,5,0),1,0)*Table_NFI[[#This Row],[Winter Clothes Adult]],Table_NFI[Winter Clothes Adult])</f>
        <v>0</v>
      </c>
      <c r="AH589" s="436">
        <f>IF(NFI_Expiration=1,IF($A589&lt;VLOOKUP(S$5,NFI,5,0),1,0)*Table_NFI[[#This Row],[Winter Clothes Children]],Table_NFI[Winter Clothes Children])</f>
        <v>0</v>
      </c>
      <c r="AI589" s="436">
        <f>IF(NFI_Expiration=1,IF($A589&lt;VLOOKUP(T$5,NFI,5,0),1,0)*Table_NFI[[#This Row],[Winter Items Other]],Table_NFI[Winter Items Other])</f>
        <v>0</v>
      </c>
      <c r="AJ589" s="436">
        <f>IF(NFI_Expiration=1,IF($A589&lt;VLOOKUP(M$5,NFI,5,0),1,0)*Table_NFI[[#This Row],[Winter Blanket]],Table_NFI[[#This Row],[Winter Blanket]])</f>
        <v>0</v>
      </c>
      <c r="AK589" s="436">
        <f>IF(Table_NFI[[#This Row],[Winter Clothes Adult]]+Table_NFI[[#This Row],[Winter Clothes Children]]+Table_NFI[[#This Row],[Winter Items Other]]+Table_NFI[[#This Row],[Winter Blanket]]&gt;0,1,0)</f>
        <v>0</v>
      </c>
      <c r="AL589" s="439">
        <f>IF(NFI_Expiration=1,IF($A589&lt;VLOOKUP(V$5,NFI,5,0),1,0)*Table_NFI[[#This Row],[Jerry Can]],Table_NFI[Jerry Can])</f>
        <v>0</v>
      </c>
      <c r="AM589" s="781" t="str">
        <f>IFERROR(VLOOKUP(Table_NFI[[#This Row],[Camp Name]],CL,2,0),"")</f>
        <v>MMR001CMP082</v>
      </c>
      <c r="AN589" s="782">
        <f ca="1">IF(Table_NFI[[#This Row],[Pcode]]="","",IF(OFFSET(CampList[Opening Date],MATCH(Table_NFI[[#This Row],[Pcode]],CampList[CP_Pcode],0)-1,0,1,1)&gt;=NFI_Monitor_Date,1,0))</f>
        <v>0</v>
      </c>
      <c r="AO589" s="781" t="str">
        <f>IFERROR(VLOOKUP(Table_NFI[[#This Row],[Camp Name]],CL,3,0),"")</f>
        <v>Closed</v>
      </c>
      <c r="AP589" s="436" t="str">
        <f ca="1">IF(Table_NFI[[#This Row],[Pcode]]="","",OFFSET(CampList[Priority],MATCH(Table_NFI[[#This Row],[Pcode]],CampList[CP_Pcode],0)-1,0,1,1))</f>
        <v/>
      </c>
      <c r="AQ589" s="438" t="str">
        <f>IFERROR(Table_NFI[[#This Row],[Kitchen Set]]/VLOOKUP(Table_NFI[[#This Row],[Camp Name]],CL,4,0),"")</f>
        <v/>
      </c>
      <c r="AR589" s="779" t="s">
        <v>1099</v>
      </c>
      <c r="AS589" s="783"/>
    </row>
    <row r="590" spans="1:45" x14ac:dyDescent="0.25">
      <c r="A590" s="455">
        <f t="shared" si="9"/>
        <v>32.799999999999997</v>
      </c>
      <c r="B590" s="778">
        <v>41325</v>
      </c>
      <c r="C590" s="779" t="s">
        <v>454</v>
      </c>
      <c r="D590" s="779" t="s">
        <v>454</v>
      </c>
      <c r="E590" s="779" t="s">
        <v>380</v>
      </c>
      <c r="F590" s="779" t="s">
        <v>529</v>
      </c>
      <c r="G590" s="435" t="s">
        <v>112</v>
      </c>
      <c r="H590" s="436"/>
      <c r="I590" s="436"/>
      <c r="J590" s="436">
        <v>38</v>
      </c>
      <c r="K590" s="436">
        <v>89</v>
      </c>
      <c r="L590" s="437">
        <v>44</v>
      </c>
      <c r="M590" s="437">
        <v>89</v>
      </c>
      <c r="N590" s="437">
        <v>44</v>
      </c>
      <c r="O590" s="437">
        <v>44</v>
      </c>
      <c r="P590" s="437">
        <v>44</v>
      </c>
      <c r="Q590" s="437">
        <v>44</v>
      </c>
      <c r="R590" s="436"/>
      <c r="S590" s="436"/>
      <c r="T590" s="436"/>
      <c r="U590" s="436"/>
      <c r="V590" s="436"/>
      <c r="W590" s="436">
        <f>IF(NFI_Expiration=1,IF($A590&lt;VLOOKUP(H$5,NFI,5,0),1,0)*Table_NFI[[#This Row],[Hygiene Kit]],Table_NFI[Hygiene Kit])</f>
        <v>0</v>
      </c>
      <c r="X590" s="436">
        <f>IF(NFI_Expiration=1,IF($A590&lt;VLOOKUP(I$5,NFI,5,0),1,0)*Table_NFI[[#This Row],[NFI Core Kit]],Table_NFI[NFI Core Kit])</f>
        <v>0</v>
      </c>
      <c r="Y590" s="436">
        <f>IF(NFI_Expiration=1,IF($A590&lt;VLOOKUP(J$5,NFI,5,0),1,0)*Table_NFI[[#This Row],[Sanitary Kit]],Table_NFI[Sanitary Kit])</f>
        <v>0</v>
      </c>
      <c r="Z590" s="436">
        <f>IF(NFI_Expiration=1,IF($A590&lt;VLOOKUP(K$5,NFI,5,0),1,0)*Table_NFI[[#This Row],[Mosquito net]],Table_NFI[Mosquito net])</f>
        <v>0</v>
      </c>
      <c r="AA590" s="436">
        <f>IF(NFI_Expiration=1,IF($A590&lt;VLOOKUP(L$5,NFI,5,0),1,0)*Table_NFI[[#This Row],[Tarpaulin]],Table_NFI[[#This Row],[Tarpaulin]])</f>
        <v>0</v>
      </c>
      <c r="AB590" s="436">
        <f>IF(NFI_Expiration=1,IF($A590&lt;VLOOKUP(M$5,NFI,5,0),1,0)*Table_NFI[[#This Row],[Blanket]],Table_NFI[[#This Row],[Blanket]])</f>
        <v>0</v>
      </c>
      <c r="AC590" s="436">
        <f>IF(NFI_Expiration=1,IF($A590&lt;VLOOKUP(N$5,NFI,5,0),1,0)*Table_NFI[[#This Row],[Kitchen Set]],Table_NFI[Kitchen Set])</f>
        <v>0</v>
      </c>
      <c r="AD590" s="436">
        <f>IF(NFI_Expiration=1,IF($A590&lt;VLOOKUP(O$5,NFI,5,0),1,0)*Table_NFI[[#This Row],[Clothes Kit]],Table_NFI[Clothes Kit])</f>
        <v>0</v>
      </c>
      <c r="AE590" s="436">
        <f>IF(NFI_Expiration=1,IF($A590&lt;VLOOKUP(P$5,NFI,5,0),1,0)*Table_NFI[[#This Row],[Plastic Bucket]],Table_NFI[Plastic Bucket])</f>
        <v>0</v>
      </c>
      <c r="AF590" s="436">
        <f>IF(NFI_Expiration=1,IF($A590&lt;VLOOKUP(Q$5,NFI,5,0),1,0)*Table_NFI[[#This Row],[Plastic Mat]],Table_NFI[Plastic Mat])*IF(Table_NFI[[#This Row],[Distribution Date]]&gt;"2014-04-01",1,2.5)</f>
        <v>0</v>
      </c>
      <c r="AG590" s="436">
        <f>IF(NFI_Expiration=1,IF($A590&lt;VLOOKUP(R$5,NFI,5,0),1,0)*Table_NFI[[#This Row],[Winter Clothes Adult]],Table_NFI[Winter Clothes Adult])</f>
        <v>0</v>
      </c>
      <c r="AH590" s="436">
        <f>IF(NFI_Expiration=1,IF($A590&lt;VLOOKUP(S$5,NFI,5,0),1,0)*Table_NFI[[#This Row],[Winter Clothes Children]],Table_NFI[Winter Clothes Children])</f>
        <v>0</v>
      </c>
      <c r="AI590" s="436">
        <f>IF(NFI_Expiration=1,IF($A590&lt;VLOOKUP(T$5,NFI,5,0),1,0)*Table_NFI[[#This Row],[Winter Items Other]],Table_NFI[Winter Items Other])</f>
        <v>0</v>
      </c>
      <c r="AJ590" s="436">
        <f>IF(NFI_Expiration=1,IF($A590&lt;VLOOKUP(M$5,NFI,5,0),1,0)*Table_NFI[[#This Row],[Winter Blanket]],Table_NFI[[#This Row],[Winter Blanket]])</f>
        <v>0</v>
      </c>
      <c r="AK590" s="436">
        <f>IF(Table_NFI[[#This Row],[Winter Clothes Adult]]+Table_NFI[[#This Row],[Winter Clothes Children]]+Table_NFI[[#This Row],[Winter Items Other]]+Table_NFI[[#This Row],[Winter Blanket]]&gt;0,1,0)</f>
        <v>0</v>
      </c>
      <c r="AL590" s="439">
        <f>IF(NFI_Expiration=1,IF($A590&lt;VLOOKUP(V$5,NFI,5,0),1,0)*Table_NFI[[#This Row],[Jerry Can]],Table_NFI[Jerry Can])</f>
        <v>0</v>
      </c>
      <c r="AM590" s="781" t="str">
        <f>IFERROR(VLOOKUP(Table_NFI[[#This Row],[Camp Name]],CL,2,0),"")</f>
        <v>MMR001CMP083</v>
      </c>
      <c r="AN590" s="782">
        <f ca="1">IF(Table_NFI[[#This Row],[Pcode]]="","",IF(OFFSET(CampList[Opening Date],MATCH(Table_NFI[[#This Row],[Pcode]],CampList[CP_Pcode],0)-1,0,1,1)&gt;=NFI_Monitor_Date,1,0))</f>
        <v>0</v>
      </c>
      <c r="AO590" s="781" t="str">
        <f>IFERROR(VLOOKUP(Table_NFI[[#This Row],[Camp Name]],CL,3,0),"")</f>
        <v>Closed</v>
      </c>
      <c r="AP590" s="436" t="str">
        <f ca="1">IF(Table_NFI[[#This Row],[Pcode]]="","",OFFSET(CampList[Priority],MATCH(Table_NFI[[#This Row],[Pcode]],CampList[CP_Pcode],0)-1,0,1,1))</f>
        <v/>
      </c>
      <c r="AQ590" s="438" t="str">
        <f>IFERROR(Table_NFI[[#This Row],[Kitchen Set]]/VLOOKUP(Table_NFI[[#This Row],[Camp Name]],CL,4,0),"")</f>
        <v/>
      </c>
      <c r="AR590" s="779" t="s">
        <v>1099</v>
      </c>
      <c r="AS590" s="783"/>
    </row>
    <row r="591" spans="1:45" x14ac:dyDescent="0.25">
      <c r="A591" s="455">
        <f t="shared" si="9"/>
        <v>32.799999999999997</v>
      </c>
      <c r="B591" s="778">
        <v>41325</v>
      </c>
      <c r="C591" s="779" t="s">
        <v>454</v>
      </c>
      <c r="D591" s="779" t="s">
        <v>454</v>
      </c>
      <c r="E591" s="779" t="s">
        <v>380</v>
      </c>
      <c r="F591" s="779" t="s">
        <v>529</v>
      </c>
      <c r="G591" s="435" t="s">
        <v>140</v>
      </c>
      <c r="H591" s="436"/>
      <c r="I591" s="436"/>
      <c r="J591" s="436">
        <v>46</v>
      </c>
      <c r="K591" s="436">
        <v>0</v>
      </c>
      <c r="L591" s="437">
        <v>0</v>
      </c>
      <c r="M591" s="437">
        <v>0</v>
      </c>
      <c r="N591" s="437">
        <v>0</v>
      </c>
      <c r="O591" s="437">
        <v>0</v>
      </c>
      <c r="P591" s="437"/>
      <c r="Q591" s="437"/>
      <c r="R591" s="436"/>
      <c r="S591" s="436"/>
      <c r="T591" s="436"/>
      <c r="U591" s="436"/>
      <c r="V591" s="436"/>
      <c r="W591" s="436">
        <f>IF(NFI_Expiration=1,IF($A591&lt;VLOOKUP(H$5,NFI,5,0),1,0)*Table_NFI[[#This Row],[Hygiene Kit]],Table_NFI[Hygiene Kit])</f>
        <v>0</v>
      </c>
      <c r="X591" s="436">
        <f>IF(NFI_Expiration=1,IF($A591&lt;VLOOKUP(I$5,NFI,5,0),1,0)*Table_NFI[[#This Row],[NFI Core Kit]],Table_NFI[NFI Core Kit])</f>
        <v>0</v>
      </c>
      <c r="Y591" s="436">
        <f>IF(NFI_Expiration=1,IF($A591&lt;VLOOKUP(J$5,NFI,5,0),1,0)*Table_NFI[[#This Row],[Sanitary Kit]],Table_NFI[Sanitary Kit])</f>
        <v>0</v>
      </c>
      <c r="Z591" s="436">
        <f>IF(NFI_Expiration=1,IF($A591&lt;VLOOKUP(K$5,NFI,5,0),1,0)*Table_NFI[[#This Row],[Mosquito net]],Table_NFI[Mosquito net])</f>
        <v>0</v>
      </c>
      <c r="AA591" s="436">
        <f>IF(NFI_Expiration=1,IF($A591&lt;VLOOKUP(L$5,NFI,5,0),1,0)*Table_NFI[[#This Row],[Tarpaulin]],Table_NFI[[#This Row],[Tarpaulin]])</f>
        <v>0</v>
      </c>
      <c r="AB591" s="436">
        <f>IF(NFI_Expiration=1,IF($A591&lt;VLOOKUP(M$5,NFI,5,0),1,0)*Table_NFI[[#This Row],[Blanket]],Table_NFI[[#This Row],[Blanket]])</f>
        <v>0</v>
      </c>
      <c r="AC591" s="436">
        <f>IF(NFI_Expiration=1,IF($A591&lt;VLOOKUP(N$5,NFI,5,0),1,0)*Table_NFI[[#This Row],[Kitchen Set]],Table_NFI[Kitchen Set])</f>
        <v>0</v>
      </c>
      <c r="AD591" s="436">
        <f>IF(NFI_Expiration=1,IF($A591&lt;VLOOKUP(O$5,NFI,5,0),1,0)*Table_NFI[[#This Row],[Clothes Kit]],Table_NFI[Clothes Kit])</f>
        <v>0</v>
      </c>
      <c r="AE591" s="436">
        <f>IF(NFI_Expiration=1,IF($A591&lt;VLOOKUP(P$5,NFI,5,0),1,0)*Table_NFI[[#This Row],[Plastic Bucket]],Table_NFI[Plastic Bucket])</f>
        <v>0</v>
      </c>
      <c r="AF591" s="436">
        <f>IF(NFI_Expiration=1,IF($A591&lt;VLOOKUP(Q$5,NFI,5,0),1,0)*Table_NFI[[#This Row],[Plastic Mat]],Table_NFI[Plastic Mat])*IF(Table_NFI[[#This Row],[Distribution Date]]&gt;"2014-04-01",1,2.5)</f>
        <v>0</v>
      </c>
      <c r="AG591" s="436">
        <f>IF(NFI_Expiration=1,IF($A591&lt;VLOOKUP(R$5,NFI,5,0),1,0)*Table_NFI[[#This Row],[Winter Clothes Adult]],Table_NFI[Winter Clothes Adult])</f>
        <v>0</v>
      </c>
      <c r="AH591" s="436">
        <f>IF(NFI_Expiration=1,IF($A591&lt;VLOOKUP(S$5,NFI,5,0),1,0)*Table_NFI[[#This Row],[Winter Clothes Children]],Table_NFI[Winter Clothes Children])</f>
        <v>0</v>
      </c>
      <c r="AI591" s="436">
        <f>IF(NFI_Expiration=1,IF($A591&lt;VLOOKUP(T$5,NFI,5,0),1,0)*Table_NFI[[#This Row],[Winter Items Other]],Table_NFI[Winter Items Other])</f>
        <v>0</v>
      </c>
      <c r="AJ591" s="436">
        <f>IF(NFI_Expiration=1,IF($A591&lt;VLOOKUP(M$5,NFI,5,0),1,0)*Table_NFI[[#This Row],[Winter Blanket]],Table_NFI[[#This Row],[Winter Blanket]])</f>
        <v>0</v>
      </c>
      <c r="AK591" s="436">
        <f>IF(Table_NFI[[#This Row],[Winter Clothes Adult]]+Table_NFI[[#This Row],[Winter Clothes Children]]+Table_NFI[[#This Row],[Winter Items Other]]+Table_NFI[[#This Row],[Winter Blanket]]&gt;0,1,0)</f>
        <v>0</v>
      </c>
      <c r="AL591" s="439">
        <f>IF(NFI_Expiration=1,IF($A591&lt;VLOOKUP(V$5,NFI,5,0),1,0)*Table_NFI[[#This Row],[Jerry Can]],Table_NFI[Jerry Can])</f>
        <v>0</v>
      </c>
      <c r="AM591" s="781" t="str">
        <f>IFERROR(VLOOKUP(Table_NFI[[#This Row],[Camp Name]],CL,2,0),"")</f>
        <v>MMR001CMP105</v>
      </c>
      <c r="AN591" s="782">
        <f ca="1">IF(Table_NFI[[#This Row],[Pcode]]="","",IF(OFFSET(CampList[Opening Date],MATCH(Table_NFI[[#This Row],[Pcode]],CampList[CP_Pcode],0)-1,0,1,1)&gt;=NFI_Monitor_Date,1,0))</f>
        <v>0</v>
      </c>
      <c r="AO591" s="781" t="str">
        <f>IFERROR(VLOOKUP(Table_NFI[[#This Row],[Camp Name]],CL,3,0),"")</f>
        <v>Open</v>
      </c>
      <c r="AP591" s="436" t="str">
        <f ca="1">IF(Table_NFI[[#This Row],[Pcode]]="","",OFFSET(CampList[Priority],MATCH(Table_NFI[[#This Row],[Pcode]],CampList[CP_Pcode],0)-1,0,1,1))</f>
        <v>P4</v>
      </c>
      <c r="AQ591" s="438">
        <f>IFERROR(Table_NFI[[#This Row],[Kitchen Set]]/VLOOKUP(Table_NFI[[#This Row],[Camp Name]],CL,4,0),"")</f>
        <v>0</v>
      </c>
      <c r="AR591" s="779" t="s">
        <v>1099</v>
      </c>
      <c r="AS591" s="783"/>
    </row>
    <row r="592" spans="1:45" x14ac:dyDescent="0.25">
      <c r="A592" s="455">
        <f t="shared" si="9"/>
        <v>32.799999999999997</v>
      </c>
      <c r="B592" s="778">
        <v>41325</v>
      </c>
      <c r="C592" s="779" t="s">
        <v>454</v>
      </c>
      <c r="D592" s="780" t="s">
        <v>454</v>
      </c>
      <c r="E592" s="779" t="s">
        <v>380</v>
      </c>
      <c r="F592" s="435" t="s">
        <v>529</v>
      </c>
      <c r="G592" s="435" t="s">
        <v>516</v>
      </c>
      <c r="H592" s="436"/>
      <c r="I592" s="436"/>
      <c r="J592" s="436"/>
      <c r="K592" s="436">
        <v>11</v>
      </c>
      <c r="L592" s="437">
        <v>6</v>
      </c>
      <c r="M592" s="437">
        <v>0</v>
      </c>
      <c r="N592" s="437">
        <v>6</v>
      </c>
      <c r="O592" s="437">
        <v>6</v>
      </c>
      <c r="P592" s="437">
        <v>6</v>
      </c>
      <c r="Q592" s="437">
        <v>6</v>
      </c>
      <c r="R592" s="436"/>
      <c r="S592" s="436"/>
      <c r="T592" s="436"/>
      <c r="U592" s="436"/>
      <c r="V592" s="436"/>
      <c r="W592" s="436">
        <f>IF(NFI_Expiration=1,IF($A592&lt;VLOOKUP(H$5,NFI,5,0),1,0)*Table_NFI[[#This Row],[Hygiene Kit]],Table_NFI[Hygiene Kit])</f>
        <v>0</v>
      </c>
      <c r="X592" s="436">
        <f>IF(NFI_Expiration=1,IF($A592&lt;VLOOKUP(I$5,NFI,5,0),1,0)*Table_NFI[[#This Row],[NFI Core Kit]],Table_NFI[NFI Core Kit])</f>
        <v>0</v>
      </c>
      <c r="Y592" s="436">
        <f>IF(NFI_Expiration=1,IF($A592&lt;VLOOKUP(J$5,NFI,5,0),1,0)*Table_NFI[[#This Row],[Sanitary Kit]],Table_NFI[Sanitary Kit])</f>
        <v>0</v>
      </c>
      <c r="Z592" s="436">
        <f>IF(NFI_Expiration=1,IF($A592&lt;VLOOKUP(K$5,NFI,5,0),1,0)*Table_NFI[[#This Row],[Mosquito net]],Table_NFI[Mosquito net])</f>
        <v>0</v>
      </c>
      <c r="AA592" s="436">
        <f>IF(NFI_Expiration=1,IF($A592&lt;VLOOKUP(L$5,NFI,5,0),1,0)*Table_NFI[[#This Row],[Tarpaulin]],Table_NFI[[#This Row],[Tarpaulin]])</f>
        <v>0</v>
      </c>
      <c r="AB592" s="436">
        <f>IF(NFI_Expiration=1,IF($A592&lt;VLOOKUP(M$5,NFI,5,0),1,0)*Table_NFI[[#This Row],[Blanket]],Table_NFI[[#This Row],[Blanket]])</f>
        <v>0</v>
      </c>
      <c r="AC592" s="436">
        <f>IF(NFI_Expiration=1,IF($A592&lt;VLOOKUP(N$5,NFI,5,0),1,0)*Table_NFI[[#This Row],[Kitchen Set]],Table_NFI[Kitchen Set])</f>
        <v>0</v>
      </c>
      <c r="AD592" s="436">
        <f>IF(NFI_Expiration=1,IF($A592&lt;VLOOKUP(O$5,NFI,5,0),1,0)*Table_NFI[[#This Row],[Clothes Kit]],Table_NFI[Clothes Kit])</f>
        <v>0</v>
      </c>
      <c r="AE592" s="436">
        <f>IF(NFI_Expiration=1,IF($A592&lt;VLOOKUP(P$5,NFI,5,0),1,0)*Table_NFI[[#This Row],[Plastic Bucket]],Table_NFI[Plastic Bucket])</f>
        <v>0</v>
      </c>
      <c r="AF592" s="436">
        <f>IF(NFI_Expiration=1,IF($A592&lt;VLOOKUP(Q$5,NFI,5,0),1,0)*Table_NFI[[#This Row],[Plastic Mat]],Table_NFI[Plastic Mat])*IF(Table_NFI[[#This Row],[Distribution Date]]&gt;"2014-04-01",1,2.5)</f>
        <v>0</v>
      </c>
      <c r="AG592" s="436">
        <f>IF(NFI_Expiration=1,IF($A592&lt;VLOOKUP(R$5,NFI,5,0),1,0)*Table_NFI[[#This Row],[Winter Clothes Adult]],Table_NFI[Winter Clothes Adult])</f>
        <v>0</v>
      </c>
      <c r="AH592" s="436">
        <f>IF(NFI_Expiration=1,IF($A592&lt;VLOOKUP(S$5,NFI,5,0),1,0)*Table_NFI[[#This Row],[Winter Clothes Children]],Table_NFI[Winter Clothes Children])</f>
        <v>0</v>
      </c>
      <c r="AI592" s="436">
        <f>IF(NFI_Expiration=1,IF($A592&lt;VLOOKUP(T$5,NFI,5,0),1,0)*Table_NFI[[#This Row],[Winter Items Other]],Table_NFI[Winter Items Other])</f>
        <v>0</v>
      </c>
      <c r="AJ592" s="436">
        <f>IF(NFI_Expiration=1,IF($A592&lt;VLOOKUP(M$5,NFI,5,0),1,0)*Table_NFI[[#This Row],[Winter Blanket]],Table_NFI[[#This Row],[Winter Blanket]])</f>
        <v>0</v>
      </c>
      <c r="AK592" s="436">
        <f>IF(Table_NFI[[#This Row],[Winter Clothes Adult]]+Table_NFI[[#This Row],[Winter Clothes Children]]+Table_NFI[[#This Row],[Winter Items Other]]+Table_NFI[[#This Row],[Winter Blanket]]&gt;0,1,0)</f>
        <v>0</v>
      </c>
      <c r="AL592" s="439">
        <f>IF(NFI_Expiration=1,IF($A592&lt;VLOOKUP(V$5,NFI,5,0),1,0)*Table_NFI[[#This Row],[Jerry Can]],Table_NFI[Jerry Can])</f>
        <v>0</v>
      </c>
      <c r="AM592" s="781" t="str">
        <f>IFERROR(VLOOKUP(Table_NFI[[#This Row],[Camp Name]],CL,2,0),"")</f>
        <v>MMR001CMP201</v>
      </c>
      <c r="AN592" s="782">
        <f ca="1">IF(Table_NFI[[#This Row],[Pcode]]="","",IF(OFFSET(CampList[Opening Date],MATCH(Table_NFI[[#This Row],[Pcode]],CampList[CP_Pcode],0)-1,0,1,1)&gt;=NFI_Monitor_Date,1,0))</f>
        <v>0</v>
      </c>
      <c r="AO592" s="781" t="str">
        <f>IFERROR(VLOOKUP(Table_NFI[[#This Row],[Camp Name]],CL,3,0),"")</f>
        <v>Closed</v>
      </c>
      <c r="AP592" s="436" t="str">
        <f ca="1">IF(Table_NFI[[#This Row],[Pcode]]="","",OFFSET(CampList[Priority],MATCH(Table_NFI[[#This Row],[Pcode]],CampList[CP_Pcode],0)-1,0,1,1))</f>
        <v/>
      </c>
      <c r="AQ592" s="438" t="str">
        <f>IFERROR(Table_NFI[[#This Row],[Kitchen Set]]/VLOOKUP(Table_NFI[[#This Row],[Camp Name]],CL,4,0),"")</f>
        <v/>
      </c>
      <c r="AR592" s="779" t="s">
        <v>1099</v>
      </c>
      <c r="AS592" s="783"/>
    </row>
    <row r="593" spans="1:45" x14ac:dyDescent="0.25">
      <c r="A593" s="455">
        <f t="shared" si="9"/>
        <v>32.833333333333336</v>
      </c>
      <c r="B593" s="778">
        <v>41324</v>
      </c>
      <c r="C593" s="779" t="s">
        <v>454</v>
      </c>
      <c r="D593" s="779" t="s">
        <v>454</v>
      </c>
      <c r="E593" s="779" t="s">
        <v>380</v>
      </c>
      <c r="F593" s="779" t="s">
        <v>529</v>
      </c>
      <c r="G593" s="435" t="s">
        <v>128</v>
      </c>
      <c r="H593" s="436"/>
      <c r="I593" s="436"/>
      <c r="J593" s="436">
        <v>3</v>
      </c>
      <c r="K593" s="436">
        <v>7</v>
      </c>
      <c r="L593" s="437">
        <v>4</v>
      </c>
      <c r="M593" s="437">
        <v>7</v>
      </c>
      <c r="N593" s="437">
        <v>4</v>
      </c>
      <c r="O593" s="437">
        <v>4</v>
      </c>
      <c r="P593" s="439">
        <v>4</v>
      </c>
      <c r="Q593" s="439">
        <v>4</v>
      </c>
      <c r="R593" s="436"/>
      <c r="S593" s="436"/>
      <c r="T593" s="436"/>
      <c r="U593" s="436"/>
      <c r="V593" s="436"/>
      <c r="W593" s="436">
        <f>IF(NFI_Expiration=1,IF($A593&lt;VLOOKUP(H$5,NFI,5,0),1,0)*Table_NFI[[#This Row],[Hygiene Kit]],Table_NFI[Hygiene Kit])</f>
        <v>0</v>
      </c>
      <c r="X593" s="436">
        <f>IF(NFI_Expiration=1,IF($A593&lt;VLOOKUP(I$5,NFI,5,0),1,0)*Table_NFI[[#This Row],[NFI Core Kit]],Table_NFI[NFI Core Kit])</f>
        <v>0</v>
      </c>
      <c r="Y593" s="436">
        <f>IF(NFI_Expiration=1,IF($A593&lt;VLOOKUP(J$5,NFI,5,0),1,0)*Table_NFI[[#This Row],[Sanitary Kit]],Table_NFI[Sanitary Kit])</f>
        <v>0</v>
      </c>
      <c r="Z593" s="436">
        <f>IF(NFI_Expiration=1,IF($A593&lt;VLOOKUP(K$5,NFI,5,0),1,0)*Table_NFI[[#This Row],[Mosquito net]],Table_NFI[Mosquito net])</f>
        <v>0</v>
      </c>
      <c r="AA593" s="436">
        <f>IF(NFI_Expiration=1,IF($A593&lt;VLOOKUP(L$5,NFI,5,0),1,0)*Table_NFI[[#This Row],[Tarpaulin]],Table_NFI[[#This Row],[Tarpaulin]])</f>
        <v>0</v>
      </c>
      <c r="AB593" s="436">
        <f>IF(NFI_Expiration=1,IF($A593&lt;VLOOKUP(M$5,NFI,5,0),1,0)*Table_NFI[[#This Row],[Blanket]],Table_NFI[[#This Row],[Blanket]])</f>
        <v>0</v>
      </c>
      <c r="AC593" s="436">
        <f>IF(NFI_Expiration=1,IF($A593&lt;VLOOKUP(N$5,NFI,5,0),1,0)*Table_NFI[[#This Row],[Kitchen Set]],Table_NFI[Kitchen Set])</f>
        <v>0</v>
      </c>
      <c r="AD593" s="436">
        <f>IF(NFI_Expiration=1,IF($A593&lt;VLOOKUP(O$5,NFI,5,0),1,0)*Table_NFI[[#This Row],[Clothes Kit]],Table_NFI[Clothes Kit])</f>
        <v>0</v>
      </c>
      <c r="AE593" s="436">
        <f>IF(NFI_Expiration=1,IF($A593&lt;VLOOKUP(P$5,NFI,5,0),1,0)*Table_NFI[[#This Row],[Plastic Bucket]],Table_NFI[Plastic Bucket])</f>
        <v>0</v>
      </c>
      <c r="AF593" s="436">
        <f>IF(NFI_Expiration=1,IF($A593&lt;VLOOKUP(Q$5,NFI,5,0),1,0)*Table_NFI[[#This Row],[Plastic Mat]],Table_NFI[Plastic Mat])*IF(Table_NFI[[#This Row],[Distribution Date]]&gt;"2014-04-01",1,2.5)</f>
        <v>0</v>
      </c>
      <c r="AG593" s="436">
        <f>IF(NFI_Expiration=1,IF($A593&lt;VLOOKUP(R$5,NFI,5,0),1,0)*Table_NFI[[#This Row],[Winter Clothes Adult]],Table_NFI[Winter Clothes Adult])</f>
        <v>0</v>
      </c>
      <c r="AH593" s="436">
        <f>IF(NFI_Expiration=1,IF($A593&lt;VLOOKUP(S$5,NFI,5,0),1,0)*Table_NFI[[#This Row],[Winter Clothes Children]],Table_NFI[Winter Clothes Children])</f>
        <v>0</v>
      </c>
      <c r="AI593" s="436">
        <f>IF(NFI_Expiration=1,IF($A593&lt;VLOOKUP(T$5,NFI,5,0),1,0)*Table_NFI[[#This Row],[Winter Items Other]],Table_NFI[Winter Items Other])</f>
        <v>0</v>
      </c>
      <c r="AJ593" s="436">
        <f>IF(NFI_Expiration=1,IF($A593&lt;VLOOKUP(M$5,NFI,5,0),1,0)*Table_NFI[[#This Row],[Winter Blanket]],Table_NFI[[#This Row],[Winter Blanket]])</f>
        <v>0</v>
      </c>
      <c r="AK593" s="436">
        <f>IF(Table_NFI[[#This Row],[Winter Clothes Adult]]+Table_NFI[[#This Row],[Winter Clothes Children]]+Table_NFI[[#This Row],[Winter Items Other]]+Table_NFI[[#This Row],[Winter Blanket]]&gt;0,1,0)</f>
        <v>0</v>
      </c>
      <c r="AL593" s="439">
        <f>IF(NFI_Expiration=1,IF($A593&lt;VLOOKUP(V$5,NFI,5,0),1,0)*Table_NFI[[#This Row],[Jerry Can]],Table_NFI[Jerry Can])</f>
        <v>0</v>
      </c>
      <c r="AM593" s="781" t="str">
        <f>IFERROR(VLOOKUP(Table_NFI[[#This Row],[Camp Name]],CL,2,0),"")</f>
        <v>MMR001CMP171</v>
      </c>
      <c r="AN593" s="782">
        <f ca="1">IF(Table_NFI[[#This Row],[Pcode]]="","",IF(OFFSET(CampList[Opening Date],MATCH(Table_NFI[[#This Row],[Pcode]],CampList[CP_Pcode],0)-1,0,1,1)&gt;=NFI_Monitor_Date,1,0))</f>
        <v>0</v>
      </c>
      <c r="AO593" s="781" t="str">
        <f>IFERROR(VLOOKUP(Table_NFI[[#This Row],[Camp Name]],CL,3,0),"")</f>
        <v>Closed</v>
      </c>
      <c r="AP593" s="436" t="str">
        <f ca="1">IF(Table_NFI[[#This Row],[Pcode]]="","",OFFSET(CampList[Priority],MATCH(Table_NFI[[#This Row],[Pcode]],CampList[CP_Pcode],0)-1,0,1,1))</f>
        <v/>
      </c>
      <c r="AQ593" s="438" t="str">
        <f>IFERROR(Table_NFI[[#This Row],[Kitchen Set]]/VLOOKUP(Table_NFI[[#This Row],[Camp Name]],CL,4,0),"")</f>
        <v/>
      </c>
      <c r="AR593" s="779" t="s">
        <v>1099</v>
      </c>
      <c r="AS593" s="783"/>
    </row>
    <row r="594" spans="1:45" x14ac:dyDescent="0.25">
      <c r="A594" s="455">
        <f t="shared" si="9"/>
        <v>32.833333333333336</v>
      </c>
      <c r="B594" s="778">
        <v>41324</v>
      </c>
      <c r="C594" s="779" t="s">
        <v>454</v>
      </c>
      <c r="D594" s="780" t="s">
        <v>454</v>
      </c>
      <c r="E594" s="779" t="s">
        <v>380</v>
      </c>
      <c r="F594" s="435" t="s">
        <v>529</v>
      </c>
      <c r="G594" s="435" t="s">
        <v>62</v>
      </c>
      <c r="H594" s="436"/>
      <c r="I594" s="436"/>
      <c r="J594" s="436">
        <v>18</v>
      </c>
      <c r="K594" s="436">
        <v>30</v>
      </c>
      <c r="L594" s="437">
        <v>17</v>
      </c>
      <c r="M594" s="437">
        <v>64</v>
      </c>
      <c r="N594" s="437">
        <v>17</v>
      </c>
      <c r="O594" s="437">
        <v>17</v>
      </c>
      <c r="P594" s="437">
        <v>17</v>
      </c>
      <c r="Q594" s="437">
        <v>17</v>
      </c>
      <c r="R594" s="436"/>
      <c r="S594" s="436"/>
      <c r="T594" s="436"/>
      <c r="U594" s="436"/>
      <c r="V594" s="436"/>
      <c r="W594" s="436">
        <f>IF(NFI_Expiration=1,IF($A594&lt;VLOOKUP(H$5,NFI,5,0),1,0)*Table_NFI[[#This Row],[Hygiene Kit]],Table_NFI[Hygiene Kit])</f>
        <v>0</v>
      </c>
      <c r="X594" s="436">
        <f>IF(NFI_Expiration=1,IF($A594&lt;VLOOKUP(I$5,NFI,5,0),1,0)*Table_NFI[[#This Row],[NFI Core Kit]],Table_NFI[NFI Core Kit])</f>
        <v>0</v>
      </c>
      <c r="Y594" s="436">
        <f>IF(NFI_Expiration=1,IF($A594&lt;VLOOKUP(J$5,NFI,5,0),1,0)*Table_NFI[[#This Row],[Sanitary Kit]],Table_NFI[Sanitary Kit])</f>
        <v>0</v>
      </c>
      <c r="Z594" s="436">
        <f>IF(NFI_Expiration=1,IF($A594&lt;VLOOKUP(K$5,NFI,5,0),1,0)*Table_NFI[[#This Row],[Mosquito net]],Table_NFI[Mosquito net])</f>
        <v>0</v>
      </c>
      <c r="AA594" s="436">
        <f>IF(NFI_Expiration=1,IF($A594&lt;VLOOKUP(L$5,NFI,5,0),1,0)*Table_NFI[[#This Row],[Tarpaulin]],Table_NFI[[#This Row],[Tarpaulin]])</f>
        <v>0</v>
      </c>
      <c r="AB594" s="436">
        <f>IF(NFI_Expiration=1,IF($A594&lt;VLOOKUP(M$5,NFI,5,0),1,0)*Table_NFI[[#This Row],[Blanket]],Table_NFI[[#This Row],[Blanket]])</f>
        <v>0</v>
      </c>
      <c r="AC594" s="436">
        <f>IF(NFI_Expiration=1,IF($A594&lt;VLOOKUP(N$5,NFI,5,0),1,0)*Table_NFI[[#This Row],[Kitchen Set]],Table_NFI[Kitchen Set])</f>
        <v>0</v>
      </c>
      <c r="AD594" s="436">
        <f>IF(NFI_Expiration=1,IF($A594&lt;VLOOKUP(O$5,NFI,5,0),1,0)*Table_NFI[[#This Row],[Clothes Kit]],Table_NFI[Clothes Kit])</f>
        <v>0</v>
      </c>
      <c r="AE594" s="436">
        <f>IF(NFI_Expiration=1,IF($A594&lt;VLOOKUP(P$5,NFI,5,0),1,0)*Table_NFI[[#This Row],[Plastic Bucket]],Table_NFI[Plastic Bucket])</f>
        <v>0</v>
      </c>
      <c r="AF594" s="436">
        <f>IF(NFI_Expiration=1,IF($A594&lt;VLOOKUP(Q$5,NFI,5,0),1,0)*Table_NFI[[#This Row],[Plastic Mat]],Table_NFI[Plastic Mat])*IF(Table_NFI[[#This Row],[Distribution Date]]&gt;"2014-04-01",1,2.5)</f>
        <v>0</v>
      </c>
      <c r="AG594" s="436">
        <f>IF(NFI_Expiration=1,IF($A594&lt;VLOOKUP(R$5,NFI,5,0),1,0)*Table_NFI[[#This Row],[Winter Clothes Adult]],Table_NFI[Winter Clothes Adult])</f>
        <v>0</v>
      </c>
      <c r="AH594" s="436">
        <f>IF(NFI_Expiration=1,IF($A594&lt;VLOOKUP(S$5,NFI,5,0),1,0)*Table_NFI[[#This Row],[Winter Clothes Children]],Table_NFI[Winter Clothes Children])</f>
        <v>0</v>
      </c>
      <c r="AI594" s="436">
        <f>IF(NFI_Expiration=1,IF($A594&lt;VLOOKUP(T$5,NFI,5,0),1,0)*Table_NFI[[#This Row],[Winter Items Other]],Table_NFI[Winter Items Other])</f>
        <v>0</v>
      </c>
      <c r="AJ594" s="436">
        <f>IF(NFI_Expiration=1,IF($A594&lt;VLOOKUP(M$5,NFI,5,0),1,0)*Table_NFI[[#This Row],[Winter Blanket]],Table_NFI[[#This Row],[Winter Blanket]])</f>
        <v>0</v>
      </c>
      <c r="AK594" s="436">
        <f>IF(Table_NFI[[#This Row],[Winter Clothes Adult]]+Table_NFI[[#This Row],[Winter Clothes Children]]+Table_NFI[[#This Row],[Winter Items Other]]+Table_NFI[[#This Row],[Winter Blanket]]&gt;0,1,0)</f>
        <v>0</v>
      </c>
      <c r="AL594" s="439">
        <f>IF(NFI_Expiration=1,IF($A594&lt;VLOOKUP(V$5,NFI,5,0),1,0)*Table_NFI[[#This Row],[Jerry Can]],Table_NFI[Jerry Can])</f>
        <v>0</v>
      </c>
      <c r="AM594" s="781" t="str">
        <f>IFERROR(VLOOKUP(Table_NFI[[#This Row],[Camp Name]],CL,2,0),"")</f>
        <v>MMR001CMP179</v>
      </c>
      <c r="AN594" s="782">
        <f ca="1">IF(Table_NFI[[#This Row],[Pcode]]="","",IF(OFFSET(CampList[Opening Date],MATCH(Table_NFI[[#This Row],[Pcode]],CampList[CP_Pcode],0)-1,0,1,1)&gt;=NFI_Monitor_Date,1,0))</f>
        <v>0</v>
      </c>
      <c r="AO594" s="781" t="str">
        <f>IFERROR(VLOOKUP(Table_NFI[[#This Row],[Camp Name]],CL,3,0),"")</f>
        <v>Open</v>
      </c>
      <c r="AP594" s="436" t="str">
        <f ca="1">IF(Table_NFI[[#This Row],[Pcode]]="","",OFFSET(CampList[Priority],MATCH(Table_NFI[[#This Row],[Pcode]],CampList[CP_Pcode],0)-1,0,1,1))</f>
        <v>P4</v>
      </c>
      <c r="AQ594" s="438">
        <f>IFERROR(Table_NFI[[#This Row],[Kitchen Set]]/VLOOKUP(Table_NFI[[#This Row],[Camp Name]],CL,4,0),"")</f>
        <v>0.22368421052631579</v>
      </c>
      <c r="AR594" s="779" t="s">
        <v>1099</v>
      </c>
      <c r="AS594" s="783"/>
    </row>
    <row r="595" spans="1:45" x14ac:dyDescent="0.25">
      <c r="A595" s="455">
        <f t="shared" si="9"/>
        <v>32.833333333333336</v>
      </c>
      <c r="B595" s="778">
        <v>41324</v>
      </c>
      <c r="C595" s="779" t="s">
        <v>454</v>
      </c>
      <c r="D595" s="779" t="s">
        <v>454</v>
      </c>
      <c r="E595" s="779" t="s">
        <v>380</v>
      </c>
      <c r="F595" s="435" t="s">
        <v>529</v>
      </c>
      <c r="G595" s="435" t="s">
        <v>39</v>
      </c>
      <c r="H595" s="436"/>
      <c r="I595" s="436"/>
      <c r="J595" s="436">
        <v>1</v>
      </c>
      <c r="K595" s="436">
        <v>6</v>
      </c>
      <c r="L595" s="437">
        <v>3</v>
      </c>
      <c r="M595" s="437">
        <v>15</v>
      </c>
      <c r="N595" s="437">
        <v>4</v>
      </c>
      <c r="O595" s="437">
        <v>4</v>
      </c>
      <c r="P595" s="439">
        <v>4</v>
      </c>
      <c r="Q595" s="439">
        <v>4</v>
      </c>
      <c r="R595" s="436"/>
      <c r="S595" s="436"/>
      <c r="T595" s="436"/>
      <c r="U595" s="436"/>
      <c r="V595" s="436"/>
      <c r="W595" s="436">
        <f>IF(NFI_Expiration=1,IF($A595&lt;VLOOKUP(H$5,NFI,5,0),1,0)*Table_NFI[[#This Row],[Hygiene Kit]],Table_NFI[Hygiene Kit])</f>
        <v>0</v>
      </c>
      <c r="X595" s="436">
        <f>IF(NFI_Expiration=1,IF($A595&lt;VLOOKUP(I$5,NFI,5,0),1,0)*Table_NFI[[#This Row],[NFI Core Kit]],Table_NFI[NFI Core Kit])</f>
        <v>0</v>
      </c>
      <c r="Y595" s="436">
        <f>IF(NFI_Expiration=1,IF($A595&lt;VLOOKUP(J$5,NFI,5,0),1,0)*Table_NFI[[#This Row],[Sanitary Kit]],Table_NFI[Sanitary Kit])</f>
        <v>0</v>
      </c>
      <c r="Z595" s="436">
        <f>IF(NFI_Expiration=1,IF($A595&lt;VLOOKUP(K$5,NFI,5,0),1,0)*Table_NFI[[#This Row],[Mosquito net]],Table_NFI[Mosquito net])</f>
        <v>0</v>
      </c>
      <c r="AA595" s="436">
        <f>IF(NFI_Expiration=1,IF($A595&lt;VLOOKUP(L$5,NFI,5,0),1,0)*Table_NFI[[#This Row],[Tarpaulin]],Table_NFI[[#This Row],[Tarpaulin]])</f>
        <v>0</v>
      </c>
      <c r="AB595" s="436">
        <f>IF(NFI_Expiration=1,IF($A595&lt;VLOOKUP(M$5,NFI,5,0),1,0)*Table_NFI[[#This Row],[Blanket]],Table_NFI[[#This Row],[Blanket]])</f>
        <v>0</v>
      </c>
      <c r="AC595" s="436">
        <f>IF(NFI_Expiration=1,IF($A595&lt;VLOOKUP(N$5,NFI,5,0),1,0)*Table_NFI[[#This Row],[Kitchen Set]],Table_NFI[Kitchen Set])</f>
        <v>0</v>
      </c>
      <c r="AD595" s="436">
        <f>IF(NFI_Expiration=1,IF($A595&lt;VLOOKUP(O$5,NFI,5,0),1,0)*Table_NFI[[#This Row],[Clothes Kit]],Table_NFI[Clothes Kit])</f>
        <v>0</v>
      </c>
      <c r="AE595" s="436">
        <f>IF(NFI_Expiration=1,IF($A595&lt;VLOOKUP(P$5,NFI,5,0),1,0)*Table_NFI[[#This Row],[Plastic Bucket]],Table_NFI[Plastic Bucket])</f>
        <v>0</v>
      </c>
      <c r="AF595" s="436">
        <f>IF(NFI_Expiration=1,IF($A595&lt;VLOOKUP(Q$5,NFI,5,0),1,0)*Table_NFI[[#This Row],[Plastic Mat]],Table_NFI[Plastic Mat])*IF(Table_NFI[[#This Row],[Distribution Date]]&gt;"2014-04-01",1,2.5)</f>
        <v>0</v>
      </c>
      <c r="AG595" s="436">
        <f>IF(NFI_Expiration=1,IF($A595&lt;VLOOKUP(R$5,NFI,5,0),1,0)*Table_NFI[[#This Row],[Winter Clothes Adult]],Table_NFI[Winter Clothes Adult])</f>
        <v>0</v>
      </c>
      <c r="AH595" s="436">
        <f>IF(NFI_Expiration=1,IF($A595&lt;VLOOKUP(S$5,NFI,5,0),1,0)*Table_NFI[[#This Row],[Winter Clothes Children]],Table_NFI[Winter Clothes Children])</f>
        <v>0</v>
      </c>
      <c r="AI595" s="436">
        <f>IF(NFI_Expiration=1,IF($A595&lt;VLOOKUP(T$5,NFI,5,0),1,0)*Table_NFI[[#This Row],[Winter Items Other]],Table_NFI[Winter Items Other])</f>
        <v>0</v>
      </c>
      <c r="AJ595" s="436">
        <f>IF(NFI_Expiration=1,IF($A595&lt;VLOOKUP(M$5,NFI,5,0),1,0)*Table_NFI[[#This Row],[Winter Blanket]],Table_NFI[[#This Row],[Winter Blanket]])</f>
        <v>0</v>
      </c>
      <c r="AK595" s="436">
        <f>IF(Table_NFI[[#This Row],[Winter Clothes Adult]]+Table_NFI[[#This Row],[Winter Clothes Children]]+Table_NFI[[#This Row],[Winter Items Other]]+Table_NFI[[#This Row],[Winter Blanket]]&gt;0,1,0)</f>
        <v>0</v>
      </c>
      <c r="AL595" s="439">
        <f>IF(NFI_Expiration=1,IF($A595&lt;VLOOKUP(V$5,NFI,5,0),1,0)*Table_NFI[[#This Row],[Jerry Can]],Table_NFI[Jerry Can])</f>
        <v>0</v>
      </c>
      <c r="AM595" s="781" t="str">
        <f>IFERROR(VLOOKUP(Table_NFI[[#This Row],[Camp Name]],CL,2,0),"")</f>
        <v>MMR001CMP173</v>
      </c>
      <c r="AN595" s="782">
        <f ca="1">IF(Table_NFI[[#This Row],[Pcode]]="","",IF(OFFSET(CampList[Opening Date],MATCH(Table_NFI[[#This Row],[Pcode]],CampList[CP_Pcode],0)-1,0,1,1)&gt;=NFI_Monitor_Date,1,0))</f>
        <v>0</v>
      </c>
      <c r="AO595" s="781" t="str">
        <f>IFERROR(VLOOKUP(Table_NFI[[#This Row],[Camp Name]],CL,3,0),"")</f>
        <v>Closed</v>
      </c>
      <c r="AP595" s="436" t="str">
        <f ca="1">IF(Table_NFI[[#This Row],[Pcode]]="","",OFFSET(CampList[Priority],MATCH(Table_NFI[[#This Row],[Pcode]],CampList[CP_Pcode],0)-1,0,1,1))</f>
        <v/>
      </c>
      <c r="AQ595" s="438" t="str">
        <f>IFERROR(Table_NFI[[#This Row],[Kitchen Set]]/VLOOKUP(Table_NFI[[#This Row],[Camp Name]],CL,4,0),"")</f>
        <v/>
      </c>
      <c r="AR595" s="779" t="s">
        <v>1099</v>
      </c>
      <c r="AS595" s="783"/>
    </row>
    <row r="596" spans="1:45" x14ac:dyDescent="0.25">
      <c r="A596" s="455">
        <f t="shared" si="9"/>
        <v>32.833333333333336</v>
      </c>
      <c r="B596" s="778">
        <v>41324</v>
      </c>
      <c r="C596" s="779" t="s">
        <v>454</v>
      </c>
      <c r="D596" s="779" t="s">
        <v>454</v>
      </c>
      <c r="E596" s="779" t="s">
        <v>380</v>
      </c>
      <c r="F596" s="435" t="s">
        <v>529</v>
      </c>
      <c r="G596" s="435" t="s">
        <v>39</v>
      </c>
      <c r="H596" s="436"/>
      <c r="I596" s="436"/>
      <c r="J596" s="436">
        <v>92</v>
      </c>
      <c r="K596" s="436">
        <v>130</v>
      </c>
      <c r="L596" s="437">
        <v>67</v>
      </c>
      <c r="M596" s="437">
        <v>130</v>
      </c>
      <c r="N596" s="437">
        <v>67</v>
      </c>
      <c r="O596" s="437">
        <v>67</v>
      </c>
      <c r="P596" s="439">
        <v>67</v>
      </c>
      <c r="Q596" s="439">
        <v>67</v>
      </c>
      <c r="R596" s="436"/>
      <c r="S596" s="436"/>
      <c r="T596" s="436"/>
      <c r="U596" s="436"/>
      <c r="V596" s="436"/>
      <c r="W596" s="436">
        <f>IF(NFI_Expiration=1,IF($A596&lt;VLOOKUP(H$5,NFI,5,0),1,0)*Table_NFI[[#This Row],[Hygiene Kit]],Table_NFI[Hygiene Kit])</f>
        <v>0</v>
      </c>
      <c r="X596" s="436">
        <f>IF(NFI_Expiration=1,IF($A596&lt;VLOOKUP(I$5,NFI,5,0),1,0)*Table_NFI[[#This Row],[NFI Core Kit]],Table_NFI[NFI Core Kit])</f>
        <v>0</v>
      </c>
      <c r="Y596" s="436">
        <f>IF(NFI_Expiration=1,IF($A596&lt;VLOOKUP(J$5,NFI,5,0),1,0)*Table_NFI[[#This Row],[Sanitary Kit]],Table_NFI[Sanitary Kit])</f>
        <v>0</v>
      </c>
      <c r="Z596" s="436">
        <f>IF(NFI_Expiration=1,IF($A596&lt;VLOOKUP(K$5,NFI,5,0),1,0)*Table_NFI[[#This Row],[Mosquito net]],Table_NFI[Mosquito net])</f>
        <v>0</v>
      </c>
      <c r="AA596" s="436">
        <f>IF(NFI_Expiration=1,IF($A596&lt;VLOOKUP(L$5,NFI,5,0),1,0)*Table_NFI[[#This Row],[Tarpaulin]],Table_NFI[[#This Row],[Tarpaulin]])</f>
        <v>0</v>
      </c>
      <c r="AB596" s="436">
        <f>IF(NFI_Expiration=1,IF($A596&lt;VLOOKUP(M$5,NFI,5,0),1,0)*Table_NFI[[#This Row],[Blanket]],Table_NFI[[#This Row],[Blanket]])</f>
        <v>0</v>
      </c>
      <c r="AC596" s="436">
        <f>IF(NFI_Expiration=1,IF($A596&lt;VLOOKUP(N$5,NFI,5,0),1,0)*Table_NFI[[#This Row],[Kitchen Set]],Table_NFI[Kitchen Set])</f>
        <v>0</v>
      </c>
      <c r="AD596" s="436">
        <f>IF(NFI_Expiration=1,IF($A596&lt;VLOOKUP(O$5,NFI,5,0),1,0)*Table_NFI[[#This Row],[Clothes Kit]],Table_NFI[Clothes Kit])</f>
        <v>0</v>
      </c>
      <c r="AE596" s="436">
        <f>IF(NFI_Expiration=1,IF($A596&lt;VLOOKUP(P$5,NFI,5,0),1,0)*Table_NFI[[#This Row],[Plastic Bucket]],Table_NFI[Plastic Bucket])</f>
        <v>0</v>
      </c>
      <c r="AF596" s="436">
        <f>IF(NFI_Expiration=1,IF($A596&lt;VLOOKUP(Q$5,NFI,5,0),1,0)*Table_NFI[[#This Row],[Plastic Mat]],Table_NFI[Plastic Mat])*IF(Table_NFI[[#This Row],[Distribution Date]]&gt;"2014-04-01",1,2.5)</f>
        <v>0</v>
      </c>
      <c r="AG596" s="436">
        <f>IF(NFI_Expiration=1,IF($A596&lt;VLOOKUP(R$5,NFI,5,0),1,0)*Table_NFI[[#This Row],[Winter Clothes Adult]],Table_NFI[Winter Clothes Adult])</f>
        <v>0</v>
      </c>
      <c r="AH596" s="436">
        <f>IF(NFI_Expiration=1,IF($A596&lt;VLOOKUP(S$5,NFI,5,0),1,0)*Table_NFI[[#This Row],[Winter Clothes Children]],Table_NFI[Winter Clothes Children])</f>
        <v>0</v>
      </c>
      <c r="AI596" s="436">
        <f>IF(NFI_Expiration=1,IF($A596&lt;VLOOKUP(T$5,NFI,5,0),1,0)*Table_NFI[[#This Row],[Winter Items Other]],Table_NFI[Winter Items Other])</f>
        <v>0</v>
      </c>
      <c r="AJ596" s="436">
        <f>IF(NFI_Expiration=1,IF($A596&lt;VLOOKUP(M$5,NFI,5,0),1,0)*Table_NFI[[#This Row],[Winter Blanket]],Table_NFI[[#This Row],[Winter Blanket]])</f>
        <v>0</v>
      </c>
      <c r="AK596" s="436">
        <f>IF(Table_NFI[[#This Row],[Winter Clothes Adult]]+Table_NFI[[#This Row],[Winter Clothes Children]]+Table_NFI[[#This Row],[Winter Items Other]]+Table_NFI[[#This Row],[Winter Blanket]]&gt;0,1,0)</f>
        <v>0</v>
      </c>
      <c r="AL596" s="439">
        <f>IF(NFI_Expiration=1,IF($A596&lt;VLOOKUP(V$5,NFI,5,0),1,0)*Table_NFI[[#This Row],[Jerry Can]],Table_NFI[Jerry Can])</f>
        <v>0</v>
      </c>
      <c r="AM596" s="781" t="str">
        <f>IFERROR(VLOOKUP(Table_NFI[[#This Row],[Camp Name]],CL,2,0),"")</f>
        <v>MMR001CMP173</v>
      </c>
      <c r="AN596" s="782">
        <f ca="1">IF(Table_NFI[[#This Row],[Pcode]]="","",IF(OFFSET(CampList[Opening Date],MATCH(Table_NFI[[#This Row],[Pcode]],CampList[CP_Pcode],0)-1,0,1,1)&gt;=NFI_Monitor_Date,1,0))</f>
        <v>0</v>
      </c>
      <c r="AO596" s="781" t="str">
        <f>IFERROR(VLOOKUP(Table_NFI[[#This Row],[Camp Name]],CL,3,0),"")</f>
        <v>Closed</v>
      </c>
      <c r="AP596" s="436" t="str">
        <f ca="1">IF(Table_NFI[[#This Row],[Pcode]]="","",OFFSET(CampList[Priority],MATCH(Table_NFI[[#This Row],[Pcode]],CampList[CP_Pcode],0)-1,0,1,1))</f>
        <v/>
      </c>
      <c r="AQ596" s="438" t="str">
        <f>IFERROR(Table_NFI[[#This Row],[Kitchen Set]]/VLOOKUP(Table_NFI[[#This Row],[Camp Name]],CL,4,0),"")</f>
        <v/>
      </c>
      <c r="AR596" s="779" t="s">
        <v>1099</v>
      </c>
      <c r="AS596" s="783"/>
    </row>
    <row r="597" spans="1:45" x14ac:dyDescent="0.25">
      <c r="A597" s="455">
        <f t="shared" si="9"/>
        <v>32.833333333333336</v>
      </c>
      <c r="B597" s="778">
        <v>41324</v>
      </c>
      <c r="C597" s="779" t="s">
        <v>454</v>
      </c>
      <c r="D597" s="780" t="s">
        <v>454</v>
      </c>
      <c r="E597" s="779" t="s">
        <v>380</v>
      </c>
      <c r="F597" s="435" t="s">
        <v>529</v>
      </c>
      <c r="G597" s="435" t="s">
        <v>48</v>
      </c>
      <c r="H597" s="436"/>
      <c r="I597" s="436"/>
      <c r="J597" s="436">
        <v>8</v>
      </c>
      <c r="K597" s="436">
        <v>16</v>
      </c>
      <c r="L597" s="437">
        <v>8</v>
      </c>
      <c r="M597" s="437">
        <v>16</v>
      </c>
      <c r="N597" s="437">
        <v>8</v>
      </c>
      <c r="O597" s="437">
        <v>8</v>
      </c>
      <c r="P597" s="437">
        <v>8</v>
      </c>
      <c r="Q597" s="437">
        <v>8</v>
      </c>
      <c r="R597" s="436"/>
      <c r="S597" s="436"/>
      <c r="T597" s="436"/>
      <c r="U597" s="436"/>
      <c r="V597" s="436"/>
      <c r="W597" s="436">
        <f>IF(NFI_Expiration=1,IF($A597&lt;VLOOKUP(H$5,NFI,5,0),1,0)*Table_NFI[[#This Row],[Hygiene Kit]],Table_NFI[Hygiene Kit])</f>
        <v>0</v>
      </c>
      <c r="X597" s="436">
        <f>IF(NFI_Expiration=1,IF($A597&lt;VLOOKUP(I$5,NFI,5,0),1,0)*Table_NFI[[#This Row],[NFI Core Kit]],Table_NFI[NFI Core Kit])</f>
        <v>0</v>
      </c>
      <c r="Y597" s="436">
        <f>IF(NFI_Expiration=1,IF($A597&lt;VLOOKUP(J$5,NFI,5,0),1,0)*Table_NFI[[#This Row],[Sanitary Kit]],Table_NFI[Sanitary Kit])</f>
        <v>0</v>
      </c>
      <c r="Z597" s="436">
        <f>IF(NFI_Expiration=1,IF($A597&lt;VLOOKUP(K$5,NFI,5,0),1,0)*Table_NFI[[#This Row],[Mosquito net]],Table_NFI[Mosquito net])</f>
        <v>0</v>
      </c>
      <c r="AA597" s="436">
        <f>IF(NFI_Expiration=1,IF($A597&lt;VLOOKUP(L$5,NFI,5,0),1,0)*Table_NFI[[#This Row],[Tarpaulin]],Table_NFI[[#This Row],[Tarpaulin]])</f>
        <v>0</v>
      </c>
      <c r="AB597" s="436">
        <f>IF(NFI_Expiration=1,IF($A597&lt;VLOOKUP(M$5,NFI,5,0),1,0)*Table_NFI[[#This Row],[Blanket]],Table_NFI[[#This Row],[Blanket]])</f>
        <v>0</v>
      </c>
      <c r="AC597" s="436">
        <f>IF(NFI_Expiration=1,IF($A597&lt;VLOOKUP(N$5,NFI,5,0),1,0)*Table_NFI[[#This Row],[Kitchen Set]],Table_NFI[Kitchen Set])</f>
        <v>0</v>
      </c>
      <c r="AD597" s="436">
        <f>IF(NFI_Expiration=1,IF($A597&lt;VLOOKUP(O$5,NFI,5,0),1,0)*Table_NFI[[#This Row],[Clothes Kit]],Table_NFI[Clothes Kit])</f>
        <v>0</v>
      </c>
      <c r="AE597" s="436">
        <f>IF(NFI_Expiration=1,IF($A597&lt;VLOOKUP(P$5,NFI,5,0),1,0)*Table_NFI[[#This Row],[Plastic Bucket]],Table_NFI[Plastic Bucket])</f>
        <v>0</v>
      </c>
      <c r="AF597" s="436">
        <f>IF(NFI_Expiration=1,IF($A597&lt;VLOOKUP(Q$5,NFI,5,0),1,0)*Table_NFI[[#This Row],[Plastic Mat]],Table_NFI[Plastic Mat])*IF(Table_NFI[[#This Row],[Distribution Date]]&gt;"2014-04-01",1,2.5)</f>
        <v>0</v>
      </c>
      <c r="AG597" s="436">
        <f>IF(NFI_Expiration=1,IF($A597&lt;VLOOKUP(R$5,NFI,5,0),1,0)*Table_NFI[[#This Row],[Winter Clothes Adult]],Table_NFI[Winter Clothes Adult])</f>
        <v>0</v>
      </c>
      <c r="AH597" s="436">
        <f>IF(NFI_Expiration=1,IF($A597&lt;VLOOKUP(S$5,NFI,5,0),1,0)*Table_NFI[[#This Row],[Winter Clothes Children]],Table_NFI[Winter Clothes Children])</f>
        <v>0</v>
      </c>
      <c r="AI597" s="436">
        <f>IF(NFI_Expiration=1,IF($A597&lt;VLOOKUP(T$5,NFI,5,0),1,0)*Table_NFI[[#This Row],[Winter Items Other]],Table_NFI[Winter Items Other])</f>
        <v>0</v>
      </c>
      <c r="AJ597" s="436">
        <f>IF(NFI_Expiration=1,IF($A597&lt;VLOOKUP(M$5,NFI,5,0),1,0)*Table_NFI[[#This Row],[Winter Blanket]],Table_NFI[[#This Row],[Winter Blanket]])</f>
        <v>0</v>
      </c>
      <c r="AK597" s="436">
        <f>IF(Table_NFI[[#This Row],[Winter Clothes Adult]]+Table_NFI[[#This Row],[Winter Clothes Children]]+Table_NFI[[#This Row],[Winter Items Other]]+Table_NFI[[#This Row],[Winter Blanket]]&gt;0,1,0)</f>
        <v>0</v>
      </c>
      <c r="AL597" s="439">
        <f>IF(NFI_Expiration=1,IF($A597&lt;VLOOKUP(V$5,NFI,5,0),1,0)*Table_NFI[[#This Row],[Jerry Can]],Table_NFI[Jerry Can])</f>
        <v>0</v>
      </c>
      <c r="AM597" s="781" t="str">
        <f>IFERROR(VLOOKUP(Table_NFI[[#This Row],[Camp Name]],CL,2,0),"")</f>
        <v>MMR001CMP170</v>
      </c>
      <c r="AN597" s="782">
        <f ca="1">IF(Table_NFI[[#This Row],[Pcode]]="","",IF(OFFSET(CampList[Opening Date],MATCH(Table_NFI[[#This Row],[Pcode]],CampList[CP_Pcode],0)-1,0,1,1)&gt;=NFI_Monitor_Date,1,0))</f>
        <v>0</v>
      </c>
      <c r="AO597" s="781" t="str">
        <f>IFERROR(VLOOKUP(Table_NFI[[#This Row],[Camp Name]],CL,3,0),"")</f>
        <v>Closed</v>
      </c>
      <c r="AP597" s="436" t="str">
        <f ca="1">IF(Table_NFI[[#This Row],[Pcode]]="","",OFFSET(CampList[Priority],MATCH(Table_NFI[[#This Row],[Pcode]],CampList[CP_Pcode],0)-1,0,1,1))</f>
        <v/>
      </c>
      <c r="AQ597" s="438" t="str">
        <f>IFERROR(Table_NFI[[#This Row],[Kitchen Set]]/VLOOKUP(Table_NFI[[#This Row],[Camp Name]],CL,4,0),"")</f>
        <v/>
      </c>
      <c r="AR597" s="779" t="s">
        <v>1099</v>
      </c>
      <c r="AS597" s="783"/>
    </row>
    <row r="598" spans="1:45" x14ac:dyDescent="0.25">
      <c r="A598" s="455">
        <f t="shared" si="9"/>
        <v>32.833333333333336</v>
      </c>
      <c r="B598" s="778">
        <v>41324</v>
      </c>
      <c r="C598" s="779" t="s">
        <v>454</v>
      </c>
      <c r="D598" s="780" t="s">
        <v>454</v>
      </c>
      <c r="E598" s="779" t="s">
        <v>380</v>
      </c>
      <c r="F598" s="435" t="s">
        <v>529</v>
      </c>
      <c r="G598" s="435" t="s">
        <v>76</v>
      </c>
      <c r="H598" s="436"/>
      <c r="I598" s="436"/>
      <c r="J598" s="436">
        <v>74</v>
      </c>
      <c r="K598" s="436">
        <v>105</v>
      </c>
      <c r="L598" s="437">
        <v>59</v>
      </c>
      <c r="M598" s="437">
        <v>105</v>
      </c>
      <c r="N598" s="437">
        <v>59</v>
      </c>
      <c r="O598" s="437">
        <v>59</v>
      </c>
      <c r="P598" s="437">
        <v>59</v>
      </c>
      <c r="Q598" s="437">
        <v>59</v>
      </c>
      <c r="R598" s="436"/>
      <c r="S598" s="436"/>
      <c r="T598" s="436"/>
      <c r="U598" s="436"/>
      <c r="V598" s="436"/>
      <c r="W598" s="436">
        <f>IF(NFI_Expiration=1,IF($A598&lt;VLOOKUP(H$5,NFI,5,0),1,0)*Table_NFI[[#This Row],[Hygiene Kit]],Table_NFI[Hygiene Kit])</f>
        <v>0</v>
      </c>
      <c r="X598" s="436">
        <f>IF(NFI_Expiration=1,IF($A598&lt;VLOOKUP(I$5,NFI,5,0),1,0)*Table_NFI[[#This Row],[NFI Core Kit]],Table_NFI[NFI Core Kit])</f>
        <v>0</v>
      </c>
      <c r="Y598" s="436">
        <f>IF(NFI_Expiration=1,IF($A598&lt;VLOOKUP(J$5,NFI,5,0),1,0)*Table_NFI[[#This Row],[Sanitary Kit]],Table_NFI[Sanitary Kit])</f>
        <v>0</v>
      </c>
      <c r="Z598" s="436">
        <f>IF(NFI_Expiration=1,IF($A598&lt;VLOOKUP(K$5,NFI,5,0),1,0)*Table_NFI[[#This Row],[Mosquito net]],Table_NFI[Mosquito net])</f>
        <v>0</v>
      </c>
      <c r="AA598" s="436">
        <f>IF(NFI_Expiration=1,IF($A598&lt;VLOOKUP(L$5,NFI,5,0),1,0)*Table_NFI[[#This Row],[Tarpaulin]],Table_NFI[[#This Row],[Tarpaulin]])</f>
        <v>0</v>
      </c>
      <c r="AB598" s="436">
        <f>IF(NFI_Expiration=1,IF($A598&lt;VLOOKUP(M$5,NFI,5,0),1,0)*Table_NFI[[#This Row],[Blanket]],Table_NFI[[#This Row],[Blanket]])</f>
        <v>0</v>
      </c>
      <c r="AC598" s="436">
        <f>IF(NFI_Expiration=1,IF($A598&lt;VLOOKUP(N$5,NFI,5,0),1,0)*Table_NFI[[#This Row],[Kitchen Set]],Table_NFI[Kitchen Set])</f>
        <v>0</v>
      </c>
      <c r="AD598" s="436">
        <f>IF(NFI_Expiration=1,IF($A598&lt;VLOOKUP(O$5,NFI,5,0),1,0)*Table_NFI[[#This Row],[Clothes Kit]],Table_NFI[Clothes Kit])</f>
        <v>0</v>
      </c>
      <c r="AE598" s="436">
        <f>IF(NFI_Expiration=1,IF($A598&lt;VLOOKUP(P$5,NFI,5,0),1,0)*Table_NFI[[#This Row],[Plastic Bucket]],Table_NFI[Plastic Bucket])</f>
        <v>0</v>
      </c>
      <c r="AF598" s="436">
        <f>IF(NFI_Expiration=1,IF($A598&lt;VLOOKUP(Q$5,NFI,5,0),1,0)*Table_NFI[[#This Row],[Plastic Mat]],Table_NFI[Plastic Mat])*IF(Table_NFI[[#This Row],[Distribution Date]]&gt;"2014-04-01",1,2.5)</f>
        <v>0</v>
      </c>
      <c r="AG598" s="436">
        <f>IF(NFI_Expiration=1,IF($A598&lt;VLOOKUP(R$5,NFI,5,0),1,0)*Table_NFI[[#This Row],[Winter Clothes Adult]],Table_NFI[Winter Clothes Adult])</f>
        <v>0</v>
      </c>
      <c r="AH598" s="436">
        <f>IF(NFI_Expiration=1,IF($A598&lt;VLOOKUP(S$5,NFI,5,0),1,0)*Table_NFI[[#This Row],[Winter Clothes Children]],Table_NFI[Winter Clothes Children])</f>
        <v>0</v>
      </c>
      <c r="AI598" s="436">
        <f>IF(NFI_Expiration=1,IF($A598&lt;VLOOKUP(T$5,NFI,5,0),1,0)*Table_NFI[[#This Row],[Winter Items Other]],Table_NFI[Winter Items Other])</f>
        <v>0</v>
      </c>
      <c r="AJ598" s="436">
        <f>IF(NFI_Expiration=1,IF($A598&lt;VLOOKUP(M$5,NFI,5,0),1,0)*Table_NFI[[#This Row],[Winter Blanket]],Table_NFI[[#This Row],[Winter Blanket]])</f>
        <v>0</v>
      </c>
      <c r="AK598" s="436">
        <f>IF(Table_NFI[[#This Row],[Winter Clothes Adult]]+Table_NFI[[#This Row],[Winter Clothes Children]]+Table_NFI[[#This Row],[Winter Items Other]]+Table_NFI[[#This Row],[Winter Blanket]]&gt;0,1,0)</f>
        <v>0</v>
      </c>
      <c r="AL598" s="439">
        <f>IF(NFI_Expiration=1,IF($A598&lt;VLOOKUP(V$5,NFI,5,0),1,0)*Table_NFI[[#This Row],[Jerry Can]],Table_NFI[Jerry Can])</f>
        <v>0</v>
      </c>
      <c r="AM598" s="781" t="str">
        <f>IFERROR(VLOOKUP(Table_NFI[[#This Row],[Camp Name]],CL,2,0),"")</f>
        <v>MMR001CMP174</v>
      </c>
      <c r="AN598" s="782">
        <f ca="1">IF(Table_NFI[[#This Row],[Pcode]]="","",IF(OFFSET(CampList[Opening Date],MATCH(Table_NFI[[#This Row],[Pcode]],CampList[CP_Pcode],0)-1,0,1,1)&gt;=NFI_Monitor_Date,1,0))</f>
        <v>0</v>
      </c>
      <c r="AO598" s="781" t="str">
        <f>IFERROR(VLOOKUP(Table_NFI[[#This Row],[Camp Name]],CL,3,0),"")</f>
        <v>Open</v>
      </c>
      <c r="AP598" s="436" t="str">
        <f ca="1">IF(Table_NFI[[#This Row],[Pcode]]="","",OFFSET(CampList[Priority],MATCH(Table_NFI[[#This Row],[Pcode]],CampList[CP_Pcode],0)-1,0,1,1))</f>
        <v>P4</v>
      </c>
      <c r="AQ598" s="438">
        <f>IFERROR(Table_NFI[[#This Row],[Kitchen Set]]/VLOOKUP(Table_NFI[[#This Row],[Camp Name]],CL,4,0),"")</f>
        <v>0.90769230769230769</v>
      </c>
      <c r="AR598" s="779" t="s">
        <v>1099</v>
      </c>
      <c r="AS598" s="783"/>
    </row>
    <row r="599" spans="1:45" x14ac:dyDescent="0.25">
      <c r="A599" s="455">
        <f t="shared" si="9"/>
        <v>32.833333333333336</v>
      </c>
      <c r="B599" s="778">
        <v>41324</v>
      </c>
      <c r="C599" s="779" t="s">
        <v>454</v>
      </c>
      <c r="D599" s="780" t="s">
        <v>454</v>
      </c>
      <c r="E599" s="779" t="s">
        <v>380</v>
      </c>
      <c r="F599" s="435" t="s">
        <v>529</v>
      </c>
      <c r="G599" s="435" t="s">
        <v>98</v>
      </c>
      <c r="H599" s="436"/>
      <c r="I599" s="436"/>
      <c r="J599" s="436">
        <v>9</v>
      </c>
      <c r="K599" s="436">
        <v>21</v>
      </c>
      <c r="L599" s="437">
        <v>9</v>
      </c>
      <c r="M599" s="437">
        <v>21</v>
      </c>
      <c r="N599" s="437">
        <v>9</v>
      </c>
      <c r="O599" s="437">
        <v>9</v>
      </c>
      <c r="P599" s="437">
        <v>9</v>
      </c>
      <c r="Q599" s="437">
        <v>9</v>
      </c>
      <c r="R599" s="436"/>
      <c r="S599" s="436"/>
      <c r="T599" s="436"/>
      <c r="U599" s="436"/>
      <c r="V599" s="436"/>
      <c r="W599" s="436">
        <f>IF(NFI_Expiration=1,IF($A599&lt;VLOOKUP(H$5,NFI,5,0),1,0)*Table_NFI[[#This Row],[Hygiene Kit]],Table_NFI[Hygiene Kit])</f>
        <v>0</v>
      </c>
      <c r="X599" s="436">
        <f>IF(NFI_Expiration=1,IF($A599&lt;VLOOKUP(I$5,NFI,5,0),1,0)*Table_NFI[[#This Row],[NFI Core Kit]],Table_NFI[NFI Core Kit])</f>
        <v>0</v>
      </c>
      <c r="Y599" s="436">
        <f>IF(NFI_Expiration=1,IF($A599&lt;VLOOKUP(J$5,NFI,5,0),1,0)*Table_NFI[[#This Row],[Sanitary Kit]],Table_NFI[Sanitary Kit])</f>
        <v>0</v>
      </c>
      <c r="Z599" s="436">
        <f>IF(NFI_Expiration=1,IF($A599&lt;VLOOKUP(K$5,NFI,5,0),1,0)*Table_NFI[[#This Row],[Mosquito net]],Table_NFI[Mosquito net])</f>
        <v>0</v>
      </c>
      <c r="AA599" s="436">
        <f>IF(NFI_Expiration=1,IF($A599&lt;VLOOKUP(L$5,NFI,5,0),1,0)*Table_NFI[[#This Row],[Tarpaulin]],Table_NFI[[#This Row],[Tarpaulin]])</f>
        <v>0</v>
      </c>
      <c r="AB599" s="436">
        <f>IF(NFI_Expiration=1,IF($A599&lt;VLOOKUP(M$5,NFI,5,0),1,0)*Table_NFI[[#This Row],[Blanket]],Table_NFI[[#This Row],[Blanket]])</f>
        <v>0</v>
      </c>
      <c r="AC599" s="436">
        <f>IF(NFI_Expiration=1,IF($A599&lt;VLOOKUP(N$5,NFI,5,0),1,0)*Table_NFI[[#This Row],[Kitchen Set]],Table_NFI[Kitchen Set])</f>
        <v>0</v>
      </c>
      <c r="AD599" s="436">
        <f>IF(NFI_Expiration=1,IF($A599&lt;VLOOKUP(O$5,NFI,5,0),1,0)*Table_NFI[[#This Row],[Clothes Kit]],Table_NFI[Clothes Kit])</f>
        <v>0</v>
      </c>
      <c r="AE599" s="436">
        <f>IF(NFI_Expiration=1,IF($A599&lt;VLOOKUP(P$5,NFI,5,0),1,0)*Table_NFI[[#This Row],[Plastic Bucket]],Table_NFI[Plastic Bucket])</f>
        <v>0</v>
      </c>
      <c r="AF599" s="436">
        <f>IF(NFI_Expiration=1,IF($A599&lt;VLOOKUP(Q$5,NFI,5,0),1,0)*Table_NFI[[#This Row],[Plastic Mat]],Table_NFI[Plastic Mat])*IF(Table_NFI[[#This Row],[Distribution Date]]&gt;"2014-04-01",1,2.5)</f>
        <v>0</v>
      </c>
      <c r="AG599" s="436">
        <f>IF(NFI_Expiration=1,IF($A599&lt;VLOOKUP(R$5,NFI,5,0),1,0)*Table_NFI[[#This Row],[Winter Clothes Adult]],Table_NFI[Winter Clothes Adult])</f>
        <v>0</v>
      </c>
      <c r="AH599" s="436">
        <f>IF(NFI_Expiration=1,IF($A599&lt;VLOOKUP(S$5,NFI,5,0),1,0)*Table_NFI[[#This Row],[Winter Clothes Children]],Table_NFI[Winter Clothes Children])</f>
        <v>0</v>
      </c>
      <c r="AI599" s="436">
        <f>IF(NFI_Expiration=1,IF($A599&lt;VLOOKUP(T$5,NFI,5,0),1,0)*Table_NFI[[#This Row],[Winter Items Other]],Table_NFI[Winter Items Other])</f>
        <v>0</v>
      </c>
      <c r="AJ599" s="436">
        <f>IF(NFI_Expiration=1,IF($A599&lt;VLOOKUP(M$5,NFI,5,0),1,0)*Table_NFI[[#This Row],[Winter Blanket]],Table_NFI[[#This Row],[Winter Blanket]])</f>
        <v>0</v>
      </c>
      <c r="AK599" s="436">
        <f>IF(Table_NFI[[#This Row],[Winter Clothes Adult]]+Table_NFI[[#This Row],[Winter Clothes Children]]+Table_NFI[[#This Row],[Winter Items Other]]+Table_NFI[[#This Row],[Winter Blanket]]&gt;0,1,0)</f>
        <v>0</v>
      </c>
      <c r="AL599" s="439">
        <f>IF(NFI_Expiration=1,IF($A599&lt;VLOOKUP(V$5,NFI,5,0),1,0)*Table_NFI[[#This Row],[Jerry Can]],Table_NFI[Jerry Can])</f>
        <v>0</v>
      </c>
      <c r="AM599" s="781" t="str">
        <f>IFERROR(VLOOKUP(Table_NFI[[#This Row],[Camp Name]],CL,2,0),"")</f>
        <v>MMR001CMP178</v>
      </c>
      <c r="AN599" s="782">
        <f ca="1">IF(Table_NFI[[#This Row],[Pcode]]="","",IF(OFFSET(CampList[Opening Date],MATCH(Table_NFI[[#This Row],[Pcode]],CampList[CP_Pcode],0)-1,0,1,1)&gt;=NFI_Monitor_Date,1,0))</f>
        <v>0</v>
      </c>
      <c r="AO599" s="781" t="str">
        <f>IFERROR(VLOOKUP(Table_NFI[[#This Row],[Camp Name]],CL,3,0),"")</f>
        <v>Closed</v>
      </c>
      <c r="AP599" s="436" t="str">
        <f ca="1">IF(Table_NFI[[#This Row],[Pcode]]="","",OFFSET(CampList[Priority],MATCH(Table_NFI[[#This Row],[Pcode]],CampList[CP_Pcode],0)-1,0,1,1))</f>
        <v/>
      </c>
      <c r="AQ599" s="438" t="str">
        <f>IFERROR(Table_NFI[[#This Row],[Kitchen Set]]/VLOOKUP(Table_NFI[[#This Row],[Camp Name]],CL,4,0),"")</f>
        <v/>
      </c>
      <c r="AR599" s="779" t="s">
        <v>1099</v>
      </c>
      <c r="AS599" s="783"/>
    </row>
    <row r="600" spans="1:45" x14ac:dyDescent="0.25">
      <c r="A600" s="455">
        <f t="shared" si="9"/>
        <v>32.833333333333336</v>
      </c>
      <c r="B600" s="778">
        <v>41324</v>
      </c>
      <c r="C600" s="779" t="s">
        <v>454</v>
      </c>
      <c r="D600" s="780" t="s">
        <v>454</v>
      </c>
      <c r="E600" s="779" t="s">
        <v>380</v>
      </c>
      <c r="F600" s="435" t="s">
        <v>529</v>
      </c>
      <c r="G600" s="435" t="s">
        <v>613</v>
      </c>
      <c r="H600" s="436"/>
      <c r="I600" s="436"/>
      <c r="J600" s="436">
        <v>19</v>
      </c>
      <c r="K600" s="436">
        <v>30</v>
      </c>
      <c r="L600" s="437">
        <v>18</v>
      </c>
      <c r="M600" s="437">
        <v>68</v>
      </c>
      <c r="N600" s="437">
        <v>18</v>
      </c>
      <c r="O600" s="437">
        <v>18</v>
      </c>
      <c r="P600" s="437">
        <v>18</v>
      </c>
      <c r="Q600" s="437">
        <v>18</v>
      </c>
      <c r="R600" s="436"/>
      <c r="S600" s="436"/>
      <c r="T600" s="436"/>
      <c r="U600" s="436"/>
      <c r="V600" s="436"/>
      <c r="W600" s="436">
        <f>IF(NFI_Expiration=1,IF($A600&lt;VLOOKUP(H$5,NFI,5,0),1,0)*Table_NFI[[#This Row],[Hygiene Kit]],Table_NFI[Hygiene Kit])</f>
        <v>0</v>
      </c>
      <c r="X600" s="436">
        <f>IF(NFI_Expiration=1,IF($A600&lt;VLOOKUP(I$5,NFI,5,0),1,0)*Table_NFI[[#This Row],[NFI Core Kit]],Table_NFI[NFI Core Kit])</f>
        <v>0</v>
      </c>
      <c r="Y600" s="436">
        <f>IF(NFI_Expiration=1,IF($A600&lt;VLOOKUP(J$5,NFI,5,0),1,0)*Table_NFI[[#This Row],[Sanitary Kit]],Table_NFI[Sanitary Kit])</f>
        <v>0</v>
      </c>
      <c r="Z600" s="436">
        <f>IF(NFI_Expiration=1,IF($A600&lt;VLOOKUP(K$5,NFI,5,0),1,0)*Table_NFI[[#This Row],[Mosquito net]],Table_NFI[Mosquito net])</f>
        <v>0</v>
      </c>
      <c r="AA600" s="436">
        <f>IF(NFI_Expiration=1,IF($A600&lt;VLOOKUP(L$5,NFI,5,0),1,0)*Table_NFI[[#This Row],[Tarpaulin]],Table_NFI[[#This Row],[Tarpaulin]])</f>
        <v>0</v>
      </c>
      <c r="AB600" s="436">
        <f>IF(NFI_Expiration=1,IF($A600&lt;VLOOKUP(M$5,NFI,5,0),1,0)*Table_NFI[[#This Row],[Blanket]],Table_NFI[[#This Row],[Blanket]])</f>
        <v>0</v>
      </c>
      <c r="AC600" s="436">
        <f>IF(NFI_Expiration=1,IF($A600&lt;VLOOKUP(N$5,NFI,5,0),1,0)*Table_NFI[[#This Row],[Kitchen Set]],Table_NFI[Kitchen Set])</f>
        <v>0</v>
      </c>
      <c r="AD600" s="436">
        <f>IF(NFI_Expiration=1,IF($A600&lt;VLOOKUP(O$5,NFI,5,0),1,0)*Table_NFI[[#This Row],[Clothes Kit]],Table_NFI[Clothes Kit])</f>
        <v>0</v>
      </c>
      <c r="AE600" s="436">
        <f>IF(NFI_Expiration=1,IF($A600&lt;VLOOKUP(P$5,NFI,5,0),1,0)*Table_NFI[[#This Row],[Plastic Bucket]],Table_NFI[Plastic Bucket])</f>
        <v>0</v>
      </c>
      <c r="AF600" s="436">
        <f>IF(NFI_Expiration=1,IF($A600&lt;VLOOKUP(Q$5,NFI,5,0),1,0)*Table_NFI[[#This Row],[Plastic Mat]],Table_NFI[Plastic Mat])*IF(Table_NFI[[#This Row],[Distribution Date]]&gt;"2014-04-01",1,2.5)</f>
        <v>0</v>
      </c>
      <c r="AG600" s="436">
        <f>IF(NFI_Expiration=1,IF($A600&lt;VLOOKUP(R$5,NFI,5,0),1,0)*Table_NFI[[#This Row],[Winter Clothes Adult]],Table_NFI[Winter Clothes Adult])</f>
        <v>0</v>
      </c>
      <c r="AH600" s="436">
        <f>IF(NFI_Expiration=1,IF($A600&lt;VLOOKUP(S$5,NFI,5,0),1,0)*Table_NFI[[#This Row],[Winter Clothes Children]],Table_NFI[Winter Clothes Children])</f>
        <v>0</v>
      </c>
      <c r="AI600" s="436">
        <f>IF(NFI_Expiration=1,IF($A600&lt;VLOOKUP(T$5,NFI,5,0),1,0)*Table_NFI[[#This Row],[Winter Items Other]],Table_NFI[Winter Items Other])</f>
        <v>0</v>
      </c>
      <c r="AJ600" s="436">
        <f>IF(NFI_Expiration=1,IF($A600&lt;VLOOKUP(M$5,NFI,5,0),1,0)*Table_NFI[[#This Row],[Winter Blanket]],Table_NFI[[#This Row],[Winter Blanket]])</f>
        <v>0</v>
      </c>
      <c r="AK600" s="436">
        <f>IF(Table_NFI[[#This Row],[Winter Clothes Adult]]+Table_NFI[[#This Row],[Winter Clothes Children]]+Table_NFI[[#This Row],[Winter Items Other]]+Table_NFI[[#This Row],[Winter Blanket]]&gt;0,1,0)</f>
        <v>0</v>
      </c>
      <c r="AL600" s="439">
        <f>IF(NFI_Expiration=1,IF($A600&lt;VLOOKUP(V$5,NFI,5,0),1,0)*Table_NFI[[#This Row],[Jerry Can]],Table_NFI[Jerry Can])</f>
        <v>0</v>
      </c>
      <c r="AM600" s="781" t="str">
        <f>IFERROR(VLOOKUP(Table_NFI[[#This Row],[Camp Name]],CL,2,0),"")</f>
        <v>MMR001CMP192</v>
      </c>
      <c r="AN600" s="782">
        <f ca="1">IF(Table_NFI[[#This Row],[Pcode]]="","",IF(OFFSET(CampList[Opening Date],MATCH(Table_NFI[[#This Row],[Pcode]],CampList[CP_Pcode],0)-1,0,1,1)&gt;=NFI_Monitor_Date,1,0))</f>
        <v>0</v>
      </c>
      <c r="AO600" s="781" t="str">
        <f>IFERROR(VLOOKUP(Table_NFI[[#This Row],[Camp Name]],CL,3,0),"")</f>
        <v>Open</v>
      </c>
      <c r="AP600" s="436" t="str">
        <f ca="1">IF(Table_NFI[[#This Row],[Pcode]]="","",OFFSET(CampList[Priority],MATCH(Table_NFI[[#This Row],[Pcode]],CampList[CP_Pcode],0)-1,0,1,1))</f>
        <v>P4</v>
      </c>
      <c r="AQ600" s="438">
        <f>IFERROR(Table_NFI[[#This Row],[Kitchen Set]]/VLOOKUP(Table_NFI[[#This Row],[Camp Name]],CL,4,0),"")</f>
        <v>1.0588235294117647</v>
      </c>
      <c r="AR600" s="779" t="s">
        <v>1099</v>
      </c>
      <c r="AS600" s="783"/>
    </row>
    <row r="601" spans="1:45" x14ac:dyDescent="0.25">
      <c r="A601" s="455">
        <f t="shared" si="9"/>
        <v>32.833333333333336</v>
      </c>
      <c r="B601" s="778">
        <v>41324</v>
      </c>
      <c r="C601" s="779" t="s">
        <v>454</v>
      </c>
      <c r="D601" s="780" t="s">
        <v>454</v>
      </c>
      <c r="E601" s="779" t="s">
        <v>380</v>
      </c>
      <c r="F601" s="435" t="s">
        <v>529</v>
      </c>
      <c r="G601" s="435" t="s">
        <v>74</v>
      </c>
      <c r="H601" s="436"/>
      <c r="I601" s="436"/>
      <c r="J601" s="436">
        <v>2</v>
      </c>
      <c r="K601" s="436">
        <v>3</v>
      </c>
      <c r="L601" s="437">
        <v>2</v>
      </c>
      <c r="M601" s="437">
        <v>7</v>
      </c>
      <c r="N601" s="437">
        <v>2</v>
      </c>
      <c r="O601" s="437">
        <v>2</v>
      </c>
      <c r="P601" s="437">
        <v>2</v>
      </c>
      <c r="Q601" s="437">
        <v>2</v>
      </c>
      <c r="R601" s="436"/>
      <c r="S601" s="436"/>
      <c r="T601" s="436"/>
      <c r="U601" s="436"/>
      <c r="V601" s="436"/>
      <c r="W601" s="436">
        <f>IF(NFI_Expiration=1,IF($A601&lt;VLOOKUP(H$5,NFI,5,0),1,0)*Table_NFI[[#This Row],[Hygiene Kit]],Table_NFI[Hygiene Kit])</f>
        <v>0</v>
      </c>
      <c r="X601" s="436">
        <f>IF(NFI_Expiration=1,IF($A601&lt;VLOOKUP(I$5,NFI,5,0),1,0)*Table_NFI[[#This Row],[NFI Core Kit]],Table_NFI[NFI Core Kit])</f>
        <v>0</v>
      </c>
      <c r="Y601" s="436">
        <f>IF(NFI_Expiration=1,IF($A601&lt;VLOOKUP(J$5,NFI,5,0),1,0)*Table_NFI[[#This Row],[Sanitary Kit]],Table_NFI[Sanitary Kit])</f>
        <v>0</v>
      </c>
      <c r="Z601" s="436">
        <f>IF(NFI_Expiration=1,IF($A601&lt;VLOOKUP(K$5,NFI,5,0),1,0)*Table_NFI[[#This Row],[Mosquito net]],Table_NFI[Mosquito net])</f>
        <v>0</v>
      </c>
      <c r="AA601" s="436">
        <f>IF(NFI_Expiration=1,IF($A601&lt;VLOOKUP(L$5,NFI,5,0),1,0)*Table_NFI[[#This Row],[Tarpaulin]],Table_NFI[[#This Row],[Tarpaulin]])</f>
        <v>0</v>
      </c>
      <c r="AB601" s="436">
        <f>IF(NFI_Expiration=1,IF($A601&lt;VLOOKUP(M$5,NFI,5,0),1,0)*Table_NFI[[#This Row],[Blanket]],Table_NFI[[#This Row],[Blanket]])</f>
        <v>0</v>
      </c>
      <c r="AC601" s="436">
        <f>IF(NFI_Expiration=1,IF($A601&lt;VLOOKUP(N$5,NFI,5,0),1,0)*Table_NFI[[#This Row],[Kitchen Set]],Table_NFI[Kitchen Set])</f>
        <v>0</v>
      </c>
      <c r="AD601" s="436">
        <f>IF(NFI_Expiration=1,IF($A601&lt;VLOOKUP(O$5,NFI,5,0),1,0)*Table_NFI[[#This Row],[Clothes Kit]],Table_NFI[Clothes Kit])</f>
        <v>0</v>
      </c>
      <c r="AE601" s="436">
        <f>IF(NFI_Expiration=1,IF($A601&lt;VLOOKUP(P$5,NFI,5,0),1,0)*Table_NFI[[#This Row],[Plastic Bucket]],Table_NFI[Plastic Bucket])</f>
        <v>0</v>
      </c>
      <c r="AF601" s="436">
        <f>IF(NFI_Expiration=1,IF($A601&lt;VLOOKUP(Q$5,NFI,5,0),1,0)*Table_NFI[[#This Row],[Plastic Mat]],Table_NFI[Plastic Mat])*IF(Table_NFI[[#This Row],[Distribution Date]]&gt;"2014-04-01",1,2.5)</f>
        <v>0</v>
      </c>
      <c r="AG601" s="436">
        <f>IF(NFI_Expiration=1,IF($A601&lt;VLOOKUP(R$5,NFI,5,0),1,0)*Table_NFI[[#This Row],[Winter Clothes Adult]],Table_NFI[Winter Clothes Adult])</f>
        <v>0</v>
      </c>
      <c r="AH601" s="436">
        <f>IF(NFI_Expiration=1,IF($A601&lt;VLOOKUP(S$5,NFI,5,0),1,0)*Table_NFI[[#This Row],[Winter Clothes Children]],Table_NFI[Winter Clothes Children])</f>
        <v>0</v>
      </c>
      <c r="AI601" s="436">
        <f>IF(NFI_Expiration=1,IF($A601&lt;VLOOKUP(T$5,NFI,5,0),1,0)*Table_NFI[[#This Row],[Winter Items Other]],Table_NFI[Winter Items Other])</f>
        <v>0</v>
      </c>
      <c r="AJ601" s="436">
        <f>IF(NFI_Expiration=1,IF($A601&lt;VLOOKUP(M$5,NFI,5,0),1,0)*Table_NFI[[#This Row],[Winter Blanket]],Table_NFI[[#This Row],[Winter Blanket]])</f>
        <v>0</v>
      </c>
      <c r="AK601" s="436">
        <f>IF(Table_NFI[[#This Row],[Winter Clothes Adult]]+Table_NFI[[#This Row],[Winter Clothes Children]]+Table_NFI[[#This Row],[Winter Items Other]]+Table_NFI[[#This Row],[Winter Blanket]]&gt;0,1,0)</f>
        <v>0</v>
      </c>
      <c r="AL601" s="439">
        <f>IF(NFI_Expiration=1,IF($A601&lt;VLOOKUP(V$5,NFI,5,0),1,0)*Table_NFI[[#This Row],[Jerry Can]],Table_NFI[Jerry Can])</f>
        <v>0</v>
      </c>
      <c r="AM601" s="781" t="str">
        <f>IFERROR(VLOOKUP(Table_NFI[[#This Row],[Camp Name]],CL,2,0),"")</f>
        <v>MMR001CMP175</v>
      </c>
      <c r="AN601" s="782">
        <f ca="1">IF(Table_NFI[[#This Row],[Pcode]]="","",IF(OFFSET(CampList[Opening Date],MATCH(Table_NFI[[#This Row],[Pcode]],CampList[CP_Pcode],0)-1,0,1,1)&gt;=NFI_Monitor_Date,1,0))</f>
        <v>0</v>
      </c>
      <c r="AO601" s="781" t="str">
        <f>IFERROR(VLOOKUP(Table_NFI[[#This Row],[Camp Name]],CL,3,0),"")</f>
        <v>Closed</v>
      </c>
      <c r="AP601" s="436" t="str">
        <f ca="1">IF(Table_NFI[[#This Row],[Pcode]]="","",OFFSET(CampList[Priority],MATCH(Table_NFI[[#This Row],[Pcode]],CampList[CP_Pcode],0)-1,0,1,1))</f>
        <v/>
      </c>
      <c r="AQ601" s="438" t="str">
        <f>IFERROR(Table_NFI[[#This Row],[Kitchen Set]]/VLOOKUP(Table_NFI[[#This Row],[Camp Name]],CL,4,0),"")</f>
        <v/>
      </c>
      <c r="AR601" s="779" t="s">
        <v>1099</v>
      </c>
      <c r="AS601" s="783"/>
    </row>
    <row r="602" spans="1:45" x14ac:dyDescent="0.25">
      <c r="A602" s="455">
        <f t="shared" si="9"/>
        <v>32.866666666666667</v>
      </c>
      <c r="B602" s="778">
        <v>41323</v>
      </c>
      <c r="C602" s="779" t="s">
        <v>454</v>
      </c>
      <c r="D602" s="780" t="s">
        <v>454</v>
      </c>
      <c r="E602" s="779" t="s">
        <v>380</v>
      </c>
      <c r="F602" s="435" t="s">
        <v>529</v>
      </c>
      <c r="G602" s="435" t="s">
        <v>88</v>
      </c>
      <c r="H602" s="436"/>
      <c r="I602" s="436"/>
      <c r="J602" s="436">
        <v>30</v>
      </c>
      <c r="K602" s="436">
        <v>0</v>
      </c>
      <c r="L602" s="437">
        <v>0</v>
      </c>
      <c r="M602" s="437">
        <v>0</v>
      </c>
      <c r="N602" s="437">
        <v>0</v>
      </c>
      <c r="O602" s="437">
        <v>0</v>
      </c>
      <c r="P602" s="437"/>
      <c r="Q602" s="437"/>
      <c r="R602" s="436"/>
      <c r="S602" s="436"/>
      <c r="T602" s="436"/>
      <c r="U602" s="436"/>
      <c r="V602" s="436"/>
      <c r="W602" s="436">
        <f>IF(NFI_Expiration=1,IF($A602&lt;VLOOKUP(H$5,NFI,5,0),1,0)*Table_NFI[[#This Row],[Hygiene Kit]],Table_NFI[Hygiene Kit])</f>
        <v>0</v>
      </c>
      <c r="X602" s="436">
        <f>IF(NFI_Expiration=1,IF($A602&lt;VLOOKUP(I$5,NFI,5,0),1,0)*Table_NFI[[#This Row],[NFI Core Kit]],Table_NFI[NFI Core Kit])</f>
        <v>0</v>
      </c>
      <c r="Y602" s="436">
        <f>IF(NFI_Expiration=1,IF($A602&lt;VLOOKUP(J$5,NFI,5,0),1,0)*Table_NFI[[#This Row],[Sanitary Kit]],Table_NFI[Sanitary Kit])</f>
        <v>0</v>
      </c>
      <c r="Z602" s="436">
        <f>IF(NFI_Expiration=1,IF($A602&lt;VLOOKUP(K$5,NFI,5,0),1,0)*Table_NFI[[#This Row],[Mosquito net]],Table_NFI[Mosquito net])</f>
        <v>0</v>
      </c>
      <c r="AA602" s="436">
        <f>IF(NFI_Expiration=1,IF($A602&lt;VLOOKUP(L$5,NFI,5,0),1,0)*Table_NFI[[#This Row],[Tarpaulin]],Table_NFI[[#This Row],[Tarpaulin]])</f>
        <v>0</v>
      </c>
      <c r="AB602" s="436">
        <f>IF(NFI_Expiration=1,IF($A602&lt;VLOOKUP(M$5,NFI,5,0),1,0)*Table_NFI[[#This Row],[Blanket]],Table_NFI[[#This Row],[Blanket]])</f>
        <v>0</v>
      </c>
      <c r="AC602" s="436">
        <f>IF(NFI_Expiration=1,IF($A602&lt;VLOOKUP(N$5,NFI,5,0),1,0)*Table_NFI[[#This Row],[Kitchen Set]],Table_NFI[Kitchen Set])</f>
        <v>0</v>
      </c>
      <c r="AD602" s="436">
        <f>IF(NFI_Expiration=1,IF($A602&lt;VLOOKUP(O$5,NFI,5,0),1,0)*Table_NFI[[#This Row],[Clothes Kit]],Table_NFI[Clothes Kit])</f>
        <v>0</v>
      </c>
      <c r="AE602" s="436">
        <f>IF(NFI_Expiration=1,IF($A602&lt;VLOOKUP(P$5,NFI,5,0),1,0)*Table_NFI[[#This Row],[Plastic Bucket]],Table_NFI[Plastic Bucket])</f>
        <v>0</v>
      </c>
      <c r="AF602" s="436">
        <f>IF(NFI_Expiration=1,IF($A602&lt;VLOOKUP(Q$5,NFI,5,0),1,0)*Table_NFI[[#This Row],[Plastic Mat]],Table_NFI[Plastic Mat])*IF(Table_NFI[[#This Row],[Distribution Date]]&gt;"2014-04-01",1,2.5)</f>
        <v>0</v>
      </c>
      <c r="AG602" s="436">
        <f>IF(NFI_Expiration=1,IF($A602&lt;VLOOKUP(R$5,NFI,5,0),1,0)*Table_NFI[[#This Row],[Winter Clothes Adult]],Table_NFI[Winter Clothes Adult])</f>
        <v>0</v>
      </c>
      <c r="AH602" s="436">
        <f>IF(NFI_Expiration=1,IF($A602&lt;VLOOKUP(S$5,NFI,5,0),1,0)*Table_NFI[[#This Row],[Winter Clothes Children]],Table_NFI[Winter Clothes Children])</f>
        <v>0</v>
      </c>
      <c r="AI602" s="436">
        <f>IF(NFI_Expiration=1,IF($A602&lt;VLOOKUP(T$5,NFI,5,0),1,0)*Table_NFI[[#This Row],[Winter Items Other]],Table_NFI[Winter Items Other])</f>
        <v>0</v>
      </c>
      <c r="AJ602" s="436">
        <f>IF(NFI_Expiration=1,IF($A602&lt;VLOOKUP(M$5,NFI,5,0),1,0)*Table_NFI[[#This Row],[Winter Blanket]],Table_NFI[[#This Row],[Winter Blanket]])</f>
        <v>0</v>
      </c>
      <c r="AK602" s="436">
        <f>IF(Table_NFI[[#This Row],[Winter Clothes Adult]]+Table_NFI[[#This Row],[Winter Clothes Children]]+Table_NFI[[#This Row],[Winter Items Other]]+Table_NFI[[#This Row],[Winter Blanket]]&gt;0,1,0)</f>
        <v>0</v>
      </c>
      <c r="AL602" s="439">
        <f>IF(NFI_Expiration=1,IF($A602&lt;VLOOKUP(V$5,NFI,5,0),1,0)*Table_NFI[[#This Row],[Jerry Can]],Table_NFI[Jerry Can])</f>
        <v>0</v>
      </c>
      <c r="AM602" s="781" t="str">
        <f>IFERROR(VLOOKUP(Table_NFI[[#This Row],[Camp Name]],CL,2,0),"")</f>
        <v>MMR001CMP148</v>
      </c>
      <c r="AN602" s="782">
        <f ca="1">IF(Table_NFI[[#This Row],[Pcode]]="","",IF(OFFSET(CampList[Opening Date],MATCH(Table_NFI[[#This Row],[Pcode]],CampList[CP_Pcode],0)-1,0,1,1)&gt;=NFI_Monitor_Date,1,0))</f>
        <v>0</v>
      </c>
      <c r="AO602" s="781" t="str">
        <f>IFERROR(VLOOKUP(Table_NFI[[#This Row],[Camp Name]],CL,3,0),"")</f>
        <v>Open</v>
      </c>
      <c r="AP602" s="436" t="str">
        <f ca="1">IF(Table_NFI[[#This Row],[Pcode]]="","",OFFSET(CampList[Priority],MATCH(Table_NFI[[#This Row],[Pcode]],CampList[CP_Pcode],0)-1,0,1,1))</f>
        <v>P4</v>
      </c>
      <c r="AQ602" s="438">
        <f>IFERROR(Table_NFI[[#This Row],[Kitchen Set]]/VLOOKUP(Table_NFI[[#This Row],[Camp Name]],CL,4,0),"")</f>
        <v>0</v>
      </c>
      <c r="AR602" s="779" t="s">
        <v>1099</v>
      </c>
      <c r="AS602" s="783"/>
    </row>
    <row r="603" spans="1:45" x14ac:dyDescent="0.25">
      <c r="A603" s="455">
        <f t="shared" si="9"/>
        <v>32.866666666666667</v>
      </c>
      <c r="B603" s="778">
        <v>41323</v>
      </c>
      <c r="C603" s="779" t="s">
        <v>454</v>
      </c>
      <c r="D603" s="780" t="s">
        <v>462</v>
      </c>
      <c r="E603" s="779" t="s">
        <v>555</v>
      </c>
      <c r="F603" s="435" t="s">
        <v>146</v>
      </c>
      <c r="G603" s="435" t="s">
        <v>369</v>
      </c>
      <c r="H603" s="436"/>
      <c r="I603" s="436"/>
      <c r="J603" s="436">
        <v>120</v>
      </c>
      <c r="K603" s="436">
        <v>120</v>
      </c>
      <c r="L603" s="437">
        <v>60</v>
      </c>
      <c r="M603" s="437">
        <v>120</v>
      </c>
      <c r="N603" s="437">
        <v>60</v>
      </c>
      <c r="O603" s="437">
        <v>60</v>
      </c>
      <c r="P603" s="437">
        <v>60</v>
      </c>
      <c r="Q603" s="437">
        <v>60</v>
      </c>
      <c r="R603" s="436"/>
      <c r="S603" s="436"/>
      <c r="T603" s="436"/>
      <c r="U603" s="436"/>
      <c r="V603" s="436"/>
      <c r="W603" s="436">
        <f>IF(NFI_Expiration=1,IF($A603&lt;VLOOKUP(H$5,NFI,5,0),1,0)*Table_NFI[[#This Row],[Hygiene Kit]],Table_NFI[Hygiene Kit])</f>
        <v>0</v>
      </c>
      <c r="X603" s="436">
        <f>IF(NFI_Expiration=1,IF($A603&lt;VLOOKUP(I$5,NFI,5,0),1,0)*Table_NFI[[#This Row],[NFI Core Kit]],Table_NFI[NFI Core Kit])</f>
        <v>0</v>
      </c>
      <c r="Y603" s="436">
        <f>IF(NFI_Expiration=1,IF($A603&lt;VLOOKUP(J$5,NFI,5,0),1,0)*Table_NFI[[#This Row],[Sanitary Kit]],Table_NFI[Sanitary Kit])</f>
        <v>0</v>
      </c>
      <c r="Z603" s="436">
        <f>IF(NFI_Expiration=1,IF($A603&lt;VLOOKUP(K$5,NFI,5,0),1,0)*Table_NFI[[#This Row],[Mosquito net]],Table_NFI[Mosquito net])</f>
        <v>0</v>
      </c>
      <c r="AA603" s="436">
        <f>IF(NFI_Expiration=1,IF($A603&lt;VLOOKUP(L$5,NFI,5,0),1,0)*Table_NFI[[#This Row],[Tarpaulin]],Table_NFI[[#This Row],[Tarpaulin]])</f>
        <v>0</v>
      </c>
      <c r="AB603" s="436">
        <f>IF(NFI_Expiration=1,IF($A603&lt;VLOOKUP(M$5,NFI,5,0),1,0)*Table_NFI[[#This Row],[Blanket]],Table_NFI[[#This Row],[Blanket]])</f>
        <v>0</v>
      </c>
      <c r="AC603" s="436">
        <f>IF(NFI_Expiration=1,IF($A603&lt;VLOOKUP(N$5,NFI,5,0),1,0)*Table_NFI[[#This Row],[Kitchen Set]],Table_NFI[Kitchen Set])</f>
        <v>0</v>
      </c>
      <c r="AD603" s="436">
        <f>IF(NFI_Expiration=1,IF($A603&lt;VLOOKUP(O$5,NFI,5,0),1,0)*Table_NFI[[#This Row],[Clothes Kit]],Table_NFI[Clothes Kit])</f>
        <v>0</v>
      </c>
      <c r="AE603" s="436">
        <f>IF(NFI_Expiration=1,IF($A603&lt;VLOOKUP(P$5,NFI,5,0),1,0)*Table_NFI[[#This Row],[Plastic Bucket]],Table_NFI[Plastic Bucket])</f>
        <v>0</v>
      </c>
      <c r="AF603" s="436">
        <f>IF(NFI_Expiration=1,IF($A603&lt;VLOOKUP(Q$5,NFI,5,0),1,0)*Table_NFI[[#This Row],[Plastic Mat]],Table_NFI[Plastic Mat])*IF(Table_NFI[[#This Row],[Distribution Date]]&gt;"2014-04-01",1,2.5)</f>
        <v>0</v>
      </c>
      <c r="AG603" s="436">
        <f>IF(NFI_Expiration=1,IF($A603&lt;VLOOKUP(R$5,NFI,5,0),1,0)*Table_NFI[[#This Row],[Winter Clothes Adult]],Table_NFI[Winter Clothes Adult])</f>
        <v>0</v>
      </c>
      <c r="AH603" s="436">
        <f>IF(NFI_Expiration=1,IF($A603&lt;VLOOKUP(S$5,NFI,5,0),1,0)*Table_NFI[[#This Row],[Winter Clothes Children]],Table_NFI[Winter Clothes Children])</f>
        <v>0</v>
      </c>
      <c r="AI603" s="436">
        <f>IF(NFI_Expiration=1,IF($A603&lt;VLOOKUP(T$5,NFI,5,0),1,0)*Table_NFI[[#This Row],[Winter Items Other]],Table_NFI[Winter Items Other])</f>
        <v>0</v>
      </c>
      <c r="AJ603" s="436">
        <f>IF(NFI_Expiration=1,IF($A603&lt;VLOOKUP(M$5,NFI,5,0),1,0)*Table_NFI[[#This Row],[Winter Blanket]],Table_NFI[[#This Row],[Winter Blanket]])</f>
        <v>0</v>
      </c>
      <c r="AK603" s="436">
        <f>IF(Table_NFI[[#This Row],[Winter Clothes Adult]]+Table_NFI[[#This Row],[Winter Clothes Children]]+Table_NFI[[#This Row],[Winter Items Other]]+Table_NFI[[#This Row],[Winter Blanket]]&gt;0,1,0)</f>
        <v>0</v>
      </c>
      <c r="AL603" s="439">
        <f>IF(NFI_Expiration=1,IF($A603&lt;VLOOKUP(V$5,NFI,5,0),1,0)*Table_NFI[[#This Row],[Jerry Can]],Table_NFI[Jerry Can])</f>
        <v>0</v>
      </c>
      <c r="AM603" s="781" t="str">
        <f>IFERROR(VLOOKUP(Table_NFI[[#This Row],[Camp Name]],CL,2,0),"")</f>
        <v>MMR015CMP016</v>
      </c>
      <c r="AN603" s="782">
        <f ca="1">IF(Table_NFI[[#This Row],[Pcode]]="","",IF(OFFSET(CampList[Opening Date],MATCH(Table_NFI[[#This Row],[Pcode]],CampList[CP_Pcode],0)-1,0,1,1)&gt;=NFI_Monitor_Date,1,0))</f>
        <v>0</v>
      </c>
      <c r="AO603" s="781" t="str">
        <f>IFERROR(VLOOKUP(Table_NFI[[#This Row],[Camp Name]],CL,3,0),"")</f>
        <v>Open</v>
      </c>
      <c r="AP603" s="436" t="str">
        <f ca="1">IF(Table_NFI[[#This Row],[Pcode]]="","",OFFSET(CampList[Priority],MATCH(Table_NFI[[#This Row],[Pcode]],CampList[CP_Pcode],0)-1,0,1,1))</f>
        <v>P3</v>
      </c>
      <c r="AQ603" s="438">
        <f>IFERROR(Table_NFI[[#This Row],[Kitchen Set]]/VLOOKUP(Table_NFI[[#This Row],[Camp Name]],CL,4,0),"")</f>
        <v>0.9375</v>
      </c>
      <c r="AR603" s="779" t="s">
        <v>1099</v>
      </c>
      <c r="AS603" s="783"/>
    </row>
    <row r="604" spans="1:45" x14ac:dyDescent="0.25">
      <c r="A604" s="455">
        <f t="shared" si="9"/>
        <v>32.866666666666667</v>
      </c>
      <c r="B604" s="778">
        <v>41323</v>
      </c>
      <c r="C604" s="779" t="s">
        <v>454</v>
      </c>
      <c r="D604" s="779" t="s">
        <v>462</v>
      </c>
      <c r="E604" s="779" t="s">
        <v>380</v>
      </c>
      <c r="F604" s="435" t="s">
        <v>151</v>
      </c>
      <c r="G604" s="435" t="s">
        <v>160</v>
      </c>
      <c r="H604" s="436"/>
      <c r="I604" s="436"/>
      <c r="J604" s="436">
        <v>221</v>
      </c>
      <c r="K604" s="436">
        <v>221</v>
      </c>
      <c r="L604" s="437">
        <v>110</v>
      </c>
      <c r="M604" s="437">
        <v>221</v>
      </c>
      <c r="N604" s="437">
        <v>110</v>
      </c>
      <c r="O604" s="437">
        <v>110</v>
      </c>
      <c r="P604" s="437">
        <v>110</v>
      </c>
      <c r="Q604" s="437">
        <v>110</v>
      </c>
      <c r="R604" s="436"/>
      <c r="S604" s="436"/>
      <c r="T604" s="436"/>
      <c r="U604" s="436"/>
      <c r="V604" s="436"/>
      <c r="W604" s="436">
        <f>IF(NFI_Expiration=1,IF($A604&lt;VLOOKUP(H$5,NFI,5,0),1,0)*Table_NFI[[#This Row],[Hygiene Kit]],Table_NFI[Hygiene Kit])</f>
        <v>0</v>
      </c>
      <c r="X604" s="436">
        <f>IF(NFI_Expiration=1,IF($A604&lt;VLOOKUP(I$5,NFI,5,0),1,0)*Table_NFI[[#This Row],[NFI Core Kit]],Table_NFI[NFI Core Kit])</f>
        <v>0</v>
      </c>
      <c r="Y604" s="436">
        <f>IF(NFI_Expiration=1,IF($A604&lt;VLOOKUP(J$5,NFI,5,0),1,0)*Table_NFI[[#This Row],[Sanitary Kit]],Table_NFI[Sanitary Kit])</f>
        <v>0</v>
      </c>
      <c r="Z604" s="436">
        <f>IF(NFI_Expiration=1,IF($A604&lt;VLOOKUP(K$5,NFI,5,0),1,0)*Table_NFI[[#This Row],[Mosquito net]],Table_NFI[Mosquito net])</f>
        <v>0</v>
      </c>
      <c r="AA604" s="436">
        <f>IF(NFI_Expiration=1,IF($A604&lt;VLOOKUP(L$5,NFI,5,0),1,0)*Table_NFI[[#This Row],[Tarpaulin]],Table_NFI[[#This Row],[Tarpaulin]])</f>
        <v>0</v>
      </c>
      <c r="AB604" s="436">
        <f>IF(NFI_Expiration=1,IF($A604&lt;VLOOKUP(M$5,NFI,5,0),1,0)*Table_NFI[[#This Row],[Blanket]],Table_NFI[[#This Row],[Blanket]])</f>
        <v>0</v>
      </c>
      <c r="AC604" s="436">
        <f>IF(NFI_Expiration=1,IF($A604&lt;VLOOKUP(N$5,NFI,5,0),1,0)*Table_NFI[[#This Row],[Kitchen Set]],Table_NFI[Kitchen Set])</f>
        <v>0</v>
      </c>
      <c r="AD604" s="436">
        <f>IF(NFI_Expiration=1,IF($A604&lt;VLOOKUP(O$5,NFI,5,0),1,0)*Table_NFI[[#This Row],[Clothes Kit]],Table_NFI[Clothes Kit])</f>
        <v>0</v>
      </c>
      <c r="AE604" s="436">
        <f>IF(NFI_Expiration=1,IF($A604&lt;VLOOKUP(P$5,NFI,5,0),1,0)*Table_NFI[[#This Row],[Plastic Bucket]],Table_NFI[Plastic Bucket])</f>
        <v>0</v>
      </c>
      <c r="AF604" s="436">
        <f>IF(NFI_Expiration=1,IF($A604&lt;VLOOKUP(Q$5,NFI,5,0),1,0)*Table_NFI[[#This Row],[Plastic Mat]],Table_NFI[Plastic Mat])*IF(Table_NFI[[#This Row],[Distribution Date]]&gt;"2014-04-01",1,2.5)</f>
        <v>0</v>
      </c>
      <c r="AG604" s="436">
        <f>IF(NFI_Expiration=1,IF($A604&lt;VLOOKUP(R$5,NFI,5,0),1,0)*Table_NFI[[#This Row],[Winter Clothes Adult]],Table_NFI[Winter Clothes Adult])</f>
        <v>0</v>
      </c>
      <c r="AH604" s="436">
        <f>IF(NFI_Expiration=1,IF($A604&lt;VLOOKUP(S$5,NFI,5,0),1,0)*Table_NFI[[#This Row],[Winter Clothes Children]],Table_NFI[Winter Clothes Children])</f>
        <v>0</v>
      </c>
      <c r="AI604" s="436">
        <f>IF(NFI_Expiration=1,IF($A604&lt;VLOOKUP(T$5,NFI,5,0),1,0)*Table_NFI[[#This Row],[Winter Items Other]],Table_NFI[Winter Items Other])</f>
        <v>0</v>
      </c>
      <c r="AJ604" s="436">
        <f>IF(NFI_Expiration=1,IF($A604&lt;VLOOKUP(M$5,NFI,5,0),1,0)*Table_NFI[[#This Row],[Winter Blanket]],Table_NFI[[#This Row],[Winter Blanket]])</f>
        <v>0</v>
      </c>
      <c r="AK604" s="436">
        <f>IF(Table_NFI[[#This Row],[Winter Clothes Adult]]+Table_NFI[[#This Row],[Winter Clothes Children]]+Table_NFI[[#This Row],[Winter Items Other]]+Table_NFI[[#This Row],[Winter Blanket]]&gt;0,1,0)</f>
        <v>0</v>
      </c>
      <c r="AL604" s="439">
        <f>IF(NFI_Expiration=1,IF($A604&lt;VLOOKUP(V$5,NFI,5,0),1,0)*Table_NFI[[#This Row],[Jerry Can]],Table_NFI[Jerry Can])</f>
        <v>0</v>
      </c>
      <c r="AM604" s="781" t="str">
        <f>IFERROR(VLOOKUP(Table_NFI[[#This Row],[Camp Name]],CL,2,0),"")</f>
        <v>MMR001CMP133</v>
      </c>
      <c r="AN604" s="782">
        <f ca="1">IF(Table_NFI[[#This Row],[Pcode]]="","",IF(OFFSET(CampList[Opening Date],MATCH(Table_NFI[[#This Row],[Pcode]],CampList[CP_Pcode],0)-1,0,1,1)&gt;=NFI_Monitor_Date,1,0))</f>
        <v>0</v>
      </c>
      <c r="AO604" s="781" t="str">
        <f>IFERROR(VLOOKUP(Table_NFI[[#This Row],[Camp Name]],CL,3,0),"")</f>
        <v>Open</v>
      </c>
      <c r="AP604" s="436" t="str">
        <f ca="1">IF(Table_NFI[[#This Row],[Pcode]]="","",OFFSET(CampList[Priority],MATCH(Table_NFI[[#This Row],[Pcode]],CampList[CP_Pcode],0)-1,0,1,1))</f>
        <v>P4</v>
      </c>
      <c r="AQ604" s="438">
        <f>IFERROR(Table_NFI[[#This Row],[Kitchen Set]]/VLOOKUP(Table_NFI[[#This Row],[Camp Name]],CL,4,0),"")</f>
        <v>0.96491228070175439</v>
      </c>
      <c r="AR604" s="779" t="s">
        <v>1099</v>
      </c>
      <c r="AS604" s="783"/>
    </row>
    <row r="605" spans="1:45" x14ac:dyDescent="0.25">
      <c r="A605" s="455">
        <f t="shared" si="9"/>
        <v>32.866666666666667</v>
      </c>
      <c r="B605" s="778">
        <v>41323</v>
      </c>
      <c r="C605" s="779" t="s">
        <v>454</v>
      </c>
      <c r="D605" s="780" t="s">
        <v>462</v>
      </c>
      <c r="E605" s="779" t="s">
        <v>555</v>
      </c>
      <c r="F605" s="435" t="s">
        <v>166</v>
      </c>
      <c r="G605" s="435" t="s">
        <v>167</v>
      </c>
      <c r="H605" s="436"/>
      <c r="I605" s="436"/>
      <c r="J605" s="436">
        <v>57</v>
      </c>
      <c r="K605" s="436">
        <v>57</v>
      </c>
      <c r="L605" s="437">
        <v>29</v>
      </c>
      <c r="M605" s="437">
        <v>57</v>
      </c>
      <c r="N605" s="437">
        <v>29</v>
      </c>
      <c r="O605" s="437">
        <v>29</v>
      </c>
      <c r="P605" s="437">
        <v>29</v>
      </c>
      <c r="Q605" s="437">
        <v>29</v>
      </c>
      <c r="R605" s="436"/>
      <c r="S605" s="436"/>
      <c r="T605" s="436"/>
      <c r="U605" s="436"/>
      <c r="V605" s="436"/>
      <c r="W605" s="436">
        <f>IF(NFI_Expiration=1,IF($A605&lt;VLOOKUP(H$5,NFI,5,0),1,0)*Table_NFI[[#This Row],[Hygiene Kit]],Table_NFI[Hygiene Kit])</f>
        <v>0</v>
      </c>
      <c r="X605" s="436">
        <f>IF(NFI_Expiration=1,IF($A605&lt;VLOOKUP(I$5,NFI,5,0),1,0)*Table_NFI[[#This Row],[NFI Core Kit]],Table_NFI[NFI Core Kit])</f>
        <v>0</v>
      </c>
      <c r="Y605" s="436">
        <f>IF(NFI_Expiration=1,IF($A605&lt;VLOOKUP(J$5,NFI,5,0),1,0)*Table_NFI[[#This Row],[Sanitary Kit]],Table_NFI[Sanitary Kit])</f>
        <v>0</v>
      </c>
      <c r="Z605" s="436">
        <f>IF(NFI_Expiration=1,IF($A605&lt;VLOOKUP(K$5,NFI,5,0),1,0)*Table_NFI[[#This Row],[Mosquito net]],Table_NFI[Mosquito net])</f>
        <v>0</v>
      </c>
      <c r="AA605" s="436">
        <f>IF(NFI_Expiration=1,IF($A605&lt;VLOOKUP(L$5,NFI,5,0),1,0)*Table_NFI[[#This Row],[Tarpaulin]],Table_NFI[[#This Row],[Tarpaulin]])</f>
        <v>0</v>
      </c>
      <c r="AB605" s="436">
        <f>IF(NFI_Expiration=1,IF($A605&lt;VLOOKUP(M$5,NFI,5,0),1,0)*Table_NFI[[#This Row],[Blanket]],Table_NFI[[#This Row],[Blanket]])</f>
        <v>0</v>
      </c>
      <c r="AC605" s="436">
        <f>IF(NFI_Expiration=1,IF($A605&lt;VLOOKUP(N$5,NFI,5,0),1,0)*Table_NFI[[#This Row],[Kitchen Set]],Table_NFI[Kitchen Set])</f>
        <v>0</v>
      </c>
      <c r="AD605" s="436">
        <f>IF(NFI_Expiration=1,IF($A605&lt;VLOOKUP(O$5,NFI,5,0),1,0)*Table_NFI[[#This Row],[Clothes Kit]],Table_NFI[Clothes Kit])</f>
        <v>0</v>
      </c>
      <c r="AE605" s="436">
        <f>IF(NFI_Expiration=1,IF($A605&lt;VLOOKUP(P$5,NFI,5,0),1,0)*Table_NFI[[#This Row],[Plastic Bucket]],Table_NFI[Plastic Bucket])</f>
        <v>0</v>
      </c>
      <c r="AF605" s="436">
        <f>IF(NFI_Expiration=1,IF($A605&lt;VLOOKUP(Q$5,NFI,5,0),1,0)*Table_NFI[[#This Row],[Plastic Mat]],Table_NFI[Plastic Mat])*IF(Table_NFI[[#This Row],[Distribution Date]]&gt;"2014-04-01",1,2.5)</f>
        <v>0</v>
      </c>
      <c r="AG605" s="436">
        <f>IF(NFI_Expiration=1,IF($A605&lt;VLOOKUP(R$5,NFI,5,0),1,0)*Table_NFI[[#This Row],[Winter Clothes Adult]],Table_NFI[Winter Clothes Adult])</f>
        <v>0</v>
      </c>
      <c r="AH605" s="436">
        <f>IF(NFI_Expiration=1,IF($A605&lt;VLOOKUP(S$5,NFI,5,0),1,0)*Table_NFI[[#This Row],[Winter Clothes Children]],Table_NFI[Winter Clothes Children])</f>
        <v>0</v>
      </c>
      <c r="AI605" s="436">
        <f>IF(NFI_Expiration=1,IF($A605&lt;VLOOKUP(T$5,NFI,5,0),1,0)*Table_NFI[[#This Row],[Winter Items Other]],Table_NFI[Winter Items Other])</f>
        <v>0</v>
      </c>
      <c r="AJ605" s="436">
        <f>IF(NFI_Expiration=1,IF($A605&lt;VLOOKUP(M$5,NFI,5,0),1,0)*Table_NFI[[#This Row],[Winter Blanket]],Table_NFI[[#This Row],[Winter Blanket]])</f>
        <v>0</v>
      </c>
      <c r="AK605" s="436">
        <f>IF(Table_NFI[[#This Row],[Winter Clothes Adult]]+Table_NFI[[#This Row],[Winter Clothes Children]]+Table_NFI[[#This Row],[Winter Items Other]]+Table_NFI[[#This Row],[Winter Blanket]]&gt;0,1,0)</f>
        <v>0</v>
      </c>
      <c r="AL605" s="439">
        <f>IF(NFI_Expiration=1,IF($A605&lt;VLOOKUP(V$5,NFI,5,0),1,0)*Table_NFI[[#This Row],[Jerry Can]],Table_NFI[Jerry Can])</f>
        <v>0</v>
      </c>
      <c r="AM605" s="781" t="str">
        <f>IFERROR(VLOOKUP(Table_NFI[[#This Row],[Camp Name]],CL,2,0),"")</f>
        <v>MMR015CMP009</v>
      </c>
      <c r="AN605" s="782">
        <f ca="1">IF(Table_NFI[[#This Row],[Pcode]]="","",IF(OFFSET(CampList[Opening Date],MATCH(Table_NFI[[#This Row],[Pcode]],CampList[CP_Pcode],0)-1,0,1,1)&gt;=NFI_Monitor_Date,1,0))</f>
        <v>0</v>
      </c>
      <c r="AO605" s="781" t="str">
        <f>IFERROR(VLOOKUP(Table_NFI[[#This Row],[Camp Name]],CL,3,0),"")</f>
        <v>Open</v>
      </c>
      <c r="AP605" s="436" t="str">
        <f ca="1">IF(Table_NFI[[#This Row],[Pcode]]="","",OFFSET(CampList[Priority],MATCH(Table_NFI[[#This Row],[Pcode]],CampList[CP_Pcode],0)-1,0,1,1))</f>
        <v>P2</v>
      </c>
      <c r="AQ605" s="438">
        <f>IFERROR(Table_NFI[[#This Row],[Kitchen Set]]/VLOOKUP(Table_NFI[[#This Row],[Camp Name]],CL,4,0),"")</f>
        <v>0.76315789473684215</v>
      </c>
      <c r="AR605" s="779" t="s">
        <v>1099</v>
      </c>
      <c r="AS605" s="783"/>
    </row>
    <row r="606" spans="1:45" x14ac:dyDescent="0.25">
      <c r="A606" s="455">
        <f t="shared" si="9"/>
        <v>32.866666666666667</v>
      </c>
      <c r="B606" s="778">
        <v>41323</v>
      </c>
      <c r="C606" s="779" t="s">
        <v>454</v>
      </c>
      <c r="D606" s="780" t="s">
        <v>462</v>
      </c>
      <c r="E606" s="779" t="s">
        <v>555</v>
      </c>
      <c r="F606" s="435" t="s">
        <v>230</v>
      </c>
      <c r="G606" s="435" t="s">
        <v>233</v>
      </c>
      <c r="H606" s="436"/>
      <c r="I606" s="436"/>
      <c r="J606" s="436">
        <v>60</v>
      </c>
      <c r="K606" s="436">
        <v>60</v>
      </c>
      <c r="L606" s="437">
        <v>30</v>
      </c>
      <c r="M606" s="437">
        <v>60</v>
      </c>
      <c r="N606" s="437">
        <v>30</v>
      </c>
      <c r="O606" s="437">
        <v>30</v>
      </c>
      <c r="P606" s="437">
        <v>30</v>
      </c>
      <c r="Q606" s="437">
        <v>30</v>
      </c>
      <c r="R606" s="436"/>
      <c r="S606" s="436"/>
      <c r="T606" s="436"/>
      <c r="U606" s="436"/>
      <c r="V606" s="436"/>
      <c r="W606" s="436">
        <f>IF(NFI_Expiration=1,IF($A606&lt;VLOOKUP(H$5,NFI,5,0),1,0)*Table_NFI[[#This Row],[Hygiene Kit]],Table_NFI[Hygiene Kit])</f>
        <v>0</v>
      </c>
      <c r="X606" s="436">
        <f>IF(NFI_Expiration=1,IF($A606&lt;VLOOKUP(I$5,NFI,5,0),1,0)*Table_NFI[[#This Row],[NFI Core Kit]],Table_NFI[NFI Core Kit])</f>
        <v>0</v>
      </c>
      <c r="Y606" s="436">
        <f>IF(NFI_Expiration=1,IF($A606&lt;VLOOKUP(J$5,NFI,5,0),1,0)*Table_NFI[[#This Row],[Sanitary Kit]],Table_NFI[Sanitary Kit])</f>
        <v>0</v>
      </c>
      <c r="Z606" s="436">
        <f>IF(NFI_Expiration=1,IF($A606&lt;VLOOKUP(K$5,NFI,5,0),1,0)*Table_NFI[[#This Row],[Mosquito net]],Table_NFI[Mosquito net])</f>
        <v>0</v>
      </c>
      <c r="AA606" s="436">
        <f>IF(NFI_Expiration=1,IF($A606&lt;VLOOKUP(L$5,NFI,5,0),1,0)*Table_NFI[[#This Row],[Tarpaulin]],Table_NFI[[#This Row],[Tarpaulin]])</f>
        <v>0</v>
      </c>
      <c r="AB606" s="436">
        <f>IF(NFI_Expiration=1,IF($A606&lt;VLOOKUP(M$5,NFI,5,0),1,0)*Table_NFI[[#This Row],[Blanket]],Table_NFI[[#This Row],[Blanket]])</f>
        <v>0</v>
      </c>
      <c r="AC606" s="436">
        <f>IF(NFI_Expiration=1,IF($A606&lt;VLOOKUP(N$5,NFI,5,0),1,0)*Table_NFI[[#This Row],[Kitchen Set]],Table_NFI[Kitchen Set])</f>
        <v>0</v>
      </c>
      <c r="AD606" s="436">
        <f>IF(NFI_Expiration=1,IF($A606&lt;VLOOKUP(O$5,NFI,5,0),1,0)*Table_NFI[[#This Row],[Clothes Kit]],Table_NFI[Clothes Kit])</f>
        <v>0</v>
      </c>
      <c r="AE606" s="436">
        <f>IF(NFI_Expiration=1,IF($A606&lt;VLOOKUP(P$5,NFI,5,0),1,0)*Table_NFI[[#This Row],[Plastic Bucket]],Table_NFI[Plastic Bucket])</f>
        <v>0</v>
      </c>
      <c r="AF606" s="436">
        <f>IF(NFI_Expiration=1,IF($A606&lt;VLOOKUP(Q$5,NFI,5,0),1,0)*Table_NFI[[#This Row],[Plastic Mat]],Table_NFI[Plastic Mat])*IF(Table_NFI[[#This Row],[Distribution Date]]&gt;"2014-04-01",1,2.5)</f>
        <v>0</v>
      </c>
      <c r="AG606" s="436">
        <f>IF(NFI_Expiration=1,IF($A606&lt;VLOOKUP(R$5,NFI,5,0),1,0)*Table_NFI[[#This Row],[Winter Clothes Adult]],Table_NFI[Winter Clothes Adult])</f>
        <v>0</v>
      </c>
      <c r="AH606" s="436">
        <f>IF(NFI_Expiration=1,IF($A606&lt;VLOOKUP(S$5,NFI,5,0),1,0)*Table_NFI[[#This Row],[Winter Clothes Children]],Table_NFI[Winter Clothes Children])</f>
        <v>0</v>
      </c>
      <c r="AI606" s="436">
        <f>IF(NFI_Expiration=1,IF($A606&lt;VLOOKUP(T$5,NFI,5,0),1,0)*Table_NFI[[#This Row],[Winter Items Other]],Table_NFI[Winter Items Other])</f>
        <v>0</v>
      </c>
      <c r="AJ606" s="436">
        <f>IF(NFI_Expiration=1,IF($A606&lt;VLOOKUP(M$5,NFI,5,0),1,0)*Table_NFI[[#This Row],[Winter Blanket]],Table_NFI[[#This Row],[Winter Blanket]])</f>
        <v>0</v>
      </c>
      <c r="AK606" s="436">
        <f>IF(Table_NFI[[#This Row],[Winter Clothes Adult]]+Table_NFI[[#This Row],[Winter Clothes Children]]+Table_NFI[[#This Row],[Winter Items Other]]+Table_NFI[[#This Row],[Winter Blanket]]&gt;0,1,0)</f>
        <v>0</v>
      </c>
      <c r="AL606" s="439">
        <f>IF(NFI_Expiration=1,IF($A606&lt;VLOOKUP(V$5,NFI,5,0),1,0)*Table_NFI[[#This Row],[Jerry Can]],Table_NFI[Jerry Can])</f>
        <v>0</v>
      </c>
      <c r="AM606" s="781" t="str">
        <f>IFERROR(VLOOKUP(Table_NFI[[#This Row],[Camp Name]],CL,2,0),"")</f>
        <v>MMR015CMP012</v>
      </c>
      <c r="AN606" s="782">
        <f ca="1">IF(Table_NFI[[#This Row],[Pcode]]="","",IF(OFFSET(CampList[Opening Date],MATCH(Table_NFI[[#This Row],[Pcode]],CampList[CP_Pcode],0)-1,0,1,1)&gt;=NFI_Monitor_Date,1,0))</f>
        <v>0</v>
      </c>
      <c r="AO606" s="781" t="str">
        <f>IFERROR(VLOOKUP(Table_NFI[[#This Row],[Camp Name]],CL,3,0),"")</f>
        <v>Open</v>
      </c>
      <c r="AP606" s="436" t="str">
        <f ca="1">IF(Table_NFI[[#This Row],[Pcode]]="","",OFFSET(CampList[Priority],MATCH(Table_NFI[[#This Row],[Pcode]],CampList[CP_Pcode],0)-1,0,1,1))</f>
        <v>P1</v>
      </c>
      <c r="AQ606" s="438">
        <f>IFERROR(Table_NFI[[#This Row],[Kitchen Set]]/VLOOKUP(Table_NFI[[#This Row],[Camp Name]],CL,4,0),"")</f>
        <v>3.3333333333333335</v>
      </c>
      <c r="AR606" s="779" t="s">
        <v>1099</v>
      </c>
      <c r="AS606" s="783"/>
    </row>
    <row r="607" spans="1:45" x14ac:dyDescent="0.25">
      <c r="A607" s="455">
        <f t="shared" si="9"/>
        <v>32.866666666666667</v>
      </c>
      <c r="B607" s="778">
        <v>41323</v>
      </c>
      <c r="C607" s="779" t="s">
        <v>454</v>
      </c>
      <c r="D607" s="780" t="s">
        <v>462</v>
      </c>
      <c r="E607" s="779" t="s">
        <v>555</v>
      </c>
      <c r="F607" s="435" t="s">
        <v>146</v>
      </c>
      <c r="G607" s="435" t="s">
        <v>371</v>
      </c>
      <c r="H607" s="436"/>
      <c r="I607" s="436"/>
      <c r="J607" s="436">
        <v>93</v>
      </c>
      <c r="K607" s="436">
        <v>93</v>
      </c>
      <c r="L607" s="437">
        <v>46</v>
      </c>
      <c r="M607" s="437">
        <v>93</v>
      </c>
      <c r="N607" s="437">
        <v>46</v>
      </c>
      <c r="O607" s="437">
        <v>46</v>
      </c>
      <c r="P607" s="437">
        <v>46</v>
      </c>
      <c r="Q607" s="437">
        <v>46</v>
      </c>
      <c r="R607" s="436"/>
      <c r="S607" s="436"/>
      <c r="T607" s="436"/>
      <c r="U607" s="436"/>
      <c r="V607" s="436"/>
      <c r="W607" s="436">
        <f>IF(NFI_Expiration=1,IF($A607&lt;VLOOKUP(H$5,NFI,5,0),1,0)*Table_NFI[[#This Row],[Hygiene Kit]],Table_NFI[Hygiene Kit])</f>
        <v>0</v>
      </c>
      <c r="X607" s="436">
        <f>IF(NFI_Expiration=1,IF($A607&lt;VLOOKUP(I$5,NFI,5,0),1,0)*Table_NFI[[#This Row],[NFI Core Kit]],Table_NFI[NFI Core Kit])</f>
        <v>0</v>
      </c>
      <c r="Y607" s="436">
        <f>IF(NFI_Expiration=1,IF($A607&lt;VLOOKUP(J$5,NFI,5,0),1,0)*Table_NFI[[#This Row],[Sanitary Kit]],Table_NFI[Sanitary Kit])</f>
        <v>0</v>
      </c>
      <c r="Z607" s="436">
        <f>IF(NFI_Expiration=1,IF($A607&lt;VLOOKUP(K$5,NFI,5,0),1,0)*Table_NFI[[#This Row],[Mosquito net]],Table_NFI[Mosquito net])</f>
        <v>0</v>
      </c>
      <c r="AA607" s="436">
        <f>IF(NFI_Expiration=1,IF($A607&lt;VLOOKUP(L$5,NFI,5,0),1,0)*Table_NFI[[#This Row],[Tarpaulin]],Table_NFI[[#This Row],[Tarpaulin]])</f>
        <v>0</v>
      </c>
      <c r="AB607" s="436">
        <f>IF(NFI_Expiration=1,IF($A607&lt;VLOOKUP(M$5,NFI,5,0),1,0)*Table_NFI[[#This Row],[Blanket]],Table_NFI[[#This Row],[Blanket]])</f>
        <v>0</v>
      </c>
      <c r="AC607" s="436">
        <f>IF(NFI_Expiration=1,IF($A607&lt;VLOOKUP(N$5,NFI,5,0),1,0)*Table_NFI[[#This Row],[Kitchen Set]],Table_NFI[Kitchen Set])</f>
        <v>0</v>
      </c>
      <c r="AD607" s="436">
        <f>IF(NFI_Expiration=1,IF($A607&lt;VLOOKUP(O$5,NFI,5,0),1,0)*Table_NFI[[#This Row],[Clothes Kit]],Table_NFI[Clothes Kit])</f>
        <v>0</v>
      </c>
      <c r="AE607" s="436">
        <f>IF(NFI_Expiration=1,IF($A607&lt;VLOOKUP(P$5,NFI,5,0),1,0)*Table_NFI[[#This Row],[Plastic Bucket]],Table_NFI[Plastic Bucket])</f>
        <v>0</v>
      </c>
      <c r="AF607" s="436">
        <f>IF(NFI_Expiration=1,IF($A607&lt;VLOOKUP(Q$5,NFI,5,0),1,0)*Table_NFI[[#This Row],[Plastic Mat]],Table_NFI[Plastic Mat])*IF(Table_NFI[[#This Row],[Distribution Date]]&gt;"2014-04-01",1,2.5)</f>
        <v>0</v>
      </c>
      <c r="AG607" s="436">
        <f>IF(NFI_Expiration=1,IF($A607&lt;VLOOKUP(R$5,NFI,5,0),1,0)*Table_NFI[[#This Row],[Winter Clothes Adult]],Table_NFI[Winter Clothes Adult])</f>
        <v>0</v>
      </c>
      <c r="AH607" s="436">
        <f>IF(NFI_Expiration=1,IF($A607&lt;VLOOKUP(S$5,NFI,5,0),1,0)*Table_NFI[[#This Row],[Winter Clothes Children]],Table_NFI[Winter Clothes Children])</f>
        <v>0</v>
      </c>
      <c r="AI607" s="436">
        <f>IF(NFI_Expiration=1,IF($A607&lt;VLOOKUP(T$5,NFI,5,0),1,0)*Table_NFI[[#This Row],[Winter Items Other]],Table_NFI[Winter Items Other])</f>
        <v>0</v>
      </c>
      <c r="AJ607" s="436">
        <f>IF(NFI_Expiration=1,IF($A607&lt;VLOOKUP(M$5,NFI,5,0),1,0)*Table_NFI[[#This Row],[Winter Blanket]],Table_NFI[[#This Row],[Winter Blanket]])</f>
        <v>0</v>
      </c>
      <c r="AK607" s="436">
        <f>IF(Table_NFI[[#This Row],[Winter Clothes Adult]]+Table_NFI[[#This Row],[Winter Clothes Children]]+Table_NFI[[#This Row],[Winter Items Other]]+Table_NFI[[#This Row],[Winter Blanket]]&gt;0,1,0)</f>
        <v>0</v>
      </c>
      <c r="AL607" s="439">
        <f>IF(NFI_Expiration=1,IF($A607&lt;VLOOKUP(V$5,NFI,5,0),1,0)*Table_NFI[[#This Row],[Jerry Can]],Table_NFI[Jerry Can])</f>
        <v>0</v>
      </c>
      <c r="AM607" s="781" t="str">
        <f>IFERROR(VLOOKUP(Table_NFI[[#This Row],[Camp Name]],CL,2,0),"")</f>
        <v>MMR015CMP006</v>
      </c>
      <c r="AN607" s="782">
        <f ca="1">IF(Table_NFI[[#This Row],[Pcode]]="","",IF(OFFSET(CampList[Opening Date],MATCH(Table_NFI[[#This Row],[Pcode]],CampList[CP_Pcode],0)-1,0,1,1)&gt;=NFI_Monitor_Date,1,0))</f>
        <v>0</v>
      </c>
      <c r="AO607" s="781" t="str">
        <f>IFERROR(VLOOKUP(Table_NFI[[#This Row],[Camp Name]],CL,3,0),"")</f>
        <v>Open</v>
      </c>
      <c r="AP607" s="436" t="str">
        <f ca="1">IF(Table_NFI[[#This Row],[Pcode]]="","",OFFSET(CampList[Priority],MATCH(Table_NFI[[#This Row],[Pcode]],CampList[CP_Pcode],0)-1,0,1,1))</f>
        <v>P1</v>
      </c>
      <c r="AQ607" s="438">
        <f>IFERROR(Table_NFI[[#This Row],[Kitchen Set]]/VLOOKUP(Table_NFI[[#This Row],[Camp Name]],CL,4,0),"")</f>
        <v>0.90196078431372551</v>
      </c>
      <c r="AR607" s="779" t="s">
        <v>1099</v>
      </c>
      <c r="AS607" s="783"/>
    </row>
    <row r="608" spans="1:45" x14ac:dyDescent="0.25">
      <c r="A608" s="455">
        <f t="shared" si="9"/>
        <v>32.866666666666667</v>
      </c>
      <c r="B608" s="778">
        <v>41323</v>
      </c>
      <c r="C608" s="779" t="s">
        <v>454</v>
      </c>
      <c r="D608" s="780" t="s">
        <v>462</v>
      </c>
      <c r="E608" s="779" t="s">
        <v>555</v>
      </c>
      <c r="F608" s="435" t="s">
        <v>289</v>
      </c>
      <c r="G608" s="435" t="s">
        <v>292</v>
      </c>
      <c r="H608" s="436"/>
      <c r="I608" s="436"/>
      <c r="J608" s="436">
        <v>118</v>
      </c>
      <c r="K608" s="436">
        <v>118</v>
      </c>
      <c r="L608" s="437">
        <v>59</v>
      </c>
      <c r="M608" s="437">
        <v>118</v>
      </c>
      <c r="N608" s="437">
        <v>59</v>
      </c>
      <c r="O608" s="437">
        <v>59</v>
      </c>
      <c r="P608" s="437">
        <v>59</v>
      </c>
      <c r="Q608" s="437">
        <v>59</v>
      </c>
      <c r="R608" s="436"/>
      <c r="S608" s="436"/>
      <c r="T608" s="436"/>
      <c r="U608" s="436"/>
      <c r="V608" s="436"/>
      <c r="W608" s="436">
        <f>IF(NFI_Expiration=1,IF($A608&lt;VLOOKUP(H$5,NFI,5,0),1,0)*Table_NFI[[#This Row],[Hygiene Kit]],Table_NFI[Hygiene Kit])</f>
        <v>0</v>
      </c>
      <c r="X608" s="436">
        <f>IF(NFI_Expiration=1,IF($A608&lt;VLOOKUP(I$5,NFI,5,0),1,0)*Table_NFI[[#This Row],[NFI Core Kit]],Table_NFI[NFI Core Kit])</f>
        <v>0</v>
      </c>
      <c r="Y608" s="436">
        <f>IF(NFI_Expiration=1,IF($A608&lt;VLOOKUP(J$5,NFI,5,0),1,0)*Table_NFI[[#This Row],[Sanitary Kit]],Table_NFI[Sanitary Kit])</f>
        <v>0</v>
      </c>
      <c r="Z608" s="436">
        <f>IF(NFI_Expiration=1,IF($A608&lt;VLOOKUP(K$5,NFI,5,0),1,0)*Table_NFI[[#This Row],[Mosquito net]],Table_NFI[Mosquito net])</f>
        <v>0</v>
      </c>
      <c r="AA608" s="436">
        <f>IF(NFI_Expiration=1,IF($A608&lt;VLOOKUP(L$5,NFI,5,0),1,0)*Table_NFI[[#This Row],[Tarpaulin]],Table_NFI[[#This Row],[Tarpaulin]])</f>
        <v>0</v>
      </c>
      <c r="AB608" s="436">
        <f>IF(NFI_Expiration=1,IF($A608&lt;VLOOKUP(M$5,NFI,5,0),1,0)*Table_NFI[[#This Row],[Blanket]],Table_NFI[[#This Row],[Blanket]])</f>
        <v>0</v>
      </c>
      <c r="AC608" s="436">
        <f>IF(NFI_Expiration=1,IF($A608&lt;VLOOKUP(N$5,NFI,5,0),1,0)*Table_NFI[[#This Row],[Kitchen Set]],Table_NFI[Kitchen Set])</f>
        <v>0</v>
      </c>
      <c r="AD608" s="436">
        <f>IF(NFI_Expiration=1,IF($A608&lt;VLOOKUP(O$5,NFI,5,0),1,0)*Table_NFI[[#This Row],[Clothes Kit]],Table_NFI[Clothes Kit])</f>
        <v>0</v>
      </c>
      <c r="AE608" s="436">
        <f>IF(NFI_Expiration=1,IF($A608&lt;VLOOKUP(P$5,NFI,5,0),1,0)*Table_NFI[[#This Row],[Plastic Bucket]],Table_NFI[Plastic Bucket])</f>
        <v>0</v>
      </c>
      <c r="AF608" s="436">
        <f>IF(NFI_Expiration=1,IF($A608&lt;VLOOKUP(Q$5,NFI,5,0),1,0)*Table_NFI[[#This Row],[Plastic Mat]],Table_NFI[Plastic Mat])*IF(Table_NFI[[#This Row],[Distribution Date]]&gt;"2014-04-01",1,2.5)</f>
        <v>0</v>
      </c>
      <c r="AG608" s="436">
        <f>IF(NFI_Expiration=1,IF($A608&lt;VLOOKUP(R$5,NFI,5,0),1,0)*Table_NFI[[#This Row],[Winter Clothes Adult]],Table_NFI[Winter Clothes Adult])</f>
        <v>0</v>
      </c>
      <c r="AH608" s="436">
        <f>IF(NFI_Expiration=1,IF($A608&lt;VLOOKUP(S$5,NFI,5,0),1,0)*Table_NFI[[#This Row],[Winter Clothes Children]],Table_NFI[Winter Clothes Children])</f>
        <v>0</v>
      </c>
      <c r="AI608" s="436">
        <f>IF(NFI_Expiration=1,IF($A608&lt;VLOOKUP(T$5,NFI,5,0),1,0)*Table_NFI[[#This Row],[Winter Items Other]],Table_NFI[Winter Items Other])</f>
        <v>0</v>
      </c>
      <c r="AJ608" s="436">
        <f>IF(NFI_Expiration=1,IF($A608&lt;VLOOKUP(M$5,NFI,5,0),1,0)*Table_NFI[[#This Row],[Winter Blanket]],Table_NFI[[#This Row],[Winter Blanket]])</f>
        <v>0</v>
      </c>
      <c r="AK608" s="436">
        <f>IF(Table_NFI[[#This Row],[Winter Clothes Adult]]+Table_NFI[[#This Row],[Winter Clothes Children]]+Table_NFI[[#This Row],[Winter Items Other]]+Table_NFI[[#This Row],[Winter Blanket]]&gt;0,1,0)</f>
        <v>0</v>
      </c>
      <c r="AL608" s="439">
        <f>IF(NFI_Expiration=1,IF($A608&lt;VLOOKUP(V$5,NFI,5,0),1,0)*Table_NFI[[#This Row],[Jerry Can]],Table_NFI[Jerry Can])</f>
        <v>0</v>
      </c>
      <c r="AM608" s="781" t="str">
        <f>IFERROR(VLOOKUP(Table_NFI[[#This Row],[Camp Name]],CL,2,0),"")</f>
        <v>MMR015CMP004</v>
      </c>
      <c r="AN608" s="782">
        <f ca="1">IF(Table_NFI[[#This Row],[Pcode]]="","",IF(OFFSET(CampList[Opening Date],MATCH(Table_NFI[[#This Row],[Pcode]],CampList[CP_Pcode],0)-1,0,1,1)&gt;=NFI_Monitor_Date,1,0))</f>
        <v>0</v>
      </c>
      <c r="AO608" s="781" t="str">
        <f>IFERROR(VLOOKUP(Table_NFI[[#This Row],[Camp Name]],CL,3,0),"")</f>
        <v>Open</v>
      </c>
      <c r="AP608" s="436" t="str">
        <f ca="1">IF(Table_NFI[[#This Row],[Pcode]]="","",OFFSET(CampList[Priority],MATCH(Table_NFI[[#This Row],[Pcode]],CampList[CP_Pcode],0)-1,0,1,1))</f>
        <v>P3</v>
      </c>
      <c r="AQ608" s="438">
        <f>IFERROR(Table_NFI[[#This Row],[Kitchen Set]]/VLOOKUP(Table_NFI[[#This Row],[Camp Name]],CL,4,0),"")</f>
        <v>0.71951219512195119</v>
      </c>
      <c r="AR608" s="779" t="s">
        <v>1099</v>
      </c>
      <c r="AS608" s="783"/>
    </row>
    <row r="609" spans="1:45" x14ac:dyDescent="0.25">
      <c r="A609" s="455">
        <f t="shared" si="9"/>
        <v>32.866666666666667</v>
      </c>
      <c r="B609" s="778">
        <v>41323</v>
      </c>
      <c r="C609" s="779" t="s">
        <v>454</v>
      </c>
      <c r="D609" s="780" t="s">
        <v>462</v>
      </c>
      <c r="E609" s="779" t="s">
        <v>555</v>
      </c>
      <c r="F609" s="435" t="s">
        <v>289</v>
      </c>
      <c r="G609" s="435" t="s">
        <v>290</v>
      </c>
      <c r="H609" s="436"/>
      <c r="I609" s="436"/>
      <c r="J609" s="436">
        <v>139</v>
      </c>
      <c r="K609" s="436">
        <v>139</v>
      </c>
      <c r="L609" s="437">
        <v>70</v>
      </c>
      <c r="M609" s="437">
        <v>139</v>
      </c>
      <c r="N609" s="437">
        <v>70</v>
      </c>
      <c r="O609" s="437">
        <v>70</v>
      </c>
      <c r="P609" s="437">
        <v>70</v>
      </c>
      <c r="Q609" s="437">
        <v>70</v>
      </c>
      <c r="R609" s="436"/>
      <c r="S609" s="436"/>
      <c r="T609" s="436"/>
      <c r="U609" s="436"/>
      <c r="V609" s="436"/>
      <c r="W609" s="436">
        <f>IF(NFI_Expiration=1,IF($A609&lt;VLOOKUP(H$5,NFI,5,0),1,0)*Table_NFI[[#This Row],[Hygiene Kit]],Table_NFI[Hygiene Kit])</f>
        <v>0</v>
      </c>
      <c r="X609" s="436">
        <f>IF(NFI_Expiration=1,IF($A609&lt;VLOOKUP(I$5,NFI,5,0),1,0)*Table_NFI[[#This Row],[NFI Core Kit]],Table_NFI[NFI Core Kit])</f>
        <v>0</v>
      </c>
      <c r="Y609" s="436">
        <f>IF(NFI_Expiration=1,IF($A609&lt;VLOOKUP(J$5,NFI,5,0),1,0)*Table_NFI[[#This Row],[Sanitary Kit]],Table_NFI[Sanitary Kit])</f>
        <v>0</v>
      </c>
      <c r="Z609" s="436">
        <f>IF(NFI_Expiration=1,IF($A609&lt;VLOOKUP(K$5,NFI,5,0),1,0)*Table_NFI[[#This Row],[Mosquito net]],Table_NFI[Mosquito net])</f>
        <v>0</v>
      </c>
      <c r="AA609" s="436">
        <f>IF(NFI_Expiration=1,IF($A609&lt;VLOOKUP(L$5,NFI,5,0),1,0)*Table_NFI[[#This Row],[Tarpaulin]],Table_NFI[[#This Row],[Tarpaulin]])</f>
        <v>0</v>
      </c>
      <c r="AB609" s="436">
        <f>IF(NFI_Expiration=1,IF($A609&lt;VLOOKUP(M$5,NFI,5,0),1,0)*Table_NFI[[#This Row],[Blanket]],Table_NFI[[#This Row],[Blanket]])</f>
        <v>0</v>
      </c>
      <c r="AC609" s="436">
        <f>IF(NFI_Expiration=1,IF($A609&lt;VLOOKUP(N$5,NFI,5,0),1,0)*Table_NFI[[#This Row],[Kitchen Set]],Table_NFI[Kitchen Set])</f>
        <v>0</v>
      </c>
      <c r="AD609" s="436">
        <f>IF(NFI_Expiration=1,IF($A609&lt;VLOOKUP(O$5,NFI,5,0),1,0)*Table_NFI[[#This Row],[Clothes Kit]],Table_NFI[Clothes Kit])</f>
        <v>0</v>
      </c>
      <c r="AE609" s="436">
        <f>IF(NFI_Expiration=1,IF($A609&lt;VLOOKUP(P$5,NFI,5,0),1,0)*Table_NFI[[#This Row],[Plastic Bucket]],Table_NFI[Plastic Bucket])</f>
        <v>0</v>
      </c>
      <c r="AF609" s="436">
        <f>IF(NFI_Expiration=1,IF($A609&lt;VLOOKUP(Q$5,NFI,5,0),1,0)*Table_NFI[[#This Row],[Plastic Mat]],Table_NFI[Plastic Mat])*IF(Table_NFI[[#This Row],[Distribution Date]]&gt;"2014-04-01",1,2.5)</f>
        <v>0</v>
      </c>
      <c r="AG609" s="436">
        <f>IF(NFI_Expiration=1,IF($A609&lt;VLOOKUP(R$5,NFI,5,0),1,0)*Table_NFI[[#This Row],[Winter Clothes Adult]],Table_NFI[Winter Clothes Adult])</f>
        <v>0</v>
      </c>
      <c r="AH609" s="436">
        <f>IF(NFI_Expiration=1,IF($A609&lt;VLOOKUP(S$5,NFI,5,0),1,0)*Table_NFI[[#This Row],[Winter Clothes Children]],Table_NFI[Winter Clothes Children])</f>
        <v>0</v>
      </c>
      <c r="AI609" s="436">
        <f>IF(NFI_Expiration=1,IF($A609&lt;VLOOKUP(T$5,NFI,5,0),1,0)*Table_NFI[[#This Row],[Winter Items Other]],Table_NFI[Winter Items Other])</f>
        <v>0</v>
      </c>
      <c r="AJ609" s="436">
        <f>IF(NFI_Expiration=1,IF($A609&lt;VLOOKUP(M$5,NFI,5,0),1,0)*Table_NFI[[#This Row],[Winter Blanket]],Table_NFI[[#This Row],[Winter Blanket]])</f>
        <v>0</v>
      </c>
      <c r="AK609" s="436">
        <f>IF(Table_NFI[[#This Row],[Winter Clothes Adult]]+Table_NFI[[#This Row],[Winter Clothes Children]]+Table_NFI[[#This Row],[Winter Items Other]]+Table_NFI[[#This Row],[Winter Blanket]]&gt;0,1,0)</f>
        <v>0</v>
      </c>
      <c r="AL609" s="439">
        <f>IF(NFI_Expiration=1,IF($A609&lt;VLOOKUP(V$5,NFI,5,0),1,0)*Table_NFI[[#This Row],[Jerry Can]],Table_NFI[Jerry Can])</f>
        <v>0</v>
      </c>
      <c r="AM609" s="781" t="str">
        <f>IFERROR(VLOOKUP(Table_NFI[[#This Row],[Camp Name]],CL,2,0),"")</f>
        <v>MMR015CMP001</v>
      </c>
      <c r="AN609" s="782">
        <f ca="1">IF(Table_NFI[[#This Row],[Pcode]]="","",IF(OFFSET(CampList[Opening Date],MATCH(Table_NFI[[#This Row],[Pcode]],CampList[CP_Pcode],0)-1,0,1,1)&gt;=NFI_Monitor_Date,1,0))</f>
        <v>0</v>
      </c>
      <c r="AO609" s="781" t="str">
        <f>IFERROR(VLOOKUP(Table_NFI[[#This Row],[Camp Name]],CL,3,0),"")</f>
        <v>Open</v>
      </c>
      <c r="AP609" s="436" t="str">
        <f ca="1">IF(Table_NFI[[#This Row],[Pcode]]="","",OFFSET(CampList[Priority],MATCH(Table_NFI[[#This Row],[Pcode]],CampList[CP_Pcode],0)-1,0,1,1))</f>
        <v>P3</v>
      </c>
      <c r="AQ609" s="438">
        <f>IFERROR(Table_NFI[[#This Row],[Kitchen Set]]/VLOOKUP(Table_NFI[[#This Row],[Camp Name]],CL,4,0),"")</f>
        <v>1.0294117647058822</v>
      </c>
      <c r="AR609" s="779" t="s">
        <v>1099</v>
      </c>
      <c r="AS609" s="783"/>
    </row>
    <row r="610" spans="1:45" x14ac:dyDescent="0.25">
      <c r="A610" s="455">
        <f t="shared" si="9"/>
        <v>32.866666666666667</v>
      </c>
      <c r="B610" s="778">
        <v>41323</v>
      </c>
      <c r="C610" s="779" t="s">
        <v>454</v>
      </c>
      <c r="D610" s="780" t="s">
        <v>462</v>
      </c>
      <c r="E610" s="779" t="s">
        <v>555</v>
      </c>
      <c r="F610" s="435" t="s">
        <v>289</v>
      </c>
      <c r="G610" s="435" t="s">
        <v>361</v>
      </c>
      <c r="H610" s="436"/>
      <c r="I610" s="436"/>
      <c r="J610" s="436">
        <v>16</v>
      </c>
      <c r="K610" s="436">
        <v>16</v>
      </c>
      <c r="L610" s="437">
        <v>8</v>
      </c>
      <c r="M610" s="437">
        <v>16</v>
      </c>
      <c r="N610" s="437">
        <v>8</v>
      </c>
      <c r="O610" s="437">
        <v>8</v>
      </c>
      <c r="P610" s="437">
        <v>8</v>
      </c>
      <c r="Q610" s="437">
        <v>8</v>
      </c>
      <c r="R610" s="436"/>
      <c r="S610" s="436"/>
      <c r="T610" s="436"/>
      <c r="U610" s="436"/>
      <c r="V610" s="436"/>
      <c r="W610" s="436">
        <f>IF(NFI_Expiration=1,IF($A610&lt;VLOOKUP(H$5,NFI,5,0),1,0)*Table_NFI[[#This Row],[Hygiene Kit]],Table_NFI[Hygiene Kit])</f>
        <v>0</v>
      </c>
      <c r="X610" s="436">
        <f>IF(NFI_Expiration=1,IF($A610&lt;VLOOKUP(I$5,NFI,5,0),1,0)*Table_NFI[[#This Row],[NFI Core Kit]],Table_NFI[NFI Core Kit])</f>
        <v>0</v>
      </c>
      <c r="Y610" s="436">
        <f>IF(NFI_Expiration=1,IF($A610&lt;VLOOKUP(J$5,NFI,5,0),1,0)*Table_NFI[[#This Row],[Sanitary Kit]],Table_NFI[Sanitary Kit])</f>
        <v>0</v>
      </c>
      <c r="Z610" s="436">
        <f>IF(NFI_Expiration=1,IF($A610&lt;VLOOKUP(K$5,NFI,5,0),1,0)*Table_NFI[[#This Row],[Mosquito net]],Table_NFI[Mosquito net])</f>
        <v>0</v>
      </c>
      <c r="AA610" s="436">
        <f>IF(NFI_Expiration=1,IF($A610&lt;VLOOKUP(L$5,NFI,5,0),1,0)*Table_NFI[[#This Row],[Tarpaulin]],Table_NFI[[#This Row],[Tarpaulin]])</f>
        <v>0</v>
      </c>
      <c r="AB610" s="436">
        <f>IF(NFI_Expiration=1,IF($A610&lt;VLOOKUP(M$5,NFI,5,0),1,0)*Table_NFI[[#This Row],[Blanket]],Table_NFI[[#This Row],[Blanket]])</f>
        <v>0</v>
      </c>
      <c r="AC610" s="436">
        <f>IF(NFI_Expiration=1,IF($A610&lt;VLOOKUP(N$5,NFI,5,0),1,0)*Table_NFI[[#This Row],[Kitchen Set]],Table_NFI[Kitchen Set])</f>
        <v>0</v>
      </c>
      <c r="AD610" s="436">
        <f>IF(NFI_Expiration=1,IF($A610&lt;VLOOKUP(O$5,NFI,5,0),1,0)*Table_NFI[[#This Row],[Clothes Kit]],Table_NFI[Clothes Kit])</f>
        <v>0</v>
      </c>
      <c r="AE610" s="436">
        <f>IF(NFI_Expiration=1,IF($A610&lt;VLOOKUP(P$5,NFI,5,0),1,0)*Table_NFI[[#This Row],[Plastic Bucket]],Table_NFI[Plastic Bucket])</f>
        <v>0</v>
      </c>
      <c r="AF610" s="436">
        <f>IF(NFI_Expiration=1,IF($A610&lt;VLOOKUP(Q$5,NFI,5,0),1,0)*Table_NFI[[#This Row],[Plastic Mat]],Table_NFI[Plastic Mat])*IF(Table_NFI[[#This Row],[Distribution Date]]&gt;"2014-04-01",1,2.5)</f>
        <v>0</v>
      </c>
      <c r="AG610" s="436">
        <f>IF(NFI_Expiration=1,IF($A610&lt;VLOOKUP(R$5,NFI,5,0),1,0)*Table_NFI[[#This Row],[Winter Clothes Adult]],Table_NFI[Winter Clothes Adult])</f>
        <v>0</v>
      </c>
      <c r="AH610" s="436">
        <f>IF(NFI_Expiration=1,IF($A610&lt;VLOOKUP(S$5,NFI,5,0),1,0)*Table_NFI[[#This Row],[Winter Clothes Children]],Table_NFI[Winter Clothes Children])</f>
        <v>0</v>
      </c>
      <c r="AI610" s="436">
        <f>IF(NFI_Expiration=1,IF($A610&lt;VLOOKUP(T$5,NFI,5,0),1,0)*Table_NFI[[#This Row],[Winter Items Other]],Table_NFI[Winter Items Other])</f>
        <v>0</v>
      </c>
      <c r="AJ610" s="436">
        <f>IF(NFI_Expiration=1,IF($A610&lt;VLOOKUP(M$5,NFI,5,0),1,0)*Table_NFI[[#This Row],[Winter Blanket]],Table_NFI[[#This Row],[Winter Blanket]])</f>
        <v>0</v>
      </c>
      <c r="AK610" s="436">
        <f>IF(Table_NFI[[#This Row],[Winter Clothes Adult]]+Table_NFI[[#This Row],[Winter Clothes Children]]+Table_NFI[[#This Row],[Winter Items Other]]+Table_NFI[[#This Row],[Winter Blanket]]&gt;0,1,0)</f>
        <v>0</v>
      </c>
      <c r="AL610" s="439">
        <f>IF(NFI_Expiration=1,IF($A610&lt;VLOOKUP(V$5,NFI,5,0),1,0)*Table_NFI[[#This Row],[Jerry Can]],Table_NFI[Jerry Can])</f>
        <v>0</v>
      </c>
      <c r="AM610" s="781" t="str">
        <f>IFERROR(VLOOKUP(Table_NFI[[#This Row],[Camp Name]],CL,2,0),"")</f>
        <v>MMR015CMP139</v>
      </c>
      <c r="AN610" s="782">
        <f ca="1">IF(Table_NFI[[#This Row],[Pcode]]="","",IF(OFFSET(CampList[Opening Date],MATCH(Table_NFI[[#This Row],[Pcode]],CampList[CP_Pcode],0)-1,0,1,1)&gt;=NFI_Monitor_Date,1,0))</f>
        <v>0</v>
      </c>
      <c r="AO610" s="781" t="str">
        <f>IFERROR(VLOOKUP(Table_NFI[[#This Row],[Camp Name]],CL,3,0),"")</f>
        <v>Open</v>
      </c>
      <c r="AP610" s="436" t="str">
        <f ca="1">IF(Table_NFI[[#This Row],[Pcode]]="","",OFFSET(CampList[Priority],MATCH(Table_NFI[[#This Row],[Pcode]],CampList[CP_Pcode],0)-1,0,1,1))</f>
        <v>P2</v>
      </c>
      <c r="AQ610" s="438">
        <f>IFERROR(Table_NFI[[#This Row],[Kitchen Set]]/VLOOKUP(Table_NFI[[#This Row],[Camp Name]],CL,4,0),"")</f>
        <v>0.88888888888888884</v>
      </c>
      <c r="AR610" s="779" t="s">
        <v>1099</v>
      </c>
      <c r="AS610" s="783"/>
    </row>
    <row r="611" spans="1:45" x14ac:dyDescent="0.25">
      <c r="A611" s="455">
        <f t="shared" si="9"/>
        <v>32.866666666666667</v>
      </c>
      <c r="B611" s="778">
        <v>41323</v>
      </c>
      <c r="C611" s="779" t="s">
        <v>454</v>
      </c>
      <c r="D611" s="780" t="s">
        <v>462</v>
      </c>
      <c r="E611" s="779" t="s">
        <v>555</v>
      </c>
      <c r="F611" s="435" t="s">
        <v>146</v>
      </c>
      <c r="G611" s="435" t="s">
        <v>149</v>
      </c>
      <c r="H611" s="436"/>
      <c r="I611" s="436"/>
      <c r="J611" s="436">
        <v>86</v>
      </c>
      <c r="K611" s="436">
        <v>86</v>
      </c>
      <c r="L611" s="437">
        <v>43</v>
      </c>
      <c r="M611" s="437">
        <v>86</v>
      </c>
      <c r="N611" s="437">
        <v>43</v>
      </c>
      <c r="O611" s="437">
        <v>43</v>
      </c>
      <c r="P611" s="437">
        <v>43</v>
      </c>
      <c r="Q611" s="437">
        <v>43</v>
      </c>
      <c r="R611" s="436"/>
      <c r="S611" s="436"/>
      <c r="T611" s="436"/>
      <c r="U611" s="436"/>
      <c r="V611" s="436"/>
      <c r="W611" s="436">
        <f>IF(NFI_Expiration=1,IF($A611&lt;VLOOKUP(H$5,NFI,5,0),1,0)*Table_NFI[[#This Row],[Hygiene Kit]],Table_NFI[Hygiene Kit])</f>
        <v>0</v>
      </c>
      <c r="X611" s="436">
        <f>IF(NFI_Expiration=1,IF($A611&lt;VLOOKUP(I$5,NFI,5,0),1,0)*Table_NFI[[#This Row],[NFI Core Kit]],Table_NFI[NFI Core Kit])</f>
        <v>0</v>
      </c>
      <c r="Y611" s="436">
        <f>IF(NFI_Expiration=1,IF($A611&lt;VLOOKUP(J$5,NFI,5,0),1,0)*Table_NFI[[#This Row],[Sanitary Kit]],Table_NFI[Sanitary Kit])</f>
        <v>0</v>
      </c>
      <c r="Z611" s="436">
        <f>IF(NFI_Expiration=1,IF($A611&lt;VLOOKUP(K$5,NFI,5,0),1,0)*Table_NFI[[#This Row],[Mosquito net]],Table_NFI[Mosquito net])</f>
        <v>0</v>
      </c>
      <c r="AA611" s="436">
        <f>IF(NFI_Expiration=1,IF($A611&lt;VLOOKUP(L$5,NFI,5,0),1,0)*Table_NFI[[#This Row],[Tarpaulin]],Table_NFI[[#This Row],[Tarpaulin]])</f>
        <v>0</v>
      </c>
      <c r="AB611" s="436">
        <f>IF(NFI_Expiration=1,IF($A611&lt;VLOOKUP(M$5,NFI,5,0),1,0)*Table_NFI[[#This Row],[Blanket]],Table_NFI[[#This Row],[Blanket]])</f>
        <v>0</v>
      </c>
      <c r="AC611" s="436">
        <f>IF(NFI_Expiration=1,IF($A611&lt;VLOOKUP(N$5,NFI,5,0),1,0)*Table_NFI[[#This Row],[Kitchen Set]],Table_NFI[Kitchen Set])</f>
        <v>0</v>
      </c>
      <c r="AD611" s="436">
        <f>IF(NFI_Expiration=1,IF($A611&lt;VLOOKUP(O$5,NFI,5,0),1,0)*Table_NFI[[#This Row],[Clothes Kit]],Table_NFI[Clothes Kit])</f>
        <v>0</v>
      </c>
      <c r="AE611" s="436">
        <f>IF(NFI_Expiration=1,IF($A611&lt;VLOOKUP(P$5,NFI,5,0),1,0)*Table_NFI[[#This Row],[Plastic Bucket]],Table_NFI[Plastic Bucket])</f>
        <v>0</v>
      </c>
      <c r="AF611" s="436">
        <f>IF(NFI_Expiration=1,IF($A611&lt;VLOOKUP(Q$5,NFI,5,0),1,0)*Table_NFI[[#This Row],[Plastic Mat]],Table_NFI[Plastic Mat])*IF(Table_NFI[[#This Row],[Distribution Date]]&gt;"2014-04-01",1,2.5)</f>
        <v>0</v>
      </c>
      <c r="AG611" s="436">
        <f>IF(NFI_Expiration=1,IF($A611&lt;VLOOKUP(R$5,NFI,5,0),1,0)*Table_NFI[[#This Row],[Winter Clothes Adult]],Table_NFI[Winter Clothes Adult])</f>
        <v>0</v>
      </c>
      <c r="AH611" s="436">
        <f>IF(NFI_Expiration=1,IF($A611&lt;VLOOKUP(S$5,NFI,5,0),1,0)*Table_NFI[[#This Row],[Winter Clothes Children]],Table_NFI[Winter Clothes Children])</f>
        <v>0</v>
      </c>
      <c r="AI611" s="436">
        <f>IF(NFI_Expiration=1,IF($A611&lt;VLOOKUP(T$5,NFI,5,0),1,0)*Table_NFI[[#This Row],[Winter Items Other]],Table_NFI[Winter Items Other])</f>
        <v>0</v>
      </c>
      <c r="AJ611" s="436">
        <f>IF(NFI_Expiration=1,IF($A611&lt;VLOOKUP(M$5,NFI,5,0),1,0)*Table_NFI[[#This Row],[Winter Blanket]],Table_NFI[[#This Row],[Winter Blanket]])</f>
        <v>0</v>
      </c>
      <c r="AK611" s="436">
        <f>IF(Table_NFI[[#This Row],[Winter Clothes Adult]]+Table_NFI[[#This Row],[Winter Clothes Children]]+Table_NFI[[#This Row],[Winter Items Other]]+Table_NFI[[#This Row],[Winter Blanket]]&gt;0,1,0)</f>
        <v>0</v>
      </c>
      <c r="AL611" s="439">
        <f>IF(NFI_Expiration=1,IF($A611&lt;VLOOKUP(V$5,NFI,5,0),1,0)*Table_NFI[[#This Row],[Jerry Can]],Table_NFI[Jerry Can])</f>
        <v>0</v>
      </c>
      <c r="AM611" s="781" t="str">
        <f>IFERROR(VLOOKUP(Table_NFI[[#This Row],[Camp Name]],CL,2,0),"")</f>
        <v>MMR015CMP007</v>
      </c>
      <c r="AN611" s="782">
        <f ca="1">IF(Table_NFI[[#This Row],[Pcode]]="","",IF(OFFSET(CampList[Opening Date],MATCH(Table_NFI[[#This Row],[Pcode]],CampList[CP_Pcode],0)-1,0,1,1)&gt;=NFI_Monitor_Date,1,0))</f>
        <v>0</v>
      </c>
      <c r="AO611" s="781" t="str">
        <f>IFERROR(VLOOKUP(Table_NFI[[#This Row],[Camp Name]],CL,3,0),"")</f>
        <v>Open</v>
      </c>
      <c r="AP611" s="436" t="str">
        <f ca="1">IF(Table_NFI[[#This Row],[Pcode]]="","",OFFSET(CampList[Priority],MATCH(Table_NFI[[#This Row],[Pcode]],CampList[CP_Pcode],0)-1,0,1,1))</f>
        <v>P3</v>
      </c>
      <c r="AQ611" s="438">
        <f>IFERROR(Table_NFI[[#This Row],[Kitchen Set]]/VLOOKUP(Table_NFI[[#This Row],[Camp Name]],CL,4,0),"")</f>
        <v>0.60563380281690138</v>
      </c>
      <c r="AR611" s="779" t="s">
        <v>1099</v>
      </c>
      <c r="AS611" s="783"/>
    </row>
    <row r="612" spans="1:45" x14ac:dyDescent="0.25">
      <c r="A612" s="455">
        <f t="shared" si="9"/>
        <v>32.866666666666667</v>
      </c>
      <c r="B612" s="778">
        <v>41323</v>
      </c>
      <c r="C612" s="779" t="s">
        <v>454</v>
      </c>
      <c r="D612" s="780" t="s">
        <v>462</v>
      </c>
      <c r="E612" s="779" t="s">
        <v>555</v>
      </c>
      <c r="F612" s="435" t="s">
        <v>298</v>
      </c>
      <c r="G612" s="435" t="s">
        <v>595</v>
      </c>
      <c r="H612" s="436"/>
      <c r="I612" s="436"/>
      <c r="J612" s="436">
        <v>90</v>
      </c>
      <c r="K612" s="436">
        <v>90</v>
      </c>
      <c r="L612" s="437">
        <v>45</v>
      </c>
      <c r="M612" s="437">
        <v>90</v>
      </c>
      <c r="N612" s="437">
        <v>45</v>
      </c>
      <c r="O612" s="437">
        <v>45</v>
      </c>
      <c r="P612" s="437">
        <v>45</v>
      </c>
      <c r="Q612" s="437">
        <v>45</v>
      </c>
      <c r="R612" s="436"/>
      <c r="S612" s="436"/>
      <c r="T612" s="436"/>
      <c r="U612" s="436"/>
      <c r="V612" s="436"/>
      <c r="W612" s="436">
        <f>IF(NFI_Expiration=1,IF($A612&lt;VLOOKUP(H$5,NFI,5,0),1,0)*Table_NFI[[#This Row],[Hygiene Kit]],Table_NFI[Hygiene Kit])</f>
        <v>0</v>
      </c>
      <c r="X612" s="436">
        <f>IF(NFI_Expiration=1,IF($A612&lt;VLOOKUP(I$5,NFI,5,0),1,0)*Table_NFI[[#This Row],[NFI Core Kit]],Table_NFI[NFI Core Kit])</f>
        <v>0</v>
      </c>
      <c r="Y612" s="436">
        <f>IF(NFI_Expiration=1,IF($A612&lt;VLOOKUP(J$5,NFI,5,0),1,0)*Table_NFI[[#This Row],[Sanitary Kit]],Table_NFI[Sanitary Kit])</f>
        <v>0</v>
      </c>
      <c r="Z612" s="436">
        <f>IF(NFI_Expiration=1,IF($A612&lt;VLOOKUP(K$5,NFI,5,0),1,0)*Table_NFI[[#This Row],[Mosquito net]],Table_NFI[Mosquito net])</f>
        <v>0</v>
      </c>
      <c r="AA612" s="436">
        <f>IF(NFI_Expiration=1,IF($A612&lt;VLOOKUP(L$5,NFI,5,0),1,0)*Table_NFI[[#This Row],[Tarpaulin]],Table_NFI[[#This Row],[Tarpaulin]])</f>
        <v>0</v>
      </c>
      <c r="AB612" s="436">
        <f>IF(NFI_Expiration=1,IF($A612&lt;VLOOKUP(M$5,NFI,5,0),1,0)*Table_NFI[[#This Row],[Blanket]],Table_NFI[[#This Row],[Blanket]])</f>
        <v>0</v>
      </c>
      <c r="AC612" s="436">
        <f>IF(NFI_Expiration=1,IF($A612&lt;VLOOKUP(N$5,NFI,5,0),1,0)*Table_NFI[[#This Row],[Kitchen Set]],Table_NFI[Kitchen Set])</f>
        <v>0</v>
      </c>
      <c r="AD612" s="436">
        <f>IF(NFI_Expiration=1,IF($A612&lt;VLOOKUP(O$5,NFI,5,0),1,0)*Table_NFI[[#This Row],[Clothes Kit]],Table_NFI[Clothes Kit])</f>
        <v>0</v>
      </c>
      <c r="AE612" s="436">
        <f>IF(NFI_Expiration=1,IF($A612&lt;VLOOKUP(P$5,NFI,5,0),1,0)*Table_NFI[[#This Row],[Plastic Bucket]],Table_NFI[Plastic Bucket])</f>
        <v>0</v>
      </c>
      <c r="AF612" s="436">
        <f>IF(NFI_Expiration=1,IF($A612&lt;VLOOKUP(Q$5,NFI,5,0),1,0)*Table_NFI[[#This Row],[Plastic Mat]],Table_NFI[Plastic Mat])*IF(Table_NFI[[#This Row],[Distribution Date]]&gt;"2014-04-01",1,2.5)</f>
        <v>0</v>
      </c>
      <c r="AG612" s="436">
        <f>IF(NFI_Expiration=1,IF($A612&lt;VLOOKUP(R$5,NFI,5,0),1,0)*Table_NFI[[#This Row],[Winter Clothes Adult]],Table_NFI[Winter Clothes Adult])</f>
        <v>0</v>
      </c>
      <c r="AH612" s="436">
        <f>IF(NFI_Expiration=1,IF($A612&lt;VLOOKUP(S$5,NFI,5,0),1,0)*Table_NFI[[#This Row],[Winter Clothes Children]],Table_NFI[Winter Clothes Children])</f>
        <v>0</v>
      </c>
      <c r="AI612" s="436">
        <f>IF(NFI_Expiration=1,IF($A612&lt;VLOOKUP(T$5,NFI,5,0),1,0)*Table_NFI[[#This Row],[Winter Items Other]],Table_NFI[Winter Items Other])</f>
        <v>0</v>
      </c>
      <c r="AJ612" s="436">
        <f>IF(NFI_Expiration=1,IF($A612&lt;VLOOKUP(M$5,NFI,5,0),1,0)*Table_NFI[[#This Row],[Winter Blanket]],Table_NFI[[#This Row],[Winter Blanket]])</f>
        <v>0</v>
      </c>
      <c r="AK612" s="436">
        <f>IF(Table_NFI[[#This Row],[Winter Clothes Adult]]+Table_NFI[[#This Row],[Winter Clothes Children]]+Table_NFI[[#This Row],[Winter Items Other]]+Table_NFI[[#This Row],[Winter Blanket]]&gt;0,1,0)</f>
        <v>0</v>
      </c>
      <c r="AL612" s="439">
        <f>IF(NFI_Expiration=1,IF($A612&lt;VLOOKUP(V$5,NFI,5,0),1,0)*Table_NFI[[#This Row],[Jerry Can]],Table_NFI[Jerry Can])</f>
        <v>0</v>
      </c>
      <c r="AM612" s="781" t="str">
        <f>IFERROR(VLOOKUP(Table_NFI[[#This Row],[Camp Name]],CL,2,0),"")</f>
        <v>MMR015CMP210</v>
      </c>
      <c r="AN612" s="782">
        <f ca="1">IF(Table_NFI[[#This Row],[Pcode]]="","",IF(OFFSET(CampList[Opening Date],MATCH(Table_NFI[[#This Row],[Pcode]],CampList[CP_Pcode],0)-1,0,1,1)&gt;=NFI_Monitor_Date,1,0))</f>
        <v>0</v>
      </c>
      <c r="AO612" s="781" t="str">
        <f>IFERROR(VLOOKUP(Table_NFI[[#This Row],[Camp Name]],CL,3,0),"")</f>
        <v>Open</v>
      </c>
      <c r="AP612" s="436" t="str">
        <f ca="1">IF(Table_NFI[[#This Row],[Pcode]]="","",OFFSET(CampList[Priority],MATCH(Table_NFI[[#This Row],[Pcode]],CampList[CP_Pcode],0)-1,0,1,1))</f>
        <v>P3</v>
      </c>
      <c r="AQ612" s="438">
        <f>IFERROR(Table_NFI[[#This Row],[Kitchen Set]]/VLOOKUP(Table_NFI[[#This Row],[Camp Name]],CL,4,0),"")</f>
        <v>0.38135593220338981</v>
      </c>
      <c r="AR612" s="779" t="s">
        <v>1099</v>
      </c>
      <c r="AS612" s="783"/>
    </row>
    <row r="613" spans="1:45" x14ac:dyDescent="0.25">
      <c r="A613" s="455">
        <f t="shared" si="9"/>
        <v>33.133333333333333</v>
      </c>
      <c r="B613" s="778">
        <v>41315</v>
      </c>
      <c r="C613" s="779" t="s">
        <v>907</v>
      </c>
      <c r="D613" s="779" t="s">
        <v>907</v>
      </c>
      <c r="E613" s="779" t="s">
        <v>380</v>
      </c>
      <c r="F613" s="435" t="s">
        <v>180</v>
      </c>
      <c r="G613" s="435" t="s">
        <v>183</v>
      </c>
      <c r="H613" s="436"/>
      <c r="I613" s="436"/>
      <c r="J613" s="436"/>
      <c r="K613" s="436"/>
      <c r="L613" s="437">
        <v>36</v>
      </c>
      <c r="M613" s="437"/>
      <c r="N613" s="437">
        <v>22</v>
      </c>
      <c r="O613" s="437"/>
      <c r="P613" s="439">
        <v>0</v>
      </c>
      <c r="Q613" s="439">
        <v>0</v>
      </c>
      <c r="R613" s="436"/>
      <c r="S613" s="436"/>
      <c r="T613" s="436"/>
      <c r="U613" s="436"/>
      <c r="V613" s="436"/>
      <c r="W613" s="436">
        <f>IF(NFI_Expiration=1,IF($A613&lt;VLOOKUP(H$5,NFI,5,0),1,0)*Table_NFI[[#This Row],[Hygiene Kit]],Table_NFI[Hygiene Kit])</f>
        <v>0</v>
      </c>
      <c r="X613" s="436">
        <f>IF(NFI_Expiration=1,IF($A613&lt;VLOOKUP(I$5,NFI,5,0),1,0)*Table_NFI[[#This Row],[NFI Core Kit]],Table_NFI[NFI Core Kit])</f>
        <v>0</v>
      </c>
      <c r="Y613" s="436">
        <f>IF(NFI_Expiration=1,IF($A613&lt;VLOOKUP(J$5,NFI,5,0),1,0)*Table_NFI[[#This Row],[Sanitary Kit]],Table_NFI[Sanitary Kit])</f>
        <v>0</v>
      </c>
      <c r="Z613" s="436">
        <f>IF(NFI_Expiration=1,IF($A613&lt;VLOOKUP(K$5,NFI,5,0),1,0)*Table_NFI[[#This Row],[Mosquito net]],Table_NFI[Mosquito net])</f>
        <v>0</v>
      </c>
      <c r="AA613" s="436">
        <f>IF(NFI_Expiration=1,IF($A613&lt;VLOOKUP(L$5,NFI,5,0),1,0)*Table_NFI[[#This Row],[Tarpaulin]],Table_NFI[[#This Row],[Tarpaulin]])</f>
        <v>0</v>
      </c>
      <c r="AB613" s="436">
        <f>IF(NFI_Expiration=1,IF($A613&lt;VLOOKUP(M$5,NFI,5,0),1,0)*Table_NFI[[#This Row],[Blanket]],Table_NFI[[#This Row],[Blanket]])</f>
        <v>0</v>
      </c>
      <c r="AC613" s="436">
        <f>IF(NFI_Expiration=1,IF($A613&lt;VLOOKUP(N$5,NFI,5,0),1,0)*Table_NFI[[#This Row],[Kitchen Set]],Table_NFI[Kitchen Set])</f>
        <v>0</v>
      </c>
      <c r="AD613" s="436">
        <f>IF(NFI_Expiration=1,IF($A613&lt;VLOOKUP(O$5,NFI,5,0),1,0)*Table_NFI[[#This Row],[Clothes Kit]],Table_NFI[Clothes Kit])</f>
        <v>0</v>
      </c>
      <c r="AE613" s="436">
        <f>IF(NFI_Expiration=1,IF($A613&lt;VLOOKUP(P$5,NFI,5,0),1,0)*Table_NFI[[#This Row],[Plastic Bucket]],Table_NFI[Plastic Bucket])</f>
        <v>0</v>
      </c>
      <c r="AF613" s="436">
        <f>IF(NFI_Expiration=1,IF($A613&lt;VLOOKUP(Q$5,NFI,5,0),1,0)*Table_NFI[[#This Row],[Plastic Mat]],Table_NFI[Plastic Mat])*IF(Table_NFI[[#This Row],[Distribution Date]]&gt;"2014-04-01",1,2.5)</f>
        <v>0</v>
      </c>
      <c r="AG613" s="436">
        <f>IF(NFI_Expiration=1,IF($A613&lt;VLOOKUP(R$5,NFI,5,0),1,0)*Table_NFI[[#This Row],[Winter Clothes Adult]],Table_NFI[Winter Clothes Adult])</f>
        <v>0</v>
      </c>
      <c r="AH613" s="436">
        <f>IF(NFI_Expiration=1,IF($A613&lt;VLOOKUP(S$5,NFI,5,0),1,0)*Table_NFI[[#This Row],[Winter Clothes Children]],Table_NFI[Winter Clothes Children])</f>
        <v>0</v>
      </c>
      <c r="AI613" s="436">
        <f>IF(NFI_Expiration=1,IF($A613&lt;VLOOKUP(T$5,NFI,5,0),1,0)*Table_NFI[[#This Row],[Winter Items Other]],Table_NFI[Winter Items Other])</f>
        <v>0</v>
      </c>
      <c r="AJ613" s="436">
        <f>IF(NFI_Expiration=1,IF($A613&lt;VLOOKUP(M$5,NFI,5,0),1,0)*Table_NFI[[#This Row],[Winter Blanket]],Table_NFI[[#This Row],[Winter Blanket]])</f>
        <v>0</v>
      </c>
      <c r="AK613" s="436">
        <f>IF(Table_NFI[[#This Row],[Winter Clothes Adult]]+Table_NFI[[#This Row],[Winter Clothes Children]]+Table_NFI[[#This Row],[Winter Items Other]]+Table_NFI[[#This Row],[Winter Blanket]]&gt;0,1,0)</f>
        <v>0</v>
      </c>
      <c r="AL613" s="439">
        <f>IF(NFI_Expiration=1,IF($A613&lt;VLOOKUP(V$5,NFI,5,0),1,0)*Table_NFI[[#This Row],[Jerry Can]],Table_NFI[Jerry Can])</f>
        <v>0</v>
      </c>
      <c r="AM613" s="781" t="str">
        <f>IFERROR(VLOOKUP(Table_NFI[[#This Row],[Camp Name]],CL,2,0),"")</f>
        <v>MMR001CMP081</v>
      </c>
      <c r="AN613" s="782">
        <f ca="1">IF(Table_NFI[[#This Row],[Pcode]]="","",IF(OFFSET(CampList[Opening Date],MATCH(Table_NFI[[#This Row],[Pcode]],CampList[CP_Pcode],0)-1,0,1,1)&gt;=NFI_Monitor_Date,1,0))</f>
        <v>0</v>
      </c>
      <c r="AO613" s="781" t="str">
        <f>IFERROR(VLOOKUP(Table_NFI[[#This Row],[Camp Name]],CL,3,0),"")</f>
        <v>Closed</v>
      </c>
      <c r="AP613" s="436" t="str">
        <f ca="1">IF(Table_NFI[[#This Row],[Pcode]]="","",OFFSET(CampList[Priority],MATCH(Table_NFI[[#This Row],[Pcode]],CampList[CP_Pcode],0)-1,0,1,1))</f>
        <v>P4</v>
      </c>
      <c r="AQ613" s="438" t="str">
        <f>IFERROR(Table_NFI[[#This Row],[Kitchen Set]]/VLOOKUP(Table_NFI[[#This Row],[Camp Name]],CL,4,0),"")</f>
        <v/>
      </c>
      <c r="AR613" s="779" t="s">
        <v>1099</v>
      </c>
      <c r="AS613" s="783"/>
    </row>
    <row r="614" spans="1:45" x14ac:dyDescent="0.25">
      <c r="A614" s="455">
        <f t="shared" si="9"/>
        <v>33.133333333333333</v>
      </c>
      <c r="B614" s="778">
        <v>41315</v>
      </c>
      <c r="C614" s="779" t="s">
        <v>907</v>
      </c>
      <c r="D614" s="780" t="s">
        <v>907</v>
      </c>
      <c r="E614" s="779" t="s">
        <v>380</v>
      </c>
      <c r="F614" s="435" t="s">
        <v>180</v>
      </c>
      <c r="G614" s="435" t="s">
        <v>181</v>
      </c>
      <c r="H614" s="436"/>
      <c r="I614" s="436"/>
      <c r="J614" s="436"/>
      <c r="K614" s="436"/>
      <c r="L614" s="437">
        <v>20</v>
      </c>
      <c r="M614" s="437"/>
      <c r="N614" s="437">
        <v>12</v>
      </c>
      <c r="O614" s="437"/>
      <c r="P614" s="437">
        <v>0</v>
      </c>
      <c r="Q614" s="437">
        <v>0</v>
      </c>
      <c r="R614" s="436"/>
      <c r="S614" s="436"/>
      <c r="T614" s="436"/>
      <c r="U614" s="436"/>
      <c r="V614" s="436"/>
      <c r="W614" s="436">
        <f>IF(NFI_Expiration=1,IF($A614&lt;VLOOKUP(H$5,NFI,5,0),1,0)*Table_NFI[[#This Row],[Hygiene Kit]],Table_NFI[Hygiene Kit])</f>
        <v>0</v>
      </c>
      <c r="X614" s="436">
        <f>IF(NFI_Expiration=1,IF($A614&lt;VLOOKUP(I$5,NFI,5,0),1,0)*Table_NFI[[#This Row],[NFI Core Kit]],Table_NFI[NFI Core Kit])</f>
        <v>0</v>
      </c>
      <c r="Y614" s="436">
        <f>IF(NFI_Expiration=1,IF($A614&lt;VLOOKUP(J$5,NFI,5,0),1,0)*Table_NFI[[#This Row],[Sanitary Kit]],Table_NFI[Sanitary Kit])</f>
        <v>0</v>
      </c>
      <c r="Z614" s="436">
        <f>IF(NFI_Expiration=1,IF($A614&lt;VLOOKUP(K$5,NFI,5,0),1,0)*Table_NFI[[#This Row],[Mosquito net]],Table_NFI[Mosquito net])</f>
        <v>0</v>
      </c>
      <c r="AA614" s="436">
        <f>IF(NFI_Expiration=1,IF($A614&lt;VLOOKUP(L$5,NFI,5,0),1,0)*Table_NFI[[#This Row],[Tarpaulin]],Table_NFI[[#This Row],[Tarpaulin]])</f>
        <v>0</v>
      </c>
      <c r="AB614" s="436">
        <f>IF(NFI_Expiration=1,IF($A614&lt;VLOOKUP(M$5,NFI,5,0),1,0)*Table_NFI[[#This Row],[Blanket]],Table_NFI[[#This Row],[Blanket]])</f>
        <v>0</v>
      </c>
      <c r="AC614" s="436">
        <f>IF(NFI_Expiration=1,IF($A614&lt;VLOOKUP(N$5,NFI,5,0),1,0)*Table_NFI[[#This Row],[Kitchen Set]],Table_NFI[Kitchen Set])</f>
        <v>0</v>
      </c>
      <c r="AD614" s="436">
        <f>IF(NFI_Expiration=1,IF($A614&lt;VLOOKUP(O$5,NFI,5,0),1,0)*Table_NFI[[#This Row],[Clothes Kit]],Table_NFI[Clothes Kit])</f>
        <v>0</v>
      </c>
      <c r="AE614" s="436">
        <f>IF(NFI_Expiration=1,IF($A614&lt;VLOOKUP(P$5,NFI,5,0),1,0)*Table_NFI[[#This Row],[Plastic Bucket]],Table_NFI[Plastic Bucket])</f>
        <v>0</v>
      </c>
      <c r="AF614" s="436">
        <f>IF(NFI_Expiration=1,IF($A614&lt;VLOOKUP(Q$5,NFI,5,0),1,0)*Table_NFI[[#This Row],[Plastic Mat]],Table_NFI[Plastic Mat])*IF(Table_NFI[[#This Row],[Distribution Date]]&gt;"2014-04-01",1,2.5)</f>
        <v>0</v>
      </c>
      <c r="AG614" s="436">
        <f>IF(NFI_Expiration=1,IF($A614&lt;VLOOKUP(R$5,NFI,5,0),1,0)*Table_NFI[[#This Row],[Winter Clothes Adult]],Table_NFI[Winter Clothes Adult])</f>
        <v>0</v>
      </c>
      <c r="AH614" s="436">
        <f>IF(NFI_Expiration=1,IF($A614&lt;VLOOKUP(S$5,NFI,5,0),1,0)*Table_NFI[[#This Row],[Winter Clothes Children]],Table_NFI[Winter Clothes Children])</f>
        <v>0</v>
      </c>
      <c r="AI614" s="436">
        <f>IF(NFI_Expiration=1,IF($A614&lt;VLOOKUP(T$5,NFI,5,0),1,0)*Table_NFI[[#This Row],[Winter Items Other]],Table_NFI[Winter Items Other])</f>
        <v>0</v>
      </c>
      <c r="AJ614" s="436">
        <f>IF(NFI_Expiration=1,IF($A614&lt;VLOOKUP(M$5,NFI,5,0),1,0)*Table_NFI[[#This Row],[Winter Blanket]],Table_NFI[[#This Row],[Winter Blanket]])</f>
        <v>0</v>
      </c>
      <c r="AK614" s="436">
        <f>IF(Table_NFI[[#This Row],[Winter Clothes Adult]]+Table_NFI[[#This Row],[Winter Clothes Children]]+Table_NFI[[#This Row],[Winter Items Other]]+Table_NFI[[#This Row],[Winter Blanket]]&gt;0,1,0)</f>
        <v>0</v>
      </c>
      <c r="AL614" s="439">
        <f>IF(NFI_Expiration=1,IF($A614&lt;VLOOKUP(V$5,NFI,5,0),1,0)*Table_NFI[[#This Row],[Jerry Can]],Table_NFI[Jerry Can])</f>
        <v>0</v>
      </c>
      <c r="AM614" s="781" t="str">
        <f>IFERROR(VLOOKUP(Table_NFI[[#This Row],[Camp Name]],CL,2,0),"")</f>
        <v>MMR001CMP080</v>
      </c>
      <c r="AN614" s="782">
        <f ca="1">IF(Table_NFI[[#This Row],[Pcode]]="","",IF(OFFSET(CampList[Opening Date],MATCH(Table_NFI[[#This Row],[Pcode]],CampList[CP_Pcode],0)-1,0,1,1)&gt;=NFI_Monitor_Date,1,0))</f>
        <v>0</v>
      </c>
      <c r="AO614" s="781" t="str">
        <f>IFERROR(VLOOKUP(Table_NFI[[#This Row],[Camp Name]],CL,3,0),"")</f>
        <v>Open</v>
      </c>
      <c r="AP614" s="436" t="str">
        <f ca="1">IF(Table_NFI[[#This Row],[Pcode]]="","",OFFSET(CampList[Priority],MATCH(Table_NFI[[#This Row],[Pcode]],CampList[CP_Pcode],0)-1,0,1,1))</f>
        <v>P4</v>
      </c>
      <c r="AQ614" s="438">
        <f>IFERROR(Table_NFI[[#This Row],[Kitchen Set]]/VLOOKUP(Table_NFI[[#This Row],[Camp Name]],CL,4,0),"")</f>
        <v>1</v>
      </c>
      <c r="AR614" s="779" t="s">
        <v>1099</v>
      </c>
      <c r="AS614" s="783"/>
    </row>
    <row r="615" spans="1:45" x14ac:dyDescent="0.25">
      <c r="A615" s="455">
        <f t="shared" si="9"/>
        <v>33.166666666666664</v>
      </c>
      <c r="B615" s="778">
        <v>41314</v>
      </c>
      <c r="C615" s="779" t="s">
        <v>907</v>
      </c>
      <c r="D615" s="779" t="s">
        <v>907</v>
      </c>
      <c r="E615" s="779" t="s">
        <v>380</v>
      </c>
      <c r="F615" s="779" t="s">
        <v>237</v>
      </c>
      <c r="G615" s="435" t="s">
        <v>253</v>
      </c>
      <c r="H615" s="436"/>
      <c r="I615" s="436"/>
      <c r="J615" s="436"/>
      <c r="K615" s="436"/>
      <c r="L615" s="437">
        <v>177</v>
      </c>
      <c r="M615" s="437">
        <v>10</v>
      </c>
      <c r="N615" s="437">
        <v>10</v>
      </c>
      <c r="O615" s="437"/>
      <c r="P615" s="437">
        <v>0</v>
      </c>
      <c r="Q615" s="437">
        <v>0</v>
      </c>
      <c r="R615" s="436"/>
      <c r="S615" s="436"/>
      <c r="T615" s="436"/>
      <c r="U615" s="436"/>
      <c r="V615" s="436"/>
      <c r="W615" s="436">
        <f>IF(NFI_Expiration=1,IF($A615&lt;VLOOKUP(H$5,NFI,5,0),1,0)*Table_NFI[[#This Row],[Hygiene Kit]],Table_NFI[Hygiene Kit])</f>
        <v>0</v>
      </c>
      <c r="X615" s="436">
        <f>IF(NFI_Expiration=1,IF($A615&lt;VLOOKUP(I$5,NFI,5,0),1,0)*Table_NFI[[#This Row],[NFI Core Kit]],Table_NFI[NFI Core Kit])</f>
        <v>0</v>
      </c>
      <c r="Y615" s="436">
        <f>IF(NFI_Expiration=1,IF($A615&lt;VLOOKUP(J$5,NFI,5,0),1,0)*Table_NFI[[#This Row],[Sanitary Kit]],Table_NFI[Sanitary Kit])</f>
        <v>0</v>
      </c>
      <c r="Z615" s="436">
        <f>IF(NFI_Expiration=1,IF($A615&lt;VLOOKUP(K$5,NFI,5,0),1,0)*Table_NFI[[#This Row],[Mosquito net]],Table_NFI[Mosquito net])</f>
        <v>0</v>
      </c>
      <c r="AA615" s="436">
        <f>IF(NFI_Expiration=1,IF($A615&lt;VLOOKUP(L$5,NFI,5,0),1,0)*Table_NFI[[#This Row],[Tarpaulin]],Table_NFI[[#This Row],[Tarpaulin]])</f>
        <v>0</v>
      </c>
      <c r="AB615" s="436">
        <f>IF(NFI_Expiration=1,IF($A615&lt;VLOOKUP(M$5,NFI,5,0),1,0)*Table_NFI[[#This Row],[Blanket]],Table_NFI[[#This Row],[Blanket]])</f>
        <v>0</v>
      </c>
      <c r="AC615" s="436">
        <f>IF(NFI_Expiration=1,IF($A615&lt;VLOOKUP(N$5,NFI,5,0),1,0)*Table_NFI[[#This Row],[Kitchen Set]],Table_NFI[Kitchen Set])</f>
        <v>0</v>
      </c>
      <c r="AD615" s="436">
        <f>IF(NFI_Expiration=1,IF($A615&lt;VLOOKUP(O$5,NFI,5,0),1,0)*Table_NFI[[#This Row],[Clothes Kit]],Table_NFI[Clothes Kit])</f>
        <v>0</v>
      </c>
      <c r="AE615" s="436">
        <f>IF(NFI_Expiration=1,IF($A615&lt;VLOOKUP(P$5,NFI,5,0),1,0)*Table_NFI[[#This Row],[Plastic Bucket]],Table_NFI[Plastic Bucket])</f>
        <v>0</v>
      </c>
      <c r="AF615" s="436">
        <f>IF(NFI_Expiration=1,IF($A615&lt;VLOOKUP(Q$5,NFI,5,0),1,0)*Table_NFI[[#This Row],[Plastic Mat]],Table_NFI[Plastic Mat])*IF(Table_NFI[[#This Row],[Distribution Date]]&gt;"2014-04-01",1,2.5)</f>
        <v>0</v>
      </c>
      <c r="AG615" s="436">
        <f>IF(NFI_Expiration=1,IF($A615&lt;VLOOKUP(R$5,NFI,5,0),1,0)*Table_NFI[[#This Row],[Winter Clothes Adult]],Table_NFI[Winter Clothes Adult])</f>
        <v>0</v>
      </c>
      <c r="AH615" s="436">
        <f>IF(NFI_Expiration=1,IF($A615&lt;VLOOKUP(S$5,NFI,5,0),1,0)*Table_NFI[[#This Row],[Winter Clothes Children]],Table_NFI[Winter Clothes Children])</f>
        <v>0</v>
      </c>
      <c r="AI615" s="436">
        <f>IF(NFI_Expiration=1,IF($A615&lt;VLOOKUP(T$5,NFI,5,0),1,0)*Table_NFI[[#This Row],[Winter Items Other]],Table_NFI[Winter Items Other])</f>
        <v>0</v>
      </c>
      <c r="AJ615" s="436">
        <f>IF(NFI_Expiration=1,IF($A615&lt;VLOOKUP(M$5,NFI,5,0),1,0)*Table_NFI[[#This Row],[Winter Blanket]],Table_NFI[[#This Row],[Winter Blanket]])</f>
        <v>0</v>
      </c>
      <c r="AK615" s="436">
        <f>IF(Table_NFI[[#This Row],[Winter Clothes Adult]]+Table_NFI[[#This Row],[Winter Clothes Children]]+Table_NFI[[#This Row],[Winter Items Other]]+Table_NFI[[#This Row],[Winter Blanket]]&gt;0,1,0)</f>
        <v>0</v>
      </c>
      <c r="AL615" s="439">
        <f>IF(NFI_Expiration=1,IF($A615&lt;VLOOKUP(V$5,NFI,5,0),1,0)*Table_NFI[[#This Row],[Jerry Can]],Table_NFI[Jerry Can])</f>
        <v>0</v>
      </c>
      <c r="AM615" s="781" t="str">
        <f>IFERROR(VLOOKUP(Table_NFI[[#This Row],[Camp Name]],CL,2,0),"")</f>
        <v>MMR001CMP018</v>
      </c>
      <c r="AN615" s="782">
        <f ca="1">IF(Table_NFI[[#This Row],[Pcode]]="","",IF(OFFSET(CampList[Opening Date],MATCH(Table_NFI[[#This Row],[Pcode]],CampList[CP_Pcode],0)-1,0,1,1)&gt;=NFI_Monitor_Date,1,0))</f>
        <v>0</v>
      </c>
      <c r="AO615" s="781" t="str">
        <f>IFERROR(VLOOKUP(Table_NFI[[#This Row],[Camp Name]],CL,3,0),"")</f>
        <v>Open</v>
      </c>
      <c r="AP615" s="436" t="str">
        <f ca="1">IF(Table_NFI[[#This Row],[Pcode]]="","",OFFSET(CampList[Priority],MATCH(Table_NFI[[#This Row],[Pcode]],CampList[CP_Pcode],0)-1,0,1,1))</f>
        <v>P4</v>
      </c>
      <c r="AQ615" s="438">
        <f>IFERROR(Table_NFI[[#This Row],[Kitchen Set]]/VLOOKUP(Table_NFI[[#This Row],[Camp Name]],CL,4,0),"")</f>
        <v>4.9261083743842367E-2</v>
      </c>
      <c r="AR615" s="779" t="s">
        <v>1099</v>
      </c>
      <c r="AS615" s="783"/>
    </row>
    <row r="616" spans="1:45" x14ac:dyDescent="0.25">
      <c r="A616" s="455">
        <f t="shared" si="9"/>
        <v>33.166666666666664</v>
      </c>
      <c r="B616" s="778">
        <v>41314</v>
      </c>
      <c r="C616" s="779" t="s">
        <v>907</v>
      </c>
      <c r="D616" s="780" t="s">
        <v>907</v>
      </c>
      <c r="E616" s="779" t="s">
        <v>380</v>
      </c>
      <c r="F616" s="435" t="s">
        <v>237</v>
      </c>
      <c r="G616" s="435" t="s">
        <v>277</v>
      </c>
      <c r="H616" s="436"/>
      <c r="I616" s="436"/>
      <c r="J616" s="436"/>
      <c r="K616" s="436"/>
      <c r="L616" s="437">
        <v>109</v>
      </c>
      <c r="M616" s="437">
        <v>10</v>
      </c>
      <c r="N616" s="437">
        <v>10</v>
      </c>
      <c r="O616" s="437"/>
      <c r="P616" s="437">
        <v>0</v>
      </c>
      <c r="Q616" s="437">
        <v>0</v>
      </c>
      <c r="R616" s="436"/>
      <c r="S616" s="436"/>
      <c r="T616" s="436"/>
      <c r="U616" s="436"/>
      <c r="V616" s="436"/>
      <c r="W616" s="436">
        <f>IF(NFI_Expiration=1,IF($A616&lt;VLOOKUP(H$5,NFI,5,0),1,0)*Table_NFI[[#This Row],[Hygiene Kit]],Table_NFI[Hygiene Kit])</f>
        <v>0</v>
      </c>
      <c r="X616" s="436">
        <f>IF(NFI_Expiration=1,IF($A616&lt;VLOOKUP(I$5,NFI,5,0),1,0)*Table_NFI[[#This Row],[NFI Core Kit]],Table_NFI[NFI Core Kit])</f>
        <v>0</v>
      </c>
      <c r="Y616" s="436">
        <f>IF(NFI_Expiration=1,IF($A616&lt;VLOOKUP(J$5,NFI,5,0),1,0)*Table_NFI[[#This Row],[Sanitary Kit]],Table_NFI[Sanitary Kit])</f>
        <v>0</v>
      </c>
      <c r="Z616" s="436">
        <f>IF(NFI_Expiration=1,IF($A616&lt;VLOOKUP(K$5,NFI,5,0),1,0)*Table_NFI[[#This Row],[Mosquito net]],Table_NFI[Mosquito net])</f>
        <v>0</v>
      </c>
      <c r="AA616" s="436">
        <f>IF(NFI_Expiration=1,IF($A616&lt;VLOOKUP(L$5,NFI,5,0),1,0)*Table_NFI[[#This Row],[Tarpaulin]],Table_NFI[[#This Row],[Tarpaulin]])</f>
        <v>0</v>
      </c>
      <c r="AB616" s="436">
        <f>IF(NFI_Expiration=1,IF($A616&lt;VLOOKUP(M$5,NFI,5,0),1,0)*Table_NFI[[#This Row],[Blanket]],Table_NFI[[#This Row],[Blanket]])</f>
        <v>0</v>
      </c>
      <c r="AC616" s="436">
        <f>IF(NFI_Expiration=1,IF($A616&lt;VLOOKUP(N$5,NFI,5,0),1,0)*Table_NFI[[#This Row],[Kitchen Set]],Table_NFI[Kitchen Set])</f>
        <v>0</v>
      </c>
      <c r="AD616" s="436">
        <f>IF(NFI_Expiration=1,IF($A616&lt;VLOOKUP(O$5,NFI,5,0),1,0)*Table_NFI[[#This Row],[Clothes Kit]],Table_NFI[Clothes Kit])</f>
        <v>0</v>
      </c>
      <c r="AE616" s="436">
        <f>IF(NFI_Expiration=1,IF($A616&lt;VLOOKUP(P$5,NFI,5,0),1,0)*Table_NFI[[#This Row],[Plastic Bucket]],Table_NFI[Plastic Bucket])</f>
        <v>0</v>
      </c>
      <c r="AF616" s="436">
        <f>IF(NFI_Expiration=1,IF($A616&lt;VLOOKUP(Q$5,NFI,5,0),1,0)*Table_NFI[[#This Row],[Plastic Mat]],Table_NFI[Plastic Mat])*IF(Table_NFI[[#This Row],[Distribution Date]]&gt;"2014-04-01",1,2.5)</f>
        <v>0</v>
      </c>
      <c r="AG616" s="436">
        <f>IF(NFI_Expiration=1,IF($A616&lt;VLOOKUP(R$5,NFI,5,0),1,0)*Table_NFI[[#This Row],[Winter Clothes Adult]],Table_NFI[Winter Clothes Adult])</f>
        <v>0</v>
      </c>
      <c r="AH616" s="436">
        <f>IF(NFI_Expiration=1,IF($A616&lt;VLOOKUP(S$5,NFI,5,0),1,0)*Table_NFI[[#This Row],[Winter Clothes Children]],Table_NFI[Winter Clothes Children])</f>
        <v>0</v>
      </c>
      <c r="AI616" s="436">
        <f>IF(NFI_Expiration=1,IF($A616&lt;VLOOKUP(T$5,NFI,5,0),1,0)*Table_NFI[[#This Row],[Winter Items Other]],Table_NFI[Winter Items Other])</f>
        <v>0</v>
      </c>
      <c r="AJ616" s="436">
        <f>IF(NFI_Expiration=1,IF($A616&lt;VLOOKUP(M$5,NFI,5,0),1,0)*Table_NFI[[#This Row],[Winter Blanket]],Table_NFI[[#This Row],[Winter Blanket]])</f>
        <v>0</v>
      </c>
      <c r="AK616" s="436">
        <f>IF(Table_NFI[[#This Row],[Winter Clothes Adult]]+Table_NFI[[#This Row],[Winter Clothes Children]]+Table_NFI[[#This Row],[Winter Items Other]]+Table_NFI[[#This Row],[Winter Blanket]]&gt;0,1,0)</f>
        <v>0</v>
      </c>
      <c r="AL616" s="439">
        <f>IF(NFI_Expiration=1,IF($A616&lt;VLOOKUP(V$5,NFI,5,0),1,0)*Table_NFI[[#This Row],[Jerry Can]],Table_NFI[Jerry Can])</f>
        <v>0</v>
      </c>
      <c r="AM616" s="781" t="str">
        <f>IFERROR(VLOOKUP(Table_NFI[[#This Row],[Camp Name]],CL,2,0),"")</f>
        <v>MMR001CMP006</v>
      </c>
      <c r="AN616" s="782">
        <f ca="1">IF(Table_NFI[[#This Row],[Pcode]]="","",IF(OFFSET(CampList[Opening Date],MATCH(Table_NFI[[#This Row],[Pcode]],CampList[CP_Pcode],0)-1,0,1,1)&gt;=NFI_Monitor_Date,1,0))</f>
        <v>0</v>
      </c>
      <c r="AO616" s="781" t="str">
        <f>IFERROR(VLOOKUP(Table_NFI[[#This Row],[Camp Name]],CL,3,0),"")</f>
        <v>Open</v>
      </c>
      <c r="AP616" s="436" t="str">
        <f ca="1">IF(Table_NFI[[#This Row],[Pcode]]="","",OFFSET(CampList[Priority],MATCH(Table_NFI[[#This Row],[Pcode]],CampList[CP_Pcode],0)-1,0,1,1))</f>
        <v>P4</v>
      </c>
      <c r="AQ616" s="438">
        <f>IFERROR(Table_NFI[[#This Row],[Kitchen Set]]/VLOOKUP(Table_NFI[[#This Row],[Camp Name]],CL,4,0),"")</f>
        <v>0.10526315789473684</v>
      </c>
      <c r="AR616" s="779" t="s">
        <v>1099</v>
      </c>
      <c r="AS616" s="783"/>
    </row>
    <row r="617" spans="1:45" x14ac:dyDescent="0.25">
      <c r="A617" s="455">
        <f t="shared" si="9"/>
        <v>33.266666666666666</v>
      </c>
      <c r="B617" s="778">
        <v>41311</v>
      </c>
      <c r="C617" s="779" t="s">
        <v>454</v>
      </c>
      <c r="D617" s="780" t="s">
        <v>454</v>
      </c>
      <c r="E617" s="779" t="s">
        <v>380</v>
      </c>
      <c r="F617" s="435" t="s">
        <v>310</v>
      </c>
      <c r="G617" s="435" t="s">
        <v>318</v>
      </c>
      <c r="H617" s="436"/>
      <c r="I617" s="436"/>
      <c r="J617" s="436">
        <v>17</v>
      </c>
      <c r="K617" s="436">
        <v>20</v>
      </c>
      <c r="L617" s="437">
        <v>15</v>
      </c>
      <c r="M617" s="437">
        <v>20</v>
      </c>
      <c r="N617" s="437">
        <v>14</v>
      </c>
      <c r="O617" s="437">
        <v>11</v>
      </c>
      <c r="P617" s="437">
        <v>11</v>
      </c>
      <c r="Q617" s="437">
        <v>11</v>
      </c>
      <c r="R617" s="436"/>
      <c r="S617" s="436"/>
      <c r="T617" s="436"/>
      <c r="U617" s="436"/>
      <c r="V617" s="436"/>
      <c r="W617" s="436">
        <f>IF(NFI_Expiration=1,IF($A617&lt;VLOOKUP(H$5,NFI,5,0),1,0)*Table_NFI[[#This Row],[Hygiene Kit]],Table_NFI[Hygiene Kit])</f>
        <v>0</v>
      </c>
      <c r="X617" s="436">
        <f>IF(NFI_Expiration=1,IF($A617&lt;VLOOKUP(I$5,NFI,5,0),1,0)*Table_NFI[[#This Row],[NFI Core Kit]],Table_NFI[NFI Core Kit])</f>
        <v>0</v>
      </c>
      <c r="Y617" s="436">
        <f>IF(NFI_Expiration=1,IF($A617&lt;VLOOKUP(J$5,NFI,5,0),1,0)*Table_NFI[[#This Row],[Sanitary Kit]],Table_NFI[Sanitary Kit])</f>
        <v>0</v>
      </c>
      <c r="Z617" s="436">
        <f>IF(NFI_Expiration=1,IF($A617&lt;VLOOKUP(K$5,NFI,5,0),1,0)*Table_NFI[[#This Row],[Mosquito net]],Table_NFI[Mosquito net])</f>
        <v>0</v>
      </c>
      <c r="AA617" s="436">
        <f>IF(NFI_Expiration=1,IF($A617&lt;VLOOKUP(L$5,NFI,5,0),1,0)*Table_NFI[[#This Row],[Tarpaulin]],Table_NFI[[#This Row],[Tarpaulin]])</f>
        <v>0</v>
      </c>
      <c r="AB617" s="436">
        <f>IF(NFI_Expiration=1,IF($A617&lt;VLOOKUP(M$5,NFI,5,0),1,0)*Table_NFI[[#This Row],[Blanket]],Table_NFI[[#This Row],[Blanket]])</f>
        <v>0</v>
      </c>
      <c r="AC617" s="436">
        <f>IF(NFI_Expiration=1,IF($A617&lt;VLOOKUP(N$5,NFI,5,0),1,0)*Table_NFI[[#This Row],[Kitchen Set]],Table_NFI[Kitchen Set])</f>
        <v>0</v>
      </c>
      <c r="AD617" s="436">
        <f>IF(NFI_Expiration=1,IF($A617&lt;VLOOKUP(O$5,NFI,5,0),1,0)*Table_NFI[[#This Row],[Clothes Kit]],Table_NFI[Clothes Kit])</f>
        <v>0</v>
      </c>
      <c r="AE617" s="436">
        <f>IF(NFI_Expiration=1,IF($A617&lt;VLOOKUP(P$5,NFI,5,0),1,0)*Table_NFI[[#This Row],[Plastic Bucket]],Table_NFI[Plastic Bucket])</f>
        <v>0</v>
      </c>
      <c r="AF617" s="436">
        <f>IF(NFI_Expiration=1,IF($A617&lt;VLOOKUP(Q$5,NFI,5,0),1,0)*Table_NFI[[#This Row],[Plastic Mat]],Table_NFI[Plastic Mat])*IF(Table_NFI[[#This Row],[Distribution Date]]&gt;"2014-04-01",1,2.5)</f>
        <v>0</v>
      </c>
      <c r="AG617" s="436">
        <f>IF(NFI_Expiration=1,IF($A617&lt;VLOOKUP(R$5,NFI,5,0),1,0)*Table_NFI[[#This Row],[Winter Clothes Adult]],Table_NFI[Winter Clothes Adult])</f>
        <v>0</v>
      </c>
      <c r="AH617" s="436">
        <f>IF(NFI_Expiration=1,IF($A617&lt;VLOOKUP(S$5,NFI,5,0),1,0)*Table_NFI[[#This Row],[Winter Clothes Children]],Table_NFI[Winter Clothes Children])</f>
        <v>0</v>
      </c>
      <c r="AI617" s="436">
        <f>IF(NFI_Expiration=1,IF($A617&lt;VLOOKUP(T$5,NFI,5,0),1,0)*Table_NFI[[#This Row],[Winter Items Other]],Table_NFI[Winter Items Other])</f>
        <v>0</v>
      </c>
      <c r="AJ617" s="436">
        <f>IF(NFI_Expiration=1,IF($A617&lt;VLOOKUP(M$5,NFI,5,0),1,0)*Table_NFI[[#This Row],[Winter Blanket]],Table_NFI[[#This Row],[Winter Blanket]])</f>
        <v>0</v>
      </c>
      <c r="AK617" s="436">
        <f>IF(Table_NFI[[#This Row],[Winter Clothes Adult]]+Table_NFI[[#This Row],[Winter Clothes Children]]+Table_NFI[[#This Row],[Winter Items Other]]+Table_NFI[[#This Row],[Winter Blanket]]&gt;0,1,0)</f>
        <v>0</v>
      </c>
      <c r="AL617" s="439">
        <f>IF(NFI_Expiration=1,IF($A617&lt;VLOOKUP(V$5,NFI,5,0),1,0)*Table_NFI[[#This Row],[Jerry Can]],Table_NFI[Jerry Can])</f>
        <v>0</v>
      </c>
      <c r="AM617" s="781" t="str">
        <f>IFERROR(VLOOKUP(Table_NFI[[#This Row],[Camp Name]],CL,2,0),"")</f>
        <v>MMR001CMP032</v>
      </c>
      <c r="AN617" s="782">
        <f ca="1">IF(Table_NFI[[#This Row],[Pcode]]="","",IF(OFFSET(CampList[Opening Date],MATCH(Table_NFI[[#This Row],[Pcode]],CampList[CP_Pcode],0)-1,0,1,1)&gt;=NFI_Monitor_Date,1,0))</f>
        <v>0</v>
      </c>
      <c r="AO617" s="781" t="str">
        <f>IFERROR(VLOOKUP(Table_NFI[[#This Row],[Camp Name]],CL,3,0),"")</f>
        <v>Open</v>
      </c>
      <c r="AP617" s="436" t="str">
        <f ca="1">IF(Table_NFI[[#This Row],[Pcode]]="","",OFFSET(CampList[Priority],MATCH(Table_NFI[[#This Row],[Pcode]],CampList[CP_Pcode],0)-1,0,1,1))</f>
        <v>P4</v>
      </c>
      <c r="AQ617" s="438">
        <f>IFERROR(Table_NFI[[#This Row],[Kitchen Set]]/VLOOKUP(Table_NFI[[#This Row],[Camp Name]],CL,4,0),"")</f>
        <v>0.14893617021276595</v>
      </c>
      <c r="AR617" s="779" t="s">
        <v>1099</v>
      </c>
      <c r="AS617" s="783"/>
    </row>
    <row r="618" spans="1:45" x14ac:dyDescent="0.25">
      <c r="A618" s="455">
        <f t="shared" si="9"/>
        <v>33.299999999999997</v>
      </c>
      <c r="B618" s="778">
        <v>41310</v>
      </c>
      <c r="C618" s="779" t="s">
        <v>907</v>
      </c>
      <c r="D618" s="779" t="s">
        <v>907</v>
      </c>
      <c r="E618" s="779" t="s">
        <v>380</v>
      </c>
      <c r="F618" s="779" t="s">
        <v>237</v>
      </c>
      <c r="G618" s="435" t="s">
        <v>253</v>
      </c>
      <c r="H618" s="436">
        <v>22</v>
      </c>
      <c r="I618" s="436"/>
      <c r="J618" s="436"/>
      <c r="K618" s="436"/>
      <c r="L618" s="437"/>
      <c r="M618" s="437"/>
      <c r="N618" s="437"/>
      <c r="O618" s="437"/>
      <c r="P618" s="437">
        <v>0</v>
      </c>
      <c r="Q618" s="437">
        <v>0</v>
      </c>
      <c r="R618" s="436"/>
      <c r="S618" s="436"/>
      <c r="T618" s="436"/>
      <c r="U618" s="436"/>
      <c r="V618" s="436"/>
      <c r="W618" s="436">
        <f>IF(NFI_Expiration=1,IF($A618&lt;VLOOKUP(H$5,NFI,5,0),1,0)*Table_NFI[[#This Row],[Hygiene Kit]],Table_NFI[Hygiene Kit])</f>
        <v>0</v>
      </c>
      <c r="X618" s="436">
        <f>IF(NFI_Expiration=1,IF($A618&lt;VLOOKUP(I$5,NFI,5,0),1,0)*Table_NFI[[#This Row],[NFI Core Kit]],Table_NFI[NFI Core Kit])</f>
        <v>0</v>
      </c>
      <c r="Y618" s="436">
        <f>IF(NFI_Expiration=1,IF($A618&lt;VLOOKUP(J$5,NFI,5,0),1,0)*Table_NFI[[#This Row],[Sanitary Kit]],Table_NFI[Sanitary Kit])</f>
        <v>0</v>
      </c>
      <c r="Z618" s="436">
        <f>IF(NFI_Expiration=1,IF($A618&lt;VLOOKUP(K$5,NFI,5,0),1,0)*Table_NFI[[#This Row],[Mosquito net]],Table_NFI[Mosquito net])</f>
        <v>0</v>
      </c>
      <c r="AA618" s="436">
        <f>IF(NFI_Expiration=1,IF($A618&lt;VLOOKUP(L$5,NFI,5,0),1,0)*Table_NFI[[#This Row],[Tarpaulin]],Table_NFI[[#This Row],[Tarpaulin]])</f>
        <v>0</v>
      </c>
      <c r="AB618" s="436">
        <f>IF(NFI_Expiration=1,IF($A618&lt;VLOOKUP(M$5,NFI,5,0),1,0)*Table_NFI[[#This Row],[Blanket]],Table_NFI[[#This Row],[Blanket]])</f>
        <v>0</v>
      </c>
      <c r="AC618" s="436">
        <f>IF(NFI_Expiration=1,IF($A618&lt;VLOOKUP(N$5,NFI,5,0),1,0)*Table_NFI[[#This Row],[Kitchen Set]],Table_NFI[Kitchen Set])</f>
        <v>0</v>
      </c>
      <c r="AD618" s="436">
        <f>IF(NFI_Expiration=1,IF($A618&lt;VLOOKUP(O$5,NFI,5,0),1,0)*Table_NFI[[#This Row],[Clothes Kit]],Table_NFI[Clothes Kit])</f>
        <v>0</v>
      </c>
      <c r="AE618" s="436">
        <f>IF(NFI_Expiration=1,IF($A618&lt;VLOOKUP(P$5,NFI,5,0),1,0)*Table_NFI[[#This Row],[Plastic Bucket]],Table_NFI[Plastic Bucket])</f>
        <v>0</v>
      </c>
      <c r="AF618" s="436">
        <f>IF(NFI_Expiration=1,IF($A618&lt;VLOOKUP(Q$5,NFI,5,0),1,0)*Table_NFI[[#This Row],[Plastic Mat]],Table_NFI[Plastic Mat])*IF(Table_NFI[[#This Row],[Distribution Date]]&gt;"2014-04-01",1,2.5)</f>
        <v>0</v>
      </c>
      <c r="AG618" s="436">
        <f>IF(NFI_Expiration=1,IF($A618&lt;VLOOKUP(R$5,NFI,5,0),1,0)*Table_NFI[[#This Row],[Winter Clothes Adult]],Table_NFI[Winter Clothes Adult])</f>
        <v>0</v>
      </c>
      <c r="AH618" s="436">
        <f>IF(NFI_Expiration=1,IF($A618&lt;VLOOKUP(S$5,NFI,5,0),1,0)*Table_NFI[[#This Row],[Winter Clothes Children]],Table_NFI[Winter Clothes Children])</f>
        <v>0</v>
      </c>
      <c r="AI618" s="436">
        <f>IF(NFI_Expiration=1,IF($A618&lt;VLOOKUP(T$5,NFI,5,0),1,0)*Table_NFI[[#This Row],[Winter Items Other]],Table_NFI[Winter Items Other])</f>
        <v>0</v>
      </c>
      <c r="AJ618" s="436">
        <f>IF(NFI_Expiration=1,IF($A618&lt;VLOOKUP(M$5,NFI,5,0),1,0)*Table_NFI[[#This Row],[Winter Blanket]],Table_NFI[[#This Row],[Winter Blanket]])</f>
        <v>0</v>
      </c>
      <c r="AK618" s="436">
        <f>IF(Table_NFI[[#This Row],[Winter Clothes Adult]]+Table_NFI[[#This Row],[Winter Clothes Children]]+Table_NFI[[#This Row],[Winter Items Other]]+Table_NFI[[#This Row],[Winter Blanket]]&gt;0,1,0)</f>
        <v>0</v>
      </c>
      <c r="AL618" s="439">
        <f>IF(NFI_Expiration=1,IF($A618&lt;VLOOKUP(V$5,NFI,5,0),1,0)*Table_NFI[[#This Row],[Jerry Can]],Table_NFI[Jerry Can])</f>
        <v>0</v>
      </c>
      <c r="AM618" s="781" t="str">
        <f>IFERROR(VLOOKUP(Table_NFI[[#This Row],[Camp Name]],CL,2,0),"")</f>
        <v>MMR001CMP018</v>
      </c>
      <c r="AN618" s="782">
        <f ca="1">IF(Table_NFI[[#This Row],[Pcode]]="","",IF(OFFSET(CampList[Opening Date],MATCH(Table_NFI[[#This Row],[Pcode]],CampList[CP_Pcode],0)-1,0,1,1)&gt;=NFI_Monitor_Date,1,0))</f>
        <v>0</v>
      </c>
      <c r="AO618" s="781" t="str">
        <f>IFERROR(VLOOKUP(Table_NFI[[#This Row],[Camp Name]],CL,3,0),"")</f>
        <v>Open</v>
      </c>
      <c r="AP618" s="436" t="str">
        <f ca="1">IF(Table_NFI[[#This Row],[Pcode]]="","",OFFSET(CampList[Priority],MATCH(Table_NFI[[#This Row],[Pcode]],CampList[CP_Pcode],0)-1,0,1,1))</f>
        <v>P4</v>
      </c>
      <c r="AQ618" s="438">
        <f>IFERROR(Table_NFI[[#This Row],[Kitchen Set]]/VLOOKUP(Table_NFI[[#This Row],[Camp Name]],CL,4,0),"")</f>
        <v>0</v>
      </c>
      <c r="AR618" s="779" t="s">
        <v>1099</v>
      </c>
      <c r="AS618" s="783"/>
    </row>
    <row r="619" spans="1:45" x14ac:dyDescent="0.25">
      <c r="A619" s="455">
        <f t="shared" si="9"/>
        <v>33.299999999999997</v>
      </c>
      <c r="B619" s="778">
        <v>41310</v>
      </c>
      <c r="C619" s="779" t="s">
        <v>454</v>
      </c>
      <c r="D619" s="779" t="s">
        <v>454</v>
      </c>
      <c r="E619" s="779" t="s">
        <v>380</v>
      </c>
      <c r="F619" s="435" t="s">
        <v>310</v>
      </c>
      <c r="G619" s="435" t="s">
        <v>328</v>
      </c>
      <c r="H619" s="436"/>
      <c r="I619" s="436"/>
      <c r="J619" s="436">
        <v>37</v>
      </c>
      <c r="K619" s="436">
        <v>70</v>
      </c>
      <c r="L619" s="437">
        <v>34</v>
      </c>
      <c r="M619" s="437">
        <v>70</v>
      </c>
      <c r="N619" s="437">
        <v>34</v>
      </c>
      <c r="O619" s="437">
        <v>34</v>
      </c>
      <c r="P619" s="437">
        <v>34</v>
      </c>
      <c r="Q619" s="437">
        <v>34</v>
      </c>
      <c r="R619" s="436"/>
      <c r="S619" s="436"/>
      <c r="T619" s="436"/>
      <c r="U619" s="436"/>
      <c r="V619" s="436"/>
      <c r="W619" s="436">
        <f>IF(NFI_Expiration=1,IF($A619&lt;VLOOKUP(H$5,NFI,5,0),1,0)*Table_NFI[[#This Row],[Hygiene Kit]],Table_NFI[Hygiene Kit])</f>
        <v>0</v>
      </c>
      <c r="X619" s="436">
        <f>IF(NFI_Expiration=1,IF($A619&lt;VLOOKUP(I$5,NFI,5,0),1,0)*Table_NFI[[#This Row],[NFI Core Kit]],Table_NFI[NFI Core Kit])</f>
        <v>0</v>
      </c>
      <c r="Y619" s="436">
        <f>IF(NFI_Expiration=1,IF($A619&lt;VLOOKUP(J$5,NFI,5,0),1,0)*Table_NFI[[#This Row],[Sanitary Kit]],Table_NFI[Sanitary Kit])</f>
        <v>0</v>
      </c>
      <c r="Z619" s="436">
        <f>IF(NFI_Expiration=1,IF($A619&lt;VLOOKUP(K$5,NFI,5,0),1,0)*Table_NFI[[#This Row],[Mosquito net]],Table_NFI[Mosquito net])</f>
        <v>0</v>
      </c>
      <c r="AA619" s="436">
        <f>IF(NFI_Expiration=1,IF($A619&lt;VLOOKUP(L$5,NFI,5,0),1,0)*Table_NFI[[#This Row],[Tarpaulin]],Table_NFI[[#This Row],[Tarpaulin]])</f>
        <v>0</v>
      </c>
      <c r="AB619" s="436">
        <f>IF(NFI_Expiration=1,IF($A619&lt;VLOOKUP(M$5,NFI,5,0),1,0)*Table_NFI[[#This Row],[Blanket]],Table_NFI[[#This Row],[Blanket]])</f>
        <v>0</v>
      </c>
      <c r="AC619" s="436">
        <f>IF(NFI_Expiration=1,IF($A619&lt;VLOOKUP(N$5,NFI,5,0),1,0)*Table_NFI[[#This Row],[Kitchen Set]],Table_NFI[Kitchen Set])</f>
        <v>0</v>
      </c>
      <c r="AD619" s="436">
        <f>IF(NFI_Expiration=1,IF($A619&lt;VLOOKUP(O$5,NFI,5,0),1,0)*Table_NFI[[#This Row],[Clothes Kit]],Table_NFI[Clothes Kit])</f>
        <v>0</v>
      </c>
      <c r="AE619" s="436">
        <f>IF(NFI_Expiration=1,IF($A619&lt;VLOOKUP(P$5,NFI,5,0),1,0)*Table_NFI[[#This Row],[Plastic Bucket]],Table_NFI[Plastic Bucket])</f>
        <v>0</v>
      </c>
      <c r="AF619" s="436">
        <f>IF(NFI_Expiration=1,IF($A619&lt;VLOOKUP(Q$5,NFI,5,0),1,0)*Table_NFI[[#This Row],[Plastic Mat]],Table_NFI[Plastic Mat])*IF(Table_NFI[[#This Row],[Distribution Date]]&gt;"2014-04-01",1,2.5)</f>
        <v>0</v>
      </c>
      <c r="AG619" s="436">
        <f>IF(NFI_Expiration=1,IF($A619&lt;VLOOKUP(R$5,NFI,5,0),1,0)*Table_NFI[[#This Row],[Winter Clothes Adult]],Table_NFI[Winter Clothes Adult])</f>
        <v>0</v>
      </c>
      <c r="AH619" s="436">
        <f>IF(NFI_Expiration=1,IF($A619&lt;VLOOKUP(S$5,NFI,5,0),1,0)*Table_NFI[[#This Row],[Winter Clothes Children]],Table_NFI[Winter Clothes Children])</f>
        <v>0</v>
      </c>
      <c r="AI619" s="436">
        <f>IF(NFI_Expiration=1,IF($A619&lt;VLOOKUP(T$5,NFI,5,0),1,0)*Table_NFI[[#This Row],[Winter Items Other]],Table_NFI[Winter Items Other])</f>
        <v>0</v>
      </c>
      <c r="AJ619" s="436">
        <f>IF(NFI_Expiration=1,IF($A619&lt;VLOOKUP(M$5,NFI,5,0),1,0)*Table_NFI[[#This Row],[Winter Blanket]],Table_NFI[[#This Row],[Winter Blanket]])</f>
        <v>0</v>
      </c>
      <c r="AK619" s="436">
        <f>IF(Table_NFI[[#This Row],[Winter Clothes Adult]]+Table_NFI[[#This Row],[Winter Clothes Children]]+Table_NFI[[#This Row],[Winter Items Other]]+Table_NFI[[#This Row],[Winter Blanket]]&gt;0,1,0)</f>
        <v>0</v>
      </c>
      <c r="AL619" s="439">
        <f>IF(NFI_Expiration=1,IF($A619&lt;VLOOKUP(V$5,NFI,5,0),1,0)*Table_NFI[[#This Row],[Jerry Can]],Table_NFI[Jerry Can])</f>
        <v>0</v>
      </c>
      <c r="AM619" s="781" t="str">
        <f>IFERROR(VLOOKUP(Table_NFI[[#This Row],[Camp Name]],CL,2,0),"")</f>
        <v>MMR001CMP031</v>
      </c>
      <c r="AN619" s="782">
        <f ca="1">IF(Table_NFI[[#This Row],[Pcode]]="","",IF(OFFSET(CampList[Opening Date],MATCH(Table_NFI[[#This Row],[Pcode]],CampList[CP_Pcode],0)-1,0,1,1)&gt;=NFI_Monitor_Date,1,0))</f>
        <v>0</v>
      </c>
      <c r="AO619" s="781" t="str">
        <f>IFERROR(VLOOKUP(Table_NFI[[#This Row],[Camp Name]],CL,3,0),"")</f>
        <v>Open</v>
      </c>
      <c r="AP619" s="436" t="str">
        <f ca="1">IF(Table_NFI[[#This Row],[Pcode]]="","",OFFSET(CampList[Priority],MATCH(Table_NFI[[#This Row],[Pcode]],CampList[CP_Pcode],0)-1,0,1,1))</f>
        <v>P4</v>
      </c>
      <c r="AQ619" s="438">
        <f>IFERROR(Table_NFI[[#This Row],[Kitchen Set]]/VLOOKUP(Table_NFI[[#This Row],[Camp Name]],CL,4,0),"")</f>
        <v>0.25185185185185183</v>
      </c>
      <c r="AR619" s="779" t="s">
        <v>1099</v>
      </c>
      <c r="AS619" s="783"/>
    </row>
    <row r="620" spans="1:45" x14ac:dyDescent="0.25">
      <c r="A620" s="455">
        <f t="shared" si="9"/>
        <v>33.299999999999997</v>
      </c>
      <c r="B620" s="778">
        <v>41310</v>
      </c>
      <c r="C620" s="779" t="s">
        <v>907</v>
      </c>
      <c r="D620" s="779" t="s">
        <v>907</v>
      </c>
      <c r="E620" s="779" t="s">
        <v>380</v>
      </c>
      <c r="F620" s="779" t="s">
        <v>310</v>
      </c>
      <c r="G620" s="435" t="s">
        <v>330</v>
      </c>
      <c r="H620" s="436">
        <v>46</v>
      </c>
      <c r="I620" s="436"/>
      <c r="J620" s="436"/>
      <c r="K620" s="436"/>
      <c r="L620" s="437"/>
      <c r="M620" s="437"/>
      <c r="N620" s="437"/>
      <c r="O620" s="437"/>
      <c r="P620" s="437">
        <v>0</v>
      </c>
      <c r="Q620" s="437">
        <v>0</v>
      </c>
      <c r="R620" s="436"/>
      <c r="S620" s="436"/>
      <c r="T620" s="436"/>
      <c r="U620" s="436"/>
      <c r="V620" s="436"/>
      <c r="W620" s="436">
        <f>IF(NFI_Expiration=1,IF($A620&lt;VLOOKUP(H$5,NFI,5,0),1,0)*Table_NFI[[#This Row],[Hygiene Kit]],Table_NFI[Hygiene Kit])</f>
        <v>0</v>
      </c>
      <c r="X620" s="436">
        <f>IF(NFI_Expiration=1,IF($A620&lt;VLOOKUP(I$5,NFI,5,0),1,0)*Table_NFI[[#This Row],[NFI Core Kit]],Table_NFI[NFI Core Kit])</f>
        <v>0</v>
      </c>
      <c r="Y620" s="436">
        <f>IF(NFI_Expiration=1,IF($A620&lt;VLOOKUP(J$5,NFI,5,0),1,0)*Table_NFI[[#This Row],[Sanitary Kit]],Table_NFI[Sanitary Kit])</f>
        <v>0</v>
      </c>
      <c r="Z620" s="436">
        <f>IF(NFI_Expiration=1,IF($A620&lt;VLOOKUP(K$5,NFI,5,0),1,0)*Table_NFI[[#This Row],[Mosquito net]],Table_NFI[Mosquito net])</f>
        <v>0</v>
      </c>
      <c r="AA620" s="436">
        <f>IF(NFI_Expiration=1,IF($A620&lt;VLOOKUP(L$5,NFI,5,0),1,0)*Table_NFI[[#This Row],[Tarpaulin]],Table_NFI[[#This Row],[Tarpaulin]])</f>
        <v>0</v>
      </c>
      <c r="AB620" s="436">
        <f>IF(NFI_Expiration=1,IF($A620&lt;VLOOKUP(M$5,NFI,5,0),1,0)*Table_NFI[[#This Row],[Blanket]],Table_NFI[[#This Row],[Blanket]])</f>
        <v>0</v>
      </c>
      <c r="AC620" s="436">
        <f>IF(NFI_Expiration=1,IF($A620&lt;VLOOKUP(N$5,NFI,5,0),1,0)*Table_NFI[[#This Row],[Kitchen Set]],Table_NFI[Kitchen Set])</f>
        <v>0</v>
      </c>
      <c r="AD620" s="436">
        <f>IF(NFI_Expiration=1,IF($A620&lt;VLOOKUP(O$5,NFI,5,0),1,0)*Table_NFI[[#This Row],[Clothes Kit]],Table_NFI[Clothes Kit])</f>
        <v>0</v>
      </c>
      <c r="AE620" s="436">
        <f>IF(NFI_Expiration=1,IF($A620&lt;VLOOKUP(P$5,NFI,5,0),1,0)*Table_NFI[[#This Row],[Plastic Bucket]],Table_NFI[Plastic Bucket])</f>
        <v>0</v>
      </c>
      <c r="AF620" s="436">
        <f>IF(NFI_Expiration=1,IF($A620&lt;VLOOKUP(Q$5,NFI,5,0),1,0)*Table_NFI[[#This Row],[Plastic Mat]],Table_NFI[Plastic Mat])*IF(Table_NFI[[#This Row],[Distribution Date]]&gt;"2014-04-01",1,2.5)</f>
        <v>0</v>
      </c>
      <c r="AG620" s="436">
        <f>IF(NFI_Expiration=1,IF($A620&lt;VLOOKUP(R$5,NFI,5,0),1,0)*Table_NFI[[#This Row],[Winter Clothes Adult]],Table_NFI[Winter Clothes Adult])</f>
        <v>0</v>
      </c>
      <c r="AH620" s="436">
        <f>IF(NFI_Expiration=1,IF($A620&lt;VLOOKUP(S$5,NFI,5,0),1,0)*Table_NFI[[#This Row],[Winter Clothes Children]],Table_NFI[Winter Clothes Children])</f>
        <v>0</v>
      </c>
      <c r="AI620" s="436">
        <f>IF(NFI_Expiration=1,IF($A620&lt;VLOOKUP(T$5,NFI,5,0),1,0)*Table_NFI[[#This Row],[Winter Items Other]],Table_NFI[Winter Items Other])</f>
        <v>0</v>
      </c>
      <c r="AJ620" s="436">
        <f>IF(NFI_Expiration=1,IF($A620&lt;VLOOKUP(M$5,NFI,5,0),1,0)*Table_NFI[[#This Row],[Winter Blanket]],Table_NFI[[#This Row],[Winter Blanket]])</f>
        <v>0</v>
      </c>
      <c r="AK620" s="436">
        <f>IF(Table_NFI[[#This Row],[Winter Clothes Adult]]+Table_NFI[[#This Row],[Winter Clothes Children]]+Table_NFI[[#This Row],[Winter Items Other]]+Table_NFI[[#This Row],[Winter Blanket]]&gt;0,1,0)</f>
        <v>0</v>
      </c>
      <c r="AL620" s="439">
        <f>IF(NFI_Expiration=1,IF($A620&lt;VLOOKUP(V$5,NFI,5,0),1,0)*Table_NFI[[#This Row],[Jerry Can]],Table_NFI[Jerry Can])</f>
        <v>0</v>
      </c>
      <c r="AM620" s="781" t="str">
        <f>IFERROR(VLOOKUP(Table_NFI[[#This Row],[Camp Name]],CL,2,0),"")</f>
        <v>MMR001CMP029</v>
      </c>
      <c r="AN620" s="782">
        <f ca="1">IF(Table_NFI[[#This Row],[Pcode]]="","",IF(OFFSET(CampList[Opening Date],MATCH(Table_NFI[[#This Row],[Pcode]],CampList[CP_Pcode],0)-1,0,1,1)&gt;=NFI_Monitor_Date,1,0))</f>
        <v>0</v>
      </c>
      <c r="AO620" s="781" t="str">
        <f>IFERROR(VLOOKUP(Table_NFI[[#This Row],[Camp Name]],CL,3,0),"")</f>
        <v>Open</v>
      </c>
      <c r="AP620" s="436" t="str">
        <f ca="1">IF(Table_NFI[[#This Row],[Pcode]]="","",OFFSET(CampList[Priority],MATCH(Table_NFI[[#This Row],[Pcode]],CampList[CP_Pcode],0)-1,0,1,1))</f>
        <v>P4</v>
      </c>
      <c r="AQ620" s="438">
        <f>IFERROR(Table_NFI[[#This Row],[Kitchen Set]]/VLOOKUP(Table_NFI[[#This Row],[Camp Name]],CL,4,0),"")</f>
        <v>0</v>
      </c>
      <c r="AR620" s="779" t="s">
        <v>1099</v>
      </c>
      <c r="AS620" s="783"/>
    </row>
    <row r="621" spans="1:45" x14ac:dyDescent="0.25">
      <c r="A621" s="455">
        <f t="shared" si="9"/>
        <v>33.299999999999997</v>
      </c>
      <c r="B621" s="778">
        <v>41310</v>
      </c>
      <c r="C621" s="779" t="s">
        <v>454</v>
      </c>
      <c r="D621" s="780" t="s">
        <v>454</v>
      </c>
      <c r="E621" s="779" t="s">
        <v>380</v>
      </c>
      <c r="F621" s="435" t="s">
        <v>237</v>
      </c>
      <c r="G621" s="435" t="s">
        <v>265</v>
      </c>
      <c r="H621" s="436"/>
      <c r="I621" s="436"/>
      <c r="J621" s="436">
        <v>10</v>
      </c>
      <c r="K621" s="436">
        <v>16</v>
      </c>
      <c r="L621" s="437">
        <v>7</v>
      </c>
      <c r="M621" s="437">
        <v>16</v>
      </c>
      <c r="N621" s="437">
        <v>7</v>
      </c>
      <c r="O621" s="437">
        <v>7</v>
      </c>
      <c r="P621" s="437">
        <v>7</v>
      </c>
      <c r="Q621" s="437">
        <v>7</v>
      </c>
      <c r="R621" s="436"/>
      <c r="S621" s="436"/>
      <c r="T621" s="436"/>
      <c r="U621" s="436"/>
      <c r="V621" s="436"/>
      <c r="W621" s="436">
        <f>IF(NFI_Expiration=1,IF($A621&lt;VLOOKUP(H$5,NFI,5,0),1,0)*Table_NFI[[#This Row],[Hygiene Kit]],Table_NFI[Hygiene Kit])</f>
        <v>0</v>
      </c>
      <c r="X621" s="436">
        <f>IF(NFI_Expiration=1,IF($A621&lt;VLOOKUP(I$5,NFI,5,0),1,0)*Table_NFI[[#This Row],[NFI Core Kit]],Table_NFI[NFI Core Kit])</f>
        <v>0</v>
      </c>
      <c r="Y621" s="436">
        <f>IF(NFI_Expiration=1,IF($A621&lt;VLOOKUP(J$5,NFI,5,0),1,0)*Table_NFI[[#This Row],[Sanitary Kit]],Table_NFI[Sanitary Kit])</f>
        <v>0</v>
      </c>
      <c r="Z621" s="436">
        <f>IF(NFI_Expiration=1,IF($A621&lt;VLOOKUP(K$5,NFI,5,0),1,0)*Table_NFI[[#This Row],[Mosquito net]],Table_NFI[Mosquito net])</f>
        <v>0</v>
      </c>
      <c r="AA621" s="436">
        <f>IF(NFI_Expiration=1,IF($A621&lt;VLOOKUP(L$5,NFI,5,0),1,0)*Table_NFI[[#This Row],[Tarpaulin]],Table_NFI[[#This Row],[Tarpaulin]])</f>
        <v>0</v>
      </c>
      <c r="AB621" s="436">
        <f>IF(NFI_Expiration=1,IF($A621&lt;VLOOKUP(M$5,NFI,5,0),1,0)*Table_NFI[[#This Row],[Blanket]],Table_NFI[[#This Row],[Blanket]])</f>
        <v>0</v>
      </c>
      <c r="AC621" s="436">
        <f>IF(NFI_Expiration=1,IF($A621&lt;VLOOKUP(N$5,NFI,5,0),1,0)*Table_NFI[[#This Row],[Kitchen Set]],Table_NFI[Kitchen Set])</f>
        <v>0</v>
      </c>
      <c r="AD621" s="436">
        <f>IF(NFI_Expiration=1,IF($A621&lt;VLOOKUP(O$5,NFI,5,0),1,0)*Table_NFI[[#This Row],[Clothes Kit]],Table_NFI[Clothes Kit])</f>
        <v>0</v>
      </c>
      <c r="AE621" s="436">
        <f>IF(NFI_Expiration=1,IF($A621&lt;VLOOKUP(P$5,NFI,5,0),1,0)*Table_NFI[[#This Row],[Plastic Bucket]],Table_NFI[Plastic Bucket])</f>
        <v>0</v>
      </c>
      <c r="AF621" s="436">
        <f>IF(NFI_Expiration=1,IF($A621&lt;VLOOKUP(Q$5,NFI,5,0),1,0)*Table_NFI[[#This Row],[Plastic Mat]],Table_NFI[Plastic Mat])*IF(Table_NFI[[#This Row],[Distribution Date]]&gt;"2014-04-01",1,2.5)</f>
        <v>0</v>
      </c>
      <c r="AG621" s="436">
        <f>IF(NFI_Expiration=1,IF($A621&lt;VLOOKUP(R$5,NFI,5,0),1,0)*Table_NFI[[#This Row],[Winter Clothes Adult]],Table_NFI[Winter Clothes Adult])</f>
        <v>0</v>
      </c>
      <c r="AH621" s="436">
        <f>IF(NFI_Expiration=1,IF($A621&lt;VLOOKUP(S$5,NFI,5,0),1,0)*Table_NFI[[#This Row],[Winter Clothes Children]],Table_NFI[Winter Clothes Children])</f>
        <v>0</v>
      </c>
      <c r="AI621" s="436">
        <f>IF(NFI_Expiration=1,IF($A621&lt;VLOOKUP(T$5,NFI,5,0),1,0)*Table_NFI[[#This Row],[Winter Items Other]],Table_NFI[Winter Items Other])</f>
        <v>0</v>
      </c>
      <c r="AJ621" s="436">
        <f>IF(NFI_Expiration=1,IF($A621&lt;VLOOKUP(M$5,NFI,5,0),1,0)*Table_NFI[[#This Row],[Winter Blanket]],Table_NFI[[#This Row],[Winter Blanket]])</f>
        <v>0</v>
      </c>
      <c r="AK621" s="436">
        <f>IF(Table_NFI[[#This Row],[Winter Clothes Adult]]+Table_NFI[[#This Row],[Winter Clothes Children]]+Table_NFI[[#This Row],[Winter Items Other]]+Table_NFI[[#This Row],[Winter Blanket]]&gt;0,1,0)</f>
        <v>0</v>
      </c>
      <c r="AL621" s="439">
        <f>IF(NFI_Expiration=1,IF($A621&lt;VLOOKUP(V$5,NFI,5,0),1,0)*Table_NFI[[#This Row],[Jerry Can]],Table_NFI[Jerry Can])</f>
        <v>0</v>
      </c>
      <c r="AM621" s="781" t="str">
        <f>IFERROR(VLOOKUP(Table_NFI[[#This Row],[Camp Name]],CL,2,0),"")</f>
        <v>MMR001CMP021</v>
      </c>
      <c r="AN621" s="782">
        <f ca="1">IF(Table_NFI[[#This Row],[Pcode]]="","",IF(OFFSET(CampList[Opening Date],MATCH(Table_NFI[[#This Row],[Pcode]],CampList[CP_Pcode],0)-1,0,1,1)&gt;=NFI_Monitor_Date,1,0))</f>
        <v>0</v>
      </c>
      <c r="AO621" s="781" t="str">
        <f>IFERROR(VLOOKUP(Table_NFI[[#This Row],[Camp Name]],CL,3,0),"")</f>
        <v>Open</v>
      </c>
      <c r="AP621" s="436" t="str">
        <f ca="1">IF(Table_NFI[[#This Row],[Pcode]]="","",OFFSET(CampList[Priority],MATCH(Table_NFI[[#This Row],[Pcode]],CampList[CP_Pcode],0)-1,0,1,1))</f>
        <v>P4</v>
      </c>
      <c r="AQ621" s="438">
        <f>IFERROR(Table_NFI[[#This Row],[Kitchen Set]]/VLOOKUP(Table_NFI[[#This Row],[Camp Name]],CL,4,0),"")</f>
        <v>0.5</v>
      </c>
      <c r="AR621" s="779" t="s">
        <v>1099</v>
      </c>
      <c r="AS621" s="783"/>
    </row>
    <row r="622" spans="1:45" x14ac:dyDescent="0.25">
      <c r="A622" s="455">
        <f t="shared" si="9"/>
        <v>33.299999999999997</v>
      </c>
      <c r="B622" s="778">
        <v>41310</v>
      </c>
      <c r="C622" s="779" t="s">
        <v>907</v>
      </c>
      <c r="D622" s="779" t="s">
        <v>907</v>
      </c>
      <c r="E622" s="779" t="s">
        <v>380</v>
      </c>
      <c r="F622" s="435" t="s">
        <v>310</v>
      </c>
      <c r="G622" s="435" t="s">
        <v>351</v>
      </c>
      <c r="H622" s="436">
        <v>20</v>
      </c>
      <c r="I622" s="436"/>
      <c r="J622" s="436"/>
      <c r="K622" s="436"/>
      <c r="L622" s="437"/>
      <c r="M622" s="437"/>
      <c r="N622" s="437"/>
      <c r="O622" s="437"/>
      <c r="P622" s="439">
        <v>0</v>
      </c>
      <c r="Q622" s="439">
        <v>0</v>
      </c>
      <c r="R622" s="436"/>
      <c r="S622" s="436"/>
      <c r="T622" s="436"/>
      <c r="U622" s="436"/>
      <c r="V622" s="436"/>
      <c r="W622" s="436">
        <f>IF(NFI_Expiration=1,IF($A622&lt;VLOOKUP(H$5,NFI,5,0),1,0)*Table_NFI[[#This Row],[Hygiene Kit]],Table_NFI[Hygiene Kit])</f>
        <v>0</v>
      </c>
      <c r="X622" s="436">
        <f>IF(NFI_Expiration=1,IF($A622&lt;VLOOKUP(I$5,NFI,5,0),1,0)*Table_NFI[[#This Row],[NFI Core Kit]],Table_NFI[NFI Core Kit])</f>
        <v>0</v>
      </c>
      <c r="Y622" s="436">
        <f>IF(NFI_Expiration=1,IF($A622&lt;VLOOKUP(J$5,NFI,5,0),1,0)*Table_NFI[[#This Row],[Sanitary Kit]],Table_NFI[Sanitary Kit])</f>
        <v>0</v>
      </c>
      <c r="Z622" s="436">
        <f>IF(NFI_Expiration=1,IF($A622&lt;VLOOKUP(K$5,NFI,5,0),1,0)*Table_NFI[[#This Row],[Mosquito net]],Table_NFI[Mosquito net])</f>
        <v>0</v>
      </c>
      <c r="AA622" s="436">
        <f>IF(NFI_Expiration=1,IF($A622&lt;VLOOKUP(L$5,NFI,5,0),1,0)*Table_NFI[[#This Row],[Tarpaulin]],Table_NFI[[#This Row],[Tarpaulin]])</f>
        <v>0</v>
      </c>
      <c r="AB622" s="436">
        <f>IF(NFI_Expiration=1,IF($A622&lt;VLOOKUP(M$5,NFI,5,0),1,0)*Table_NFI[[#This Row],[Blanket]],Table_NFI[[#This Row],[Blanket]])</f>
        <v>0</v>
      </c>
      <c r="AC622" s="436">
        <f>IF(NFI_Expiration=1,IF($A622&lt;VLOOKUP(N$5,NFI,5,0),1,0)*Table_NFI[[#This Row],[Kitchen Set]],Table_NFI[Kitchen Set])</f>
        <v>0</v>
      </c>
      <c r="AD622" s="436">
        <f>IF(NFI_Expiration=1,IF($A622&lt;VLOOKUP(O$5,NFI,5,0),1,0)*Table_NFI[[#This Row],[Clothes Kit]],Table_NFI[Clothes Kit])</f>
        <v>0</v>
      </c>
      <c r="AE622" s="436">
        <f>IF(NFI_Expiration=1,IF($A622&lt;VLOOKUP(P$5,NFI,5,0),1,0)*Table_NFI[[#This Row],[Plastic Bucket]],Table_NFI[Plastic Bucket])</f>
        <v>0</v>
      </c>
      <c r="AF622" s="436">
        <f>IF(NFI_Expiration=1,IF($A622&lt;VLOOKUP(Q$5,NFI,5,0),1,0)*Table_NFI[[#This Row],[Plastic Mat]],Table_NFI[Plastic Mat])*IF(Table_NFI[[#This Row],[Distribution Date]]&gt;"2014-04-01",1,2.5)</f>
        <v>0</v>
      </c>
      <c r="AG622" s="436">
        <f>IF(NFI_Expiration=1,IF($A622&lt;VLOOKUP(R$5,NFI,5,0),1,0)*Table_NFI[[#This Row],[Winter Clothes Adult]],Table_NFI[Winter Clothes Adult])</f>
        <v>0</v>
      </c>
      <c r="AH622" s="436">
        <f>IF(NFI_Expiration=1,IF($A622&lt;VLOOKUP(S$5,NFI,5,0),1,0)*Table_NFI[[#This Row],[Winter Clothes Children]],Table_NFI[Winter Clothes Children])</f>
        <v>0</v>
      </c>
      <c r="AI622" s="436">
        <f>IF(NFI_Expiration=1,IF($A622&lt;VLOOKUP(T$5,NFI,5,0),1,0)*Table_NFI[[#This Row],[Winter Items Other]],Table_NFI[Winter Items Other])</f>
        <v>0</v>
      </c>
      <c r="AJ622" s="436">
        <f>IF(NFI_Expiration=1,IF($A622&lt;VLOOKUP(M$5,NFI,5,0),1,0)*Table_NFI[[#This Row],[Winter Blanket]],Table_NFI[[#This Row],[Winter Blanket]])</f>
        <v>0</v>
      </c>
      <c r="AK622" s="436">
        <f>IF(Table_NFI[[#This Row],[Winter Clothes Adult]]+Table_NFI[[#This Row],[Winter Clothes Children]]+Table_NFI[[#This Row],[Winter Items Other]]+Table_NFI[[#This Row],[Winter Blanket]]&gt;0,1,0)</f>
        <v>0</v>
      </c>
      <c r="AL622" s="439">
        <f>IF(NFI_Expiration=1,IF($A622&lt;VLOOKUP(V$5,NFI,5,0),1,0)*Table_NFI[[#This Row],[Jerry Can]],Table_NFI[Jerry Can])</f>
        <v>0</v>
      </c>
      <c r="AM622" s="781" t="str">
        <f>IFERROR(VLOOKUP(Table_NFI[[#This Row],[Camp Name]],CL,2,0),"")</f>
        <v>MMR001CMP026</v>
      </c>
      <c r="AN622" s="782">
        <f ca="1">IF(Table_NFI[[#This Row],[Pcode]]="","",IF(OFFSET(CampList[Opening Date],MATCH(Table_NFI[[#This Row],[Pcode]],CampList[CP_Pcode],0)-1,0,1,1)&gt;=NFI_Monitor_Date,1,0))</f>
        <v>0</v>
      </c>
      <c r="AO622" s="781" t="str">
        <f>IFERROR(VLOOKUP(Table_NFI[[#This Row],[Camp Name]],CL,3,0),"")</f>
        <v>Open</v>
      </c>
      <c r="AP622" s="436" t="str">
        <f ca="1">IF(Table_NFI[[#This Row],[Pcode]]="","",OFFSET(CampList[Priority],MATCH(Table_NFI[[#This Row],[Pcode]],CampList[CP_Pcode],0)-1,0,1,1))</f>
        <v>P4</v>
      </c>
      <c r="AQ622" s="438">
        <f>IFERROR(Table_NFI[[#This Row],[Kitchen Set]]/VLOOKUP(Table_NFI[[#This Row],[Camp Name]],CL,4,0),"")</f>
        <v>0</v>
      </c>
      <c r="AR622" s="779" t="s">
        <v>1099</v>
      </c>
      <c r="AS622" s="783"/>
    </row>
    <row r="623" spans="1:45" x14ac:dyDescent="0.25">
      <c r="A623" s="455">
        <f t="shared" si="9"/>
        <v>33.299999999999997</v>
      </c>
      <c r="B623" s="778">
        <v>41310</v>
      </c>
      <c r="C623" s="779" t="s">
        <v>907</v>
      </c>
      <c r="D623" s="779" t="s">
        <v>907</v>
      </c>
      <c r="E623" s="779" t="s">
        <v>380</v>
      </c>
      <c r="F623" s="435" t="s">
        <v>237</v>
      </c>
      <c r="G623" s="435" t="s">
        <v>277</v>
      </c>
      <c r="H623" s="436">
        <v>36</v>
      </c>
      <c r="I623" s="436"/>
      <c r="J623" s="436"/>
      <c r="K623" s="436"/>
      <c r="L623" s="437"/>
      <c r="M623" s="437"/>
      <c r="N623" s="437"/>
      <c r="O623" s="437"/>
      <c r="P623" s="439">
        <v>0</v>
      </c>
      <c r="Q623" s="439">
        <v>0</v>
      </c>
      <c r="R623" s="436"/>
      <c r="S623" s="436"/>
      <c r="T623" s="436"/>
      <c r="U623" s="436"/>
      <c r="V623" s="436"/>
      <c r="W623" s="436">
        <f>IF(NFI_Expiration=1,IF($A623&lt;VLOOKUP(H$5,NFI,5,0),1,0)*Table_NFI[[#This Row],[Hygiene Kit]],Table_NFI[Hygiene Kit])</f>
        <v>0</v>
      </c>
      <c r="X623" s="436">
        <f>IF(NFI_Expiration=1,IF($A623&lt;VLOOKUP(I$5,NFI,5,0),1,0)*Table_NFI[[#This Row],[NFI Core Kit]],Table_NFI[NFI Core Kit])</f>
        <v>0</v>
      </c>
      <c r="Y623" s="436">
        <f>IF(NFI_Expiration=1,IF($A623&lt;VLOOKUP(J$5,NFI,5,0),1,0)*Table_NFI[[#This Row],[Sanitary Kit]],Table_NFI[Sanitary Kit])</f>
        <v>0</v>
      </c>
      <c r="Z623" s="436">
        <f>IF(NFI_Expiration=1,IF($A623&lt;VLOOKUP(K$5,NFI,5,0),1,0)*Table_NFI[[#This Row],[Mosquito net]],Table_NFI[Mosquito net])</f>
        <v>0</v>
      </c>
      <c r="AA623" s="436">
        <f>IF(NFI_Expiration=1,IF($A623&lt;VLOOKUP(L$5,NFI,5,0),1,0)*Table_NFI[[#This Row],[Tarpaulin]],Table_NFI[[#This Row],[Tarpaulin]])</f>
        <v>0</v>
      </c>
      <c r="AB623" s="436">
        <f>IF(NFI_Expiration=1,IF($A623&lt;VLOOKUP(M$5,NFI,5,0),1,0)*Table_NFI[[#This Row],[Blanket]],Table_NFI[[#This Row],[Blanket]])</f>
        <v>0</v>
      </c>
      <c r="AC623" s="436">
        <f>IF(NFI_Expiration=1,IF($A623&lt;VLOOKUP(N$5,NFI,5,0),1,0)*Table_NFI[[#This Row],[Kitchen Set]],Table_NFI[Kitchen Set])</f>
        <v>0</v>
      </c>
      <c r="AD623" s="436">
        <f>IF(NFI_Expiration=1,IF($A623&lt;VLOOKUP(O$5,NFI,5,0),1,0)*Table_NFI[[#This Row],[Clothes Kit]],Table_NFI[Clothes Kit])</f>
        <v>0</v>
      </c>
      <c r="AE623" s="436">
        <f>IF(NFI_Expiration=1,IF($A623&lt;VLOOKUP(P$5,NFI,5,0),1,0)*Table_NFI[[#This Row],[Plastic Bucket]],Table_NFI[Plastic Bucket])</f>
        <v>0</v>
      </c>
      <c r="AF623" s="436">
        <f>IF(NFI_Expiration=1,IF($A623&lt;VLOOKUP(Q$5,NFI,5,0),1,0)*Table_NFI[[#This Row],[Plastic Mat]],Table_NFI[Plastic Mat])*IF(Table_NFI[[#This Row],[Distribution Date]]&gt;"2014-04-01",1,2.5)</f>
        <v>0</v>
      </c>
      <c r="AG623" s="436">
        <f>IF(NFI_Expiration=1,IF($A623&lt;VLOOKUP(R$5,NFI,5,0),1,0)*Table_NFI[[#This Row],[Winter Clothes Adult]],Table_NFI[Winter Clothes Adult])</f>
        <v>0</v>
      </c>
      <c r="AH623" s="436">
        <f>IF(NFI_Expiration=1,IF($A623&lt;VLOOKUP(S$5,NFI,5,0),1,0)*Table_NFI[[#This Row],[Winter Clothes Children]],Table_NFI[Winter Clothes Children])</f>
        <v>0</v>
      </c>
      <c r="AI623" s="436">
        <f>IF(NFI_Expiration=1,IF($A623&lt;VLOOKUP(T$5,NFI,5,0),1,0)*Table_NFI[[#This Row],[Winter Items Other]],Table_NFI[Winter Items Other])</f>
        <v>0</v>
      </c>
      <c r="AJ623" s="436">
        <f>IF(NFI_Expiration=1,IF($A623&lt;VLOOKUP(M$5,NFI,5,0),1,0)*Table_NFI[[#This Row],[Winter Blanket]],Table_NFI[[#This Row],[Winter Blanket]])</f>
        <v>0</v>
      </c>
      <c r="AK623" s="436">
        <f>IF(Table_NFI[[#This Row],[Winter Clothes Adult]]+Table_NFI[[#This Row],[Winter Clothes Children]]+Table_NFI[[#This Row],[Winter Items Other]]+Table_NFI[[#This Row],[Winter Blanket]]&gt;0,1,0)</f>
        <v>0</v>
      </c>
      <c r="AL623" s="439">
        <f>IF(NFI_Expiration=1,IF($A623&lt;VLOOKUP(V$5,NFI,5,0),1,0)*Table_NFI[[#This Row],[Jerry Can]],Table_NFI[Jerry Can])</f>
        <v>0</v>
      </c>
      <c r="AM623" s="781" t="str">
        <f>IFERROR(VLOOKUP(Table_NFI[[#This Row],[Camp Name]],CL,2,0),"")</f>
        <v>MMR001CMP006</v>
      </c>
      <c r="AN623" s="782">
        <f ca="1">IF(Table_NFI[[#This Row],[Pcode]]="","",IF(OFFSET(CampList[Opening Date],MATCH(Table_NFI[[#This Row],[Pcode]],CampList[CP_Pcode],0)-1,0,1,1)&gt;=NFI_Monitor_Date,1,0))</f>
        <v>0</v>
      </c>
      <c r="AO623" s="781" t="str">
        <f>IFERROR(VLOOKUP(Table_NFI[[#This Row],[Camp Name]],CL,3,0),"")</f>
        <v>Open</v>
      </c>
      <c r="AP623" s="436" t="str">
        <f ca="1">IF(Table_NFI[[#This Row],[Pcode]]="","",OFFSET(CampList[Priority],MATCH(Table_NFI[[#This Row],[Pcode]],CampList[CP_Pcode],0)-1,0,1,1))</f>
        <v>P4</v>
      </c>
      <c r="AQ623" s="438">
        <f>IFERROR(Table_NFI[[#This Row],[Kitchen Set]]/VLOOKUP(Table_NFI[[#This Row],[Camp Name]],CL,4,0),"")</f>
        <v>0</v>
      </c>
      <c r="AR623" s="779" t="s">
        <v>1099</v>
      </c>
      <c r="AS623" s="783"/>
    </row>
    <row r="624" spans="1:45" x14ac:dyDescent="0.25">
      <c r="A624" s="455">
        <f t="shared" si="9"/>
        <v>33.333333333333336</v>
      </c>
      <c r="B624" s="778">
        <v>41309</v>
      </c>
      <c r="C624" s="779" t="s">
        <v>907</v>
      </c>
      <c r="D624" s="779" t="s">
        <v>907</v>
      </c>
      <c r="E624" s="779" t="s">
        <v>380</v>
      </c>
      <c r="F624" s="779" t="s">
        <v>529</v>
      </c>
      <c r="G624" s="435" t="s">
        <v>62</v>
      </c>
      <c r="H624" s="436"/>
      <c r="I624" s="436"/>
      <c r="J624" s="436"/>
      <c r="K624" s="436"/>
      <c r="L624" s="437"/>
      <c r="M624" s="437"/>
      <c r="N624" s="437">
        <v>162</v>
      </c>
      <c r="O624" s="437"/>
      <c r="P624" s="437">
        <v>0</v>
      </c>
      <c r="Q624" s="437">
        <v>0</v>
      </c>
      <c r="R624" s="436"/>
      <c r="S624" s="436"/>
      <c r="T624" s="436"/>
      <c r="U624" s="436"/>
      <c r="V624" s="436"/>
      <c r="W624" s="436">
        <f>IF(NFI_Expiration=1,IF($A624&lt;VLOOKUP(H$5,NFI,5,0),1,0)*Table_NFI[[#This Row],[Hygiene Kit]],Table_NFI[Hygiene Kit])</f>
        <v>0</v>
      </c>
      <c r="X624" s="436">
        <f>IF(NFI_Expiration=1,IF($A624&lt;VLOOKUP(I$5,NFI,5,0),1,0)*Table_NFI[[#This Row],[NFI Core Kit]],Table_NFI[NFI Core Kit])</f>
        <v>0</v>
      </c>
      <c r="Y624" s="436">
        <f>IF(NFI_Expiration=1,IF($A624&lt;VLOOKUP(J$5,NFI,5,0),1,0)*Table_NFI[[#This Row],[Sanitary Kit]],Table_NFI[Sanitary Kit])</f>
        <v>0</v>
      </c>
      <c r="Z624" s="436">
        <f>IF(NFI_Expiration=1,IF($A624&lt;VLOOKUP(K$5,NFI,5,0),1,0)*Table_NFI[[#This Row],[Mosquito net]],Table_NFI[Mosquito net])</f>
        <v>0</v>
      </c>
      <c r="AA624" s="436">
        <f>IF(NFI_Expiration=1,IF($A624&lt;VLOOKUP(L$5,NFI,5,0),1,0)*Table_NFI[[#This Row],[Tarpaulin]],Table_NFI[[#This Row],[Tarpaulin]])</f>
        <v>0</v>
      </c>
      <c r="AB624" s="436">
        <f>IF(NFI_Expiration=1,IF($A624&lt;VLOOKUP(M$5,NFI,5,0),1,0)*Table_NFI[[#This Row],[Blanket]],Table_NFI[[#This Row],[Blanket]])</f>
        <v>0</v>
      </c>
      <c r="AC624" s="436">
        <f>IF(NFI_Expiration=1,IF($A624&lt;VLOOKUP(N$5,NFI,5,0),1,0)*Table_NFI[[#This Row],[Kitchen Set]],Table_NFI[Kitchen Set])</f>
        <v>0</v>
      </c>
      <c r="AD624" s="436">
        <f>IF(NFI_Expiration=1,IF($A624&lt;VLOOKUP(O$5,NFI,5,0),1,0)*Table_NFI[[#This Row],[Clothes Kit]],Table_NFI[Clothes Kit])</f>
        <v>0</v>
      </c>
      <c r="AE624" s="436">
        <f>IF(NFI_Expiration=1,IF($A624&lt;VLOOKUP(P$5,NFI,5,0),1,0)*Table_NFI[[#This Row],[Plastic Bucket]],Table_NFI[Plastic Bucket])</f>
        <v>0</v>
      </c>
      <c r="AF624" s="436">
        <f>IF(NFI_Expiration=1,IF($A624&lt;VLOOKUP(Q$5,NFI,5,0),1,0)*Table_NFI[[#This Row],[Plastic Mat]],Table_NFI[Plastic Mat])*IF(Table_NFI[[#This Row],[Distribution Date]]&gt;"2014-04-01",1,2.5)</f>
        <v>0</v>
      </c>
      <c r="AG624" s="436">
        <f>IF(NFI_Expiration=1,IF($A624&lt;VLOOKUP(R$5,NFI,5,0),1,0)*Table_NFI[[#This Row],[Winter Clothes Adult]],Table_NFI[Winter Clothes Adult])</f>
        <v>0</v>
      </c>
      <c r="AH624" s="436">
        <f>IF(NFI_Expiration=1,IF($A624&lt;VLOOKUP(S$5,NFI,5,0),1,0)*Table_NFI[[#This Row],[Winter Clothes Children]],Table_NFI[Winter Clothes Children])</f>
        <v>0</v>
      </c>
      <c r="AI624" s="436">
        <f>IF(NFI_Expiration=1,IF($A624&lt;VLOOKUP(T$5,NFI,5,0),1,0)*Table_NFI[[#This Row],[Winter Items Other]],Table_NFI[Winter Items Other])</f>
        <v>0</v>
      </c>
      <c r="AJ624" s="436">
        <f>IF(NFI_Expiration=1,IF($A624&lt;VLOOKUP(M$5,NFI,5,0),1,0)*Table_NFI[[#This Row],[Winter Blanket]],Table_NFI[[#This Row],[Winter Blanket]])</f>
        <v>0</v>
      </c>
      <c r="AK624" s="436">
        <f>IF(Table_NFI[[#This Row],[Winter Clothes Adult]]+Table_NFI[[#This Row],[Winter Clothes Children]]+Table_NFI[[#This Row],[Winter Items Other]]+Table_NFI[[#This Row],[Winter Blanket]]&gt;0,1,0)</f>
        <v>0</v>
      </c>
      <c r="AL624" s="439">
        <f>IF(NFI_Expiration=1,IF($A624&lt;VLOOKUP(V$5,NFI,5,0),1,0)*Table_NFI[[#This Row],[Jerry Can]],Table_NFI[Jerry Can])</f>
        <v>0</v>
      </c>
      <c r="AM624" s="781" t="str">
        <f>IFERROR(VLOOKUP(Table_NFI[[#This Row],[Camp Name]],CL,2,0),"")</f>
        <v>MMR001CMP179</v>
      </c>
      <c r="AN624" s="782">
        <f ca="1">IF(Table_NFI[[#This Row],[Pcode]]="","",IF(OFFSET(CampList[Opening Date],MATCH(Table_NFI[[#This Row],[Pcode]],CampList[CP_Pcode],0)-1,0,1,1)&gt;=NFI_Monitor_Date,1,0))</f>
        <v>0</v>
      </c>
      <c r="AO624" s="781" t="str">
        <f>IFERROR(VLOOKUP(Table_NFI[[#This Row],[Camp Name]],CL,3,0),"")</f>
        <v>Open</v>
      </c>
      <c r="AP624" s="436" t="str">
        <f ca="1">IF(Table_NFI[[#This Row],[Pcode]]="","",OFFSET(CampList[Priority],MATCH(Table_NFI[[#This Row],[Pcode]],CampList[CP_Pcode],0)-1,0,1,1))</f>
        <v>P4</v>
      </c>
      <c r="AQ624" s="438">
        <f>IFERROR(Table_NFI[[#This Row],[Kitchen Set]]/VLOOKUP(Table_NFI[[#This Row],[Camp Name]],CL,4,0),"")</f>
        <v>2.1315789473684212</v>
      </c>
      <c r="AR624" s="779" t="s">
        <v>1099</v>
      </c>
      <c r="AS624" s="783"/>
    </row>
    <row r="625" spans="1:45" x14ac:dyDescent="0.25">
      <c r="A625" s="455">
        <f t="shared" si="9"/>
        <v>33.333333333333336</v>
      </c>
      <c r="B625" s="778">
        <v>41309</v>
      </c>
      <c r="C625" s="779" t="s">
        <v>907</v>
      </c>
      <c r="D625" s="780" t="s">
        <v>907</v>
      </c>
      <c r="E625" s="779" t="s">
        <v>380</v>
      </c>
      <c r="F625" s="435" t="s">
        <v>529</v>
      </c>
      <c r="G625" s="435" t="s">
        <v>120</v>
      </c>
      <c r="H625" s="436"/>
      <c r="I625" s="436"/>
      <c r="J625" s="436"/>
      <c r="K625" s="436"/>
      <c r="L625" s="437"/>
      <c r="M625" s="437"/>
      <c r="N625" s="437">
        <v>117</v>
      </c>
      <c r="O625" s="437"/>
      <c r="P625" s="437">
        <v>0</v>
      </c>
      <c r="Q625" s="437">
        <v>0</v>
      </c>
      <c r="R625" s="436"/>
      <c r="S625" s="436"/>
      <c r="T625" s="436"/>
      <c r="U625" s="436"/>
      <c r="V625" s="436"/>
      <c r="W625" s="436">
        <f>IF(NFI_Expiration=1,IF($A625&lt;VLOOKUP(H$5,NFI,5,0),1,0)*Table_NFI[[#This Row],[Hygiene Kit]],Table_NFI[Hygiene Kit])</f>
        <v>0</v>
      </c>
      <c r="X625" s="436">
        <f>IF(NFI_Expiration=1,IF($A625&lt;VLOOKUP(I$5,NFI,5,0),1,0)*Table_NFI[[#This Row],[NFI Core Kit]],Table_NFI[NFI Core Kit])</f>
        <v>0</v>
      </c>
      <c r="Y625" s="436">
        <f>IF(NFI_Expiration=1,IF($A625&lt;VLOOKUP(J$5,NFI,5,0),1,0)*Table_NFI[[#This Row],[Sanitary Kit]],Table_NFI[Sanitary Kit])</f>
        <v>0</v>
      </c>
      <c r="Z625" s="436">
        <f>IF(NFI_Expiration=1,IF($A625&lt;VLOOKUP(K$5,NFI,5,0),1,0)*Table_NFI[[#This Row],[Mosquito net]],Table_NFI[Mosquito net])</f>
        <v>0</v>
      </c>
      <c r="AA625" s="436">
        <f>IF(NFI_Expiration=1,IF($A625&lt;VLOOKUP(L$5,NFI,5,0),1,0)*Table_NFI[[#This Row],[Tarpaulin]],Table_NFI[[#This Row],[Tarpaulin]])</f>
        <v>0</v>
      </c>
      <c r="AB625" s="436">
        <f>IF(NFI_Expiration=1,IF($A625&lt;VLOOKUP(M$5,NFI,5,0),1,0)*Table_NFI[[#This Row],[Blanket]],Table_NFI[[#This Row],[Blanket]])</f>
        <v>0</v>
      </c>
      <c r="AC625" s="436">
        <f>IF(NFI_Expiration=1,IF($A625&lt;VLOOKUP(N$5,NFI,5,0),1,0)*Table_NFI[[#This Row],[Kitchen Set]],Table_NFI[Kitchen Set])</f>
        <v>0</v>
      </c>
      <c r="AD625" s="436">
        <f>IF(NFI_Expiration=1,IF($A625&lt;VLOOKUP(O$5,NFI,5,0),1,0)*Table_NFI[[#This Row],[Clothes Kit]],Table_NFI[Clothes Kit])</f>
        <v>0</v>
      </c>
      <c r="AE625" s="436">
        <f>IF(NFI_Expiration=1,IF($A625&lt;VLOOKUP(P$5,NFI,5,0),1,0)*Table_NFI[[#This Row],[Plastic Bucket]],Table_NFI[Plastic Bucket])</f>
        <v>0</v>
      </c>
      <c r="AF625" s="436">
        <f>IF(NFI_Expiration=1,IF($A625&lt;VLOOKUP(Q$5,NFI,5,0),1,0)*Table_NFI[[#This Row],[Plastic Mat]],Table_NFI[Plastic Mat])*IF(Table_NFI[[#This Row],[Distribution Date]]&gt;"2014-04-01",1,2.5)</f>
        <v>0</v>
      </c>
      <c r="AG625" s="436">
        <f>IF(NFI_Expiration=1,IF($A625&lt;VLOOKUP(R$5,NFI,5,0),1,0)*Table_NFI[[#This Row],[Winter Clothes Adult]],Table_NFI[Winter Clothes Adult])</f>
        <v>0</v>
      </c>
      <c r="AH625" s="436">
        <f>IF(NFI_Expiration=1,IF($A625&lt;VLOOKUP(S$5,NFI,5,0),1,0)*Table_NFI[[#This Row],[Winter Clothes Children]],Table_NFI[Winter Clothes Children])</f>
        <v>0</v>
      </c>
      <c r="AI625" s="436">
        <f>IF(NFI_Expiration=1,IF($A625&lt;VLOOKUP(T$5,NFI,5,0),1,0)*Table_NFI[[#This Row],[Winter Items Other]],Table_NFI[Winter Items Other])</f>
        <v>0</v>
      </c>
      <c r="AJ625" s="436">
        <f>IF(NFI_Expiration=1,IF($A625&lt;VLOOKUP(M$5,NFI,5,0),1,0)*Table_NFI[[#This Row],[Winter Blanket]],Table_NFI[[#This Row],[Winter Blanket]])</f>
        <v>0</v>
      </c>
      <c r="AK625" s="436">
        <f>IF(Table_NFI[[#This Row],[Winter Clothes Adult]]+Table_NFI[[#This Row],[Winter Clothes Children]]+Table_NFI[[#This Row],[Winter Items Other]]+Table_NFI[[#This Row],[Winter Blanket]]&gt;0,1,0)</f>
        <v>0</v>
      </c>
      <c r="AL625" s="439">
        <f>IF(NFI_Expiration=1,IF($A625&lt;VLOOKUP(V$5,NFI,5,0),1,0)*Table_NFI[[#This Row],[Jerry Can]],Table_NFI[Jerry Can])</f>
        <v>0</v>
      </c>
      <c r="AM625" s="781" t="str">
        <f>IFERROR(VLOOKUP(Table_NFI[[#This Row],[Camp Name]],CL,2,0),"")</f>
        <v>MMR001CMP168</v>
      </c>
      <c r="AN625" s="782">
        <f ca="1">IF(Table_NFI[[#This Row],[Pcode]]="","",IF(OFFSET(CampList[Opening Date],MATCH(Table_NFI[[#This Row],[Pcode]],CampList[CP_Pcode],0)-1,0,1,1)&gt;=NFI_Monitor_Date,1,0))</f>
        <v>0</v>
      </c>
      <c r="AO625" s="781" t="str">
        <f>IFERROR(VLOOKUP(Table_NFI[[#This Row],[Camp Name]],CL,3,0),"")</f>
        <v>Open</v>
      </c>
      <c r="AP625" s="436" t="str">
        <f ca="1">IF(Table_NFI[[#This Row],[Pcode]]="","",OFFSET(CampList[Priority],MATCH(Table_NFI[[#This Row],[Pcode]],CampList[CP_Pcode],0)-1,0,1,1))</f>
        <v>P4</v>
      </c>
      <c r="AQ625" s="438">
        <f>IFERROR(Table_NFI[[#This Row],[Kitchen Set]]/VLOOKUP(Table_NFI[[#This Row],[Camp Name]],CL,4,0),"")</f>
        <v>1.56</v>
      </c>
      <c r="AR625" s="779" t="s">
        <v>1099</v>
      </c>
      <c r="AS625" s="783"/>
    </row>
    <row r="626" spans="1:45" x14ac:dyDescent="0.25">
      <c r="A626" s="455">
        <f t="shared" si="9"/>
        <v>33.333333333333336</v>
      </c>
      <c r="B626" s="778">
        <v>41309</v>
      </c>
      <c r="C626" s="779" t="s">
        <v>907</v>
      </c>
      <c r="D626" s="780" t="s">
        <v>907</v>
      </c>
      <c r="E626" s="779" t="s">
        <v>380</v>
      </c>
      <c r="F626" s="435" t="s">
        <v>529</v>
      </c>
      <c r="G626" s="435" t="s">
        <v>52</v>
      </c>
      <c r="H626" s="436"/>
      <c r="I626" s="436"/>
      <c r="J626" s="436"/>
      <c r="K626" s="436"/>
      <c r="L626" s="437"/>
      <c r="M626" s="437"/>
      <c r="N626" s="437">
        <v>106</v>
      </c>
      <c r="O626" s="437"/>
      <c r="P626" s="437">
        <v>0</v>
      </c>
      <c r="Q626" s="437">
        <v>0</v>
      </c>
      <c r="R626" s="436"/>
      <c r="S626" s="436"/>
      <c r="T626" s="436"/>
      <c r="U626" s="436"/>
      <c r="V626" s="436"/>
      <c r="W626" s="436">
        <f>IF(NFI_Expiration=1,IF($A626&lt;VLOOKUP(H$5,NFI,5,0),1,0)*Table_NFI[[#This Row],[Hygiene Kit]],Table_NFI[Hygiene Kit])</f>
        <v>0</v>
      </c>
      <c r="X626" s="436">
        <f>IF(NFI_Expiration=1,IF($A626&lt;VLOOKUP(I$5,NFI,5,0),1,0)*Table_NFI[[#This Row],[NFI Core Kit]],Table_NFI[NFI Core Kit])</f>
        <v>0</v>
      </c>
      <c r="Y626" s="436">
        <f>IF(NFI_Expiration=1,IF($A626&lt;VLOOKUP(J$5,NFI,5,0),1,0)*Table_NFI[[#This Row],[Sanitary Kit]],Table_NFI[Sanitary Kit])</f>
        <v>0</v>
      </c>
      <c r="Z626" s="436">
        <f>IF(NFI_Expiration=1,IF($A626&lt;VLOOKUP(K$5,NFI,5,0),1,0)*Table_NFI[[#This Row],[Mosquito net]],Table_NFI[Mosquito net])</f>
        <v>0</v>
      </c>
      <c r="AA626" s="436">
        <f>IF(NFI_Expiration=1,IF($A626&lt;VLOOKUP(L$5,NFI,5,0),1,0)*Table_NFI[[#This Row],[Tarpaulin]],Table_NFI[[#This Row],[Tarpaulin]])</f>
        <v>0</v>
      </c>
      <c r="AB626" s="436">
        <f>IF(NFI_Expiration=1,IF($A626&lt;VLOOKUP(M$5,NFI,5,0),1,0)*Table_NFI[[#This Row],[Blanket]],Table_NFI[[#This Row],[Blanket]])</f>
        <v>0</v>
      </c>
      <c r="AC626" s="436">
        <f>IF(NFI_Expiration=1,IF($A626&lt;VLOOKUP(N$5,NFI,5,0),1,0)*Table_NFI[[#This Row],[Kitchen Set]],Table_NFI[Kitchen Set])</f>
        <v>0</v>
      </c>
      <c r="AD626" s="436">
        <f>IF(NFI_Expiration=1,IF($A626&lt;VLOOKUP(O$5,NFI,5,0),1,0)*Table_NFI[[#This Row],[Clothes Kit]],Table_NFI[Clothes Kit])</f>
        <v>0</v>
      </c>
      <c r="AE626" s="436">
        <f>IF(NFI_Expiration=1,IF($A626&lt;VLOOKUP(P$5,NFI,5,0),1,0)*Table_NFI[[#This Row],[Plastic Bucket]],Table_NFI[Plastic Bucket])</f>
        <v>0</v>
      </c>
      <c r="AF626" s="436">
        <f>IF(NFI_Expiration=1,IF($A626&lt;VLOOKUP(Q$5,NFI,5,0),1,0)*Table_NFI[[#This Row],[Plastic Mat]],Table_NFI[Plastic Mat])*IF(Table_NFI[[#This Row],[Distribution Date]]&gt;"2014-04-01",1,2.5)</f>
        <v>0</v>
      </c>
      <c r="AG626" s="436">
        <f>IF(NFI_Expiration=1,IF($A626&lt;VLOOKUP(R$5,NFI,5,0),1,0)*Table_NFI[[#This Row],[Winter Clothes Adult]],Table_NFI[Winter Clothes Adult])</f>
        <v>0</v>
      </c>
      <c r="AH626" s="436">
        <f>IF(NFI_Expiration=1,IF($A626&lt;VLOOKUP(S$5,NFI,5,0),1,0)*Table_NFI[[#This Row],[Winter Clothes Children]],Table_NFI[Winter Clothes Children])</f>
        <v>0</v>
      </c>
      <c r="AI626" s="436">
        <f>IF(NFI_Expiration=1,IF($A626&lt;VLOOKUP(T$5,NFI,5,0),1,0)*Table_NFI[[#This Row],[Winter Items Other]],Table_NFI[Winter Items Other])</f>
        <v>0</v>
      </c>
      <c r="AJ626" s="436">
        <f>IF(NFI_Expiration=1,IF($A626&lt;VLOOKUP(M$5,NFI,5,0),1,0)*Table_NFI[[#This Row],[Winter Blanket]],Table_NFI[[#This Row],[Winter Blanket]])</f>
        <v>0</v>
      </c>
      <c r="AK626" s="436">
        <f>IF(Table_NFI[[#This Row],[Winter Clothes Adult]]+Table_NFI[[#This Row],[Winter Clothes Children]]+Table_NFI[[#This Row],[Winter Items Other]]+Table_NFI[[#This Row],[Winter Blanket]]&gt;0,1,0)</f>
        <v>0</v>
      </c>
      <c r="AL626" s="439">
        <f>IF(NFI_Expiration=1,IF($A626&lt;VLOOKUP(V$5,NFI,5,0),1,0)*Table_NFI[[#This Row],[Jerry Can]],Table_NFI[Jerry Can])</f>
        <v>0</v>
      </c>
      <c r="AM626" s="781" t="str">
        <f>IFERROR(VLOOKUP(Table_NFI[[#This Row],[Camp Name]],CL,2,0),"")</f>
        <v>MMR001CMP169</v>
      </c>
      <c r="AN626" s="782">
        <f ca="1">IF(Table_NFI[[#This Row],[Pcode]]="","",IF(OFFSET(CampList[Opening Date],MATCH(Table_NFI[[#This Row],[Pcode]],CampList[CP_Pcode],0)-1,0,1,1)&gt;=NFI_Monitor_Date,1,0))</f>
        <v>0</v>
      </c>
      <c r="AO626" s="781" t="str">
        <f>IFERROR(VLOOKUP(Table_NFI[[#This Row],[Camp Name]],CL,3,0),"")</f>
        <v>Open</v>
      </c>
      <c r="AP626" s="436" t="str">
        <f ca="1">IF(Table_NFI[[#This Row],[Pcode]]="","",OFFSET(CampList[Priority],MATCH(Table_NFI[[#This Row],[Pcode]],CampList[CP_Pcode],0)-1,0,1,1))</f>
        <v>P4</v>
      </c>
      <c r="AQ626" s="438">
        <f>IFERROR(Table_NFI[[#This Row],[Kitchen Set]]/VLOOKUP(Table_NFI[[#This Row],[Camp Name]],CL,4,0),"")</f>
        <v>3.0285714285714285</v>
      </c>
      <c r="AR626" s="779" t="s">
        <v>1099</v>
      </c>
      <c r="AS626" s="783"/>
    </row>
    <row r="627" spans="1:45" x14ac:dyDescent="0.25">
      <c r="A627" s="455">
        <f t="shared" si="9"/>
        <v>33.333333333333336</v>
      </c>
      <c r="B627" s="778">
        <v>41309</v>
      </c>
      <c r="C627" s="779" t="s">
        <v>907</v>
      </c>
      <c r="D627" s="779" t="s">
        <v>907</v>
      </c>
      <c r="E627" s="779" t="s">
        <v>380</v>
      </c>
      <c r="F627" s="779" t="s">
        <v>529</v>
      </c>
      <c r="G627" s="435" t="s">
        <v>76</v>
      </c>
      <c r="H627" s="436"/>
      <c r="I627" s="436"/>
      <c r="J627" s="436"/>
      <c r="K627" s="436"/>
      <c r="L627" s="437"/>
      <c r="M627" s="437"/>
      <c r="N627" s="437">
        <v>58</v>
      </c>
      <c r="O627" s="437"/>
      <c r="P627" s="437">
        <v>0</v>
      </c>
      <c r="Q627" s="437">
        <v>0</v>
      </c>
      <c r="R627" s="436"/>
      <c r="S627" s="436"/>
      <c r="T627" s="436"/>
      <c r="U627" s="436"/>
      <c r="V627" s="436"/>
      <c r="W627" s="436">
        <f>IF(NFI_Expiration=1,IF($A627&lt;VLOOKUP(H$5,NFI,5,0),1,0)*Table_NFI[[#This Row],[Hygiene Kit]],Table_NFI[Hygiene Kit])</f>
        <v>0</v>
      </c>
      <c r="X627" s="436">
        <f>IF(NFI_Expiration=1,IF($A627&lt;VLOOKUP(I$5,NFI,5,0),1,0)*Table_NFI[[#This Row],[NFI Core Kit]],Table_NFI[NFI Core Kit])</f>
        <v>0</v>
      </c>
      <c r="Y627" s="436">
        <f>IF(NFI_Expiration=1,IF($A627&lt;VLOOKUP(J$5,NFI,5,0),1,0)*Table_NFI[[#This Row],[Sanitary Kit]],Table_NFI[Sanitary Kit])</f>
        <v>0</v>
      </c>
      <c r="Z627" s="436">
        <f>IF(NFI_Expiration=1,IF($A627&lt;VLOOKUP(K$5,NFI,5,0),1,0)*Table_NFI[[#This Row],[Mosquito net]],Table_NFI[Mosquito net])</f>
        <v>0</v>
      </c>
      <c r="AA627" s="436">
        <f>IF(NFI_Expiration=1,IF($A627&lt;VLOOKUP(L$5,NFI,5,0),1,0)*Table_NFI[[#This Row],[Tarpaulin]],Table_NFI[[#This Row],[Tarpaulin]])</f>
        <v>0</v>
      </c>
      <c r="AB627" s="436">
        <f>IF(NFI_Expiration=1,IF($A627&lt;VLOOKUP(M$5,NFI,5,0),1,0)*Table_NFI[[#This Row],[Blanket]],Table_NFI[[#This Row],[Blanket]])</f>
        <v>0</v>
      </c>
      <c r="AC627" s="436">
        <f>IF(NFI_Expiration=1,IF($A627&lt;VLOOKUP(N$5,NFI,5,0),1,0)*Table_NFI[[#This Row],[Kitchen Set]],Table_NFI[Kitchen Set])</f>
        <v>0</v>
      </c>
      <c r="AD627" s="436">
        <f>IF(NFI_Expiration=1,IF($A627&lt;VLOOKUP(O$5,NFI,5,0),1,0)*Table_NFI[[#This Row],[Clothes Kit]],Table_NFI[Clothes Kit])</f>
        <v>0</v>
      </c>
      <c r="AE627" s="436">
        <f>IF(NFI_Expiration=1,IF($A627&lt;VLOOKUP(P$5,NFI,5,0),1,0)*Table_NFI[[#This Row],[Plastic Bucket]],Table_NFI[Plastic Bucket])</f>
        <v>0</v>
      </c>
      <c r="AF627" s="436">
        <f>IF(NFI_Expiration=1,IF($A627&lt;VLOOKUP(Q$5,NFI,5,0),1,0)*Table_NFI[[#This Row],[Plastic Mat]],Table_NFI[Plastic Mat])*IF(Table_NFI[[#This Row],[Distribution Date]]&gt;"2014-04-01",1,2.5)</f>
        <v>0</v>
      </c>
      <c r="AG627" s="436">
        <f>IF(NFI_Expiration=1,IF($A627&lt;VLOOKUP(R$5,NFI,5,0),1,0)*Table_NFI[[#This Row],[Winter Clothes Adult]],Table_NFI[Winter Clothes Adult])</f>
        <v>0</v>
      </c>
      <c r="AH627" s="436">
        <f>IF(NFI_Expiration=1,IF($A627&lt;VLOOKUP(S$5,NFI,5,0),1,0)*Table_NFI[[#This Row],[Winter Clothes Children]],Table_NFI[Winter Clothes Children])</f>
        <v>0</v>
      </c>
      <c r="AI627" s="436">
        <f>IF(NFI_Expiration=1,IF($A627&lt;VLOOKUP(T$5,NFI,5,0),1,0)*Table_NFI[[#This Row],[Winter Items Other]],Table_NFI[Winter Items Other])</f>
        <v>0</v>
      </c>
      <c r="AJ627" s="436">
        <f>IF(NFI_Expiration=1,IF($A627&lt;VLOOKUP(M$5,NFI,5,0),1,0)*Table_NFI[[#This Row],[Winter Blanket]],Table_NFI[[#This Row],[Winter Blanket]])</f>
        <v>0</v>
      </c>
      <c r="AK627" s="436">
        <f>IF(Table_NFI[[#This Row],[Winter Clothes Adult]]+Table_NFI[[#This Row],[Winter Clothes Children]]+Table_NFI[[#This Row],[Winter Items Other]]+Table_NFI[[#This Row],[Winter Blanket]]&gt;0,1,0)</f>
        <v>0</v>
      </c>
      <c r="AL627" s="439">
        <f>IF(NFI_Expiration=1,IF($A627&lt;VLOOKUP(V$5,NFI,5,0),1,0)*Table_NFI[[#This Row],[Jerry Can]],Table_NFI[Jerry Can])</f>
        <v>0</v>
      </c>
      <c r="AM627" s="781" t="str">
        <f>IFERROR(VLOOKUP(Table_NFI[[#This Row],[Camp Name]],CL,2,0),"")</f>
        <v>MMR001CMP174</v>
      </c>
      <c r="AN627" s="782">
        <f ca="1">IF(Table_NFI[[#This Row],[Pcode]]="","",IF(OFFSET(CampList[Opening Date],MATCH(Table_NFI[[#This Row],[Pcode]],CampList[CP_Pcode],0)-1,0,1,1)&gt;=NFI_Monitor_Date,1,0))</f>
        <v>0</v>
      </c>
      <c r="AO627" s="781" t="str">
        <f>IFERROR(VLOOKUP(Table_NFI[[#This Row],[Camp Name]],CL,3,0),"")</f>
        <v>Open</v>
      </c>
      <c r="AP627" s="436" t="str">
        <f ca="1">IF(Table_NFI[[#This Row],[Pcode]]="","",OFFSET(CampList[Priority],MATCH(Table_NFI[[#This Row],[Pcode]],CampList[CP_Pcode],0)-1,0,1,1))</f>
        <v>P4</v>
      </c>
      <c r="AQ627" s="438">
        <f>IFERROR(Table_NFI[[#This Row],[Kitchen Set]]/VLOOKUP(Table_NFI[[#This Row],[Camp Name]],CL,4,0),"")</f>
        <v>0.89230769230769236</v>
      </c>
      <c r="AR627" s="779" t="s">
        <v>1099</v>
      </c>
      <c r="AS627" s="783"/>
    </row>
    <row r="628" spans="1:45" x14ac:dyDescent="0.25">
      <c r="A628" s="455">
        <f t="shared" si="9"/>
        <v>33.333333333333336</v>
      </c>
      <c r="B628" s="778">
        <v>41309</v>
      </c>
      <c r="C628" s="779" t="s">
        <v>454</v>
      </c>
      <c r="D628" s="780" t="s">
        <v>454</v>
      </c>
      <c r="E628" s="779" t="s">
        <v>380</v>
      </c>
      <c r="F628" s="435" t="s">
        <v>237</v>
      </c>
      <c r="G628" s="435" t="s">
        <v>273</v>
      </c>
      <c r="H628" s="436"/>
      <c r="I628" s="436"/>
      <c r="J628" s="436">
        <v>5</v>
      </c>
      <c r="K628" s="436">
        <v>8</v>
      </c>
      <c r="L628" s="437">
        <v>5</v>
      </c>
      <c r="M628" s="437">
        <v>8</v>
      </c>
      <c r="N628" s="437">
        <v>5</v>
      </c>
      <c r="O628" s="437">
        <v>5</v>
      </c>
      <c r="P628" s="437">
        <v>5</v>
      </c>
      <c r="Q628" s="437">
        <v>5</v>
      </c>
      <c r="R628" s="436"/>
      <c r="S628" s="436"/>
      <c r="T628" s="436"/>
      <c r="U628" s="436"/>
      <c r="V628" s="436"/>
      <c r="W628" s="436">
        <f>IF(NFI_Expiration=1,IF($A628&lt;VLOOKUP(H$5,NFI,5,0),1,0)*Table_NFI[[#This Row],[Hygiene Kit]],Table_NFI[Hygiene Kit])</f>
        <v>0</v>
      </c>
      <c r="X628" s="436">
        <f>IF(NFI_Expiration=1,IF($A628&lt;VLOOKUP(I$5,NFI,5,0),1,0)*Table_NFI[[#This Row],[NFI Core Kit]],Table_NFI[NFI Core Kit])</f>
        <v>0</v>
      </c>
      <c r="Y628" s="436">
        <f>IF(NFI_Expiration=1,IF($A628&lt;VLOOKUP(J$5,NFI,5,0),1,0)*Table_NFI[[#This Row],[Sanitary Kit]],Table_NFI[Sanitary Kit])</f>
        <v>0</v>
      </c>
      <c r="Z628" s="436">
        <f>IF(NFI_Expiration=1,IF($A628&lt;VLOOKUP(K$5,NFI,5,0),1,0)*Table_NFI[[#This Row],[Mosquito net]],Table_NFI[Mosquito net])</f>
        <v>0</v>
      </c>
      <c r="AA628" s="436">
        <f>IF(NFI_Expiration=1,IF($A628&lt;VLOOKUP(L$5,NFI,5,0),1,0)*Table_NFI[[#This Row],[Tarpaulin]],Table_NFI[[#This Row],[Tarpaulin]])</f>
        <v>0</v>
      </c>
      <c r="AB628" s="436">
        <f>IF(NFI_Expiration=1,IF($A628&lt;VLOOKUP(M$5,NFI,5,0),1,0)*Table_NFI[[#This Row],[Blanket]],Table_NFI[[#This Row],[Blanket]])</f>
        <v>0</v>
      </c>
      <c r="AC628" s="436">
        <f>IF(NFI_Expiration=1,IF($A628&lt;VLOOKUP(N$5,NFI,5,0),1,0)*Table_NFI[[#This Row],[Kitchen Set]],Table_NFI[Kitchen Set])</f>
        <v>0</v>
      </c>
      <c r="AD628" s="436">
        <f>IF(NFI_Expiration=1,IF($A628&lt;VLOOKUP(O$5,NFI,5,0),1,0)*Table_NFI[[#This Row],[Clothes Kit]],Table_NFI[Clothes Kit])</f>
        <v>0</v>
      </c>
      <c r="AE628" s="436">
        <f>IF(NFI_Expiration=1,IF($A628&lt;VLOOKUP(P$5,NFI,5,0),1,0)*Table_NFI[[#This Row],[Plastic Bucket]],Table_NFI[Plastic Bucket])</f>
        <v>0</v>
      </c>
      <c r="AF628" s="436">
        <f>IF(NFI_Expiration=1,IF($A628&lt;VLOOKUP(Q$5,NFI,5,0),1,0)*Table_NFI[[#This Row],[Plastic Mat]],Table_NFI[Plastic Mat])*IF(Table_NFI[[#This Row],[Distribution Date]]&gt;"2014-04-01",1,2.5)</f>
        <v>0</v>
      </c>
      <c r="AG628" s="436">
        <f>IF(NFI_Expiration=1,IF($A628&lt;VLOOKUP(R$5,NFI,5,0),1,0)*Table_NFI[[#This Row],[Winter Clothes Adult]],Table_NFI[Winter Clothes Adult])</f>
        <v>0</v>
      </c>
      <c r="AH628" s="436">
        <f>IF(NFI_Expiration=1,IF($A628&lt;VLOOKUP(S$5,NFI,5,0),1,0)*Table_NFI[[#This Row],[Winter Clothes Children]],Table_NFI[Winter Clothes Children])</f>
        <v>0</v>
      </c>
      <c r="AI628" s="436">
        <f>IF(NFI_Expiration=1,IF($A628&lt;VLOOKUP(T$5,NFI,5,0),1,0)*Table_NFI[[#This Row],[Winter Items Other]],Table_NFI[Winter Items Other])</f>
        <v>0</v>
      </c>
      <c r="AJ628" s="436">
        <f>IF(NFI_Expiration=1,IF($A628&lt;VLOOKUP(M$5,NFI,5,0),1,0)*Table_NFI[[#This Row],[Winter Blanket]],Table_NFI[[#This Row],[Winter Blanket]])</f>
        <v>0</v>
      </c>
      <c r="AK628" s="436">
        <f>IF(Table_NFI[[#This Row],[Winter Clothes Adult]]+Table_NFI[[#This Row],[Winter Clothes Children]]+Table_NFI[[#This Row],[Winter Items Other]]+Table_NFI[[#This Row],[Winter Blanket]]&gt;0,1,0)</f>
        <v>0</v>
      </c>
      <c r="AL628" s="439">
        <f>IF(NFI_Expiration=1,IF($A628&lt;VLOOKUP(V$5,NFI,5,0),1,0)*Table_NFI[[#This Row],[Jerry Can]],Table_NFI[Jerry Can])</f>
        <v>0</v>
      </c>
      <c r="AM628" s="781" t="str">
        <f>IFERROR(VLOOKUP(Table_NFI[[#This Row],[Camp Name]],CL,2,0),"")</f>
        <v>MMR001CMP162</v>
      </c>
      <c r="AN628" s="782">
        <f ca="1">IF(Table_NFI[[#This Row],[Pcode]]="","",IF(OFFSET(CampList[Opening Date],MATCH(Table_NFI[[#This Row],[Pcode]],CampList[CP_Pcode],0)-1,0,1,1)&gt;=NFI_Monitor_Date,1,0))</f>
        <v>0</v>
      </c>
      <c r="AO628" s="781" t="str">
        <f>IFERROR(VLOOKUP(Table_NFI[[#This Row],[Camp Name]],CL,3,0),"")</f>
        <v>Open</v>
      </c>
      <c r="AP628" s="436" t="str">
        <f ca="1">IF(Table_NFI[[#This Row],[Pcode]]="","",OFFSET(CampList[Priority],MATCH(Table_NFI[[#This Row],[Pcode]],CampList[CP_Pcode],0)-1,0,1,1))</f>
        <v>P4</v>
      </c>
      <c r="AQ628" s="438">
        <f>IFERROR(Table_NFI[[#This Row],[Kitchen Set]]/VLOOKUP(Table_NFI[[#This Row],[Camp Name]],CL,4,0),"")</f>
        <v>8.771929824561403E-2</v>
      </c>
      <c r="AR628" s="779" t="s">
        <v>1099</v>
      </c>
      <c r="AS628" s="783"/>
    </row>
    <row r="629" spans="1:45" x14ac:dyDescent="0.25">
      <c r="A629" s="455">
        <f t="shared" si="9"/>
        <v>33.466666666666669</v>
      </c>
      <c r="B629" s="778">
        <v>41305</v>
      </c>
      <c r="C629" s="779" t="s">
        <v>571</v>
      </c>
      <c r="D629" s="442" t="s">
        <v>571</v>
      </c>
      <c r="E629" s="785" t="s">
        <v>380</v>
      </c>
      <c r="F629" s="785" t="s">
        <v>529</v>
      </c>
      <c r="G629" s="435" t="s">
        <v>58</v>
      </c>
      <c r="H629" s="442"/>
      <c r="I629" s="442"/>
      <c r="J629" s="442"/>
      <c r="K629" s="785"/>
      <c r="L629" s="786"/>
      <c r="M629" s="443">
        <v>26</v>
      </c>
      <c r="N629" s="443"/>
      <c r="O629" s="443"/>
      <c r="P629" s="786">
        <v>0</v>
      </c>
      <c r="Q629" s="443">
        <v>0</v>
      </c>
      <c r="R629" s="442"/>
      <c r="S629" s="442"/>
      <c r="T629" s="442"/>
      <c r="U629" s="442"/>
      <c r="V629" s="442"/>
      <c r="W629" s="436">
        <f>IF(NFI_Expiration=1,IF($A629&lt;VLOOKUP(H$5,NFI,5,0),1,0)*Table_NFI[[#This Row],[Hygiene Kit]],Table_NFI[Hygiene Kit])</f>
        <v>0</v>
      </c>
      <c r="X629" s="436">
        <f>IF(NFI_Expiration=1,IF($A629&lt;VLOOKUP(I$5,NFI,5,0),1,0)*Table_NFI[[#This Row],[NFI Core Kit]],Table_NFI[NFI Core Kit])</f>
        <v>0</v>
      </c>
      <c r="Y629" s="436">
        <f>IF(NFI_Expiration=1,IF($A629&lt;VLOOKUP(J$5,NFI,5,0),1,0)*Table_NFI[[#This Row],[Sanitary Kit]],Table_NFI[Sanitary Kit])</f>
        <v>0</v>
      </c>
      <c r="Z629" s="436">
        <f>IF(NFI_Expiration=1,IF($A629&lt;VLOOKUP(K$5,NFI,5,0),1,0)*Table_NFI[[#This Row],[Mosquito net]],Table_NFI[Mosquito net])</f>
        <v>0</v>
      </c>
      <c r="AA629" s="436">
        <f>IF(NFI_Expiration=1,IF($A629&lt;VLOOKUP(L$5,NFI,5,0),1,0)*Table_NFI[[#This Row],[Tarpaulin]],Table_NFI[[#This Row],[Tarpaulin]])</f>
        <v>0</v>
      </c>
      <c r="AB629" s="436">
        <f>IF(NFI_Expiration=1,IF($A629&lt;VLOOKUP(M$5,NFI,5,0),1,0)*Table_NFI[[#This Row],[Blanket]],Table_NFI[[#This Row],[Blanket]])</f>
        <v>0</v>
      </c>
      <c r="AC629" s="436">
        <f>IF(NFI_Expiration=1,IF($A629&lt;VLOOKUP(N$5,NFI,5,0),1,0)*Table_NFI[[#This Row],[Kitchen Set]],Table_NFI[Kitchen Set])</f>
        <v>0</v>
      </c>
      <c r="AD629" s="436">
        <f>IF(NFI_Expiration=1,IF($A629&lt;VLOOKUP(O$5,NFI,5,0),1,0)*Table_NFI[[#This Row],[Clothes Kit]],Table_NFI[Clothes Kit])</f>
        <v>0</v>
      </c>
      <c r="AE629" s="436">
        <f>IF(NFI_Expiration=1,IF($A629&lt;VLOOKUP(P$5,NFI,5,0),1,0)*Table_NFI[[#This Row],[Plastic Bucket]],Table_NFI[Plastic Bucket])</f>
        <v>0</v>
      </c>
      <c r="AF629" s="436">
        <f>IF(NFI_Expiration=1,IF($A629&lt;VLOOKUP(Q$5,NFI,5,0),1,0)*Table_NFI[[#This Row],[Plastic Mat]],Table_NFI[Plastic Mat])*IF(Table_NFI[[#This Row],[Distribution Date]]&gt;"2014-04-01",1,2.5)</f>
        <v>0</v>
      </c>
      <c r="AG629" s="436">
        <f>IF(NFI_Expiration=1,IF($A629&lt;VLOOKUP(R$5,NFI,5,0),1,0)*Table_NFI[[#This Row],[Winter Clothes Adult]],Table_NFI[Winter Clothes Adult])</f>
        <v>0</v>
      </c>
      <c r="AH629" s="436">
        <f>IF(NFI_Expiration=1,IF($A629&lt;VLOOKUP(S$5,NFI,5,0),1,0)*Table_NFI[[#This Row],[Winter Clothes Children]],Table_NFI[Winter Clothes Children])</f>
        <v>0</v>
      </c>
      <c r="AI629" s="436">
        <f>IF(NFI_Expiration=1,IF($A629&lt;VLOOKUP(T$5,NFI,5,0),1,0)*Table_NFI[[#This Row],[Winter Items Other]],Table_NFI[Winter Items Other])</f>
        <v>0</v>
      </c>
      <c r="AJ629" s="436">
        <f>IF(NFI_Expiration=1,IF($A629&lt;VLOOKUP(M$5,NFI,5,0),1,0)*Table_NFI[[#This Row],[Winter Blanket]],Table_NFI[[#This Row],[Winter Blanket]])</f>
        <v>0</v>
      </c>
      <c r="AK629" s="436">
        <f>IF(Table_NFI[[#This Row],[Winter Clothes Adult]]+Table_NFI[[#This Row],[Winter Clothes Children]]+Table_NFI[[#This Row],[Winter Items Other]]+Table_NFI[[#This Row],[Winter Blanket]]&gt;0,1,0)</f>
        <v>0</v>
      </c>
      <c r="AL629" s="439">
        <f>IF(NFI_Expiration=1,IF($A629&lt;VLOOKUP(V$5,NFI,5,0),1,0)*Table_NFI[[#This Row],[Jerry Can]],Table_NFI[Jerry Can])</f>
        <v>0</v>
      </c>
      <c r="AM629" s="781" t="str">
        <f>IFERROR(VLOOKUP(Table_NFI[[#This Row],[Camp Name]],CL,2,0),"")</f>
        <v>MMR001CMP188</v>
      </c>
      <c r="AN629" s="782">
        <f ca="1">IF(Table_NFI[[#This Row],[Pcode]]="","",IF(OFFSET(CampList[Opening Date],MATCH(Table_NFI[[#This Row],[Pcode]],CampList[CP_Pcode],0)-1,0,1,1)&gt;=NFI_Monitor_Date,1,0))</f>
        <v>0</v>
      </c>
      <c r="AO629" s="781" t="str">
        <f>IFERROR(VLOOKUP(Table_NFI[[#This Row],[Camp Name]],CL,3,0),"")</f>
        <v>Closed</v>
      </c>
      <c r="AP629" s="436" t="str">
        <f ca="1">IF(Table_NFI[[#This Row],[Pcode]]="","",OFFSET(CampList[Priority],MATCH(Table_NFI[[#This Row],[Pcode]],CampList[CP_Pcode],0)-1,0,1,1))</f>
        <v>P4</v>
      </c>
      <c r="AQ629" s="438" t="str">
        <f>IFERROR(Table_NFI[[#This Row],[Kitchen Set]]/VLOOKUP(Table_NFI[[#This Row],[Camp Name]],CL,4,0),"")</f>
        <v/>
      </c>
      <c r="AR629" s="779" t="s">
        <v>1099</v>
      </c>
      <c r="AS629" s="783"/>
    </row>
    <row r="630" spans="1:45" x14ac:dyDescent="0.25">
      <c r="A630" s="455">
        <f t="shared" si="9"/>
        <v>33.466666666666669</v>
      </c>
      <c r="B630" s="778">
        <v>41305</v>
      </c>
      <c r="C630" s="779" t="s">
        <v>571</v>
      </c>
      <c r="D630" s="442" t="s">
        <v>571</v>
      </c>
      <c r="E630" s="785" t="s">
        <v>380</v>
      </c>
      <c r="F630" s="779" t="s">
        <v>310</v>
      </c>
      <c r="G630" s="435" t="s">
        <v>313</v>
      </c>
      <c r="H630" s="442"/>
      <c r="I630" s="442"/>
      <c r="J630" s="442"/>
      <c r="K630" s="785"/>
      <c r="L630" s="786"/>
      <c r="M630" s="443">
        <v>256</v>
      </c>
      <c r="N630" s="443"/>
      <c r="O630" s="443"/>
      <c r="P630" s="786">
        <v>0</v>
      </c>
      <c r="Q630" s="443">
        <v>0</v>
      </c>
      <c r="R630" s="442"/>
      <c r="S630" s="442"/>
      <c r="T630" s="442"/>
      <c r="U630" s="442"/>
      <c r="V630" s="442"/>
      <c r="W630" s="436">
        <f>IF(NFI_Expiration=1,IF($A630&lt;VLOOKUP(H$5,NFI,5,0),1,0)*Table_NFI[[#This Row],[Hygiene Kit]],Table_NFI[Hygiene Kit])</f>
        <v>0</v>
      </c>
      <c r="X630" s="436">
        <f>IF(NFI_Expiration=1,IF($A630&lt;VLOOKUP(I$5,NFI,5,0),1,0)*Table_NFI[[#This Row],[NFI Core Kit]],Table_NFI[NFI Core Kit])</f>
        <v>0</v>
      </c>
      <c r="Y630" s="436">
        <f>IF(NFI_Expiration=1,IF($A630&lt;VLOOKUP(J$5,NFI,5,0),1,0)*Table_NFI[[#This Row],[Sanitary Kit]],Table_NFI[Sanitary Kit])</f>
        <v>0</v>
      </c>
      <c r="Z630" s="436">
        <f>IF(NFI_Expiration=1,IF($A630&lt;VLOOKUP(K$5,NFI,5,0),1,0)*Table_NFI[[#This Row],[Mosquito net]],Table_NFI[Mosquito net])</f>
        <v>0</v>
      </c>
      <c r="AA630" s="436">
        <f>IF(NFI_Expiration=1,IF($A630&lt;VLOOKUP(L$5,NFI,5,0),1,0)*Table_NFI[[#This Row],[Tarpaulin]],Table_NFI[[#This Row],[Tarpaulin]])</f>
        <v>0</v>
      </c>
      <c r="AB630" s="436">
        <f>IF(NFI_Expiration=1,IF($A630&lt;VLOOKUP(M$5,NFI,5,0),1,0)*Table_NFI[[#This Row],[Blanket]],Table_NFI[[#This Row],[Blanket]])</f>
        <v>0</v>
      </c>
      <c r="AC630" s="436">
        <f>IF(NFI_Expiration=1,IF($A630&lt;VLOOKUP(N$5,NFI,5,0),1,0)*Table_NFI[[#This Row],[Kitchen Set]],Table_NFI[Kitchen Set])</f>
        <v>0</v>
      </c>
      <c r="AD630" s="436">
        <f>IF(NFI_Expiration=1,IF($A630&lt;VLOOKUP(O$5,NFI,5,0),1,0)*Table_NFI[[#This Row],[Clothes Kit]],Table_NFI[Clothes Kit])</f>
        <v>0</v>
      </c>
      <c r="AE630" s="436">
        <f>IF(NFI_Expiration=1,IF($A630&lt;VLOOKUP(P$5,NFI,5,0),1,0)*Table_NFI[[#This Row],[Plastic Bucket]],Table_NFI[Plastic Bucket])</f>
        <v>0</v>
      </c>
      <c r="AF630" s="436">
        <f>IF(NFI_Expiration=1,IF($A630&lt;VLOOKUP(Q$5,NFI,5,0),1,0)*Table_NFI[[#This Row],[Plastic Mat]],Table_NFI[Plastic Mat])*IF(Table_NFI[[#This Row],[Distribution Date]]&gt;"2014-04-01",1,2.5)</f>
        <v>0</v>
      </c>
      <c r="AG630" s="436">
        <f>IF(NFI_Expiration=1,IF($A630&lt;VLOOKUP(R$5,NFI,5,0),1,0)*Table_NFI[[#This Row],[Winter Clothes Adult]],Table_NFI[Winter Clothes Adult])</f>
        <v>0</v>
      </c>
      <c r="AH630" s="436">
        <f>IF(NFI_Expiration=1,IF($A630&lt;VLOOKUP(S$5,NFI,5,0),1,0)*Table_NFI[[#This Row],[Winter Clothes Children]],Table_NFI[Winter Clothes Children])</f>
        <v>0</v>
      </c>
      <c r="AI630" s="436">
        <f>IF(NFI_Expiration=1,IF($A630&lt;VLOOKUP(T$5,NFI,5,0),1,0)*Table_NFI[[#This Row],[Winter Items Other]],Table_NFI[Winter Items Other])</f>
        <v>0</v>
      </c>
      <c r="AJ630" s="436">
        <f>IF(NFI_Expiration=1,IF($A630&lt;VLOOKUP(M$5,NFI,5,0),1,0)*Table_NFI[[#This Row],[Winter Blanket]],Table_NFI[[#This Row],[Winter Blanket]])</f>
        <v>0</v>
      </c>
      <c r="AK630" s="436">
        <f>IF(Table_NFI[[#This Row],[Winter Clothes Adult]]+Table_NFI[[#This Row],[Winter Clothes Children]]+Table_NFI[[#This Row],[Winter Items Other]]+Table_NFI[[#This Row],[Winter Blanket]]&gt;0,1,0)</f>
        <v>0</v>
      </c>
      <c r="AL630" s="439">
        <f>IF(NFI_Expiration=1,IF($A630&lt;VLOOKUP(V$5,NFI,5,0),1,0)*Table_NFI[[#This Row],[Jerry Can]],Table_NFI[Jerry Can])</f>
        <v>0</v>
      </c>
      <c r="AM630" s="781" t="str">
        <f>IFERROR(VLOOKUP(Table_NFI[[#This Row],[Camp Name]],CL,2,0),"")</f>
        <v>MMR001CMP028</v>
      </c>
      <c r="AN630" s="782">
        <f ca="1">IF(Table_NFI[[#This Row],[Pcode]]="","",IF(OFFSET(CampList[Opening Date],MATCH(Table_NFI[[#This Row],[Pcode]],CampList[CP_Pcode],0)-1,0,1,1)&gt;=NFI_Monitor_Date,1,0))</f>
        <v>0</v>
      </c>
      <c r="AO630" s="781" t="str">
        <f>IFERROR(VLOOKUP(Table_NFI[[#This Row],[Camp Name]],CL,3,0),"")</f>
        <v>Open</v>
      </c>
      <c r="AP630" s="436" t="str">
        <f ca="1">IF(Table_NFI[[#This Row],[Pcode]]="","",OFFSET(CampList[Priority],MATCH(Table_NFI[[#This Row],[Pcode]],CampList[CP_Pcode],0)-1,0,1,1))</f>
        <v>P4</v>
      </c>
      <c r="AQ630" s="438">
        <f>IFERROR(Table_NFI[[#This Row],[Kitchen Set]]/VLOOKUP(Table_NFI[[#This Row],[Camp Name]],CL,4,0),"")</f>
        <v>0</v>
      </c>
      <c r="AR630" s="779" t="s">
        <v>1099</v>
      </c>
      <c r="AS630" s="783"/>
    </row>
    <row r="631" spans="1:45" x14ac:dyDescent="0.25">
      <c r="A631" s="455">
        <f t="shared" si="9"/>
        <v>33.466666666666669</v>
      </c>
      <c r="B631" s="778">
        <v>41305</v>
      </c>
      <c r="C631" s="779" t="s">
        <v>571</v>
      </c>
      <c r="D631" s="442" t="s">
        <v>571</v>
      </c>
      <c r="E631" s="785" t="s">
        <v>380</v>
      </c>
      <c r="F631" s="435" t="s">
        <v>310</v>
      </c>
      <c r="G631" s="435" t="s">
        <v>320</v>
      </c>
      <c r="H631" s="442"/>
      <c r="I631" s="442"/>
      <c r="J631" s="442"/>
      <c r="K631" s="785"/>
      <c r="L631" s="786"/>
      <c r="M631" s="443">
        <v>42</v>
      </c>
      <c r="N631" s="443"/>
      <c r="O631" s="443"/>
      <c r="P631" s="786">
        <v>0</v>
      </c>
      <c r="Q631" s="443">
        <v>0</v>
      </c>
      <c r="R631" s="442"/>
      <c r="S631" s="442"/>
      <c r="T631" s="442"/>
      <c r="U631" s="442"/>
      <c r="V631" s="442"/>
      <c r="W631" s="436">
        <f>IF(NFI_Expiration=1,IF($A631&lt;VLOOKUP(H$5,NFI,5,0),1,0)*Table_NFI[[#This Row],[Hygiene Kit]],Table_NFI[Hygiene Kit])</f>
        <v>0</v>
      </c>
      <c r="X631" s="436">
        <f>IF(NFI_Expiration=1,IF($A631&lt;VLOOKUP(I$5,NFI,5,0),1,0)*Table_NFI[[#This Row],[NFI Core Kit]],Table_NFI[NFI Core Kit])</f>
        <v>0</v>
      </c>
      <c r="Y631" s="436">
        <f>IF(NFI_Expiration=1,IF($A631&lt;VLOOKUP(J$5,NFI,5,0),1,0)*Table_NFI[[#This Row],[Sanitary Kit]],Table_NFI[Sanitary Kit])</f>
        <v>0</v>
      </c>
      <c r="Z631" s="436">
        <f>IF(NFI_Expiration=1,IF($A631&lt;VLOOKUP(K$5,NFI,5,0),1,0)*Table_NFI[[#This Row],[Mosquito net]],Table_NFI[Mosquito net])</f>
        <v>0</v>
      </c>
      <c r="AA631" s="436">
        <f>IF(NFI_Expiration=1,IF($A631&lt;VLOOKUP(L$5,NFI,5,0),1,0)*Table_NFI[[#This Row],[Tarpaulin]],Table_NFI[[#This Row],[Tarpaulin]])</f>
        <v>0</v>
      </c>
      <c r="AB631" s="436">
        <f>IF(NFI_Expiration=1,IF($A631&lt;VLOOKUP(M$5,NFI,5,0),1,0)*Table_NFI[[#This Row],[Blanket]],Table_NFI[[#This Row],[Blanket]])</f>
        <v>0</v>
      </c>
      <c r="AC631" s="436">
        <f>IF(NFI_Expiration=1,IF($A631&lt;VLOOKUP(N$5,NFI,5,0),1,0)*Table_NFI[[#This Row],[Kitchen Set]],Table_NFI[Kitchen Set])</f>
        <v>0</v>
      </c>
      <c r="AD631" s="436">
        <f>IF(NFI_Expiration=1,IF($A631&lt;VLOOKUP(O$5,NFI,5,0),1,0)*Table_NFI[[#This Row],[Clothes Kit]],Table_NFI[Clothes Kit])</f>
        <v>0</v>
      </c>
      <c r="AE631" s="436">
        <f>IF(NFI_Expiration=1,IF($A631&lt;VLOOKUP(P$5,NFI,5,0),1,0)*Table_NFI[[#This Row],[Plastic Bucket]],Table_NFI[Plastic Bucket])</f>
        <v>0</v>
      </c>
      <c r="AF631" s="436">
        <f>IF(NFI_Expiration=1,IF($A631&lt;VLOOKUP(Q$5,NFI,5,0),1,0)*Table_NFI[[#This Row],[Plastic Mat]],Table_NFI[Plastic Mat])*IF(Table_NFI[[#This Row],[Distribution Date]]&gt;"2014-04-01",1,2.5)</f>
        <v>0</v>
      </c>
      <c r="AG631" s="436">
        <f>IF(NFI_Expiration=1,IF($A631&lt;VLOOKUP(R$5,NFI,5,0),1,0)*Table_NFI[[#This Row],[Winter Clothes Adult]],Table_NFI[Winter Clothes Adult])</f>
        <v>0</v>
      </c>
      <c r="AH631" s="436">
        <f>IF(NFI_Expiration=1,IF($A631&lt;VLOOKUP(S$5,NFI,5,0),1,0)*Table_NFI[[#This Row],[Winter Clothes Children]],Table_NFI[Winter Clothes Children])</f>
        <v>0</v>
      </c>
      <c r="AI631" s="436">
        <f>IF(NFI_Expiration=1,IF($A631&lt;VLOOKUP(T$5,NFI,5,0),1,0)*Table_NFI[[#This Row],[Winter Items Other]],Table_NFI[Winter Items Other])</f>
        <v>0</v>
      </c>
      <c r="AJ631" s="436">
        <f>IF(NFI_Expiration=1,IF($A631&lt;VLOOKUP(M$5,NFI,5,0),1,0)*Table_NFI[[#This Row],[Winter Blanket]],Table_NFI[[#This Row],[Winter Blanket]])</f>
        <v>0</v>
      </c>
      <c r="AK631" s="436">
        <f>IF(Table_NFI[[#This Row],[Winter Clothes Adult]]+Table_NFI[[#This Row],[Winter Clothes Children]]+Table_NFI[[#This Row],[Winter Items Other]]+Table_NFI[[#This Row],[Winter Blanket]]&gt;0,1,0)</f>
        <v>0</v>
      </c>
      <c r="AL631" s="439">
        <f>IF(NFI_Expiration=1,IF($A631&lt;VLOOKUP(V$5,NFI,5,0),1,0)*Table_NFI[[#This Row],[Jerry Can]],Table_NFI[Jerry Can])</f>
        <v>0</v>
      </c>
      <c r="AM631" s="781" t="str">
        <f>IFERROR(VLOOKUP(Table_NFI[[#This Row],[Camp Name]],CL,2,0),"")</f>
        <v>MMR001CMP027</v>
      </c>
      <c r="AN631" s="782">
        <f ca="1">IF(Table_NFI[[#This Row],[Pcode]]="","",IF(OFFSET(CampList[Opening Date],MATCH(Table_NFI[[#This Row],[Pcode]],CampList[CP_Pcode],0)-1,0,1,1)&gt;=NFI_Monitor_Date,1,0))</f>
        <v>0</v>
      </c>
      <c r="AO631" s="781" t="str">
        <f>IFERROR(VLOOKUP(Table_NFI[[#This Row],[Camp Name]],CL,3,0),"")</f>
        <v>Open</v>
      </c>
      <c r="AP631" s="436" t="str">
        <f ca="1">IF(Table_NFI[[#This Row],[Pcode]]="","",OFFSET(CampList[Priority],MATCH(Table_NFI[[#This Row],[Pcode]],CampList[CP_Pcode],0)-1,0,1,1))</f>
        <v>P4</v>
      </c>
      <c r="AQ631" s="438">
        <f>IFERROR(Table_NFI[[#This Row],[Kitchen Set]]/VLOOKUP(Table_NFI[[#This Row],[Camp Name]],CL,4,0),"")</f>
        <v>0</v>
      </c>
      <c r="AR631" s="779" t="s">
        <v>1099</v>
      </c>
      <c r="AS631" s="783"/>
    </row>
    <row r="632" spans="1:45" x14ac:dyDescent="0.25">
      <c r="A632" s="455">
        <f t="shared" si="9"/>
        <v>33.466666666666669</v>
      </c>
      <c r="B632" s="778">
        <v>41305</v>
      </c>
      <c r="C632" s="779" t="s">
        <v>571</v>
      </c>
      <c r="D632" s="442" t="s">
        <v>571</v>
      </c>
      <c r="E632" s="785" t="s">
        <v>380</v>
      </c>
      <c r="F632" s="435" t="s">
        <v>310</v>
      </c>
      <c r="G632" s="435" t="s">
        <v>328</v>
      </c>
      <c r="H632" s="442"/>
      <c r="I632" s="442"/>
      <c r="J632" s="442"/>
      <c r="K632" s="785"/>
      <c r="L632" s="786"/>
      <c r="M632" s="443">
        <v>128</v>
      </c>
      <c r="N632" s="443"/>
      <c r="O632" s="443"/>
      <c r="P632" s="786">
        <v>0</v>
      </c>
      <c r="Q632" s="443">
        <v>0</v>
      </c>
      <c r="R632" s="442"/>
      <c r="S632" s="442"/>
      <c r="T632" s="442"/>
      <c r="U632" s="442"/>
      <c r="V632" s="442"/>
      <c r="W632" s="436">
        <f>IF(NFI_Expiration=1,IF($A632&lt;VLOOKUP(H$5,NFI,5,0),1,0)*Table_NFI[[#This Row],[Hygiene Kit]],Table_NFI[Hygiene Kit])</f>
        <v>0</v>
      </c>
      <c r="X632" s="436">
        <f>IF(NFI_Expiration=1,IF($A632&lt;VLOOKUP(I$5,NFI,5,0),1,0)*Table_NFI[[#This Row],[NFI Core Kit]],Table_NFI[NFI Core Kit])</f>
        <v>0</v>
      </c>
      <c r="Y632" s="436">
        <f>IF(NFI_Expiration=1,IF($A632&lt;VLOOKUP(J$5,NFI,5,0),1,0)*Table_NFI[[#This Row],[Sanitary Kit]],Table_NFI[Sanitary Kit])</f>
        <v>0</v>
      </c>
      <c r="Z632" s="436">
        <f>IF(NFI_Expiration=1,IF($A632&lt;VLOOKUP(K$5,NFI,5,0),1,0)*Table_NFI[[#This Row],[Mosquito net]],Table_NFI[Mosquito net])</f>
        <v>0</v>
      </c>
      <c r="AA632" s="436">
        <f>IF(NFI_Expiration=1,IF($A632&lt;VLOOKUP(L$5,NFI,5,0),1,0)*Table_NFI[[#This Row],[Tarpaulin]],Table_NFI[[#This Row],[Tarpaulin]])</f>
        <v>0</v>
      </c>
      <c r="AB632" s="436">
        <f>IF(NFI_Expiration=1,IF($A632&lt;VLOOKUP(M$5,NFI,5,0),1,0)*Table_NFI[[#This Row],[Blanket]],Table_NFI[[#This Row],[Blanket]])</f>
        <v>0</v>
      </c>
      <c r="AC632" s="436">
        <f>IF(NFI_Expiration=1,IF($A632&lt;VLOOKUP(N$5,NFI,5,0),1,0)*Table_NFI[[#This Row],[Kitchen Set]],Table_NFI[Kitchen Set])</f>
        <v>0</v>
      </c>
      <c r="AD632" s="436">
        <f>IF(NFI_Expiration=1,IF($A632&lt;VLOOKUP(O$5,NFI,5,0),1,0)*Table_NFI[[#This Row],[Clothes Kit]],Table_NFI[Clothes Kit])</f>
        <v>0</v>
      </c>
      <c r="AE632" s="436">
        <f>IF(NFI_Expiration=1,IF($A632&lt;VLOOKUP(P$5,NFI,5,0),1,0)*Table_NFI[[#This Row],[Plastic Bucket]],Table_NFI[Plastic Bucket])</f>
        <v>0</v>
      </c>
      <c r="AF632" s="436">
        <f>IF(NFI_Expiration=1,IF($A632&lt;VLOOKUP(Q$5,NFI,5,0),1,0)*Table_NFI[[#This Row],[Plastic Mat]],Table_NFI[Plastic Mat])*IF(Table_NFI[[#This Row],[Distribution Date]]&gt;"2014-04-01",1,2.5)</f>
        <v>0</v>
      </c>
      <c r="AG632" s="436">
        <f>IF(NFI_Expiration=1,IF($A632&lt;VLOOKUP(R$5,NFI,5,0),1,0)*Table_NFI[[#This Row],[Winter Clothes Adult]],Table_NFI[Winter Clothes Adult])</f>
        <v>0</v>
      </c>
      <c r="AH632" s="436">
        <f>IF(NFI_Expiration=1,IF($A632&lt;VLOOKUP(S$5,NFI,5,0),1,0)*Table_NFI[[#This Row],[Winter Clothes Children]],Table_NFI[Winter Clothes Children])</f>
        <v>0</v>
      </c>
      <c r="AI632" s="436">
        <f>IF(NFI_Expiration=1,IF($A632&lt;VLOOKUP(T$5,NFI,5,0),1,0)*Table_NFI[[#This Row],[Winter Items Other]],Table_NFI[Winter Items Other])</f>
        <v>0</v>
      </c>
      <c r="AJ632" s="436">
        <f>IF(NFI_Expiration=1,IF($A632&lt;VLOOKUP(M$5,NFI,5,0),1,0)*Table_NFI[[#This Row],[Winter Blanket]],Table_NFI[[#This Row],[Winter Blanket]])</f>
        <v>0</v>
      </c>
      <c r="AK632" s="436">
        <f>IF(Table_NFI[[#This Row],[Winter Clothes Adult]]+Table_NFI[[#This Row],[Winter Clothes Children]]+Table_NFI[[#This Row],[Winter Items Other]]+Table_NFI[[#This Row],[Winter Blanket]]&gt;0,1,0)</f>
        <v>0</v>
      </c>
      <c r="AL632" s="439">
        <f>IF(NFI_Expiration=1,IF($A632&lt;VLOOKUP(V$5,NFI,5,0),1,0)*Table_NFI[[#This Row],[Jerry Can]],Table_NFI[Jerry Can])</f>
        <v>0</v>
      </c>
      <c r="AM632" s="781" t="str">
        <f>IFERROR(VLOOKUP(Table_NFI[[#This Row],[Camp Name]],CL,2,0),"")</f>
        <v>MMR001CMP031</v>
      </c>
      <c r="AN632" s="782">
        <f ca="1">IF(Table_NFI[[#This Row],[Pcode]]="","",IF(OFFSET(CampList[Opening Date],MATCH(Table_NFI[[#This Row],[Pcode]],CampList[CP_Pcode],0)-1,0,1,1)&gt;=NFI_Monitor_Date,1,0))</f>
        <v>0</v>
      </c>
      <c r="AO632" s="781" t="str">
        <f>IFERROR(VLOOKUP(Table_NFI[[#This Row],[Camp Name]],CL,3,0),"")</f>
        <v>Open</v>
      </c>
      <c r="AP632" s="436" t="str">
        <f ca="1">IF(Table_NFI[[#This Row],[Pcode]]="","",OFFSET(CampList[Priority],MATCH(Table_NFI[[#This Row],[Pcode]],CampList[CP_Pcode],0)-1,0,1,1))</f>
        <v>P4</v>
      </c>
      <c r="AQ632" s="438">
        <f>IFERROR(Table_NFI[[#This Row],[Kitchen Set]]/VLOOKUP(Table_NFI[[#This Row],[Camp Name]],CL,4,0),"")</f>
        <v>0</v>
      </c>
      <c r="AR632" s="779" t="s">
        <v>1099</v>
      </c>
      <c r="AS632" s="783"/>
    </row>
    <row r="633" spans="1:45" x14ac:dyDescent="0.25">
      <c r="A633" s="455">
        <f t="shared" si="9"/>
        <v>33.466666666666669</v>
      </c>
      <c r="B633" s="778">
        <v>41305</v>
      </c>
      <c r="C633" s="779" t="s">
        <v>571</v>
      </c>
      <c r="D633" s="442" t="s">
        <v>571</v>
      </c>
      <c r="E633" s="785" t="s">
        <v>380</v>
      </c>
      <c r="F633" s="435" t="s">
        <v>310</v>
      </c>
      <c r="G633" s="435" t="s">
        <v>330</v>
      </c>
      <c r="H633" s="442"/>
      <c r="I633" s="442"/>
      <c r="J633" s="442"/>
      <c r="K633" s="785"/>
      <c r="L633" s="786"/>
      <c r="M633" s="443">
        <v>442</v>
      </c>
      <c r="N633" s="443"/>
      <c r="O633" s="443"/>
      <c r="P633" s="786">
        <v>0</v>
      </c>
      <c r="Q633" s="443">
        <v>0</v>
      </c>
      <c r="R633" s="442"/>
      <c r="S633" s="442"/>
      <c r="T633" s="442"/>
      <c r="U633" s="442"/>
      <c r="V633" s="442"/>
      <c r="W633" s="436">
        <f>IF(NFI_Expiration=1,IF($A633&lt;VLOOKUP(H$5,NFI,5,0),1,0)*Table_NFI[[#This Row],[Hygiene Kit]],Table_NFI[Hygiene Kit])</f>
        <v>0</v>
      </c>
      <c r="X633" s="436">
        <f>IF(NFI_Expiration=1,IF($A633&lt;VLOOKUP(I$5,NFI,5,0),1,0)*Table_NFI[[#This Row],[NFI Core Kit]],Table_NFI[NFI Core Kit])</f>
        <v>0</v>
      </c>
      <c r="Y633" s="436">
        <f>IF(NFI_Expiration=1,IF($A633&lt;VLOOKUP(J$5,NFI,5,0),1,0)*Table_NFI[[#This Row],[Sanitary Kit]],Table_NFI[Sanitary Kit])</f>
        <v>0</v>
      </c>
      <c r="Z633" s="436">
        <f>IF(NFI_Expiration=1,IF($A633&lt;VLOOKUP(K$5,NFI,5,0),1,0)*Table_NFI[[#This Row],[Mosquito net]],Table_NFI[Mosquito net])</f>
        <v>0</v>
      </c>
      <c r="AA633" s="436">
        <f>IF(NFI_Expiration=1,IF($A633&lt;VLOOKUP(L$5,NFI,5,0),1,0)*Table_NFI[[#This Row],[Tarpaulin]],Table_NFI[[#This Row],[Tarpaulin]])</f>
        <v>0</v>
      </c>
      <c r="AB633" s="436">
        <f>IF(NFI_Expiration=1,IF($A633&lt;VLOOKUP(M$5,NFI,5,0),1,0)*Table_NFI[[#This Row],[Blanket]],Table_NFI[[#This Row],[Blanket]])</f>
        <v>0</v>
      </c>
      <c r="AC633" s="436">
        <f>IF(NFI_Expiration=1,IF($A633&lt;VLOOKUP(N$5,NFI,5,0),1,0)*Table_NFI[[#This Row],[Kitchen Set]],Table_NFI[Kitchen Set])</f>
        <v>0</v>
      </c>
      <c r="AD633" s="436">
        <f>IF(NFI_Expiration=1,IF($A633&lt;VLOOKUP(O$5,NFI,5,0),1,0)*Table_NFI[[#This Row],[Clothes Kit]],Table_NFI[Clothes Kit])</f>
        <v>0</v>
      </c>
      <c r="AE633" s="436">
        <f>IF(NFI_Expiration=1,IF($A633&lt;VLOOKUP(P$5,NFI,5,0),1,0)*Table_NFI[[#This Row],[Plastic Bucket]],Table_NFI[Plastic Bucket])</f>
        <v>0</v>
      </c>
      <c r="AF633" s="436">
        <f>IF(NFI_Expiration=1,IF($A633&lt;VLOOKUP(Q$5,NFI,5,0),1,0)*Table_NFI[[#This Row],[Plastic Mat]],Table_NFI[Plastic Mat])*IF(Table_NFI[[#This Row],[Distribution Date]]&gt;"2014-04-01",1,2.5)</f>
        <v>0</v>
      </c>
      <c r="AG633" s="436">
        <f>IF(NFI_Expiration=1,IF($A633&lt;VLOOKUP(R$5,NFI,5,0),1,0)*Table_NFI[[#This Row],[Winter Clothes Adult]],Table_NFI[Winter Clothes Adult])</f>
        <v>0</v>
      </c>
      <c r="AH633" s="436">
        <f>IF(NFI_Expiration=1,IF($A633&lt;VLOOKUP(S$5,NFI,5,0),1,0)*Table_NFI[[#This Row],[Winter Clothes Children]],Table_NFI[Winter Clothes Children])</f>
        <v>0</v>
      </c>
      <c r="AI633" s="436">
        <f>IF(NFI_Expiration=1,IF($A633&lt;VLOOKUP(T$5,NFI,5,0),1,0)*Table_NFI[[#This Row],[Winter Items Other]],Table_NFI[Winter Items Other])</f>
        <v>0</v>
      </c>
      <c r="AJ633" s="436">
        <f>IF(NFI_Expiration=1,IF($A633&lt;VLOOKUP(M$5,NFI,5,0),1,0)*Table_NFI[[#This Row],[Winter Blanket]],Table_NFI[[#This Row],[Winter Blanket]])</f>
        <v>0</v>
      </c>
      <c r="AK633" s="436">
        <f>IF(Table_NFI[[#This Row],[Winter Clothes Adult]]+Table_NFI[[#This Row],[Winter Clothes Children]]+Table_NFI[[#This Row],[Winter Items Other]]+Table_NFI[[#This Row],[Winter Blanket]]&gt;0,1,0)</f>
        <v>0</v>
      </c>
      <c r="AL633" s="439">
        <f>IF(NFI_Expiration=1,IF($A633&lt;VLOOKUP(V$5,NFI,5,0),1,0)*Table_NFI[[#This Row],[Jerry Can]],Table_NFI[Jerry Can])</f>
        <v>0</v>
      </c>
      <c r="AM633" s="781" t="str">
        <f>IFERROR(VLOOKUP(Table_NFI[[#This Row],[Camp Name]],CL,2,0),"")</f>
        <v>MMR001CMP029</v>
      </c>
      <c r="AN633" s="782">
        <f ca="1">IF(Table_NFI[[#This Row],[Pcode]]="","",IF(OFFSET(CampList[Opening Date],MATCH(Table_NFI[[#This Row],[Pcode]],CampList[CP_Pcode],0)-1,0,1,1)&gt;=NFI_Monitor_Date,1,0))</f>
        <v>0</v>
      </c>
      <c r="AO633" s="781" t="str">
        <f>IFERROR(VLOOKUP(Table_NFI[[#This Row],[Camp Name]],CL,3,0),"")</f>
        <v>Open</v>
      </c>
      <c r="AP633" s="436" t="str">
        <f ca="1">IF(Table_NFI[[#This Row],[Pcode]]="","",OFFSET(CampList[Priority],MATCH(Table_NFI[[#This Row],[Pcode]],CampList[CP_Pcode],0)-1,0,1,1))</f>
        <v>P4</v>
      </c>
      <c r="AQ633" s="438">
        <f>IFERROR(Table_NFI[[#This Row],[Kitchen Set]]/VLOOKUP(Table_NFI[[#This Row],[Camp Name]],CL,4,0),"")</f>
        <v>0</v>
      </c>
      <c r="AR633" s="779" t="s">
        <v>1099</v>
      </c>
      <c r="AS633" s="783"/>
    </row>
    <row r="634" spans="1:45" x14ac:dyDescent="0.25">
      <c r="A634" s="455">
        <f t="shared" si="9"/>
        <v>33.466666666666669</v>
      </c>
      <c r="B634" s="778">
        <v>41305</v>
      </c>
      <c r="C634" s="779" t="s">
        <v>571</v>
      </c>
      <c r="D634" s="442" t="s">
        <v>571</v>
      </c>
      <c r="E634" s="785" t="s">
        <v>380</v>
      </c>
      <c r="F634" s="435" t="s">
        <v>310</v>
      </c>
      <c r="G634" s="435" t="s">
        <v>324</v>
      </c>
      <c r="H634" s="442"/>
      <c r="I634" s="442"/>
      <c r="J634" s="442"/>
      <c r="K634" s="785"/>
      <c r="L634" s="786"/>
      <c r="M634" s="443">
        <v>324</v>
      </c>
      <c r="N634" s="443"/>
      <c r="O634" s="443"/>
      <c r="P634" s="786">
        <v>0</v>
      </c>
      <c r="Q634" s="443">
        <v>0</v>
      </c>
      <c r="R634" s="442"/>
      <c r="S634" s="442"/>
      <c r="T634" s="442"/>
      <c r="U634" s="442"/>
      <c r="V634" s="442"/>
      <c r="W634" s="436">
        <f>IF(NFI_Expiration=1,IF($A634&lt;VLOOKUP(H$5,NFI,5,0),1,0)*Table_NFI[[#This Row],[Hygiene Kit]],Table_NFI[Hygiene Kit])</f>
        <v>0</v>
      </c>
      <c r="X634" s="436">
        <f>IF(NFI_Expiration=1,IF($A634&lt;VLOOKUP(I$5,NFI,5,0),1,0)*Table_NFI[[#This Row],[NFI Core Kit]],Table_NFI[NFI Core Kit])</f>
        <v>0</v>
      </c>
      <c r="Y634" s="436">
        <f>IF(NFI_Expiration=1,IF($A634&lt;VLOOKUP(J$5,NFI,5,0),1,0)*Table_NFI[[#This Row],[Sanitary Kit]],Table_NFI[Sanitary Kit])</f>
        <v>0</v>
      </c>
      <c r="Z634" s="436">
        <f>IF(NFI_Expiration=1,IF($A634&lt;VLOOKUP(K$5,NFI,5,0),1,0)*Table_NFI[[#This Row],[Mosquito net]],Table_NFI[Mosquito net])</f>
        <v>0</v>
      </c>
      <c r="AA634" s="436">
        <f>IF(NFI_Expiration=1,IF($A634&lt;VLOOKUP(L$5,NFI,5,0),1,0)*Table_NFI[[#This Row],[Tarpaulin]],Table_NFI[[#This Row],[Tarpaulin]])</f>
        <v>0</v>
      </c>
      <c r="AB634" s="436">
        <f>IF(NFI_Expiration=1,IF($A634&lt;VLOOKUP(M$5,NFI,5,0),1,0)*Table_NFI[[#This Row],[Blanket]],Table_NFI[[#This Row],[Blanket]])</f>
        <v>0</v>
      </c>
      <c r="AC634" s="436">
        <f>IF(NFI_Expiration=1,IF($A634&lt;VLOOKUP(N$5,NFI,5,0),1,0)*Table_NFI[[#This Row],[Kitchen Set]],Table_NFI[Kitchen Set])</f>
        <v>0</v>
      </c>
      <c r="AD634" s="436">
        <f>IF(NFI_Expiration=1,IF($A634&lt;VLOOKUP(O$5,NFI,5,0),1,0)*Table_NFI[[#This Row],[Clothes Kit]],Table_NFI[Clothes Kit])</f>
        <v>0</v>
      </c>
      <c r="AE634" s="436">
        <f>IF(NFI_Expiration=1,IF($A634&lt;VLOOKUP(P$5,NFI,5,0),1,0)*Table_NFI[[#This Row],[Plastic Bucket]],Table_NFI[Plastic Bucket])</f>
        <v>0</v>
      </c>
      <c r="AF634" s="436">
        <f>IF(NFI_Expiration=1,IF($A634&lt;VLOOKUP(Q$5,NFI,5,0),1,0)*Table_NFI[[#This Row],[Plastic Mat]],Table_NFI[Plastic Mat])*IF(Table_NFI[[#This Row],[Distribution Date]]&gt;"2014-04-01",1,2.5)</f>
        <v>0</v>
      </c>
      <c r="AG634" s="436">
        <f>IF(NFI_Expiration=1,IF($A634&lt;VLOOKUP(R$5,NFI,5,0),1,0)*Table_NFI[[#This Row],[Winter Clothes Adult]],Table_NFI[Winter Clothes Adult])</f>
        <v>0</v>
      </c>
      <c r="AH634" s="436">
        <f>IF(NFI_Expiration=1,IF($A634&lt;VLOOKUP(S$5,NFI,5,0),1,0)*Table_NFI[[#This Row],[Winter Clothes Children]],Table_NFI[Winter Clothes Children])</f>
        <v>0</v>
      </c>
      <c r="AI634" s="436">
        <f>IF(NFI_Expiration=1,IF($A634&lt;VLOOKUP(T$5,NFI,5,0),1,0)*Table_NFI[[#This Row],[Winter Items Other]],Table_NFI[Winter Items Other])</f>
        <v>0</v>
      </c>
      <c r="AJ634" s="436">
        <f>IF(NFI_Expiration=1,IF($A634&lt;VLOOKUP(M$5,NFI,5,0),1,0)*Table_NFI[[#This Row],[Winter Blanket]],Table_NFI[[#This Row],[Winter Blanket]])</f>
        <v>0</v>
      </c>
      <c r="AK634" s="436">
        <f>IF(Table_NFI[[#This Row],[Winter Clothes Adult]]+Table_NFI[[#This Row],[Winter Clothes Children]]+Table_NFI[[#This Row],[Winter Items Other]]+Table_NFI[[#This Row],[Winter Blanket]]&gt;0,1,0)</f>
        <v>0</v>
      </c>
      <c r="AL634" s="439">
        <f>IF(NFI_Expiration=1,IF($A634&lt;VLOOKUP(V$5,NFI,5,0),1,0)*Table_NFI[[#This Row],[Jerry Can]],Table_NFI[Jerry Can])</f>
        <v>0</v>
      </c>
      <c r="AM634" s="781" t="str">
        <f>IFERROR(VLOOKUP(Table_NFI[[#This Row],[Camp Name]],CL,2,0),"")</f>
        <v>MMR001CMP040</v>
      </c>
      <c r="AN634" s="782">
        <f ca="1">IF(Table_NFI[[#This Row],[Pcode]]="","",IF(OFFSET(CampList[Opening Date],MATCH(Table_NFI[[#This Row],[Pcode]],CampList[CP_Pcode],0)-1,0,1,1)&gt;=NFI_Monitor_Date,1,0))</f>
        <v>0</v>
      </c>
      <c r="AO634" s="781" t="str">
        <f>IFERROR(VLOOKUP(Table_NFI[[#This Row],[Camp Name]],CL,3,0),"")</f>
        <v>Open</v>
      </c>
      <c r="AP634" s="436" t="str">
        <f ca="1">IF(Table_NFI[[#This Row],[Pcode]]="","",OFFSET(CampList[Priority],MATCH(Table_NFI[[#This Row],[Pcode]],CampList[CP_Pcode],0)-1,0,1,1))</f>
        <v>P4</v>
      </c>
      <c r="AQ634" s="438">
        <f>IFERROR(Table_NFI[[#This Row],[Kitchen Set]]/VLOOKUP(Table_NFI[[#This Row],[Camp Name]],CL,4,0),"")</f>
        <v>0</v>
      </c>
      <c r="AR634" s="779" t="s">
        <v>1099</v>
      </c>
      <c r="AS634" s="783"/>
    </row>
    <row r="635" spans="1:45" x14ac:dyDescent="0.25">
      <c r="A635" s="455">
        <f t="shared" si="9"/>
        <v>33.466666666666669</v>
      </c>
      <c r="B635" s="778">
        <v>41305</v>
      </c>
      <c r="C635" s="779" t="s">
        <v>571</v>
      </c>
      <c r="D635" s="442" t="s">
        <v>571</v>
      </c>
      <c r="E635" s="785" t="s">
        <v>380</v>
      </c>
      <c r="F635" s="435" t="s">
        <v>310</v>
      </c>
      <c r="G635" s="435" t="s">
        <v>326</v>
      </c>
      <c r="H635" s="442"/>
      <c r="I635" s="442"/>
      <c r="J635" s="442"/>
      <c r="K635" s="785"/>
      <c r="L635" s="786"/>
      <c r="M635" s="443">
        <v>94</v>
      </c>
      <c r="N635" s="443"/>
      <c r="O635" s="443"/>
      <c r="P635" s="786">
        <v>0</v>
      </c>
      <c r="Q635" s="443">
        <v>0</v>
      </c>
      <c r="R635" s="442"/>
      <c r="S635" s="442"/>
      <c r="T635" s="442"/>
      <c r="U635" s="442"/>
      <c r="V635" s="442"/>
      <c r="W635" s="436">
        <f>IF(NFI_Expiration=1,IF($A635&lt;VLOOKUP(H$5,NFI,5,0),1,0)*Table_NFI[[#This Row],[Hygiene Kit]],Table_NFI[Hygiene Kit])</f>
        <v>0</v>
      </c>
      <c r="X635" s="436">
        <f>IF(NFI_Expiration=1,IF($A635&lt;VLOOKUP(I$5,NFI,5,0),1,0)*Table_NFI[[#This Row],[NFI Core Kit]],Table_NFI[NFI Core Kit])</f>
        <v>0</v>
      </c>
      <c r="Y635" s="436">
        <f>IF(NFI_Expiration=1,IF($A635&lt;VLOOKUP(J$5,NFI,5,0),1,0)*Table_NFI[[#This Row],[Sanitary Kit]],Table_NFI[Sanitary Kit])</f>
        <v>0</v>
      </c>
      <c r="Z635" s="436">
        <f>IF(NFI_Expiration=1,IF($A635&lt;VLOOKUP(K$5,NFI,5,0),1,0)*Table_NFI[[#This Row],[Mosquito net]],Table_NFI[Mosquito net])</f>
        <v>0</v>
      </c>
      <c r="AA635" s="436">
        <f>IF(NFI_Expiration=1,IF($A635&lt;VLOOKUP(L$5,NFI,5,0),1,0)*Table_NFI[[#This Row],[Tarpaulin]],Table_NFI[[#This Row],[Tarpaulin]])</f>
        <v>0</v>
      </c>
      <c r="AB635" s="436">
        <f>IF(NFI_Expiration=1,IF($A635&lt;VLOOKUP(M$5,NFI,5,0),1,0)*Table_NFI[[#This Row],[Blanket]],Table_NFI[[#This Row],[Blanket]])</f>
        <v>0</v>
      </c>
      <c r="AC635" s="436">
        <f>IF(NFI_Expiration=1,IF($A635&lt;VLOOKUP(N$5,NFI,5,0),1,0)*Table_NFI[[#This Row],[Kitchen Set]],Table_NFI[Kitchen Set])</f>
        <v>0</v>
      </c>
      <c r="AD635" s="436">
        <f>IF(NFI_Expiration=1,IF($A635&lt;VLOOKUP(O$5,NFI,5,0),1,0)*Table_NFI[[#This Row],[Clothes Kit]],Table_NFI[Clothes Kit])</f>
        <v>0</v>
      </c>
      <c r="AE635" s="436">
        <f>IF(NFI_Expiration=1,IF($A635&lt;VLOOKUP(P$5,NFI,5,0),1,0)*Table_NFI[[#This Row],[Plastic Bucket]],Table_NFI[Plastic Bucket])</f>
        <v>0</v>
      </c>
      <c r="AF635" s="436">
        <f>IF(NFI_Expiration=1,IF($A635&lt;VLOOKUP(Q$5,NFI,5,0),1,0)*Table_NFI[[#This Row],[Plastic Mat]],Table_NFI[Plastic Mat])*IF(Table_NFI[[#This Row],[Distribution Date]]&gt;"2014-04-01",1,2.5)</f>
        <v>0</v>
      </c>
      <c r="AG635" s="436">
        <f>IF(NFI_Expiration=1,IF($A635&lt;VLOOKUP(R$5,NFI,5,0),1,0)*Table_NFI[[#This Row],[Winter Clothes Adult]],Table_NFI[Winter Clothes Adult])</f>
        <v>0</v>
      </c>
      <c r="AH635" s="436">
        <f>IF(NFI_Expiration=1,IF($A635&lt;VLOOKUP(S$5,NFI,5,0),1,0)*Table_NFI[[#This Row],[Winter Clothes Children]],Table_NFI[Winter Clothes Children])</f>
        <v>0</v>
      </c>
      <c r="AI635" s="436">
        <f>IF(NFI_Expiration=1,IF($A635&lt;VLOOKUP(T$5,NFI,5,0),1,0)*Table_NFI[[#This Row],[Winter Items Other]],Table_NFI[Winter Items Other])</f>
        <v>0</v>
      </c>
      <c r="AJ635" s="436">
        <f>IF(NFI_Expiration=1,IF($A635&lt;VLOOKUP(M$5,NFI,5,0),1,0)*Table_NFI[[#This Row],[Winter Blanket]],Table_NFI[[#This Row],[Winter Blanket]])</f>
        <v>0</v>
      </c>
      <c r="AK635" s="436">
        <f>IF(Table_NFI[[#This Row],[Winter Clothes Adult]]+Table_NFI[[#This Row],[Winter Clothes Children]]+Table_NFI[[#This Row],[Winter Items Other]]+Table_NFI[[#This Row],[Winter Blanket]]&gt;0,1,0)</f>
        <v>0</v>
      </c>
      <c r="AL635" s="439">
        <f>IF(NFI_Expiration=1,IF($A635&lt;VLOOKUP(V$5,NFI,5,0),1,0)*Table_NFI[[#This Row],[Jerry Can]],Table_NFI[Jerry Can])</f>
        <v>0</v>
      </c>
      <c r="AM635" s="781" t="str">
        <f>IFERROR(VLOOKUP(Table_NFI[[#This Row],[Camp Name]],CL,2,0),"")</f>
        <v>MMR001CMP039</v>
      </c>
      <c r="AN635" s="782">
        <f ca="1">IF(Table_NFI[[#This Row],[Pcode]]="","",IF(OFFSET(CampList[Opening Date],MATCH(Table_NFI[[#This Row],[Pcode]],CampList[CP_Pcode],0)-1,0,1,1)&gt;=NFI_Monitor_Date,1,0))</f>
        <v>0</v>
      </c>
      <c r="AO635" s="781" t="str">
        <f>IFERROR(VLOOKUP(Table_NFI[[#This Row],[Camp Name]],CL,3,0),"")</f>
        <v>Open</v>
      </c>
      <c r="AP635" s="436" t="str">
        <f ca="1">IF(Table_NFI[[#This Row],[Pcode]]="","",OFFSET(CampList[Priority],MATCH(Table_NFI[[#This Row],[Pcode]],CampList[CP_Pcode],0)-1,0,1,1))</f>
        <v>P4</v>
      </c>
      <c r="AQ635" s="438">
        <f>IFERROR(Table_NFI[[#This Row],[Kitchen Set]]/VLOOKUP(Table_NFI[[#This Row],[Camp Name]],CL,4,0),"")</f>
        <v>0</v>
      </c>
      <c r="AR635" s="779" t="s">
        <v>1099</v>
      </c>
      <c r="AS635" s="783"/>
    </row>
    <row r="636" spans="1:45" x14ac:dyDescent="0.25">
      <c r="A636" s="455">
        <f t="shared" si="9"/>
        <v>33.466666666666669</v>
      </c>
      <c r="B636" s="778">
        <v>41305</v>
      </c>
      <c r="C636" s="779" t="s">
        <v>571</v>
      </c>
      <c r="D636" s="442" t="s">
        <v>571</v>
      </c>
      <c r="E636" s="785" t="s">
        <v>380</v>
      </c>
      <c r="F636" s="435" t="s">
        <v>310</v>
      </c>
      <c r="G636" s="435" t="s">
        <v>318</v>
      </c>
      <c r="H636" s="442"/>
      <c r="I636" s="442"/>
      <c r="J636" s="442"/>
      <c r="K636" s="785"/>
      <c r="L636" s="786"/>
      <c r="M636" s="443">
        <v>184</v>
      </c>
      <c r="N636" s="443"/>
      <c r="O636" s="443"/>
      <c r="P636" s="786">
        <v>0</v>
      </c>
      <c r="Q636" s="443">
        <v>0</v>
      </c>
      <c r="R636" s="442"/>
      <c r="S636" s="442"/>
      <c r="T636" s="442"/>
      <c r="U636" s="442"/>
      <c r="V636" s="442"/>
      <c r="W636" s="436">
        <f>IF(NFI_Expiration=1,IF($A636&lt;VLOOKUP(H$5,NFI,5,0),1,0)*Table_NFI[[#This Row],[Hygiene Kit]],Table_NFI[Hygiene Kit])</f>
        <v>0</v>
      </c>
      <c r="X636" s="436">
        <f>IF(NFI_Expiration=1,IF($A636&lt;VLOOKUP(I$5,NFI,5,0),1,0)*Table_NFI[[#This Row],[NFI Core Kit]],Table_NFI[NFI Core Kit])</f>
        <v>0</v>
      </c>
      <c r="Y636" s="436">
        <f>IF(NFI_Expiration=1,IF($A636&lt;VLOOKUP(J$5,NFI,5,0),1,0)*Table_NFI[[#This Row],[Sanitary Kit]],Table_NFI[Sanitary Kit])</f>
        <v>0</v>
      </c>
      <c r="Z636" s="436">
        <f>IF(NFI_Expiration=1,IF($A636&lt;VLOOKUP(K$5,NFI,5,0),1,0)*Table_NFI[[#This Row],[Mosquito net]],Table_NFI[Mosquito net])</f>
        <v>0</v>
      </c>
      <c r="AA636" s="436">
        <f>IF(NFI_Expiration=1,IF($A636&lt;VLOOKUP(L$5,NFI,5,0),1,0)*Table_NFI[[#This Row],[Tarpaulin]],Table_NFI[[#This Row],[Tarpaulin]])</f>
        <v>0</v>
      </c>
      <c r="AB636" s="436">
        <f>IF(NFI_Expiration=1,IF($A636&lt;VLOOKUP(M$5,NFI,5,0),1,0)*Table_NFI[[#This Row],[Blanket]],Table_NFI[[#This Row],[Blanket]])</f>
        <v>0</v>
      </c>
      <c r="AC636" s="436">
        <f>IF(NFI_Expiration=1,IF($A636&lt;VLOOKUP(N$5,NFI,5,0),1,0)*Table_NFI[[#This Row],[Kitchen Set]],Table_NFI[Kitchen Set])</f>
        <v>0</v>
      </c>
      <c r="AD636" s="436">
        <f>IF(NFI_Expiration=1,IF($A636&lt;VLOOKUP(O$5,NFI,5,0),1,0)*Table_NFI[[#This Row],[Clothes Kit]],Table_NFI[Clothes Kit])</f>
        <v>0</v>
      </c>
      <c r="AE636" s="436">
        <f>IF(NFI_Expiration=1,IF($A636&lt;VLOOKUP(P$5,NFI,5,0),1,0)*Table_NFI[[#This Row],[Plastic Bucket]],Table_NFI[Plastic Bucket])</f>
        <v>0</v>
      </c>
      <c r="AF636" s="436">
        <f>IF(NFI_Expiration=1,IF($A636&lt;VLOOKUP(Q$5,NFI,5,0),1,0)*Table_NFI[[#This Row],[Plastic Mat]],Table_NFI[Plastic Mat])*IF(Table_NFI[[#This Row],[Distribution Date]]&gt;"2014-04-01",1,2.5)</f>
        <v>0</v>
      </c>
      <c r="AG636" s="436">
        <f>IF(NFI_Expiration=1,IF($A636&lt;VLOOKUP(R$5,NFI,5,0),1,0)*Table_NFI[[#This Row],[Winter Clothes Adult]],Table_NFI[Winter Clothes Adult])</f>
        <v>0</v>
      </c>
      <c r="AH636" s="436">
        <f>IF(NFI_Expiration=1,IF($A636&lt;VLOOKUP(S$5,NFI,5,0),1,0)*Table_NFI[[#This Row],[Winter Clothes Children]],Table_NFI[Winter Clothes Children])</f>
        <v>0</v>
      </c>
      <c r="AI636" s="436">
        <f>IF(NFI_Expiration=1,IF($A636&lt;VLOOKUP(T$5,NFI,5,0),1,0)*Table_NFI[[#This Row],[Winter Items Other]],Table_NFI[Winter Items Other])</f>
        <v>0</v>
      </c>
      <c r="AJ636" s="436">
        <f>IF(NFI_Expiration=1,IF($A636&lt;VLOOKUP(M$5,NFI,5,0),1,0)*Table_NFI[[#This Row],[Winter Blanket]],Table_NFI[[#This Row],[Winter Blanket]])</f>
        <v>0</v>
      </c>
      <c r="AK636" s="436">
        <f>IF(Table_NFI[[#This Row],[Winter Clothes Adult]]+Table_NFI[[#This Row],[Winter Clothes Children]]+Table_NFI[[#This Row],[Winter Items Other]]+Table_NFI[[#This Row],[Winter Blanket]]&gt;0,1,0)</f>
        <v>0</v>
      </c>
      <c r="AL636" s="439">
        <f>IF(NFI_Expiration=1,IF($A636&lt;VLOOKUP(V$5,NFI,5,0),1,0)*Table_NFI[[#This Row],[Jerry Can]],Table_NFI[Jerry Can])</f>
        <v>0</v>
      </c>
      <c r="AM636" s="781" t="str">
        <f>IFERROR(VLOOKUP(Table_NFI[[#This Row],[Camp Name]],CL,2,0),"")</f>
        <v>MMR001CMP032</v>
      </c>
      <c r="AN636" s="782">
        <f ca="1">IF(Table_NFI[[#This Row],[Pcode]]="","",IF(OFFSET(CampList[Opening Date],MATCH(Table_NFI[[#This Row],[Pcode]],CampList[CP_Pcode],0)-1,0,1,1)&gt;=NFI_Monitor_Date,1,0))</f>
        <v>0</v>
      </c>
      <c r="AO636" s="781" t="str">
        <f>IFERROR(VLOOKUP(Table_NFI[[#This Row],[Camp Name]],CL,3,0),"")</f>
        <v>Open</v>
      </c>
      <c r="AP636" s="436" t="str">
        <f ca="1">IF(Table_NFI[[#This Row],[Pcode]]="","",OFFSET(CampList[Priority],MATCH(Table_NFI[[#This Row],[Pcode]],CampList[CP_Pcode],0)-1,0,1,1))</f>
        <v>P4</v>
      </c>
      <c r="AQ636" s="438">
        <f>IFERROR(Table_NFI[[#This Row],[Kitchen Set]]/VLOOKUP(Table_NFI[[#This Row],[Camp Name]],CL,4,0),"")</f>
        <v>0</v>
      </c>
      <c r="AR636" s="779" t="s">
        <v>1099</v>
      </c>
      <c r="AS636" s="783"/>
    </row>
    <row r="637" spans="1:45" x14ac:dyDescent="0.25">
      <c r="A637" s="455">
        <f t="shared" si="9"/>
        <v>33.466666666666669</v>
      </c>
      <c r="B637" s="778">
        <v>41305</v>
      </c>
      <c r="C637" s="779" t="s">
        <v>571</v>
      </c>
      <c r="D637" s="442" t="s">
        <v>571</v>
      </c>
      <c r="E637" s="785" t="s">
        <v>380</v>
      </c>
      <c r="F637" s="435" t="s">
        <v>310</v>
      </c>
      <c r="G637" s="435" t="s">
        <v>342</v>
      </c>
      <c r="H637" s="442"/>
      <c r="I637" s="442"/>
      <c r="J637" s="442"/>
      <c r="K637" s="785"/>
      <c r="L637" s="786"/>
      <c r="M637" s="443">
        <v>242</v>
      </c>
      <c r="N637" s="443"/>
      <c r="O637" s="443"/>
      <c r="P637" s="786">
        <v>0</v>
      </c>
      <c r="Q637" s="443">
        <v>0</v>
      </c>
      <c r="R637" s="442"/>
      <c r="S637" s="442"/>
      <c r="T637" s="442"/>
      <c r="U637" s="442"/>
      <c r="V637" s="442"/>
      <c r="W637" s="436">
        <f>IF(NFI_Expiration=1,IF($A637&lt;VLOOKUP(H$5,NFI,5,0),1,0)*Table_NFI[[#This Row],[Hygiene Kit]],Table_NFI[Hygiene Kit])</f>
        <v>0</v>
      </c>
      <c r="X637" s="436">
        <f>IF(NFI_Expiration=1,IF($A637&lt;VLOOKUP(I$5,NFI,5,0),1,0)*Table_NFI[[#This Row],[NFI Core Kit]],Table_NFI[NFI Core Kit])</f>
        <v>0</v>
      </c>
      <c r="Y637" s="436">
        <f>IF(NFI_Expiration=1,IF($A637&lt;VLOOKUP(J$5,NFI,5,0),1,0)*Table_NFI[[#This Row],[Sanitary Kit]],Table_NFI[Sanitary Kit])</f>
        <v>0</v>
      </c>
      <c r="Z637" s="436">
        <f>IF(NFI_Expiration=1,IF($A637&lt;VLOOKUP(K$5,NFI,5,0),1,0)*Table_NFI[[#This Row],[Mosquito net]],Table_NFI[Mosquito net])</f>
        <v>0</v>
      </c>
      <c r="AA637" s="436">
        <f>IF(NFI_Expiration=1,IF($A637&lt;VLOOKUP(L$5,NFI,5,0),1,0)*Table_NFI[[#This Row],[Tarpaulin]],Table_NFI[[#This Row],[Tarpaulin]])</f>
        <v>0</v>
      </c>
      <c r="AB637" s="436">
        <f>IF(NFI_Expiration=1,IF($A637&lt;VLOOKUP(M$5,NFI,5,0),1,0)*Table_NFI[[#This Row],[Blanket]],Table_NFI[[#This Row],[Blanket]])</f>
        <v>0</v>
      </c>
      <c r="AC637" s="436">
        <f>IF(NFI_Expiration=1,IF($A637&lt;VLOOKUP(N$5,NFI,5,0),1,0)*Table_NFI[[#This Row],[Kitchen Set]],Table_NFI[Kitchen Set])</f>
        <v>0</v>
      </c>
      <c r="AD637" s="436">
        <f>IF(NFI_Expiration=1,IF($A637&lt;VLOOKUP(O$5,NFI,5,0),1,0)*Table_NFI[[#This Row],[Clothes Kit]],Table_NFI[Clothes Kit])</f>
        <v>0</v>
      </c>
      <c r="AE637" s="436">
        <f>IF(NFI_Expiration=1,IF($A637&lt;VLOOKUP(P$5,NFI,5,0),1,0)*Table_NFI[[#This Row],[Plastic Bucket]],Table_NFI[Plastic Bucket])</f>
        <v>0</v>
      </c>
      <c r="AF637" s="436">
        <f>IF(NFI_Expiration=1,IF($A637&lt;VLOOKUP(Q$5,NFI,5,0),1,0)*Table_NFI[[#This Row],[Plastic Mat]],Table_NFI[Plastic Mat])*IF(Table_NFI[[#This Row],[Distribution Date]]&gt;"2014-04-01",1,2.5)</f>
        <v>0</v>
      </c>
      <c r="AG637" s="436">
        <f>IF(NFI_Expiration=1,IF($A637&lt;VLOOKUP(R$5,NFI,5,0),1,0)*Table_NFI[[#This Row],[Winter Clothes Adult]],Table_NFI[Winter Clothes Adult])</f>
        <v>0</v>
      </c>
      <c r="AH637" s="436">
        <f>IF(NFI_Expiration=1,IF($A637&lt;VLOOKUP(S$5,NFI,5,0),1,0)*Table_NFI[[#This Row],[Winter Clothes Children]],Table_NFI[Winter Clothes Children])</f>
        <v>0</v>
      </c>
      <c r="AI637" s="436">
        <f>IF(NFI_Expiration=1,IF($A637&lt;VLOOKUP(T$5,NFI,5,0),1,0)*Table_NFI[[#This Row],[Winter Items Other]],Table_NFI[Winter Items Other])</f>
        <v>0</v>
      </c>
      <c r="AJ637" s="436">
        <f>IF(NFI_Expiration=1,IF($A637&lt;VLOOKUP(M$5,NFI,5,0),1,0)*Table_NFI[[#This Row],[Winter Blanket]],Table_NFI[[#This Row],[Winter Blanket]])</f>
        <v>0</v>
      </c>
      <c r="AK637" s="436">
        <f>IF(Table_NFI[[#This Row],[Winter Clothes Adult]]+Table_NFI[[#This Row],[Winter Clothes Children]]+Table_NFI[[#This Row],[Winter Items Other]]+Table_NFI[[#This Row],[Winter Blanket]]&gt;0,1,0)</f>
        <v>0</v>
      </c>
      <c r="AL637" s="439">
        <f>IF(NFI_Expiration=1,IF($A637&lt;VLOOKUP(V$5,NFI,5,0),1,0)*Table_NFI[[#This Row],[Jerry Can]],Table_NFI[Jerry Can])</f>
        <v>0</v>
      </c>
      <c r="AM637" s="781" t="str">
        <f>IFERROR(VLOOKUP(Table_NFI[[#This Row],[Camp Name]],CL,2,0),"")</f>
        <v>MMR001CMP025</v>
      </c>
      <c r="AN637" s="782">
        <f ca="1">IF(Table_NFI[[#This Row],[Pcode]]="","",IF(OFFSET(CampList[Opening Date],MATCH(Table_NFI[[#This Row],[Pcode]],CampList[CP_Pcode],0)-1,0,1,1)&gt;=NFI_Monitor_Date,1,0))</f>
        <v>0</v>
      </c>
      <c r="AO637" s="781" t="str">
        <f>IFERROR(VLOOKUP(Table_NFI[[#This Row],[Camp Name]],CL,3,0),"")</f>
        <v>Open</v>
      </c>
      <c r="AP637" s="436" t="str">
        <f ca="1">IF(Table_NFI[[#This Row],[Pcode]]="","",OFFSET(CampList[Priority],MATCH(Table_NFI[[#This Row],[Pcode]],CampList[CP_Pcode],0)-1,0,1,1))</f>
        <v>P4</v>
      </c>
      <c r="AQ637" s="438">
        <f>IFERROR(Table_NFI[[#This Row],[Kitchen Set]]/VLOOKUP(Table_NFI[[#This Row],[Camp Name]],CL,4,0),"")</f>
        <v>0</v>
      </c>
      <c r="AR637" s="779" t="s">
        <v>1099</v>
      </c>
      <c r="AS637" s="783"/>
    </row>
    <row r="638" spans="1:45" x14ac:dyDescent="0.25">
      <c r="A638" s="455">
        <f t="shared" si="9"/>
        <v>33.466666666666669</v>
      </c>
      <c r="B638" s="778">
        <v>41305</v>
      </c>
      <c r="C638" s="779" t="s">
        <v>571</v>
      </c>
      <c r="D638" s="442" t="s">
        <v>571</v>
      </c>
      <c r="E638" s="785" t="s">
        <v>380</v>
      </c>
      <c r="F638" s="435" t="s">
        <v>310</v>
      </c>
      <c r="G638" s="435" t="s">
        <v>338</v>
      </c>
      <c r="H638" s="442"/>
      <c r="I638" s="442"/>
      <c r="J638" s="442"/>
      <c r="K638" s="785"/>
      <c r="L638" s="786"/>
      <c r="M638" s="443">
        <v>54</v>
      </c>
      <c r="N638" s="443"/>
      <c r="O638" s="443"/>
      <c r="P638" s="786">
        <v>0</v>
      </c>
      <c r="Q638" s="443">
        <v>0</v>
      </c>
      <c r="R638" s="442"/>
      <c r="S638" s="442"/>
      <c r="T638" s="442"/>
      <c r="U638" s="442"/>
      <c r="V638" s="442"/>
      <c r="W638" s="436">
        <f>IF(NFI_Expiration=1,IF($A638&lt;VLOOKUP(H$5,NFI,5,0),1,0)*Table_NFI[[#This Row],[Hygiene Kit]],Table_NFI[Hygiene Kit])</f>
        <v>0</v>
      </c>
      <c r="X638" s="436">
        <f>IF(NFI_Expiration=1,IF($A638&lt;VLOOKUP(I$5,NFI,5,0),1,0)*Table_NFI[[#This Row],[NFI Core Kit]],Table_NFI[NFI Core Kit])</f>
        <v>0</v>
      </c>
      <c r="Y638" s="436">
        <f>IF(NFI_Expiration=1,IF($A638&lt;VLOOKUP(J$5,NFI,5,0),1,0)*Table_NFI[[#This Row],[Sanitary Kit]],Table_NFI[Sanitary Kit])</f>
        <v>0</v>
      </c>
      <c r="Z638" s="436">
        <f>IF(NFI_Expiration=1,IF($A638&lt;VLOOKUP(K$5,NFI,5,0),1,0)*Table_NFI[[#This Row],[Mosquito net]],Table_NFI[Mosquito net])</f>
        <v>0</v>
      </c>
      <c r="AA638" s="436">
        <f>IF(NFI_Expiration=1,IF($A638&lt;VLOOKUP(L$5,NFI,5,0),1,0)*Table_NFI[[#This Row],[Tarpaulin]],Table_NFI[[#This Row],[Tarpaulin]])</f>
        <v>0</v>
      </c>
      <c r="AB638" s="436">
        <f>IF(NFI_Expiration=1,IF($A638&lt;VLOOKUP(M$5,NFI,5,0),1,0)*Table_NFI[[#This Row],[Blanket]],Table_NFI[[#This Row],[Blanket]])</f>
        <v>0</v>
      </c>
      <c r="AC638" s="436">
        <f>IF(NFI_Expiration=1,IF($A638&lt;VLOOKUP(N$5,NFI,5,0),1,0)*Table_NFI[[#This Row],[Kitchen Set]],Table_NFI[Kitchen Set])</f>
        <v>0</v>
      </c>
      <c r="AD638" s="436">
        <f>IF(NFI_Expiration=1,IF($A638&lt;VLOOKUP(O$5,NFI,5,0),1,0)*Table_NFI[[#This Row],[Clothes Kit]],Table_NFI[Clothes Kit])</f>
        <v>0</v>
      </c>
      <c r="AE638" s="436">
        <f>IF(NFI_Expiration=1,IF($A638&lt;VLOOKUP(P$5,NFI,5,0),1,0)*Table_NFI[[#This Row],[Plastic Bucket]],Table_NFI[Plastic Bucket])</f>
        <v>0</v>
      </c>
      <c r="AF638" s="436">
        <f>IF(NFI_Expiration=1,IF($A638&lt;VLOOKUP(Q$5,NFI,5,0),1,0)*Table_NFI[[#This Row],[Plastic Mat]],Table_NFI[Plastic Mat])*IF(Table_NFI[[#This Row],[Distribution Date]]&gt;"2014-04-01",1,2.5)</f>
        <v>0</v>
      </c>
      <c r="AG638" s="436">
        <f>IF(NFI_Expiration=1,IF($A638&lt;VLOOKUP(R$5,NFI,5,0),1,0)*Table_NFI[[#This Row],[Winter Clothes Adult]],Table_NFI[Winter Clothes Adult])</f>
        <v>0</v>
      </c>
      <c r="AH638" s="436">
        <f>IF(NFI_Expiration=1,IF($A638&lt;VLOOKUP(S$5,NFI,5,0),1,0)*Table_NFI[[#This Row],[Winter Clothes Children]],Table_NFI[Winter Clothes Children])</f>
        <v>0</v>
      </c>
      <c r="AI638" s="436">
        <f>IF(NFI_Expiration=1,IF($A638&lt;VLOOKUP(T$5,NFI,5,0),1,0)*Table_NFI[[#This Row],[Winter Items Other]],Table_NFI[Winter Items Other])</f>
        <v>0</v>
      </c>
      <c r="AJ638" s="436">
        <f>IF(NFI_Expiration=1,IF($A638&lt;VLOOKUP(M$5,NFI,5,0),1,0)*Table_NFI[[#This Row],[Winter Blanket]],Table_NFI[[#This Row],[Winter Blanket]])</f>
        <v>0</v>
      </c>
      <c r="AK638" s="436">
        <f>IF(Table_NFI[[#This Row],[Winter Clothes Adult]]+Table_NFI[[#This Row],[Winter Clothes Children]]+Table_NFI[[#This Row],[Winter Items Other]]+Table_NFI[[#This Row],[Winter Blanket]]&gt;0,1,0)</f>
        <v>0</v>
      </c>
      <c r="AL638" s="439">
        <f>IF(NFI_Expiration=1,IF($A638&lt;VLOOKUP(V$5,NFI,5,0),1,0)*Table_NFI[[#This Row],[Jerry Can]],Table_NFI[Jerry Can])</f>
        <v>0</v>
      </c>
      <c r="AM638" s="781" t="str">
        <f>IFERROR(VLOOKUP(Table_NFI[[#This Row],[Camp Name]],CL,2,0),"")</f>
        <v>MMR001CMP030</v>
      </c>
      <c r="AN638" s="782">
        <f ca="1">IF(Table_NFI[[#This Row],[Pcode]]="","",IF(OFFSET(CampList[Opening Date],MATCH(Table_NFI[[#This Row],[Pcode]],CampList[CP_Pcode],0)-1,0,1,1)&gt;=NFI_Monitor_Date,1,0))</f>
        <v>0</v>
      </c>
      <c r="AO638" s="781" t="str">
        <f>IFERROR(VLOOKUP(Table_NFI[[#This Row],[Camp Name]],CL,3,0),"")</f>
        <v>Open</v>
      </c>
      <c r="AP638" s="436" t="str">
        <f ca="1">IF(Table_NFI[[#This Row],[Pcode]]="","",OFFSET(CampList[Priority],MATCH(Table_NFI[[#This Row],[Pcode]],CampList[CP_Pcode],0)-1,0,1,1))</f>
        <v>P4</v>
      </c>
      <c r="AQ638" s="438">
        <f>IFERROR(Table_NFI[[#This Row],[Kitchen Set]]/VLOOKUP(Table_NFI[[#This Row],[Camp Name]],CL,4,0),"")</f>
        <v>0</v>
      </c>
      <c r="AR638" s="779" t="s">
        <v>1099</v>
      </c>
      <c r="AS638" s="783"/>
    </row>
    <row r="639" spans="1:45" x14ac:dyDescent="0.25">
      <c r="A639" s="455">
        <f t="shared" si="9"/>
        <v>33.466666666666669</v>
      </c>
      <c r="B639" s="778">
        <v>41305</v>
      </c>
      <c r="C639" s="779" t="s">
        <v>571</v>
      </c>
      <c r="D639" s="442" t="s">
        <v>571</v>
      </c>
      <c r="E639" s="785" t="s">
        <v>380</v>
      </c>
      <c r="F639" s="435" t="s">
        <v>310</v>
      </c>
      <c r="G639" s="435" t="s">
        <v>351</v>
      </c>
      <c r="H639" s="442"/>
      <c r="I639" s="442"/>
      <c r="J639" s="442"/>
      <c r="K639" s="785"/>
      <c r="L639" s="786"/>
      <c r="M639" s="443">
        <v>188</v>
      </c>
      <c r="N639" s="443"/>
      <c r="O639" s="443"/>
      <c r="P639" s="786">
        <v>0</v>
      </c>
      <c r="Q639" s="443">
        <v>0</v>
      </c>
      <c r="R639" s="442"/>
      <c r="S639" s="442"/>
      <c r="T639" s="442"/>
      <c r="U639" s="442"/>
      <c r="V639" s="442"/>
      <c r="W639" s="436">
        <f>IF(NFI_Expiration=1,IF($A639&lt;VLOOKUP(H$5,NFI,5,0),1,0)*Table_NFI[[#This Row],[Hygiene Kit]],Table_NFI[Hygiene Kit])</f>
        <v>0</v>
      </c>
      <c r="X639" s="436">
        <f>IF(NFI_Expiration=1,IF($A639&lt;VLOOKUP(I$5,NFI,5,0),1,0)*Table_NFI[[#This Row],[NFI Core Kit]],Table_NFI[NFI Core Kit])</f>
        <v>0</v>
      </c>
      <c r="Y639" s="436">
        <f>IF(NFI_Expiration=1,IF($A639&lt;VLOOKUP(J$5,NFI,5,0),1,0)*Table_NFI[[#This Row],[Sanitary Kit]],Table_NFI[Sanitary Kit])</f>
        <v>0</v>
      </c>
      <c r="Z639" s="436">
        <f>IF(NFI_Expiration=1,IF($A639&lt;VLOOKUP(K$5,NFI,5,0),1,0)*Table_NFI[[#This Row],[Mosquito net]],Table_NFI[Mosquito net])</f>
        <v>0</v>
      </c>
      <c r="AA639" s="436">
        <f>IF(NFI_Expiration=1,IF($A639&lt;VLOOKUP(L$5,NFI,5,0),1,0)*Table_NFI[[#This Row],[Tarpaulin]],Table_NFI[[#This Row],[Tarpaulin]])</f>
        <v>0</v>
      </c>
      <c r="AB639" s="436">
        <f>IF(NFI_Expiration=1,IF($A639&lt;VLOOKUP(M$5,NFI,5,0),1,0)*Table_NFI[[#This Row],[Blanket]],Table_NFI[[#This Row],[Blanket]])</f>
        <v>0</v>
      </c>
      <c r="AC639" s="436">
        <f>IF(NFI_Expiration=1,IF($A639&lt;VLOOKUP(N$5,NFI,5,0),1,0)*Table_NFI[[#This Row],[Kitchen Set]],Table_NFI[Kitchen Set])</f>
        <v>0</v>
      </c>
      <c r="AD639" s="436">
        <f>IF(NFI_Expiration=1,IF($A639&lt;VLOOKUP(O$5,NFI,5,0),1,0)*Table_NFI[[#This Row],[Clothes Kit]],Table_NFI[Clothes Kit])</f>
        <v>0</v>
      </c>
      <c r="AE639" s="436">
        <f>IF(NFI_Expiration=1,IF($A639&lt;VLOOKUP(P$5,NFI,5,0),1,0)*Table_NFI[[#This Row],[Plastic Bucket]],Table_NFI[Plastic Bucket])</f>
        <v>0</v>
      </c>
      <c r="AF639" s="436">
        <f>IF(NFI_Expiration=1,IF($A639&lt;VLOOKUP(Q$5,NFI,5,0),1,0)*Table_NFI[[#This Row],[Plastic Mat]],Table_NFI[Plastic Mat])*IF(Table_NFI[[#This Row],[Distribution Date]]&gt;"2014-04-01",1,2.5)</f>
        <v>0</v>
      </c>
      <c r="AG639" s="436">
        <f>IF(NFI_Expiration=1,IF($A639&lt;VLOOKUP(R$5,NFI,5,0),1,0)*Table_NFI[[#This Row],[Winter Clothes Adult]],Table_NFI[Winter Clothes Adult])</f>
        <v>0</v>
      </c>
      <c r="AH639" s="436">
        <f>IF(NFI_Expiration=1,IF($A639&lt;VLOOKUP(S$5,NFI,5,0),1,0)*Table_NFI[[#This Row],[Winter Clothes Children]],Table_NFI[Winter Clothes Children])</f>
        <v>0</v>
      </c>
      <c r="AI639" s="436">
        <f>IF(NFI_Expiration=1,IF($A639&lt;VLOOKUP(T$5,NFI,5,0),1,0)*Table_NFI[[#This Row],[Winter Items Other]],Table_NFI[Winter Items Other])</f>
        <v>0</v>
      </c>
      <c r="AJ639" s="436">
        <f>IF(NFI_Expiration=1,IF($A639&lt;VLOOKUP(M$5,NFI,5,0),1,0)*Table_NFI[[#This Row],[Winter Blanket]],Table_NFI[[#This Row],[Winter Blanket]])</f>
        <v>0</v>
      </c>
      <c r="AK639" s="436">
        <f>IF(Table_NFI[[#This Row],[Winter Clothes Adult]]+Table_NFI[[#This Row],[Winter Clothes Children]]+Table_NFI[[#This Row],[Winter Items Other]]+Table_NFI[[#This Row],[Winter Blanket]]&gt;0,1,0)</f>
        <v>0</v>
      </c>
      <c r="AL639" s="439">
        <f>IF(NFI_Expiration=1,IF($A639&lt;VLOOKUP(V$5,NFI,5,0),1,0)*Table_NFI[[#This Row],[Jerry Can]],Table_NFI[Jerry Can])</f>
        <v>0</v>
      </c>
      <c r="AM639" s="781" t="str">
        <f>IFERROR(VLOOKUP(Table_NFI[[#This Row],[Camp Name]],CL,2,0),"")</f>
        <v>MMR001CMP026</v>
      </c>
      <c r="AN639" s="782">
        <f ca="1">IF(Table_NFI[[#This Row],[Pcode]]="","",IF(OFFSET(CampList[Opening Date],MATCH(Table_NFI[[#This Row],[Pcode]],CampList[CP_Pcode],0)-1,0,1,1)&gt;=NFI_Monitor_Date,1,0))</f>
        <v>0</v>
      </c>
      <c r="AO639" s="781" t="str">
        <f>IFERROR(VLOOKUP(Table_NFI[[#This Row],[Camp Name]],CL,3,0),"")</f>
        <v>Open</v>
      </c>
      <c r="AP639" s="436" t="str">
        <f ca="1">IF(Table_NFI[[#This Row],[Pcode]]="","",OFFSET(CampList[Priority],MATCH(Table_NFI[[#This Row],[Pcode]],CampList[CP_Pcode],0)-1,0,1,1))</f>
        <v>P4</v>
      </c>
      <c r="AQ639" s="438">
        <f>IFERROR(Table_NFI[[#This Row],[Kitchen Set]]/VLOOKUP(Table_NFI[[#This Row],[Camp Name]],CL,4,0),"")</f>
        <v>0</v>
      </c>
      <c r="AR639" s="779" t="s">
        <v>1099</v>
      </c>
      <c r="AS639" s="783"/>
    </row>
    <row r="640" spans="1:45" x14ac:dyDescent="0.25">
      <c r="A640" s="455">
        <f t="shared" si="9"/>
        <v>33.466666666666669</v>
      </c>
      <c r="B640" s="778">
        <v>41305</v>
      </c>
      <c r="C640" s="779" t="s">
        <v>571</v>
      </c>
      <c r="D640" s="442" t="s">
        <v>571</v>
      </c>
      <c r="E640" s="785" t="s">
        <v>380</v>
      </c>
      <c r="F640" s="435" t="s">
        <v>310</v>
      </c>
      <c r="G640" s="435" t="s">
        <v>347</v>
      </c>
      <c r="H640" s="442"/>
      <c r="I640" s="442"/>
      <c r="J640" s="442"/>
      <c r="K640" s="785"/>
      <c r="L640" s="786"/>
      <c r="M640" s="443">
        <v>358</v>
      </c>
      <c r="N640" s="443"/>
      <c r="O640" s="443"/>
      <c r="P640" s="786">
        <v>0</v>
      </c>
      <c r="Q640" s="443">
        <v>0</v>
      </c>
      <c r="R640" s="442"/>
      <c r="S640" s="442"/>
      <c r="T640" s="442"/>
      <c r="U640" s="442"/>
      <c r="V640" s="442"/>
      <c r="W640" s="436">
        <f>IF(NFI_Expiration=1,IF($A640&lt;VLOOKUP(H$5,NFI,5,0),1,0)*Table_NFI[[#This Row],[Hygiene Kit]],Table_NFI[Hygiene Kit])</f>
        <v>0</v>
      </c>
      <c r="X640" s="436">
        <f>IF(NFI_Expiration=1,IF($A640&lt;VLOOKUP(I$5,NFI,5,0),1,0)*Table_NFI[[#This Row],[NFI Core Kit]],Table_NFI[NFI Core Kit])</f>
        <v>0</v>
      </c>
      <c r="Y640" s="436">
        <f>IF(NFI_Expiration=1,IF($A640&lt;VLOOKUP(J$5,NFI,5,0),1,0)*Table_NFI[[#This Row],[Sanitary Kit]],Table_NFI[Sanitary Kit])</f>
        <v>0</v>
      </c>
      <c r="Z640" s="436">
        <f>IF(NFI_Expiration=1,IF($A640&lt;VLOOKUP(K$5,NFI,5,0),1,0)*Table_NFI[[#This Row],[Mosquito net]],Table_NFI[Mosquito net])</f>
        <v>0</v>
      </c>
      <c r="AA640" s="436">
        <f>IF(NFI_Expiration=1,IF($A640&lt;VLOOKUP(L$5,NFI,5,0),1,0)*Table_NFI[[#This Row],[Tarpaulin]],Table_NFI[[#This Row],[Tarpaulin]])</f>
        <v>0</v>
      </c>
      <c r="AB640" s="436">
        <f>IF(NFI_Expiration=1,IF($A640&lt;VLOOKUP(M$5,NFI,5,0),1,0)*Table_NFI[[#This Row],[Blanket]],Table_NFI[[#This Row],[Blanket]])</f>
        <v>0</v>
      </c>
      <c r="AC640" s="436">
        <f>IF(NFI_Expiration=1,IF($A640&lt;VLOOKUP(N$5,NFI,5,0),1,0)*Table_NFI[[#This Row],[Kitchen Set]],Table_NFI[Kitchen Set])</f>
        <v>0</v>
      </c>
      <c r="AD640" s="436">
        <f>IF(NFI_Expiration=1,IF($A640&lt;VLOOKUP(O$5,NFI,5,0),1,0)*Table_NFI[[#This Row],[Clothes Kit]],Table_NFI[Clothes Kit])</f>
        <v>0</v>
      </c>
      <c r="AE640" s="436">
        <f>IF(NFI_Expiration=1,IF($A640&lt;VLOOKUP(P$5,NFI,5,0),1,0)*Table_NFI[[#This Row],[Plastic Bucket]],Table_NFI[Plastic Bucket])</f>
        <v>0</v>
      </c>
      <c r="AF640" s="436">
        <f>IF(NFI_Expiration=1,IF($A640&lt;VLOOKUP(Q$5,NFI,5,0),1,0)*Table_NFI[[#This Row],[Plastic Mat]],Table_NFI[Plastic Mat])*IF(Table_NFI[[#This Row],[Distribution Date]]&gt;"2014-04-01",1,2.5)</f>
        <v>0</v>
      </c>
      <c r="AG640" s="436">
        <f>IF(NFI_Expiration=1,IF($A640&lt;VLOOKUP(R$5,NFI,5,0),1,0)*Table_NFI[[#This Row],[Winter Clothes Adult]],Table_NFI[Winter Clothes Adult])</f>
        <v>0</v>
      </c>
      <c r="AH640" s="436">
        <f>IF(NFI_Expiration=1,IF($A640&lt;VLOOKUP(S$5,NFI,5,0),1,0)*Table_NFI[[#This Row],[Winter Clothes Children]],Table_NFI[Winter Clothes Children])</f>
        <v>0</v>
      </c>
      <c r="AI640" s="436">
        <f>IF(NFI_Expiration=1,IF($A640&lt;VLOOKUP(T$5,NFI,5,0),1,0)*Table_NFI[[#This Row],[Winter Items Other]],Table_NFI[Winter Items Other])</f>
        <v>0</v>
      </c>
      <c r="AJ640" s="436">
        <f>IF(NFI_Expiration=1,IF($A640&lt;VLOOKUP(M$5,NFI,5,0),1,0)*Table_NFI[[#This Row],[Winter Blanket]],Table_NFI[[#This Row],[Winter Blanket]])</f>
        <v>0</v>
      </c>
      <c r="AK640" s="436">
        <f>IF(Table_NFI[[#This Row],[Winter Clothes Adult]]+Table_NFI[[#This Row],[Winter Clothes Children]]+Table_NFI[[#This Row],[Winter Items Other]]+Table_NFI[[#This Row],[Winter Blanket]]&gt;0,1,0)</f>
        <v>0</v>
      </c>
      <c r="AL640" s="439">
        <f>IF(NFI_Expiration=1,IF($A640&lt;VLOOKUP(V$5,NFI,5,0),1,0)*Table_NFI[[#This Row],[Jerry Can]],Table_NFI[Jerry Can])</f>
        <v>0</v>
      </c>
      <c r="AM640" s="781" t="str">
        <f>IFERROR(VLOOKUP(Table_NFI[[#This Row],[Camp Name]],CL,2,0),"")</f>
        <v>MMR001CMP041</v>
      </c>
      <c r="AN640" s="782">
        <f ca="1">IF(Table_NFI[[#This Row],[Pcode]]="","",IF(OFFSET(CampList[Opening Date],MATCH(Table_NFI[[#This Row],[Pcode]],CampList[CP_Pcode],0)-1,0,1,1)&gt;=NFI_Monitor_Date,1,0))</f>
        <v>0</v>
      </c>
      <c r="AO640" s="781" t="str">
        <f>IFERROR(VLOOKUP(Table_NFI[[#This Row],[Camp Name]],CL,3,0),"")</f>
        <v>Open</v>
      </c>
      <c r="AP640" s="436" t="str">
        <f ca="1">IF(Table_NFI[[#This Row],[Pcode]]="","",OFFSET(CampList[Priority],MATCH(Table_NFI[[#This Row],[Pcode]],CampList[CP_Pcode],0)-1,0,1,1))</f>
        <v>P1</v>
      </c>
      <c r="AQ640" s="438">
        <f>IFERROR(Table_NFI[[#This Row],[Kitchen Set]]/VLOOKUP(Table_NFI[[#This Row],[Camp Name]],CL,4,0),"")</f>
        <v>0</v>
      </c>
      <c r="AR640" s="779" t="s">
        <v>1099</v>
      </c>
      <c r="AS640" s="783"/>
    </row>
    <row r="641" spans="1:45" x14ac:dyDescent="0.25">
      <c r="A641" s="455">
        <f t="shared" si="9"/>
        <v>33.466666666666669</v>
      </c>
      <c r="B641" s="778">
        <v>41305</v>
      </c>
      <c r="C641" s="779" t="s">
        <v>571</v>
      </c>
      <c r="D641" s="442" t="s">
        <v>571</v>
      </c>
      <c r="E641" s="779" t="s">
        <v>380</v>
      </c>
      <c r="F641" s="435" t="s">
        <v>310</v>
      </c>
      <c r="G641" s="435" t="s">
        <v>349</v>
      </c>
      <c r="H641" s="442"/>
      <c r="I641" s="442"/>
      <c r="J641" s="442"/>
      <c r="K641" s="785"/>
      <c r="L641" s="786"/>
      <c r="M641" s="443">
        <v>122</v>
      </c>
      <c r="N641" s="443"/>
      <c r="O641" s="443"/>
      <c r="P641" s="786">
        <v>0</v>
      </c>
      <c r="Q641" s="443">
        <v>0</v>
      </c>
      <c r="R641" s="442"/>
      <c r="S641" s="442"/>
      <c r="T641" s="442"/>
      <c r="U641" s="442"/>
      <c r="V641" s="442"/>
      <c r="W641" s="436">
        <f>IF(NFI_Expiration=1,IF($A641&lt;VLOOKUP(H$5,NFI,5,0),1,0)*Table_NFI[[#This Row],[Hygiene Kit]],Table_NFI[Hygiene Kit])</f>
        <v>0</v>
      </c>
      <c r="X641" s="436">
        <f>IF(NFI_Expiration=1,IF($A641&lt;VLOOKUP(I$5,NFI,5,0),1,0)*Table_NFI[[#This Row],[NFI Core Kit]],Table_NFI[NFI Core Kit])</f>
        <v>0</v>
      </c>
      <c r="Y641" s="436">
        <f>IF(NFI_Expiration=1,IF($A641&lt;VLOOKUP(J$5,NFI,5,0),1,0)*Table_NFI[[#This Row],[Sanitary Kit]],Table_NFI[Sanitary Kit])</f>
        <v>0</v>
      </c>
      <c r="Z641" s="436">
        <f>IF(NFI_Expiration=1,IF($A641&lt;VLOOKUP(K$5,NFI,5,0),1,0)*Table_NFI[[#This Row],[Mosquito net]],Table_NFI[Mosquito net])</f>
        <v>0</v>
      </c>
      <c r="AA641" s="436">
        <f>IF(NFI_Expiration=1,IF($A641&lt;VLOOKUP(L$5,NFI,5,0),1,0)*Table_NFI[[#This Row],[Tarpaulin]],Table_NFI[[#This Row],[Tarpaulin]])</f>
        <v>0</v>
      </c>
      <c r="AB641" s="436">
        <f>IF(NFI_Expiration=1,IF($A641&lt;VLOOKUP(M$5,NFI,5,0),1,0)*Table_NFI[[#This Row],[Blanket]],Table_NFI[[#This Row],[Blanket]])</f>
        <v>0</v>
      </c>
      <c r="AC641" s="436">
        <f>IF(NFI_Expiration=1,IF($A641&lt;VLOOKUP(N$5,NFI,5,0),1,0)*Table_NFI[[#This Row],[Kitchen Set]],Table_NFI[Kitchen Set])</f>
        <v>0</v>
      </c>
      <c r="AD641" s="436">
        <f>IF(NFI_Expiration=1,IF($A641&lt;VLOOKUP(O$5,NFI,5,0),1,0)*Table_NFI[[#This Row],[Clothes Kit]],Table_NFI[Clothes Kit])</f>
        <v>0</v>
      </c>
      <c r="AE641" s="436">
        <f>IF(NFI_Expiration=1,IF($A641&lt;VLOOKUP(P$5,NFI,5,0),1,0)*Table_NFI[[#This Row],[Plastic Bucket]],Table_NFI[Plastic Bucket])</f>
        <v>0</v>
      </c>
      <c r="AF641" s="436">
        <f>IF(NFI_Expiration=1,IF($A641&lt;VLOOKUP(Q$5,NFI,5,0),1,0)*Table_NFI[[#This Row],[Plastic Mat]],Table_NFI[Plastic Mat])*IF(Table_NFI[[#This Row],[Distribution Date]]&gt;"2014-04-01",1,2.5)</f>
        <v>0</v>
      </c>
      <c r="AG641" s="436">
        <f>IF(NFI_Expiration=1,IF($A641&lt;VLOOKUP(R$5,NFI,5,0),1,0)*Table_NFI[[#This Row],[Winter Clothes Adult]],Table_NFI[Winter Clothes Adult])</f>
        <v>0</v>
      </c>
      <c r="AH641" s="436">
        <f>IF(NFI_Expiration=1,IF($A641&lt;VLOOKUP(S$5,NFI,5,0),1,0)*Table_NFI[[#This Row],[Winter Clothes Children]],Table_NFI[Winter Clothes Children])</f>
        <v>0</v>
      </c>
      <c r="AI641" s="436">
        <f>IF(NFI_Expiration=1,IF($A641&lt;VLOOKUP(T$5,NFI,5,0),1,0)*Table_NFI[[#This Row],[Winter Items Other]],Table_NFI[Winter Items Other])</f>
        <v>0</v>
      </c>
      <c r="AJ641" s="436">
        <f>IF(NFI_Expiration=1,IF($A641&lt;VLOOKUP(M$5,NFI,5,0),1,0)*Table_NFI[[#This Row],[Winter Blanket]],Table_NFI[[#This Row],[Winter Blanket]])</f>
        <v>0</v>
      </c>
      <c r="AK641" s="436">
        <f>IF(Table_NFI[[#This Row],[Winter Clothes Adult]]+Table_NFI[[#This Row],[Winter Clothes Children]]+Table_NFI[[#This Row],[Winter Items Other]]+Table_NFI[[#This Row],[Winter Blanket]]&gt;0,1,0)</f>
        <v>0</v>
      </c>
      <c r="AL641" s="439">
        <f>IF(NFI_Expiration=1,IF($A641&lt;VLOOKUP(V$5,NFI,5,0),1,0)*Table_NFI[[#This Row],[Jerry Can]],Table_NFI[Jerry Can])</f>
        <v>0</v>
      </c>
      <c r="AM641" s="781" t="str">
        <f>IFERROR(VLOOKUP(Table_NFI[[#This Row],[Camp Name]],CL,2,0),"")</f>
        <v>MMR001CMP037</v>
      </c>
      <c r="AN641" s="782">
        <f ca="1">IF(Table_NFI[[#This Row],[Pcode]]="","",IF(OFFSET(CampList[Opening Date],MATCH(Table_NFI[[#This Row],[Pcode]],CampList[CP_Pcode],0)-1,0,1,1)&gt;=NFI_Monitor_Date,1,0))</f>
        <v>0</v>
      </c>
      <c r="AO641" s="781" t="str">
        <f>IFERROR(VLOOKUP(Table_NFI[[#This Row],[Camp Name]],CL,3,0),"")</f>
        <v>Open</v>
      </c>
      <c r="AP641" s="436" t="str">
        <f ca="1">IF(Table_NFI[[#This Row],[Pcode]]="","",OFFSET(CampList[Priority],MATCH(Table_NFI[[#This Row],[Pcode]],CampList[CP_Pcode],0)-1,0,1,1))</f>
        <v>P4</v>
      </c>
      <c r="AQ641" s="438">
        <f>IFERROR(Table_NFI[[#This Row],[Kitchen Set]]/VLOOKUP(Table_NFI[[#This Row],[Camp Name]],CL,4,0),"")</f>
        <v>0</v>
      </c>
      <c r="AR641" s="779" t="s">
        <v>1099</v>
      </c>
      <c r="AS641" s="783"/>
    </row>
    <row r="642" spans="1:45" x14ac:dyDescent="0.25">
      <c r="A642" s="455">
        <f t="shared" si="9"/>
        <v>33.466666666666669</v>
      </c>
      <c r="B642" s="778">
        <v>41305</v>
      </c>
      <c r="C642" s="779" t="s">
        <v>571</v>
      </c>
      <c r="D642" s="442" t="s">
        <v>571</v>
      </c>
      <c r="E642" s="785" t="s">
        <v>380</v>
      </c>
      <c r="F642" s="435" t="s">
        <v>310</v>
      </c>
      <c r="G642" s="435" t="s">
        <v>316</v>
      </c>
      <c r="H642" s="442"/>
      <c r="I642" s="442"/>
      <c r="J642" s="442"/>
      <c r="K642" s="785"/>
      <c r="L642" s="786"/>
      <c r="M642" s="443">
        <v>104</v>
      </c>
      <c r="N642" s="443"/>
      <c r="O642" s="443"/>
      <c r="P642" s="786">
        <v>0</v>
      </c>
      <c r="Q642" s="443">
        <v>0</v>
      </c>
      <c r="R642" s="442"/>
      <c r="S642" s="442"/>
      <c r="T642" s="442"/>
      <c r="U642" s="442"/>
      <c r="V642" s="442"/>
      <c r="W642" s="436">
        <f>IF(NFI_Expiration=1,IF($A642&lt;VLOOKUP(H$5,NFI,5,0),1,0)*Table_NFI[[#This Row],[Hygiene Kit]],Table_NFI[Hygiene Kit])</f>
        <v>0</v>
      </c>
      <c r="X642" s="436">
        <f>IF(NFI_Expiration=1,IF($A642&lt;VLOOKUP(I$5,NFI,5,0),1,0)*Table_NFI[[#This Row],[NFI Core Kit]],Table_NFI[NFI Core Kit])</f>
        <v>0</v>
      </c>
      <c r="Y642" s="436">
        <f>IF(NFI_Expiration=1,IF($A642&lt;VLOOKUP(J$5,NFI,5,0),1,0)*Table_NFI[[#This Row],[Sanitary Kit]],Table_NFI[Sanitary Kit])</f>
        <v>0</v>
      </c>
      <c r="Z642" s="436">
        <f>IF(NFI_Expiration=1,IF($A642&lt;VLOOKUP(K$5,NFI,5,0),1,0)*Table_NFI[[#This Row],[Mosquito net]],Table_NFI[Mosquito net])</f>
        <v>0</v>
      </c>
      <c r="AA642" s="436">
        <f>IF(NFI_Expiration=1,IF($A642&lt;VLOOKUP(L$5,NFI,5,0),1,0)*Table_NFI[[#This Row],[Tarpaulin]],Table_NFI[[#This Row],[Tarpaulin]])</f>
        <v>0</v>
      </c>
      <c r="AB642" s="436">
        <f>IF(NFI_Expiration=1,IF($A642&lt;VLOOKUP(M$5,NFI,5,0),1,0)*Table_NFI[[#This Row],[Blanket]],Table_NFI[[#This Row],[Blanket]])</f>
        <v>0</v>
      </c>
      <c r="AC642" s="436">
        <f>IF(NFI_Expiration=1,IF($A642&lt;VLOOKUP(N$5,NFI,5,0),1,0)*Table_NFI[[#This Row],[Kitchen Set]],Table_NFI[Kitchen Set])</f>
        <v>0</v>
      </c>
      <c r="AD642" s="436">
        <f>IF(NFI_Expiration=1,IF($A642&lt;VLOOKUP(O$5,NFI,5,0),1,0)*Table_NFI[[#This Row],[Clothes Kit]],Table_NFI[Clothes Kit])</f>
        <v>0</v>
      </c>
      <c r="AE642" s="436">
        <f>IF(NFI_Expiration=1,IF($A642&lt;VLOOKUP(P$5,NFI,5,0),1,0)*Table_NFI[[#This Row],[Plastic Bucket]],Table_NFI[Plastic Bucket])</f>
        <v>0</v>
      </c>
      <c r="AF642" s="436">
        <f>IF(NFI_Expiration=1,IF($A642&lt;VLOOKUP(Q$5,NFI,5,0),1,0)*Table_NFI[[#This Row],[Plastic Mat]],Table_NFI[Plastic Mat])*IF(Table_NFI[[#This Row],[Distribution Date]]&gt;"2014-04-01",1,2.5)</f>
        <v>0</v>
      </c>
      <c r="AG642" s="436">
        <f>IF(NFI_Expiration=1,IF($A642&lt;VLOOKUP(R$5,NFI,5,0),1,0)*Table_NFI[[#This Row],[Winter Clothes Adult]],Table_NFI[Winter Clothes Adult])</f>
        <v>0</v>
      </c>
      <c r="AH642" s="436">
        <f>IF(NFI_Expiration=1,IF($A642&lt;VLOOKUP(S$5,NFI,5,0),1,0)*Table_NFI[[#This Row],[Winter Clothes Children]],Table_NFI[Winter Clothes Children])</f>
        <v>0</v>
      </c>
      <c r="AI642" s="436">
        <f>IF(NFI_Expiration=1,IF($A642&lt;VLOOKUP(T$5,NFI,5,0),1,0)*Table_NFI[[#This Row],[Winter Items Other]],Table_NFI[Winter Items Other])</f>
        <v>0</v>
      </c>
      <c r="AJ642" s="436">
        <f>IF(NFI_Expiration=1,IF($A642&lt;VLOOKUP(M$5,NFI,5,0),1,0)*Table_NFI[[#This Row],[Winter Blanket]],Table_NFI[[#This Row],[Winter Blanket]])</f>
        <v>0</v>
      </c>
      <c r="AK642" s="436">
        <f>IF(Table_NFI[[#This Row],[Winter Clothes Adult]]+Table_NFI[[#This Row],[Winter Clothes Children]]+Table_NFI[[#This Row],[Winter Items Other]]+Table_NFI[[#This Row],[Winter Blanket]]&gt;0,1,0)</f>
        <v>0</v>
      </c>
      <c r="AL642" s="439">
        <f>IF(NFI_Expiration=1,IF($A642&lt;VLOOKUP(V$5,NFI,5,0),1,0)*Table_NFI[[#This Row],[Jerry Can]],Table_NFI[Jerry Can])</f>
        <v>0</v>
      </c>
      <c r="AM642" s="781" t="str">
        <f>IFERROR(VLOOKUP(Table_NFI[[#This Row],[Camp Name]],CL,2,0),"")</f>
        <v>MMR001CMP038</v>
      </c>
      <c r="AN642" s="782">
        <f ca="1">IF(Table_NFI[[#This Row],[Pcode]]="","",IF(OFFSET(CampList[Opening Date],MATCH(Table_NFI[[#This Row],[Pcode]],CampList[CP_Pcode],0)-1,0,1,1)&gt;=NFI_Monitor_Date,1,0))</f>
        <v>0</v>
      </c>
      <c r="AO642" s="781" t="str">
        <f>IFERROR(VLOOKUP(Table_NFI[[#This Row],[Camp Name]],CL,3,0),"")</f>
        <v>Open</v>
      </c>
      <c r="AP642" s="436" t="str">
        <f ca="1">IF(Table_NFI[[#This Row],[Pcode]]="","",OFFSET(CampList[Priority],MATCH(Table_NFI[[#This Row],[Pcode]],CampList[CP_Pcode],0)-1,0,1,1))</f>
        <v>P4</v>
      </c>
      <c r="AQ642" s="438">
        <f>IFERROR(Table_NFI[[#This Row],[Kitchen Set]]/VLOOKUP(Table_NFI[[#This Row],[Camp Name]],CL,4,0),"")</f>
        <v>0</v>
      </c>
      <c r="AR642" s="779" t="s">
        <v>1099</v>
      </c>
      <c r="AS642" s="783"/>
    </row>
    <row r="643" spans="1:45" x14ac:dyDescent="0.25">
      <c r="A643" s="455">
        <f t="shared" si="9"/>
        <v>33.466666666666669</v>
      </c>
      <c r="B643" s="778">
        <v>41305</v>
      </c>
      <c r="C643" s="779" t="s">
        <v>571</v>
      </c>
      <c r="D643" s="442" t="s">
        <v>571</v>
      </c>
      <c r="E643" s="785" t="s">
        <v>380</v>
      </c>
      <c r="F643" s="785" t="s">
        <v>310</v>
      </c>
      <c r="G643" s="435" t="s">
        <v>311</v>
      </c>
      <c r="H643" s="442"/>
      <c r="I643" s="442"/>
      <c r="J643" s="442"/>
      <c r="K643" s="785"/>
      <c r="L643" s="786"/>
      <c r="M643" s="443">
        <v>224</v>
      </c>
      <c r="N643" s="443"/>
      <c r="O643" s="443"/>
      <c r="P643" s="786">
        <v>0</v>
      </c>
      <c r="Q643" s="443">
        <v>0</v>
      </c>
      <c r="R643" s="442"/>
      <c r="S643" s="442"/>
      <c r="T643" s="442"/>
      <c r="U643" s="442"/>
      <c r="V643" s="442"/>
      <c r="W643" s="436">
        <f>IF(NFI_Expiration=1,IF($A643&lt;VLOOKUP(H$5,NFI,5,0),1,0)*Table_NFI[[#This Row],[Hygiene Kit]],Table_NFI[Hygiene Kit])</f>
        <v>0</v>
      </c>
      <c r="X643" s="436">
        <f>IF(NFI_Expiration=1,IF($A643&lt;VLOOKUP(I$5,NFI,5,0),1,0)*Table_NFI[[#This Row],[NFI Core Kit]],Table_NFI[NFI Core Kit])</f>
        <v>0</v>
      </c>
      <c r="Y643" s="436">
        <f>IF(NFI_Expiration=1,IF($A643&lt;VLOOKUP(J$5,NFI,5,0),1,0)*Table_NFI[[#This Row],[Sanitary Kit]],Table_NFI[Sanitary Kit])</f>
        <v>0</v>
      </c>
      <c r="Z643" s="436">
        <f>IF(NFI_Expiration=1,IF($A643&lt;VLOOKUP(K$5,NFI,5,0),1,0)*Table_NFI[[#This Row],[Mosquito net]],Table_NFI[Mosquito net])</f>
        <v>0</v>
      </c>
      <c r="AA643" s="436">
        <f>IF(NFI_Expiration=1,IF($A643&lt;VLOOKUP(L$5,NFI,5,0),1,0)*Table_NFI[[#This Row],[Tarpaulin]],Table_NFI[[#This Row],[Tarpaulin]])</f>
        <v>0</v>
      </c>
      <c r="AB643" s="436">
        <f>IF(NFI_Expiration=1,IF($A643&lt;VLOOKUP(M$5,NFI,5,0),1,0)*Table_NFI[[#This Row],[Blanket]],Table_NFI[[#This Row],[Blanket]])</f>
        <v>0</v>
      </c>
      <c r="AC643" s="436">
        <f>IF(NFI_Expiration=1,IF($A643&lt;VLOOKUP(N$5,NFI,5,0),1,0)*Table_NFI[[#This Row],[Kitchen Set]],Table_NFI[Kitchen Set])</f>
        <v>0</v>
      </c>
      <c r="AD643" s="436">
        <f>IF(NFI_Expiration=1,IF($A643&lt;VLOOKUP(O$5,NFI,5,0),1,0)*Table_NFI[[#This Row],[Clothes Kit]],Table_NFI[Clothes Kit])</f>
        <v>0</v>
      </c>
      <c r="AE643" s="436">
        <f>IF(NFI_Expiration=1,IF($A643&lt;VLOOKUP(P$5,NFI,5,0),1,0)*Table_NFI[[#This Row],[Plastic Bucket]],Table_NFI[Plastic Bucket])</f>
        <v>0</v>
      </c>
      <c r="AF643" s="436">
        <f>IF(NFI_Expiration=1,IF($A643&lt;VLOOKUP(Q$5,NFI,5,0),1,0)*Table_NFI[[#This Row],[Plastic Mat]],Table_NFI[Plastic Mat])*IF(Table_NFI[[#This Row],[Distribution Date]]&gt;"2014-04-01",1,2.5)</f>
        <v>0</v>
      </c>
      <c r="AG643" s="436">
        <f>IF(NFI_Expiration=1,IF($A643&lt;VLOOKUP(R$5,NFI,5,0),1,0)*Table_NFI[[#This Row],[Winter Clothes Adult]],Table_NFI[Winter Clothes Adult])</f>
        <v>0</v>
      </c>
      <c r="AH643" s="436">
        <f>IF(NFI_Expiration=1,IF($A643&lt;VLOOKUP(S$5,NFI,5,0),1,0)*Table_NFI[[#This Row],[Winter Clothes Children]],Table_NFI[Winter Clothes Children])</f>
        <v>0</v>
      </c>
      <c r="AI643" s="436">
        <f>IF(NFI_Expiration=1,IF($A643&lt;VLOOKUP(T$5,NFI,5,0),1,0)*Table_NFI[[#This Row],[Winter Items Other]],Table_NFI[Winter Items Other])</f>
        <v>0</v>
      </c>
      <c r="AJ643" s="436">
        <f>IF(NFI_Expiration=1,IF($A643&lt;VLOOKUP(M$5,NFI,5,0),1,0)*Table_NFI[[#This Row],[Winter Blanket]],Table_NFI[[#This Row],[Winter Blanket]])</f>
        <v>0</v>
      </c>
      <c r="AK643" s="436">
        <f>IF(Table_NFI[[#This Row],[Winter Clothes Adult]]+Table_NFI[[#This Row],[Winter Clothes Children]]+Table_NFI[[#This Row],[Winter Items Other]]+Table_NFI[[#This Row],[Winter Blanket]]&gt;0,1,0)</f>
        <v>0</v>
      </c>
      <c r="AL643" s="439">
        <f>IF(NFI_Expiration=1,IF($A643&lt;VLOOKUP(V$5,NFI,5,0),1,0)*Table_NFI[[#This Row],[Jerry Can]],Table_NFI[Jerry Can])</f>
        <v>0</v>
      </c>
      <c r="AM643" s="781" t="str">
        <f>IFERROR(VLOOKUP(Table_NFI[[#This Row],[Camp Name]],CL,2,0),"")</f>
        <v>MMR001CMP036</v>
      </c>
      <c r="AN643" s="782">
        <f ca="1">IF(Table_NFI[[#This Row],[Pcode]]="","",IF(OFFSET(CampList[Opening Date],MATCH(Table_NFI[[#This Row],[Pcode]],CampList[CP_Pcode],0)-1,0,1,1)&gt;=NFI_Monitor_Date,1,0))</f>
        <v>0</v>
      </c>
      <c r="AO643" s="781" t="str">
        <f>IFERROR(VLOOKUP(Table_NFI[[#This Row],[Camp Name]],CL,3,0),"")</f>
        <v>Open</v>
      </c>
      <c r="AP643" s="436" t="str">
        <f ca="1">IF(Table_NFI[[#This Row],[Pcode]]="","",OFFSET(CampList[Priority],MATCH(Table_NFI[[#This Row],[Pcode]],CampList[CP_Pcode],0)-1,0,1,1))</f>
        <v>P4</v>
      </c>
      <c r="AQ643" s="438" t="str">
        <f>IFERROR(Table_NFI[[#This Row],[Kitchen Set]]/VLOOKUP(Table_NFI[[#This Row],[Camp Name]],CL,4,0),"")</f>
        <v/>
      </c>
      <c r="AR643" s="779" t="s">
        <v>1099</v>
      </c>
      <c r="AS643" s="783"/>
    </row>
    <row r="644" spans="1:45" ht="16.149999999999999" customHeight="1" x14ac:dyDescent="0.25">
      <c r="A644" s="455">
        <f t="shared" si="9"/>
        <v>33.5</v>
      </c>
      <c r="B644" s="778">
        <v>41304</v>
      </c>
      <c r="C644" s="779" t="s">
        <v>912</v>
      </c>
      <c r="D644" s="779" t="s">
        <v>912</v>
      </c>
      <c r="E644" s="779" t="s">
        <v>380</v>
      </c>
      <c r="F644" s="435" t="s">
        <v>302</v>
      </c>
      <c r="G644" s="435" t="s">
        <v>306</v>
      </c>
      <c r="H644" s="436">
        <v>272</v>
      </c>
      <c r="I644" s="436"/>
      <c r="J644" s="436">
        <v>280</v>
      </c>
      <c r="K644" s="436"/>
      <c r="L644" s="437"/>
      <c r="M644" s="437"/>
      <c r="N644" s="437"/>
      <c r="O644" s="437"/>
      <c r="P644" s="439">
        <v>0</v>
      </c>
      <c r="Q644" s="439">
        <v>0</v>
      </c>
      <c r="R644" s="436"/>
      <c r="S644" s="436"/>
      <c r="T644" s="436"/>
      <c r="U644" s="436"/>
      <c r="V644" s="436"/>
      <c r="W644" s="436">
        <f>IF(NFI_Expiration=1,IF($A644&lt;VLOOKUP(H$5,NFI,5,0),1,0)*Table_NFI[[#This Row],[Hygiene Kit]],Table_NFI[Hygiene Kit])</f>
        <v>0</v>
      </c>
      <c r="X644" s="436">
        <f>IF(NFI_Expiration=1,IF($A644&lt;VLOOKUP(I$5,NFI,5,0),1,0)*Table_NFI[[#This Row],[NFI Core Kit]],Table_NFI[NFI Core Kit])</f>
        <v>0</v>
      </c>
      <c r="Y644" s="436">
        <f>IF(NFI_Expiration=1,IF($A644&lt;VLOOKUP(J$5,NFI,5,0),1,0)*Table_NFI[[#This Row],[Sanitary Kit]],Table_NFI[Sanitary Kit])</f>
        <v>0</v>
      </c>
      <c r="Z644" s="436">
        <f>IF(NFI_Expiration=1,IF($A644&lt;VLOOKUP(K$5,NFI,5,0),1,0)*Table_NFI[[#This Row],[Mosquito net]],Table_NFI[Mosquito net])</f>
        <v>0</v>
      </c>
      <c r="AA644" s="436">
        <f>IF(NFI_Expiration=1,IF($A644&lt;VLOOKUP(L$5,NFI,5,0),1,0)*Table_NFI[[#This Row],[Tarpaulin]],Table_NFI[[#This Row],[Tarpaulin]])</f>
        <v>0</v>
      </c>
      <c r="AB644" s="436">
        <f>IF(NFI_Expiration=1,IF($A644&lt;VLOOKUP(M$5,NFI,5,0),1,0)*Table_NFI[[#This Row],[Blanket]],Table_NFI[[#This Row],[Blanket]])</f>
        <v>0</v>
      </c>
      <c r="AC644" s="436">
        <f>IF(NFI_Expiration=1,IF($A644&lt;VLOOKUP(N$5,NFI,5,0),1,0)*Table_NFI[[#This Row],[Kitchen Set]],Table_NFI[Kitchen Set])</f>
        <v>0</v>
      </c>
      <c r="AD644" s="436">
        <f>IF(NFI_Expiration=1,IF($A644&lt;VLOOKUP(O$5,NFI,5,0),1,0)*Table_NFI[[#This Row],[Clothes Kit]],Table_NFI[Clothes Kit])</f>
        <v>0</v>
      </c>
      <c r="AE644" s="436">
        <f>IF(NFI_Expiration=1,IF($A644&lt;VLOOKUP(P$5,NFI,5,0),1,0)*Table_NFI[[#This Row],[Plastic Bucket]],Table_NFI[Plastic Bucket])</f>
        <v>0</v>
      </c>
      <c r="AF644" s="436">
        <f>IF(NFI_Expiration=1,IF($A644&lt;VLOOKUP(Q$5,NFI,5,0),1,0)*Table_NFI[[#This Row],[Plastic Mat]],Table_NFI[Plastic Mat])*IF(Table_NFI[[#This Row],[Distribution Date]]&gt;"2014-04-01",1,2.5)</f>
        <v>0</v>
      </c>
      <c r="AG644" s="436">
        <f>IF(NFI_Expiration=1,IF($A644&lt;VLOOKUP(R$5,NFI,5,0),1,0)*Table_NFI[[#This Row],[Winter Clothes Adult]],Table_NFI[Winter Clothes Adult])</f>
        <v>0</v>
      </c>
      <c r="AH644" s="436">
        <f>IF(NFI_Expiration=1,IF($A644&lt;VLOOKUP(S$5,NFI,5,0),1,0)*Table_NFI[[#This Row],[Winter Clothes Children]],Table_NFI[Winter Clothes Children])</f>
        <v>0</v>
      </c>
      <c r="AI644" s="436">
        <f>IF(NFI_Expiration=1,IF($A644&lt;VLOOKUP(T$5,NFI,5,0),1,0)*Table_NFI[[#This Row],[Winter Items Other]],Table_NFI[Winter Items Other])</f>
        <v>0</v>
      </c>
      <c r="AJ644" s="436">
        <f>IF(NFI_Expiration=1,IF($A644&lt;VLOOKUP(M$5,NFI,5,0),1,0)*Table_NFI[[#This Row],[Winter Blanket]],Table_NFI[[#This Row],[Winter Blanket]])</f>
        <v>0</v>
      </c>
      <c r="AK644" s="436">
        <f>IF(Table_NFI[[#This Row],[Winter Clothes Adult]]+Table_NFI[[#This Row],[Winter Clothes Children]]+Table_NFI[[#This Row],[Winter Items Other]]+Table_NFI[[#This Row],[Winter Blanket]]&gt;0,1,0)</f>
        <v>0</v>
      </c>
      <c r="AL644" s="439">
        <f>IF(NFI_Expiration=1,IF($A644&lt;VLOOKUP(V$5,NFI,5,0),1,0)*Table_NFI[[#This Row],[Jerry Can]],Table_NFI[Jerry Can])</f>
        <v>0</v>
      </c>
      <c r="AM644" s="781" t="str">
        <f>IFERROR(VLOOKUP(Table_NFI[[#This Row],[Camp Name]],CL,2,0),"")</f>
        <v>MMR001CMP067</v>
      </c>
      <c r="AN644" s="782">
        <f ca="1">IF(Table_NFI[[#This Row],[Pcode]]="","",IF(OFFSET(CampList[Opening Date],MATCH(Table_NFI[[#This Row],[Pcode]],CampList[CP_Pcode],0)-1,0,1,1)&gt;=NFI_Monitor_Date,1,0))</f>
        <v>0</v>
      </c>
      <c r="AO644" s="781" t="str">
        <f>IFERROR(VLOOKUP(Table_NFI[[#This Row],[Camp Name]],CL,3,0),"")</f>
        <v>Open</v>
      </c>
      <c r="AP644" s="436" t="str">
        <f ca="1">IF(Table_NFI[[#This Row],[Pcode]]="","",OFFSET(CampList[Priority],MATCH(Table_NFI[[#This Row],[Pcode]],CampList[CP_Pcode],0)-1,0,1,1))</f>
        <v>P4</v>
      </c>
      <c r="AQ644" s="438">
        <f>IFERROR(Table_NFI[[#This Row],[Kitchen Set]]/VLOOKUP(Table_NFI[[#This Row],[Camp Name]],CL,4,0),"")</f>
        <v>0</v>
      </c>
      <c r="AR644" s="779" t="s">
        <v>1099</v>
      </c>
      <c r="AS644" s="783"/>
    </row>
    <row r="645" spans="1:45" ht="13.9" customHeight="1" x14ac:dyDescent="0.25">
      <c r="A645" s="455">
        <f t="shared" si="9"/>
        <v>33.533333333333331</v>
      </c>
      <c r="B645" s="778">
        <v>41303</v>
      </c>
      <c r="C645" s="779" t="s">
        <v>912</v>
      </c>
      <c r="D645" s="780" t="s">
        <v>912</v>
      </c>
      <c r="E645" s="779" t="s">
        <v>380</v>
      </c>
      <c r="F645" s="435" t="s">
        <v>302</v>
      </c>
      <c r="G645" s="435" t="s">
        <v>308</v>
      </c>
      <c r="H645" s="436">
        <v>177</v>
      </c>
      <c r="I645" s="436"/>
      <c r="J645" s="436">
        <v>240</v>
      </c>
      <c r="K645" s="436"/>
      <c r="L645" s="437"/>
      <c r="M645" s="437"/>
      <c r="N645" s="437"/>
      <c r="O645" s="437"/>
      <c r="P645" s="437">
        <v>0</v>
      </c>
      <c r="Q645" s="437">
        <v>0</v>
      </c>
      <c r="R645" s="436"/>
      <c r="S645" s="436"/>
      <c r="T645" s="436"/>
      <c r="U645" s="436"/>
      <c r="V645" s="436"/>
      <c r="W645" s="436">
        <f>IF(NFI_Expiration=1,IF($A645&lt;VLOOKUP(H$5,NFI,5,0),1,0)*Table_NFI[[#This Row],[Hygiene Kit]],Table_NFI[Hygiene Kit])</f>
        <v>0</v>
      </c>
      <c r="X645" s="436">
        <f>IF(NFI_Expiration=1,IF($A645&lt;VLOOKUP(I$5,NFI,5,0),1,0)*Table_NFI[[#This Row],[NFI Core Kit]],Table_NFI[NFI Core Kit])</f>
        <v>0</v>
      </c>
      <c r="Y645" s="436">
        <f>IF(NFI_Expiration=1,IF($A645&lt;VLOOKUP(J$5,NFI,5,0),1,0)*Table_NFI[[#This Row],[Sanitary Kit]],Table_NFI[Sanitary Kit])</f>
        <v>0</v>
      </c>
      <c r="Z645" s="436">
        <f>IF(NFI_Expiration=1,IF($A645&lt;VLOOKUP(K$5,NFI,5,0),1,0)*Table_NFI[[#This Row],[Mosquito net]],Table_NFI[Mosquito net])</f>
        <v>0</v>
      </c>
      <c r="AA645" s="436">
        <f>IF(NFI_Expiration=1,IF($A645&lt;VLOOKUP(L$5,NFI,5,0),1,0)*Table_NFI[[#This Row],[Tarpaulin]],Table_NFI[[#This Row],[Tarpaulin]])</f>
        <v>0</v>
      </c>
      <c r="AB645" s="436">
        <f>IF(NFI_Expiration=1,IF($A645&lt;VLOOKUP(M$5,NFI,5,0),1,0)*Table_NFI[[#This Row],[Blanket]],Table_NFI[[#This Row],[Blanket]])</f>
        <v>0</v>
      </c>
      <c r="AC645" s="436">
        <f>IF(NFI_Expiration=1,IF($A645&lt;VLOOKUP(N$5,NFI,5,0),1,0)*Table_NFI[[#This Row],[Kitchen Set]],Table_NFI[Kitchen Set])</f>
        <v>0</v>
      </c>
      <c r="AD645" s="436">
        <f>IF(NFI_Expiration=1,IF($A645&lt;VLOOKUP(O$5,NFI,5,0),1,0)*Table_NFI[[#This Row],[Clothes Kit]],Table_NFI[Clothes Kit])</f>
        <v>0</v>
      </c>
      <c r="AE645" s="436">
        <f>IF(NFI_Expiration=1,IF($A645&lt;VLOOKUP(P$5,NFI,5,0),1,0)*Table_NFI[[#This Row],[Plastic Bucket]],Table_NFI[Plastic Bucket])</f>
        <v>0</v>
      </c>
      <c r="AF645" s="436">
        <f>IF(NFI_Expiration=1,IF($A645&lt;VLOOKUP(Q$5,NFI,5,0),1,0)*Table_NFI[[#This Row],[Plastic Mat]],Table_NFI[Plastic Mat])*IF(Table_NFI[[#This Row],[Distribution Date]]&gt;"2014-04-01",1,2.5)</f>
        <v>0</v>
      </c>
      <c r="AG645" s="436">
        <f>IF(NFI_Expiration=1,IF($A645&lt;VLOOKUP(R$5,NFI,5,0),1,0)*Table_NFI[[#This Row],[Winter Clothes Adult]],Table_NFI[Winter Clothes Adult])</f>
        <v>0</v>
      </c>
      <c r="AH645" s="436">
        <f>IF(NFI_Expiration=1,IF($A645&lt;VLOOKUP(S$5,NFI,5,0),1,0)*Table_NFI[[#This Row],[Winter Clothes Children]],Table_NFI[Winter Clothes Children])</f>
        <v>0</v>
      </c>
      <c r="AI645" s="436">
        <f>IF(NFI_Expiration=1,IF($A645&lt;VLOOKUP(T$5,NFI,5,0),1,0)*Table_NFI[[#This Row],[Winter Items Other]],Table_NFI[Winter Items Other])</f>
        <v>0</v>
      </c>
      <c r="AJ645" s="436">
        <f>IF(NFI_Expiration=1,IF($A645&lt;VLOOKUP(M$5,NFI,5,0),1,0)*Table_NFI[[#This Row],[Winter Blanket]],Table_NFI[[#This Row],[Winter Blanket]])</f>
        <v>0</v>
      </c>
      <c r="AK645" s="436">
        <f>IF(Table_NFI[[#This Row],[Winter Clothes Adult]]+Table_NFI[[#This Row],[Winter Clothes Children]]+Table_NFI[[#This Row],[Winter Items Other]]+Table_NFI[[#This Row],[Winter Blanket]]&gt;0,1,0)</f>
        <v>0</v>
      </c>
      <c r="AL645" s="439">
        <f>IF(NFI_Expiration=1,IF($A645&lt;VLOOKUP(V$5,NFI,5,0),1,0)*Table_NFI[[#This Row],[Jerry Can]],Table_NFI[Jerry Can])</f>
        <v>0</v>
      </c>
      <c r="AM645" s="781" t="str">
        <f>IFERROR(VLOOKUP(Table_NFI[[#This Row],[Camp Name]],CL,2,0),"")</f>
        <v>MMR001CMP068</v>
      </c>
      <c r="AN645" s="782">
        <f ca="1">IF(Table_NFI[[#This Row],[Pcode]]="","",IF(OFFSET(CampList[Opening Date],MATCH(Table_NFI[[#This Row],[Pcode]],CampList[CP_Pcode],0)-1,0,1,1)&gt;=NFI_Monitor_Date,1,0))</f>
        <v>0</v>
      </c>
      <c r="AO645" s="781" t="str">
        <f>IFERROR(VLOOKUP(Table_NFI[[#This Row],[Camp Name]],CL,3,0),"")</f>
        <v>Open</v>
      </c>
      <c r="AP645" s="436" t="str">
        <f ca="1">IF(Table_NFI[[#This Row],[Pcode]]="","",OFFSET(CampList[Priority],MATCH(Table_NFI[[#This Row],[Pcode]],CampList[CP_Pcode],0)-1,0,1,1))</f>
        <v>P4</v>
      </c>
      <c r="AQ645" s="438">
        <f>IFERROR(Table_NFI[[#This Row],[Kitchen Set]]/VLOOKUP(Table_NFI[[#This Row],[Camp Name]],CL,4,0),"")</f>
        <v>0</v>
      </c>
      <c r="AR645" s="779" t="s">
        <v>1099</v>
      </c>
      <c r="AS645" s="783"/>
    </row>
    <row r="646" spans="1:45" x14ac:dyDescent="0.25">
      <c r="A646" s="455">
        <f t="shared" ref="A646:A709" si="10">IF(ISBLANK(B646),"",(Report_Date-B646)/30)</f>
        <v>33.666666666666664</v>
      </c>
      <c r="B646" s="778">
        <v>41299</v>
      </c>
      <c r="C646" s="779" t="s">
        <v>912</v>
      </c>
      <c r="D646" s="779" t="s">
        <v>912</v>
      </c>
      <c r="E646" s="779" t="s">
        <v>380</v>
      </c>
      <c r="F646" s="779" t="s">
        <v>185</v>
      </c>
      <c r="G646" s="435" t="s">
        <v>217</v>
      </c>
      <c r="H646" s="436">
        <v>75</v>
      </c>
      <c r="I646" s="436"/>
      <c r="J646" s="436">
        <v>120</v>
      </c>
      <c r="K646" s="436"/>
      <c r="L646" s="437"/>
      <c r="M646" s="437"/>
      <c r="N646" s="437"/>
      <c r="O646" s="437"/>
      <c r="P646" s="437">
        <v>0</v>
      </c>
      <c r="Q646" s="437">
        <v>0</v>
      </c>
      <c r="R646" s="436"/>
      <c r="S646" s="436"/>
      <c r="T646" s="436"/>
      <c r="U646" s="436"/>
      <c r="V646" s="436"/>
      <c r="W646" s="436">
        <f>IF(NFI_Expiration=1,IF($A646&lt;VLOOKUP(H$5,NFI,5,0),1,0)*Table_NFI[[#This Row],[Hygiene Kit]],Table_NFI[Hygiene Kit])</f>
        <v>0</v>
      </c>
      <c r="X646" s="436">
        <f>IF(NFI_Expiration=1,IF($A646&lt;VLOOKUP(I$5,NFI,5,0),1,0)*Table_NFI[[#This Row],[NFI Core Kit]],Table_NFI[NFI Core Kit])</f>
        <v>0</v>
      </c>
      <c r="Y646" s="436">
        <f>IF(NFI_Expiration=1,IF($A646&lt;VLOOKUP(J$5,NFI,5,0),1,0)*Table_NFI[[#This Row],[Sanitary Kit]],Table_NFI[Sanitary Kit])</f>
        <v>0</v>
      </c>
      <c r="Z646" s="436">
        <f>IF(NFI_Expiration=1,IF($A646&lt;VLOOKUP(K$5,NFI,5,0),1,0)*Table_NFI[[#This Row],[Mosquito net]],Table_NFI[Mosquito net])</f>
        <v>0</v>
      </c>
      <c r="AA646" s="436">
        <f>IF(NFI_Expiration=1,IF($A646&lt;VLOOKUP(L$5,NFI,5,0),1,0)*Table_NFI[[#This Row],[Tarpaulin]],Table_NFI[[#This Row],[Tarpaulin]])</f>
        <v>0</v>
      </c>
      <c r="AB646" s="436">
        <f>IF(NFI_Expiration=1,IF($A646&lt;VLOOKUP(M$5,NFI,5,0),1,0)*Table_NFI[[#This Row],[Blanket]],Table_NFI[[#This Row],[Blanket]])</f>
        <v>0</v>
      </c>
      <c r="AC646" s="436">
        <f>IF(NFI_Expiration=1,IF($A646&lt;VLOOKUP(N$5,NFI,5,0),1,0)*Table_NFI[[#This Row],[Kitchen Set]],Table_NFI[Kitchen Set])</f>
        <v>0</v>
      </c>
      <c r="AD646" s="436">
        <f>IF(NFI_Expiration=1,IF($A646&lt;VLOOKUP(O$5,NFI,5,0),1,0)*Table_NFI[[#This Row],[Clothes Kit]],Table_NFI[Clothes Kit])</f>
        <v>0</v>
      </c>
      <c r="AE646" s="436">
        <f>IF(NFI_Expiration=1,IF($A646&lt;VLOOKUP(P$5,NFI,5,0),1,0)*Table_NFI[[#This Row],[Plastic Bucket]],Table_NFI[Plastic Bucket])</f>
        <v>0</v>
      </c>
      <c r="AF646" s="436">
        <f>IF(NFI_Expiration=1,IF($A646&lt;VLOOKUP(Q$5,NFI,5,0),1,0)*Table_NFI[[#This Row],[Plastic Mat]],Table_NFI[Plastic Mat])*IF(Table_NFI[[#This Row],[Distribution Date]]&gt;"2014-04-01",1,2.5)</f>
        <v>0</v>
      </c>
      <c r="AG646" s="436">
        <f>IF(NFI_Expiration=1,IF($A646&lt;VLOOKUP(R$5,NFI,5,0),1,0)*Table_NFI[[#This Row],[Winter Clothes Adult]],Table_NFI[Winter Clothes Adult])</f>
        <v>0</v>
      </c>
      <c r="AH646" s="436">
        <f>IF(NFI_Expiration=1,IF($A646&lt;VLOOKUP(S$5,NFI,5,0),1,0)*Table_NFI[[#This Row],[Winter Clothes Children]],Table_NFI[Winter Clothes Children])</f>
        <v>0</v>
      </c>
      <c r="AI646" s="436">
        <f>IF(NFI_Expiration=1,IF($A646&lt;VLOOKUP(T$5,NFI,5,0),1,0)*Table_NFI[[#This Row],[Winter Items Other]],Table_NFI[Winter Items Other])</f>
        <v>0</v>
      </c>
      <c r="AJ646" s="436">
        <f>IF(NFI_Expiration=1,IF($A646&lt;VLOOKUP(M$5,NFI,5,0),1,0)*Table_NFI[[#This Row],[Winter Blanket]],Table_NFI[[#This Row],[Winter Blanket]])</f>
        <v>0</v>
      </c>
      <c r="AK646" s="436">
        <f>IF(Table_NFI[[#This Row],[Winter Clothes Adult]]+Table_NFI[[#This Row],[Winter Clothes Children]]+Table_NFI[[#This Row],[Winter Items Other]]+Table_NFI[[#This Row],[Winter Blanket]]&gt;0,1,0)</f>
        <v>0</v>
      </c>
      <c r="AL646" s="439">
        <f>IF(NFI_Expiration=1,IF($A646&lt;VLOOKUP(V$5,NFI,5,0),1,0)*Table_NFI[[#This Row],[Jerry Can]],Table_NFI[Jerry Can])</f>
        <v>0</v>
      </c>
      <c r="AM646" s="781" t="str">
        <f>IFERROR(VLOOKUP(Table_NFI[[#This Row],[Camp Name]],CL,2,0),"")</f>
        <v>MMR001CMP059</v>
      </c>
      <c r="AN646" s="782">
        <f ca="1">IF(Table_NFI[[#This Row],[Pcode]]="","",IF(OFFSET(CampList[Opening Date],MATCH(Table_NFI[[#This Row],[Pcode]],CampList[CP_Pcode],0)-1,0,1,1)&gt;=NFI_Monitor_Date,1,0))</f>
        <v>0</v>
      </c>
      <c r="AO646" s="781" t="str">
        <f>IFERROR(VLOOKUP(Table_NFI[[#This Row],[Camp Name]],CL,3,0),"")</f>
        <v>Open</v>
      </c>
      <c r="AP646" s="436" t="str">
        <f ca="1">IF(Table_NFI[[#This Row],[Pcode]]="","",OFFSET(CampList[Priority],MATCH(Table_NFI[[#This Row],[Pcode]],CampList[CP_Pcode],0)-1,0,1,1))</f>
        <v>P4</v>
      </c>
      <c r="AQ646" s="438">
        <f>IFERROR(Table_NFI[[#This Row],[Kitchen Set]]/VLOOKUP(Table_NFI[[#This Row],[Camp Name]],CL,4,0),"")</f>
        <v>0</v>
      </c>
      <c r="AR646" s="779" t="s">
        <v>1099</v>
      </c>
      <c r="AS646" s="783"/>
    </row>
    <row r="647" spans="1:45" x14ac:dyDescent="0.25">
      <c r="A647" s="455">
        <f t="shared" si="10"/>
        <v>33.700000000000003</v>
      </c>
      <c r="B647" s="778">
        <v>41298</v>
      </c>
      <c r="C647" s="779" t="s">
        <v>912</v>
      </c>
      <c r="D647" s="780" t="s">
        <v>912</v>
      </c>
      <c r="E647" s="779" t="s">
        <v>380</v>
      </c>
      <c r="F647" s="435" t="s">
        <v>185</v>
      </c>
      <c r="G647" s="435" t="s">
        <v>202</v>
      </c>
      <c r="H647" s="436">
        <v>200</v>
      </c>
      <c r="I647" s="436"/>
      <c r="J647" s="436">
        <v>250</v>
      </c>
      <c r="K647" s="436"/>
      <c r="L647" s="437"/>
      <c r="M647" s="437"/>
      <c r="N647" s="437"/>
      <c r="O647" s="437"/>
      <c r="P647" s="437">
        <v>0</v>
      </c>
      <c r="Q647" s="437">
        <v>0</v>
      </c>
      <c r="R647" s="436"/>
      <c r="S647" s="436"/>
      <c r="T647" s="436"/>
      <c r="U647" s="436"/>
      <c r="V647" s="436"/>
      <c r="W647" s="436">
        <f>IF(NFI_Expiration=1,IF($A647&lt;VLOOKUP(H$5,NFI,5,0),1,0)*Table_NFI[[#This Row],[Hygiene Kit]],Table_NFI[Hygiene Kit])</f>
        <v>0</v>
      </c>
      <c r="X647" s="436">
        <f>IF(NFI_Expiration=1,IF($A647&lt;VLOOKUP(I$5,NFI,5,0),1,0)*Table_NFI[[#This Row],[NFI Core Kit]],Table_NFI[NFI Core Kit])</f>
        <v>0</v>
      </c>
      <c r="Y647" s="436">
        <f>IF(NFI_Expiration=1,IF($A647&lt;VLOOKUP(J$5,NFI,5,0),1,0)*Table_NFI[[#This Row],[Sanitary Kit]],Table_NFI[Sanitary Kit])</f>
        <v>0</v>
      </c>
      <c r="Z647" s="436">
        <f>IF(NFI_Expiration=1,IF($A647&lt;VLOOKUP(K$5,NFI,5,0),1,0)*Table_NFI[[#This Row],[Mosquito net]],Table_NFI[Mosquito net])</f>
        <v>0</v>
      </c>
      <c r="AA647" s="436">
        <f>IF(NFI_Expiration=1,IF($A647&lt;VLOOKUP(L$5,NFI,5,0),1,0)*Table_NFI[[#This Row],[Tarpaulin]],Table_NFI[[#This Row],[Tarpaulin]])</f>
        <v>0</v>
      </c>
      <c r="AB647" s="436">
        <f>IF(NFI_Expiration=1,IF($A647&lt;VLOOKUP(M$5,NFI,5,0),1,0)*Table_NFI[[#This Row],[Blanket]],Table_NFI[[#This Row],[Blanket]])</f>
        <v>0</v>
      </c>
      <c r="AC647" s="436">
        <f>IF(NFI_Expiration=1,IF($A647&lt;VLOOKUP(N$5,NFI,5,0),1,0)*Table_NFI[[#This Row],[Kitchen Set]],Table_NFI[Kitchen Set])</f>
        <v>0</v>
      </c>
      <c r="AD647" s="436">
        <f>IF(NFI_Expiration=1,IF($A647&lt;VLOOKUP(O$5,NFI,5,0),1,0)*Table_NFI[[#This Row],[Clothes Kit]],Table_NFI[Clothes Kit])</f>
        <v>0</v>
      </c>
      <c r="AE647" s="436">
        <f>IF(NFI_Expiration=1,IF($A647&lt;VLOOKUP(P$5,NFI,5,0),1,0)*Table_NFI[[#This Row],[Plastic Bucket]],Table_NFI[Plastic Bucket])</f>
        <v>0</v>
      </c>
      <c r="AF647" s="436">
        <f>IF(NFI_Expiration=1,IF($A647&lt;VLOOKUP(Q$5,NFI,5,0),1,0)*Table_NFI[[#This Row],[Plastic Mat]],Table_NFI[Plastic Mat])*IF(Table_NFI[[#This Row],[Distribution Date]]&gt;"2014-04-01",1,2.5)</f>
        <v>0</v>
      </c>
      <c r="AG647" s="436">
        <f>IF(NFI_Expiration=1,IF($A647&lt;VLOOKUP(R$5,NFI,5,0),1,0)*Table_NFI[[#This Row],[Winter Clothes Adult]],Table_NFI[Winter Clothes Adult])</f>
        <v>0</v>
      </c>
      <c r="AH647" s="436">
        <f>IF(NFI_Expiration=1,IF($A647&lt;VLOOKUP(S$5,NFI,5,0),1,0)*Table_NFI[[#This Row],[Winter Clothes Children]],Table_NFI[Winter Clothes Children])</f>
        <v>0</v>
      </c>
      <c r="AI647" s="436">
        <f>IF(NFI_Expiration=1,IF($A647&lt;VLOOKUP(T$5,NFI,5,0),1,0)*Table_NFI[[#This Row],[Winter Items Other]],Table_NFI[Winter Items Other])</f>
        <v>0</v>
      </c>
      <c r="AJ647" s="436">
        <f>IF(NFI_Expiration=1,IF($A647&lt;VLOOKUP(M$5,NFI,5,0),1,0)*Table_NFI[[#This Row],[Winter Blanket]],Table_NFI[[#This Row],[Winter Blanket]])</f>
        <v>0</v>
      </c>
      <c r="AK647" s="436">
        <f>IF(Table_NFI[[#This Row],[Winter Clothes Adult]]+Table_NFI[[#This Row],[Winter Clothes Children]]+Table_NFI[[#This Row],[Winter Items Other]]+Table_NFI[[#This Row],[Winter Blanket]]&gt;0,1,0)</f>
        <v>0</v>
      </c>
      <c r="AL647" s="439">
        <f>IF(NFI_Expiration=1,IF($A647&lt;VLOOKUP(V$5,NFI,5,0),1,0)*Table_NFI[[#This Row],[Jerry Can]],Table_NFI[Jerry Can])</f>
        <v>0</v>
      </c>
      <c r="AM647" s="781" t="str">
        <f>IFERROR(VLOOKUP(Table_NFI[[#This Row],[Camp Name]],CL,2,0),"")</f>
        <v>MMR001CMP062</v>
      </c>
      <c r="AN647" s="782">
        <f ca="1">IF(Table_NFI[[#This Row],[Pcode]]="","",IF(OFFSET(CampList[Opening Date],MATCH(Table_NFI[[#This Row],[Pcode]],CampList[CP_Pcode],0)-1,0,1,1)&gt;=NFI_Monitor_Date,1,0))</f>
        <v>0</v>
      </c>
      <c r="AO647" s="781" t="str">
        <f>IFERROR(VLOOKUP(Table_NFI[[#This Row],[Camp Name]],CL,3,0),"")</f>
        <v>Open</v>
      </c>
      <c r="AP647" s="436" t="str">
        <f ca="1">IF(Table_NFI[[#This Row],[Pcode]]="","",OFFSET(CampList[Priority],MATCH(Table_NFI[[#This Row],[Pcode]],CampList[CP_Pcode],0)-1,0,1,1))</f>
        <v>P4</v>
      </c>
      <c r="AQ647" s="438">
        <f>IFERROR(Table_NFI[[#This Row],[Kitchen Set]]/VLOOKUP(Table_NFI[[#This Row],[Camp Name]],CL,4,0),"")</f>
        <v>0</v>
      </c>
      <c r="AR647" s="779" t="s">
        <v>1099</v>
      </c>
      <c r="AS647" s="783"/>
    </row>
    <row r="648" spans="1:45" x14ac:dyDescent="0.25">
      <c r="A648" s="455">
        <f t="shared" si="10"/>
        <v>33.700000000000003</v>
      </c>
      <c r="B648" s="778">
        <v>41298</v>
      </c>
      <c r="C648" s="779" t="s">
        <v>912</v>
      </c>
      <c r="D648" s="780" t="s">
        <v>912</v>
      </c>
      <c r="E648" s="779" t="s">
        <v>380</v>
      </c>
      <c r="F648" s="435" t="s">
        <v>185</v>
      </c>
      <c r="G648" s="435" t="s">
        <v>211</v>
      </c>
      <c r="H648" s="436">
        <v>793</v>
      </c>
      <c r="I648" s="436"/>
      <c r="J648" s="436">
        <v>1125</v>
      </c>
      <c r="K648" s="436"/>
      <c r="L648" s="437"/>
      <c r="M648" s="437"/>
      <c r="N648" s="437"/>
      <c r="O648" s="437"/>
      <c r="P648" s="437">
        <v>0</v>
      </c>
      <c r="Q648" s="437">
        <v>0</v>
      </c>
      <c r="R648" s="436"/>
      <c r="S648" s="436"/>
      <c r="T648" s="436"/>
      <c r="U648" s="436"/>
      <c r="V648" s="436"/>
      <c r="W648" s="436">
        <f>IF(NFI_Expiration=1,IF($A648&lt;VLOOKUP(H$5,NFI,5,0),1,0)*Table_NFI[[#This Row],[Hygiene Kit]],Table_NFI[Hygiene Kit])</f>
        <v>0</v>
      </c>
      <c r="X648" s="436">
        <f>IF(NFI_Expiration=1,IF($A648&lt;VLOOKUP(I$5,NFI,5,0),1,0)*Table_NFI[[#This Row],[NFI Core Kit]],Table_NFI[NFI Core Kit])</f>
        <v>0</v>
      </c>
      <c r="Y648" s="436">
        <f>IF(NFI_Expiration=1,IF($A648&lt;VLOOKUP(J$5,NFI,5,0),1,0)*Table_NFI[[#This Row],[Sanitary Kit]],Table_NFI[Sanitary Kit])</f>
        <v>0</v>
      </c>
      <c r="Z648" s="436">
        <f>IF(NFI_Expiration=1,IF($A648&lt;VLOOKUP(K$5,NFI,5,0),1,0)*Table_NFI[[#This Row],[Mosquito net]],Table_NFI[Mosquito net])</f>
        <v>0</v>
      </c>
      <c r="AA648" s="436">
        <f>IF(NFI_Expiration=1,IF($A648&lt;VLOOKUP(L$5,NFI,5,0),1,0)*Table_NFI[[#This Row],[Tarpaulin]],Table_NFI[[#This Row],[Tarpaulin]])</f>
        <v>0</v>
      </c>
      <c r="AB648" s="436">
        <f>IF(NFI_Expiration=1,IF($A648&lt;VLOOKUP(M$5,NFI,5,0),1,0)*Table_NFI[[#This Row],[Blanket]],Table_NFI[[#This Row],[Blanket]])</f>
        <v>0</v>
      </c>
      <c r="AC648" s="436">
        <f>IF(NFI_Expiration=1,IF($A648&lt;VLOOKUP(N$5,NFI,5,0),1,0)*Table_NFI[[#This Row],[Kitchen Set]],Table_NFI[Kitchen Set])</f>
        <v>0</v>
      </c>
      <c r="AD648" s="436">
        <f>IF(NFI_Expiration=1,IF($A648&lt;VLOOKUP(O$5,NFI,5,0),1,0)*Table_NFI[[#This Row],[Clothes Kit]],Table_NFI[Clothes Kit])</f>
        <v>0</v>
      </c>
      <c r="AE648" s="436">
        <f>IF(NFI_Expiration=1,IF($A648&lt;VLOOKUP(P$5,NFI,5,0),1,0)*Table_NFI[[#This Row],[Plastic Bucket]],Table_NFI[Plastic Bucket])</f>
        <v>0</v>
      </c>
      <c r="AF648" s="436">
        <f>IF(NFI_Expiration=1,IF($A648&lt;VLOOKUP(Q$5,NFI,5,0),1,0)*Table_NFI[[#This Row],[Plastic Mat]],Table_NFI[Plastic Mat])*IF(Table_NFI[[#This Row],[Distribution Date]]&gt;"2014-04-01",1,2.5)</f>
        <v>0</v>
      </c>
      <c r="AG648" s="436">
        <f>IF(NFI_Expiration=1,IF($A648&lt;VLOOKUP(R$5,NFI,5,0),1,0)*Table_NFI[[#This Row],[Winter Clothes Adult]],Table_NFI[Winter Clothes Adult])</f>
        <v>0</v>
      </c>
      <c r="AH648" s="436">
        <f>IF(NFI_Expiration=1,IF($A648&lt;VLOOKUP(S$5,NFI,5,0),1,0)*Table_NFI[[#This Row],[Winter Clothes Children]],Table_NFI[Winter Clothes Children])</f>
        <v>0</v>
      </c>
      <c r="AI648" s="436">
        <f>IF(NFI_Expiration=1,IF($A648&lt;VLOOKUP(T$5,NFI,5,0),1,0)*Table_NFI[[#This Row],[Winter Items Other]],Table_NFI[Winter Items Other])</f>
        <v>0</v>
      </c>
      <c r="AJ648" s="436">
        <f>IF(NFI_Expiration=1,IF($A648&lt;VLOOKUP(M$5,NFI,5,0),1,0)*Table_NFI[[#This Row],[Winter Blanket]],Table_NFI[[#This Row],[Winter Blanket]])</f>
        <v>0</v>
      </c>
      <c r="AK648" s="436">
        <f>IF(Table_NFI[[#This Row],[Winter Clothes Adult]]+Table_NFI[[#This Row],[Winter Clothes Children]]+Table_NFI[[#This Row],[Winter Items Other]]+Table_NFI[[#This Row],[Winter Blanket]]&gt;0,1,0)</f>
        <v>0</v>
      </c>
      <c r="AL648" s="439">
        <f>IF(NFI_Expiration=1,IF($A648&lt;VLOOKUP(V$5,NFI,5,0),1,0)*Table_NFI[[#This Row],[Jerry Can]],Table_NFI[Jerry Can])</f>
        <v>0</v>
      </c>
      <c r="AM648" s="781" t="str">
        <f>IFERROR(VLOOKUP(Table_NFI[[#This Row],[Camp Name]],CL,2,0),"")</f>
        <v>MMR001CMP057</v>
      </c>
      <c r="AN648" s="782">
        <f ca="1">IF(Table_NFI[[#This Row],[Pcode]]="","",IF(OFFSET(CampList[Opening Date],MATCH(Table_NFI[[#This Row],[Pcode]],CampList[CP_Pcode],0)-1,0,1,1)&gt;=NFI_Monitor_Date,1,0))</f>
        <v>0</v>
      </c>
      <c r="AO648" s="781" t="str">
        <f>IFERROR(VLOOKUP(Table_NFI[[#This Row],[Camp Name]],CL,3,0),"")</f>
        <v>Closed</v>
      </c>
      <c r="AP648" s="436" t="str">
        <f ca="1">IF(Table_NFI[[#This Row],[Pcode]]="","",OFFSET(CampList[Priority],MATCH(Table_NFI[[#This Row],[Pcode]],CampList[CP_Pcode],0)-1,0,1,1))</f>
        <v>P4</v>
      </c>
      <c r="AQ648" s="438" t="str">
        <f>IFERROR(Table_NFI[[#This Row],[Kitchen Set]]/VLOOKUP(Table_NFI[[#This Row],[Camp Name]],CL,4,0),"")</f>
        <v/>
      </c>
      <c r="AR648" s="779" t="s">
        <v>1099</v>
      </c>
      <c r="AS648" s="783"/>
    </row>
    <row r="649" spans="1:45" x14ac:dyDescent="0.25">
      <c r="A649" s="455">
        <f t="shared" si="10"/>
        <v>33.766666666666666</v>
      </c>
      <c r="B649" s="778">
        <v>41296</v>
      </c>
      <c r="C649" s="779" t="s">
        <v>912</v>
      </c>
      <c r="D649" s="780" t="s">
        <v>912</v>
      </c>
      <c r="E649" s="779" t="s">
        <v>380</v>
      </c>
      <c r="F649" s="435" t="s">
        <v>5</v>
      </c>
      <c r="G649" s="435" t="s">
        <v>22</v>
      </c>
      <c r="H649" s="436">
        <v>1824</v>
      </c>
      <c r="I649" s="436"/>
      <c r="J649" s="436">
        <v>2090</v>
      </c>
      <c r="K649" s="436"/>
      <c r="L649" s="437"/>
      <c r="M649" s="437"/>
      <c r="N649" s="437"/>
      <c r="O649" s="437"/>
      <c r="P649" s="437">
        <v>0</v>
      </c>
      <c r="Q649" s="437">
        <v>0</v>
      </c>
      <c r="R649" s="436"/>
      <c r="S649" s="436"/>
      <c r="T649" s="436"/>
      <c r="U649" s="436"/>
      <c r="V649" s="436"/>
      <c r="W649" s="436">
        <f>IF(NFI_Expiration=1,IF($A649&lt;VLOOKUP(H$5,NFI,5,0),1,0)*Table_NFI[[#This Row],[Hygiene Kit]],Table_NFI[Hygiene Kit])</f>
        <v>0</v>
      </c>
      <c r="X649" s="436">
        <f>IF(NFI_Expiration=1,IF($A649&lt;VLOOKUP(I$5,NFI,5,0),1,0)*Table_NFI[[#This Row],[NFI Core Kit]],Table_NFI[NFI Core Kit])</f>
        <v>0</v>
      </c>
      <c r="Y649" s="436">
        <f>IF(NFI_Expiration=1,IF($A649&lt;VLOOKUP(J$5,NFI,5,0),1,0)*Table_NFI[[#This Row],[Sanitary Kit]],Table_NFI[Sanitary Kit])</f>
        <v>0</v>
      </c>
      <c r="Z649" s="436">
        <f>IF(NFI_Expiration=1,IF($A649&lt;VLOOKUP(K$5,NFI,5,0),1,0)*Table_NFI[[#This Row],[Mosquito net]],Table_NFI[Mosquito net])</f>
        <v>0</v>
      </c>
      <c r="AA649" s="436">
        <f>IF(NFI_Expiration=1,IF($A649&lt;VLOOKUP(L$5,NFI,5,0),1,0)*Table_NFI[[#This Row],[Tarpaulin]],Table_NFI[[#This Row],[Tarpaulin]])</f>
        <v>0</v>
      </c>
      <c r="AB649" s="436">
        <f>IF(NFI_Expiration=1,IF($A649&lt;VLOOKUP(M$5,NFI,5,0),1,0)*Table_NFI[[#This Row],[Blanket]],Table_NFI[[#This Row],[Blanket]])</f>
        <v>0</v>
      </c>
      <c r="AC649" s="436">
        <f>IF(NFI_Expiration=1,IF($A649&lt;VLOOKUP(N$5,NFI,5,0),1,0)*Table_NFI[[#This Row],[Kitchen Set]],Table_NFI[Kitchen Set])</f>
        <v>0</v>
      </c>
      <c r="AD649" s="436">
        <f>IF(NFI_Expiration=1,IF($A649&lt;VLOOKUP(O$5,NFI,5,0),1,0)*Table_NFI[[#This Row],[Clothes Kit]],Table_NFI[Clothes Kit])</f>
        <v>0</v>
      </c>
      <c r="AE649" s="436">
        <f>IF(NFI_Expiration=1,IF($A649&lt;VLOOKUP(P$5,NFI,5,0),1,0)*Table_NFI[[#This Row],[Plastic Bucket]],Table_NFI[Plastic Bucket])</f>
        <v>0</v>
      </c>
      <c r="AF649" s="436">
        <f>IF(NFI_Expiration=1,IF($A649&lt;VLOOKUP(Q$5,NFI,5,0),1,0)*Table_NFI[[#This Row],[Plastic Mat]],Table_NFI[Plastic Mat])*IF(Table_NFI[[#This Row],[Distribution Date]]&gt;"2014-04-01",1,2.5)</f>
        <v>0</v>
      </c>
      <c r="AG649" s="436">
        <f>IF(NFI_Expiration=1,IF($A649&lt;VLOOKUP(R$5,NFI,5,0),1,0)*Table_NFI[[#This Row],[Winter Clothes Adult]],Table_NFI[Winter Clothes Adult])</f>
        <v>0</v>
      </c>
      <c r="AH649" s="436">
        <f>IF(NFI_Expiration=1,IF($A649&lt;VLOOKUP(S$5,NFI,5,0),1,0)*Table_NFI[[#This Row],[Winter Clothes Children]],Table_NFI[Winter Clothes Children])</f>
        <v>0</v>
      </c>
      <c r="AI649" s="436">
        <f>IF(NFI_Expiration=1,IF($A649&lt;VLOOKUP(T$5,NFI,5,0),1,0)*Table_NFI[[#This Row],[Winter Items Other]],Table_NFI[Winter Items Other])</f>
        <v>0</v>
      </c>
      <c r="AJ649" s="436">
        <f>IF(NFI_Expiration=1,IF($A649&lt;VLOOKUP(M$5,NFI,5,0),1,0)*Table_NFI[[#This Row],[Winter Blanket]],Table_NFI[[#This Row],[Winter Blanket]])</f>
        <v>0</v>
      </c>
      <c r="AK649" s="436">
        <f>IF(Table_NFI[[#This Row],[Winter Clothes Adult]]+Table_NFI[[#This Row],[Winter Clothes Children]]+Table_NFI[[#This Row],[Winter Items Other]]+Table_NFI[[#This Row],[Winter Blanket]]&gt;0,1,0)</f>
        <v>0</v>
      </c>
      <c r="AL649" s="439">
        <f>IF(NFI_Expiration=1,IF($A649&lt;VLOOKUP(V$5,NFI,5,0),1,0)*Table_NFI[[#This Row],[Jerry Can]],Table_NFI[Jerry Can])</f>
        <v>0</v>
      </c>
      <c r="AM649" s="781" t="str">
        <f>IFERROR(VLOOKUP(Table_NFI[[#This Row],[Camp Name]],CL,2,0),"")</f>
        <v>MMR001CMP047</v>
      </c>
      <c r="AN649" s="782">
        <f ca="1">IF(Table_NFI[[#This Row],[Pcode]]="","",IF(OFFSET(CampList[Opening Date],MATCH(Table_NFI[[#This Row],[Pcode]],CampList[CP_Pcode],0)-1,0,1,1)&gt;=NFI_Monitor_Date,1,0))</f>
        <v>0</v>
      </c>
      <c r="AO649" s="781" t="str">
        <f>IFERROR(VLOOKUP(Table_NFI[[#This Row],[Camp Name]],CL,3,0),"")</f>
        <v>Open</v>
      </c>
      <c r="AP649" s="436" t="str">
        <f ca="1">IF(Table_NFI[[#This Row],[Pcode]]="","",OFFSET(CampList[Priority],MATCH(Table_NFI[[#This Row],[Pcode]],CampList[CP_Pcode],0)-1,0,1,1))</f>
        <v>P4</v>
      </c>
      <c r="AQ649" s="438">
        <f>IFERROR(Table_NFI[[#This Row],[Kitchen Set]]/VLOOKUP(Table_NFI[[#This Row],[Camp Name]],CL,4,0),"")</f>
        <v>0</v>
      </c>
      <c r="AR649" s="779" t="s">
        <v>1099</v>
      </c>
      <c r="AS649" s="783"/>
    </row>
    <row r="650" spans="1:45" x14ac:dyDescent="0.25">
      <c r="A650" s="455">
        <f t="shared" si="10"/>
        <v>33.799999999999997</v>
      </c>
      <c r="B650" s="778">
        <v>41295</v>
      </c>
      <c r="C650" s="779" t="s">
        <v>912</v>
      </c>
      <c r="D650" s="779" t="s">
        <v>912</v>
      </c>
      <c r="E650" s="779" t="s">
        <v>380</v>
      </c>
      <c r="F650" s="435" t="s">
        <v>5</v>
      </c>
      <c r="G650" s="435" t="s">
        <v>20</v>
      </c>
      <c r="H650" s="436">
        <v>85</v>
      </c>
      <c r="I650" s="436"/>
      <c r="J650" s="436">
        <v>105</v>
      </c>
      <c r="K650" s="436"/>
      <c r="L650" s="437"/>
      <c r="M650" s="437"/>
      <c r="N650" s="437"/>
      <c r="O650" s="437"/>
      <c r="P650" s="439">
        <v>0</v>
      </c>
      <c r="Q650" s="439">
        <v>0</v>
      </c>
      <c r="R650" s="436"/>
      <c r="S650" s="436"/>
      <c r="T650" s="436"/>
      <c r="U650" s="436"/>
      <c r="V650" s="436"/>
      <c r="W650" s="436">
        <f>IF(NFI_Expiration=1,IF($A650&lt;VLOOKUP(H$5,NFI,5,0),1,0)*Table_NFI[[#This Row],[Hygiene Kit]],Table_NFI[Hygiene Kit])</f>
        <v>0</v>
      </c>
      <c r="X650" s="436">
        <f>IF(NFI_Expiration=1,IF($A650&lt;VLOOKUP(I$5,NFI,5,0),1,0)*Table_NFI[[#This Row],[NFI Core Kit]],Table_NFI[NFI Core Kit])</f>
        <v>0</v>
      </c>
      <c r="Y650" s="436">
        <f>IF(NFI_Expiration=1,IF($A650&lt;VLOOKUP(J$5,NFI,5,0),1,0)*Table_NFI[[#This Row],[Sanitary Kit]],Table_NFI[Sanitary Kit])</f>
        <v>0</v>
      </c>
      <c r="Z650" s="436">
        <f>IF(NFI_Expiration=1,IF($A650&lt;VLOOKUP(K$5,NFI,5,0),1,0)*Table_NFI[[#This Row],[Mosquito net]],Table_NFI[Mosquito net])</f>
        <v>0</v>
      </c>
      <c r="AA650" s="436">
        <f>IF(NFI_Expiration=1,IF($A650&lt;VLOOKUP(L$5,NFI,5,0),1,0)*Table_NFI[[#This Row],[Tarpaulin]],Table_NFI[[#This Row],[Tarpaulin]])</f>
        <v>0</v>
      </c>
      <c r="AB650" s="436">
        <f>IF(NFI_Expiration=1,IF($A650&lt;VLOOKUP(M$5,NFI,5,0),1,0)*Table_NFI[[#This Row],[Blanket]],Table_NFI[[#This Row],[Blanket]])</f>
        <v>0</v>
      </c>
      <c r="AC650" s="436">
        <f>IF(NFI_Expiration=1,IF($A650&lt;VLOOKUP(N$5,NFI,5,0),1,0)*Table_NFI[[#This Row],[Kitchen Set]],Table_NFI[Kitchen Set])</f>
        <v>0</v>
      </c>
      <c r="AD650" s="436">
        <f>IF(NFI_Expiration=1,IF($A650&lt;VLOOKUP(O$5,NFI,5,0),1,0)*Table_NFI[[#This Row],[Clothes Kit]],Table_NFI[Clothes Kit])</f>
        <v>0</v>
      </c>
      <c r="AE650" s="436">
        <f>IF(NFI_Expiration=1,IF($A650&lt;VLOOKUP(P$5,NFI,5,0),1,0)*Table_NFI[[#This Row],[Plastic Bucket]],Table_NFI[Plastic Bucket])</f>
        <v>0</v>
      </c>
      <c r="AF650" s="436">
        <f>IF(NFI_Expiration=1,IF($A650&lt;VLOOKUP(Q$5,NFI,5,0),1,0)*Table_NFI[[#This Row],[Plastic Mat]],Table_NFI[Plastic Mat])*IF(Table_NFI[[#This Row],[Distribution Date]]&gt;"2014-04-01",1,2.5)</f>
        <v>0</v>
      </c>
      <c r="AG650" s="436">
        <f>IF(NFI_Expiration=1,IF($A650&lt;VLOOKUP(R$5,NFI,5,0),1,0)*Table_NFI[[#This Row],[Winter Clothes Adult]],Table_NFI[Winter Clothes Adult])</f>
        <v>0</v>
      </c>
      <c r="AH650" s="436">
        <f>IF(NFI_Expiration=1,IF($A650&lt;VLOOKUP(S$5,NFI,5,0),1,0)*Table_NFI[[#This Row],[Winter Clothes Children]],Table_NFI[Winter Clothes Children])</f>
        <v>0</v>
      </c>
      <c r="AI650" s="436">
        <f>IF(NFI_Expiration=1,IF($A650&lt;VLOOKUP(T$5,NFI,5,0),1,0)*Table_NFI[[#This Row],[Winter Items Other]],Table_NFI[Winter Items Other])</f>
        <v>0</v>
      </c>
      <c r="AJ650" s="436">
        <f>IF(NFI_Expiration=1,IF($A650&lt;VLOOKUP(M$5,NFI,5,0),1,0)*Table_NFI[[#This Row],[Winter Blanket]],Table_NFI[[#This Row],[Winter Blanket]])</f>
        <v>0</v>
      </c>
      <c r="AK650" s="436">
        <f>IF(Table_NFI[[#This Row],[Winter Clothes Adult]]+Table_NFI[[#This Row],[Winter Clothes Children]]+Table_NFI[[#This Row],[Winter Items Other]]+Table_NFI[[#This Row],[Winter Blanket]]&gt;0,1,0)</f>
        <v>0</v>
      </c>
      <c r="AL650" s="439">
        <f>IF(NFI_Expiration=1,IF($A650&lt;VLOOKUP(V$5,NFI,5,0),1,0)*Table_NFI[[#This Row],[Jerry Can]],Table_NFI[Jerry Can])</f>
        <v>0</v>
      </c>
      <c r="AM650" s="781" t="str">
        <f>IFERROR(VLOOKUP(Table_NFI[[#This Row],[Camp Name]],CL,2,0),"")</f>
        <v>MMR001CMP054</v>
      </c>
      <c r="AN650" s="782">
        <f ca="1">IF(Table_NFI[[#This Row],[Pcode]]="","",IF(OFFSET(CampList[Opening Date],MATCH(Table_NFI[[#This Row],[Pcode]],CampList[CP_Pcode],0)-1,0,1,1)&gt;=NFI_Monitor_Date,1,0))</f>
        <v>0</v>
      </c>
      <c r="AO650" s="781" t="str">
        <f>IFERROR(VLOOKUP(Table_NFI[[#This Row],[Camp Name]],CL,3,0),"")</f>
        <v>Open</v>
      </c>
      <c r="AP650" s="436" t="str">
        <f ca="1">IF(Table_NFI[[#This Row],[Pcode]]="","",OFFSET(CampList[Priority],MATCH(Table_NFI[[#This Row],[Pcode]],CampList[CP_Pcode],0)-1,0,1,1))</f>
        <v>P4</v>
      </c>
      <c r="AQ650" s="438">
        <f>IFERROR(Table_NFI[[#This Row],[Kitchen Set]]/VLOOKUP(Table_NFI[[#This Row],[Camp Name]],CL,4,0),"")</f>
        <v>0</v>
      </c>
      <c r="AR650" s="779" t="s">
        <v>1099</v>
      </c>
      <c r="AS650" s="783"/>
    </row>
    <row r="651" spans="1:45" x14ac:dyDescent="0.25">
      <c r="A651" s="455">
        <f t="shared" si="10"/>
        <v>33.966666666666669</v>
      </c>
      <c r="B651" s="778">
        <v>41290</v>
      </c>
      <c r="C651" s="779" t="s">
        <v>912</v>
      </c>
      <c r="D651" s="780" t="s">
        <v>912</v>
      </c>
      <c r="E651" s="779" t="s">
        <v>380</v>
      </c>
      <c r="F651" s="435" t="s">
        <v>185</v>
      </c>
      <c r="G651" s="435" t="s">
        <v>209</v>
      </c>
      <c r="H651" s="436">
        <v>1215</v>
      </c>
      <c r="I651" s="436"/>
      <c r="J651" s="436">
        <v>1735</v>
      </c>
      <c r="K651" s="436"/>
      <c r="L651" s="437"/>
      <c r="M651" s="437"/>
      <c r="N651" s="437"/>
      <c r="O651" s="437"/>
      <c r="P651" s="437">
        <v>0</v>
      </c>
      <c r="Q651" s="437">
        <v>0</v>
      </c>
      <c r="R651" s="436"/>
      <c r="S651" s="436"/>
      <c r="T651" s="436"/>
      <c r="U651" s="436"/>
      <c r="V651" s="436"/>
      <c r="W651" s="436">
        <f>IF(NFI_Expiration=1,IF($A651&lt;VLOOKUP(H$5,NFI,5,0),1,0)*Table_NFI[[#This Row],[Hygiene Kit]],Table_NFI[Hygiene Kit])</f>
        <v>0</v>
      </c>
      <c r="X651" s="436">
        <f>IF(NFI_Expiration=1,IF($A651&lt;VLOOKUP(I$5,NFI,5,0),1,0)*Table_NFI[[#This Row],[NFI Core Kit]],Table_NFI[NFI Core Kit])</f>
        <v>0</v>
      </c>
      <c r="Y651" s="436">
        <f>IF(NFI_Expiration=1,IF($A651&lt;VLOOKUP(J$5,NFI,5,0),1,0)*Table_NFI[[#This Row],[Sanitary Kit]],Table_NFI[Sanitary Kit])</f>
        <v>0</v>
      </c>
      <c r="Z651" s="436">
        <f>IF(NFI_Expiration=1,IF($A651&lt;VLOOKUP(K$5,NFI,5,0),1,0)*Table_NFI[[#This Row],[Mosquito net]],Table_NFI[Mosquito net])</f>
        <v>0</v>
      </c>
      <c r="AA651" s="436">
        <f>IF(NFI_Expiration=1,IF($A651&lt;VLOOKUP(L$5,NFI,5,0),1,0)*Table_NFI[[#This Row],[Tarpaulin]],Table_NFI[[#This Row],[Tarpaulin]])</f>
        <v>0</v>
      </c>
      <c r="AB651" s="436">
        <f>IF(NFI_Expiration=1,IF($A651&lt;VLOOKUP(M$5,NFI,5,0),1,0)*Table_NFI[[#This Row],[Blanket]],Table_NFI[[#This Row],[Blanket]])</f>
        <v>0</v>
      </c>
      <c r="AC651" s="436">
        <f>IF(NFI_Expiration=1,IF($A651&lt;VLOOKUP(N$5,NFI,5,0),1,0)*Table_NFI[[#This Row],[Kitchen Set]],Table_NFI[Kitchen Set])</f>
        <v>0</v>
      </c>
      <c r="AD651" s="436">
        <f>IF(NFI_Expiration=1,IF($A651&lt;VLOOKUP(O$5,NFI,5,0),1,0)*Table_NFI[[#This Row],[Clothes Kit]],Table_NFI[Clothes Kit])</f>
        <v>0</v>
      </c>
      <c r="AE651" s="436">
        <f>IF(NFI_Expiration=1,IF($A651&lt;VLOOKUP(P$5,NFI,5,0),1,0)*Table_NFI[[#This Row],[Plastic Bucket]],Table_NFI[Plastic Bucket])</f>
        <v>0</v>
      </c>
      <c r="AF651" s="436">
        <f>IF(NFI_Expiration=1,IF($A651&lt;VLOOKUP(Q$5,NFI,5,0),1,0)*Table_NFI[[#This Row],[Plastic Mat]],Table_NFI[Plastic Mat])*IF(Table_NFI[[#This Row],[Distribution Date]]&gt;"2014-04-01",1,2.5)</f>
        <v>0</v>
      </c>
      <c r="AG651" s="436">
        <f>IF(NFI_Expiration=1,IF($A651&lt;VLOOKUP(R$5,NFI,5,0),1,0)*Table_NFI[[#This Row],[Winter Clothes Adult]],Table_NFI[Winter Clothes Adult])</f>
        <v>0</v>
      </c>
      <c r="AH651" s="436">
        <f>IF(NFI_Expiration=1,IF($A651&lt;VLOOKUP(S$5,NFI,5,0),1,0)*Table_NFI[[#This Row],[Winter Clothes Children]],Table_NFI[Winter Clothes Children])</f>
        <v>0</v>
      </c>
      <c r="AI651" s="436">
        <f>IF(NFI_Expiration=1,IF($A651&lt;VLOOKUP(T$5,NFI,5,0),1,0)*Table_NFI[[#This Row],[Winter Items Other]],Table_NFI[Winter Items Other])</f>
        <v>0</v>
      </c>
      <c r="AJ651" s="436">
        <f>IF(NFI_Expiration=1,IF($A651&lt;VLOOKUP(M$5,NFI,5,0),1,0)*Table_NFI[[#This Row],[Winter Blanket]],Table_NFI[[#This Row],[Winter Blanket]])</f>
        <v>0</v>
      </c>
      <c r="AK651" s="436">
        <f>IF(Table_NFI[[#This Row],[Winter Clothes Adult]]+Table_NFI[[#This Row],[Winter Clothes Children]]+Table_NFI[[#This Row],[Winter Items Other]]+Table_NFI[[#This Row],[Winter Blanket]]&gt;0,1,0)</f>
        <v>0</v>
      </c>
      <c r="AL651" s="439">
        <f>IF(NFI_Expiration=1,IF($A651&lt;VLOOKUP(V$5,NFI,5,0),1,0)*Table_NFI[[#This Row],[Jerry Can]],Table_NFI[Jerry Can])</f>
        <v>0</v>
      </c>
      <c r="AM651" s="781" t="str">
        <f>IFERROR(VLOOKUP(Table_NFI[[#This Row],[Camp Name]],CL,2,0),"")</f>
        <v>MMR001CMP056</v>
      </c>
      <c r="AN651" s="782">
        <f ca="1">IF(Table_NFI[[#This Row],[Pcode]]="","",IF(OFFSET(CampList[Opening Date],MATCH(Table_NFI[[#This Row],[Pcode]],CampList[CP_Pcode],0)-1,0,1,1)&gt;=NFI_Monitor_Date,1,0))</f>
        <v>0</v>
      </c>
      <c r="AO651" s="781" t="str">
        <f>IFERROR(VLOOKUP(Table_NFI[[#This Row],[Camp Name]],CL,3,0),"")</f>
        <v>Open</v>
      </c>
      <c r="AP651" s="436" t="str">
        <f ca="1">IF(Table_NFI[[#This Row],[Pcode]]="","",OFFSET(CampList[Priority],MATCH(Table_NFI[[#This Row],[Pcode]],CampList[CP_Pcode],0)-1,0,1,1))</f>
        <v>P4</v>
      </c>
      <c r="AQ651" s="438">
        <f>IFERROR(Table_NFI[[#This Row],[Kitchen Set]]/VLOOKUP(Table_NFI[[#This Row],[Camp Name]],CL,4,0),"")</f>
        <v>0</v>
      </c>
      <c r="AR651" s="779" t="s">
        <v>1099</v>
      </c>
      <c r="AS651" s="783"/>
    </row>
    <row r="652" spans="1:45" x14ac:dyDescent="0.25">
      <c r="A652" s="455">
        <f t="shared" si="10"/>
        <v>34.033333333333331</v>
      </c>
      <c r="B652" s="778">
        <v>41288</v>
      </c>
      <c r="C652" s="779" t="s">
        <v>912</v>
      </c>
      <c r="D652" s="779" t="s">
        <v>912</v>
      </c>
      <c r="E652" s="779" t="s">
        <v>380</v>
      </c>
      <c r="F652" s="435" t="s">
        <v>5</v>
      </c>
      <c r="G652" s="435" t="s">
        <v>6</v>
      </c>
      <c r="H652" s="436">
        <v>940</v>
      </c>
      <c r="I652" s="436"/>
      <c r="J652" s="436">
        <v>1310</v>
      </c>
      <c r="K652" s="436"/>
      <c r="L652" s="437"/>
      <c r="M652" s="437"/>
      <c r="N652" s="437"/>
      <c r="O652" s="437"/>
      <c r="P652" s="439">
        <v>0</v>
      </c>
      <c r="Q652" s="439">
        <v>0</v>
      </c>
      <c r="R652" s="436"/>
      <c r="S652" s="436"/>
      <c r="T652" s="436"/>
      <c r="U652" s="436"/>
      <c r="V652" s="436"/>
      <c r="W652" s="436">
        <f>IF(NFI_Expiration=1,IF($A652&lt;VLOOKUP(H$5,NFI,5,0),1,0)*Table_NFI[[#This Row],[Hygiene Kit]],Table_NFI[Hygiene Kit])</f>
        <v>0</v>
      </c>
      <c r="X652" s="436">
        <f>IF(NFI_Expiration=1,IF($A652&lt;VLOOKUP(I$5,NFI,5,0),1,0)*Table_NFI[[#This Row],[NFI Core Kit]],Table_NFI[NFI Core Kit])</f>
        <v>0</v>
      </c>
      <c r="Y652" s="436">
        <f>IF(NFI_Expiration=1,IF($A652&lt;VLOOKUP(J$5,NFI,5,0),1,0)*Table_NFI[[#This Row],[Sanitary Kit]],Table_NFI[Sanitary Kit])</f>
        <v>0</v>
      </c>
      <c r="Z652" s="436">
        <f>IF(NFI_Expiration=1,IF($A652&lt;VLOOKUP(K$5,NFI,5,0),1,0)*Table_NFI[[#This Row],[Mosquito net]],Table_NFI[Mosquito net])</f>
        <v>0</v>
      </c>
      <c r="AA652" s="436">
        <f>IF(NFI_Expiration=1,IF($A652&lt;VLOOKUP(L$5,NFI,5,0),1,0)*Table_NFI[[#This Row],[Tarpaulin]],Table_NFI[[#This Row],[Tarpaulin]])</f>
        <v>0</v>
      </c>
      <c r="AB652" s="436">
        <f>IF(NFI_Expiration=1,IF($A652&lt;VLOOKUP(M$5,NFI,5,0),1,0)*Table_NFI[[#This Row],[Blanket]],Table_NFI[[#This Row],[Blanket]])</f>
        <v>0</v>
      </c>
      <c r="AC652" s="436">
        <f>IF(NFI_Expiration=1,IF($A652&lt;VLOOKUP(N$5,NFI,5,0),1,0)*Table_NFI[[#This Row],[Kitchen Set]],Table_NFI[Kitchen Set])</f>
        <v>0</v>
      </c>
      <c r="AD652" s="436">
        <f>IF(NFI_Expiration=1,IF($A652&lt;VLOOKUP(O$5,NFI,5,0),1,0)*Table_NFI[[#This Row],[Clothes Kit]],Table_NFI[Clothes Kit])</f>
        <v>0</v>
      </c>
      <c r="AE652" s="436">
        <f>IF(NFI_Expiration=1,IF($A652&lt;VLOOKUP(P$5,NFI,5,0),1,0)*Table_NFI[[#This Row],[Plastic Bucket]],Table_NFI[Plastic Bucket])</f>
        <v>0</v>
      </c>
      <c r="AF652" s="436">
        <f>IF(NFI_Expiration=1,IF($A652&lt;VLOOKUP(Q$5,NFI,5,0),1,0)*Table_NFI[[#This Row],[Plastic Mat]],Table_NFI[Plastic Mat])*IF(Table_NFI[[#This Row],[Distribution Date]]&gt;"2014-04-01",1,2.5)</f>
        <v>0</v>
      </c>
      <c r="AG652" s="436">
        <f>IF(NFI_Expiration=1,IF($A652&lt;VLOOKUP(R$5,NFI,5,0),1,0)*Table_NFI[[#This Row],[Winter Clothes Adult]],Table_NFI[Winter Clothes Adult])</f>
        <v>0</v>
      </c>
      <c r="AH652" s="436">
        <f>IF(NFI_Expiration=1,IF($A652&lt;VLOOKUP(S$5,NFI,5,0),1,0)*Table_NFI[[#This Row],[Winter Clothes Children]],Table_NFI[Winter Clothes Children])</f>
        <v>0</v>
      </c>
      <c r="AI652" s="436">
        <f>IF(NFI_Expiration=1,IF($A652&lt;VLOOKUP(T$5,NFI,5,0),1,0)*Table_NFI[[#This Row],[Winter Items Other]],Table_NFI[Winter Items Other])</f>
        <v>0</v>
      </c>
      <c r="AJ652" s="436">
        <f>IF(NFI_Expiration=1,IF($A652&lt;VLOOKUP(M$5,NFI,5,0),1,0)*Table_NFI[[#This Row],[Winter Blanket]],Table_NFI[[#This Row],[Winter Blanket]])</f>
        <v>0</v>
      </c>
      <c r="AK652" s="436">
        <f>IF(Table_NFI[[#This Row],[Winter Clothes Adult]]+Table_NFI[[#This Row],[Winter Clothes Children]]+Table_NFI[[#This Row],[Winter Items Other]]+Table_NFI[[#This Row],[Winter Blanket]]&gt;0,1,0)</f>
        <v>0</v>
      </c>
      <c r="AL652" s="439">
        <f>IF(NFI_Expiration=1,IF($A652&lt;VLOOKUP(V$5,NFI,5,0),1,0)*Table_NFI[[#This Row],[Jerry Can]],Table_NFI[Jerry Can])</f>
        <v>0</v>
      </c>
      <c r="AM652" s="781" t="str">
        <f>IFERROR(VLOOKUP(Table_NFI[[#This Row],[Camp Name]],CL,2,0),"")</f>
        <v>MMR001CMP050</v>
      </c>
      <c r="AN652" s="782">
        <f ca="1">IF(Table_NFI[[#This Row],[Pcode]]="","",IF(OFFSET(CampList[Opening Date],MATCH(Table_NFI[[#This Row],[Pcode]],CampList[CP_Pcode],0)-1,0,1,1)&gt;=NFI_Monitor_Date,1,0))</f>
        <v>0</v>
      </c>
      <c r="AO652" s="781" t="str">
        <f>IFERROR(VLOOKUP(Table_NFI[[#This Row],[Camp Name]],CL,3,0),"")</f>
        <v>Open</v>
      </c>
      <c r="AP652" s="436" t="str">
        <f ca="1">IF(Table_NFI[[#This Row],[Pcode]]="","",OFFSET(CampList[Priority],MATCH(Table_NFI[[#This Row],[Pcode]],CampList[CP_Pcode],0)-1,0,1,1))</f>
        <v>P4</v>
      </c>
      <c r="AQ652" s="438">
        <f>IFERROR(Table_NFI[[#This Row],[Kitchen Set]]/VLOOKUP(Table_NFI[[#This Row],[Camp Name]],CL,4,0),"")</f>
        <v>0</v>
      </c>
      <c r="AR652" s="779" t="s">
        <v>1099</v>
      </c>
      <c r="AS652" s="783"/>
    </row>
    <row r="653" spans="1:45" x14ac:dyDescent="0.25">
      <c r="A653" s="455">
        <f t="shared" si="10"/>
        <v>34.166666666666664</v>
      </c>
      <c r="B653" s="778">
        <v>41284</v>
      </c>
      <c r="C653" s="779" t="s">
        <v>912</v>
      </c>
      <c r="D653" s="780" t="s">
        <v>912</v>
      </c>
      <c r="E653" s="779" t="s">
        <v>380</v>
      </c>
      <c r="F653" s="435" t="s">
        <v>5</v>
      </c>
      <c r="G653" s="435" t="s">
        <v>14</v>
      </c>
      <c r="H653" s="436">
        <v>212</v>
      </c>
      <c r="I653" s="436"/>
      <c r="J653" s="436">
        <v>240</v>
      </c>
      <c r="K653" s="436"/>
      <c r="L653" s="437"/>
      <c r="M653" s="437"/>
      <c r="N653" s="437"/>
      <c r="O653" s="437"/>
      <c r="P653" s="437">
        <v>0</v>
      </c>
      <c r="Q653" s="437">
        <v>0</v>
      </c>
      <c r="R653" s="436"/>
      <c r="S653" s="436"/>
      <c r="T653" s="436"/>
      <c r="U653" s="436"/>
      <c r="V653" s="436"/>
      <c r="W653" s="436">
        <f>IF(NFI_Expiration=1,IF($A653&lt;VLOOKUP(H$5,NFI,5,0),1,0)*Table_NFI[[#This Row],[Hygiene Kit]],Table_NFI[Hygiene Kit])</f>
        <v>0</v>
      </c>
      <c r="X653" s="436">
        <f>IF(NFI_Expiration=1,IF($A653&lt;VLOOKUP(I$5,NFI,5,0),1,0)*Table_NFI[[#This Row],[NFI Core Kit]],Table_NFI[NFI Core Kit])</f>
        <v>0</v>
      </c>
      <c r="Y653" s="436">
        <f>IF(NFI_Expiration=1,IF($A653&lt;VLOOKUP(J$5,NFI,5,0),1,0)*Table_NFI[[#This Row],[Sanitary Kit]],Table_NFI[Sanitary Kit])</f>
        <v>0</v>
      </c>
      <c r="Z653" s="436">
        <f>IF(NFI_Expiration=1,IF($A653&lt;VLOOKUP(K$5,NFI,5,0),1,0)*Table_NFI[[#This Row],[Mosquito net]],Table_NFI[Mosquito net])</f>
        <v>0</v>
      </c>
      <c r="AA653" s="436">
        <f>IF(NFI_Expiration=1,IF($A653&lt;VLOOKUP(L$5,NFI,5,0),1,0)*Table_NFI[[#This Row],[Tarpaulin]],Table_NFI[[#This Row],[Tarpaulin]])</f>
        <v>0</v>
      </c>
      <c r="AB653" s="436">
        <f>IF(NFI_Expiration=1,IF($A653&lt;VLOOKUP(M$5,NFI,5,0),1,0)*Table_NFI[[#This Row],[Blanket]],Table_NFI[[#This Row],[Blanket]])</f>
        <v>0</v>
      </c>
      <c r="AC653" s="436">
        <f>IF(NFI_Expiration=1,IF($A653&lt;VLOOKUP(N$5,NFI,5,0),1,0)*Table_NFI[[#This Row],[Kitchen Set]],Table_NFI[Kitchen Set])</f>
        <v>0</v>
      </c>
      <c r="AD653" s="436">
        <f>IF(NFI_Expiration=1,IF($A653&lt;VLOOKUP(O$5,NFI,5,0),1,0)*Table_NFI[[#This Row],[Clothes Kit]],Table_NFI[Clothes Kit])</f>
        <v>0</v>
      </c>
      <c r="AE653" s="436">
        <f>IF(NFI_Expiration=1,IF($A653&lt;VLOOKUP(P$5,NFI,5,0),1,0)*Table_NFI[[#This Row],[Plastic Bucket]],Table_NFI[Plastic Bucket])</f>
        <v>0</v>
      </c>
      <c r="AF653" s="436">
        <f>IF(NFI_Expiration=1,IF($A653&lt;VLOOKUP(Q$5,NFI,5,0),1,0)*Table_NFI[[#This Row],[Plastic Mat]],Table_NFI[Plastic Mat])*IF(Table_NFI[[#This Row],[Distribution Date]]&gt;"2014-04-01",1,2.5)</f>
        <v>0</v>
      </c>
      <c r="AG653" s="436">
        <f>IF(NFI_Expiration=1,IF($A653&lt;VLOOKUP(R$5,NFI,5,0),1,0)*Table_NFI[[#This Row],[Winter Clothes Adult]],Table_NFI[Winter Clothes Adult])</f>
        <v>0</v>
      </c>
      <c r="AH653" s="436">
        <f>IF(NFI_Expiration=1,IF($A653&lt;VLOOKUP(S$5,NFI,5,0),1,0)*Table_NFI[[#This Row],[Winter Clothes Children]],Table_NFI[Winter Clothes Children])</f>
        <v>0</v>
      </c>
      <c r="AI653" s="436">
        <f>IF(NFI_Expiration=1,IF($A653&lt;VLOOKUP(T$5,NFI,5,0),1,0)*Table_NFI[[#This Row],[Winter Items Other]],Table_NFI[Winter Items Other])</f>
        <v>0</v>
      </c>
      <c r="AJ653" s="436">
        <f>IF(NFI_Expiration=1,IF($A653&lt;VLOOKUP(M$5,NFI,5,0),1,0)*Table_NFI[[#This Row],[Winter Blanket]],Table_NFI[[#This Row],[Winter Blanket]])</f>
        <v>0</v>
      </c>
      <c r="AK653" s="436">
        <f>IF(Table_NFI[[#This Row],[Winter Clothes Adult]]+Table_NFI[[#This Row],[Winter Clothes Children]]+Table_NFI[[#This Row],[Winter Items Other]]+Table_NFI[[#This Row],[Winter Blanket]]&gt;0,1,0)</f>
        <v>0</v>
      </c>
      <c r="AL653" s="439">
        <f>IF(NFI_Expiration=1,IF($A653&lt;VLOOKUP(V$5,NFI,5,0),1,0)*Table_NFI[[#This Row],[Jerry Can]],Table_NFI[Jerry Can])</f>
        <v>0</v>
      </c>
      <c r="AM653" s="781" t="str">
        <f>IFERROR(VLOOKUP(Table_NFI[[#This Row],[Camp Name]],CL,2,0),"")</f>
        <v>MMR001CMP052</v>
      </c>
      <c r="AN653" s="782">
        <f ca="1">IF(Table_NFI[[#This Row],[Pcode]]="","",IF(OFFSET(CampList[Opening Date],MATCH(Table_NFI[[#This Row],[Pcode]],CampList[CP_Pcode],0)-1,0,1,1)&gt;=NFI_Monitor_Date,1,0))</f>
        <v>0</v>
      </c>
      <c r="AO653" s="781" t="str">
        <f>IFERROR(VLOOKUP(Table_NFI[[#This Row],[Camp Name]],CL,3,0),"")</f>
        <v>Open</v>
      </c>
      <c r="AP653" s="436" t="str">
        <f ca="1">IF(Table_NFI[[#This Row],[Pcode]]="","",OFFSET(CampList[Priority],MATCH(Table_NFI[[#This Row],[Pcode]],CampList[CP_Pcode],0)-1,0,1,1))</f>
        <v>P4</v>
      </c>
      <c r="AQ653" s="438">
        <f>IFERROR(Table_NFI[[#This Row],[Kitchen Set]]/VLOOKUP(Table_NFI[[#This Row],[Camp Name]],CL,4,0),"")</f>
        <v>0</v>
      </c>
      <c r="AR653" s="779" t="s">
        <v>1099</v>
      </c>
      <c r="AS653" s="783"/>
    </row>
    <row r="654" spans="1:45" x14ac:dyDescent="0.25">
      <c r="A654" s="455">
        <f t="shared" si="10"/>
        <v>34.200000000000003</v>
      </c>
      <c r="B654" s="778">
        <v>41283</v>
      </c>
      <c r="C654" s="779" t="s">
        <v>912</v>
      </c>
      <c r="D654" s="780" t="s">
        <v>912</v>
      </c>
      <c r="E654" s="779" t="s">
        <v>380</v>
      </c>
      <c r="F654" s="435" t="s">
        <v>5</v>
      </c>
      <c r="G654" s="435" t="s">
        <v>18</v>
      </c>
      <c r="H654" s="436">
        <v>205</v>
      </c>
      <c r="I654" s="436"/>
      <c r="J654" s="436">
        <v>200</v>
      </c>
      <c r="K654" s="436"/>
      <c r="L654" s="437"/>
      <c r="M654" s="437"/>
      <c r="N654" s="437"/>
      <c r="O654" s="437"/>
      <c r="P654" s="437">
        <v>0</v>
      </c>
      <c r="Q654" s="437">
        <v>0</v>
      </c>
      <c r="R654" s="436"/>
      <c r="S654" s="436"/>
      <c r="T654" s="436"/>
      <c r="U654" s="436"/>
      <c r="V654" s="436"/>
      <c r="W654" s="436">
        <f>IF(NFI_Expiration=1,IF($A654&lt;VLOOKUP(H$5,NFI,5,0),1,0)*Table_NFI[[#This Row],[Hygiene Kit]],Table_NFI[Hygiene Kit])</f>
        <v>0</v>
      </c>
      <c r="X654" s="436">
        <f>IF(NFI_Expiration=1,IF($A654&lt;VLOOKUP(I$5,NFI,5,0),1,0)*Table_NFI[[#This Row],[NFI Core Kit]],Table_NFI[NFI Core Kit])</f>
        <v>0</v>
      </c>
      <c r="Y654" s="436">
        <f>IF(NFI_Expiration=1,IF($A654&lt;VLOOKUP(J$5,NFI,5,0),1,0)*Table_NFI[[#This Row],[Sanitary Kit]],Table_NFI[Sanitary Kit])</f>
        <v>0</v>
      </c>
      <c r="Z654" s="436">
        <f>IF(NFI_Expiration=1,IF($A654&lt;VLOOKUP(K$5,NFI,5,0),1,0)*Table_NFI[[#This Row],[Mosquito net]],Table_NFI[Mosquito net])</f>
        <v>0</v>
      </c>
      <c r="AA654" s="436">
        <f>IF(NFI_Expiration=1,IF($A654&lt;VLOOKUP(L$5,NFI,5,0),1,0)*Table_NFI[[#This Row],[Tarpaulin]],Table_NFI[[#This Row],[Tarpaulin]])</f>
        <v>0</v>
      </c>
      <c r="AB654" s="436">
        <f>IF(NFI_Expiration=1,IF($A654&lt;VLOOKUP(M$5,NFI,5,0),1,0)*Table_NFI[[#This Row],[Blanket]],Table_NFI[[#This Row],[Blanket]])</f>
        <v>0</v>
      </c>
      <c r="AC654" s="436">
        <f>IF(NFI_Expiration=1,IF($A654&lt;VLOOKUP(N$5,NFI,5,0),1,0)*Table_NFI[[#This Row],[Kitchen Set]],Table_NFI[Kitchen Set])</f>
        <v>0</v>
      </c>
      <c r="AD654" s="436">
        <f>IF(NFI_Expiration=1,IF($A654&lt;VLOOKUP(O$5,NFI,5,0),1,0)*Table_NFI[[#This Row],[Clothes Kit]],Table_NFI[Clothes Kit])</f>
        <v>0</v>
      </c>
      <c r="AE654" s="436">
        <f>IF(NFI_Expiration=1,IF($A654&lt;VLOOKUP(P$5,NFI,5,0),1,0)*Table_NFI[[#This Row],[Plastic Bucket]],Table_NFI[Plastic Bucket])</f>
        <v>0</v>
      </c>
      <c r="AF654" s="436">
        <f>IF(NFI_Expiration=1,IF($A654&lt;VLOOKUP(Q$5,NFI,5,0),1,0)*Table_NFI[[#This Row],[Plastic Mat]],Table_NFI[Plastic Mat])*IF(Table_NFI[[#This Row],[Distribution Date]]&gt;"2014-04-01",1,2.5)</f>
        <v>0</v>
      </c>
      <c r="AG654" s="436">
        <f>IF(NFI_Expiration=1,IF($A654&lt;VLOOKUP(R$5,NFI,5,0),1,0)*Table_NFI[[#This Row],[Winter Clothes Adult]],Table_NFI[Winter Clothes Adult])</f>
        <v>0</v>
      </c>
      <c r="AH654" s="436">
        <f>IF(NFI_Expiration=1,IF($A654&lt;VLOOKUP(S$5,NFI,5,0),1,0)*Table_NFI[[#This Row],[Winter Clothes Children]],Table_NFI[Winter Clothes Children])</f>
        <v>0</v>
      </c>
      <c r="AI654" s="436">
        <f>IF(NFI_Expiration=1,IF($A654&lt;VLOOKUP(T$5,NFI,5,0),1,0)*Table_NFI[[#This Row],[Winter Items Other]],Table_NFI[Winter Items Other])</f>
        <v>0</v>
      </c>
      <c r="AJ654" s="436">
        <f>IF(NFI_Expiration=1,IF($A654&lt;VLOOKUP(M$5,NFI,5,0),1,0)*Table_NFI[[#This Row],[Winter Blanket]],Table_NFI[[#This Row],[Winter Blanket]])</f>
        <v>0</v>
      </c>
      <c r="AK654" s="436">
        <f>IF(Table_NFI[[#This Row],[Winter Clothes Adult]]+Table_NFI[[#This Row],[Winter Clothes Children]]+Table_NFI[[#This Row],[Winter Items Other]]+Table_NFI[[#This Row],[Winter Blanket]]&gt;0,1,0)</f>
        <v>0</v>
      </c>
      <c r="AL654" s="439">
        <f>IF(NFI_Expiration=1,IF($A654&lt;VLOOKUP(V$5,NFI,5,0),1,0)*Table_NFI[[#This Row],[Jerry Can]],Table_NFI[Jerry Can])</f>
        <v>0</v>
      </c>
      <c r="AM654" s="781" t="str">
        <f>IFERROR(VLOOKUP(Table_NFI[[#This Row],[Camp Name]],CL,2,0),"")</f>
        <v>MMR001CMP049</v>
      </c>
      <c r="AN654" s="782">
        <f ca="1">IF(Table_NFI[[#This Row],[Pcode]]="","",IF(OFFSET(CampList[Opening Date],MATCH(Table_NFI[[#This Row],[Pcode]],CampList[CP_Pcode],0)-1,0,1,1)&gt;=NFI_Monitor_Date,1,0))</f>
        <v>0</v>
      </c>
      <c r="AO654" s="781" t="str">
        <f>IFERROR(VLOOKUP(Table_NFI[[#This Row],[Camp Name]],CL,3,0),"")</f>
        <v>Open</v>
      </c>
      <c r="AP654" s="436" t="str">
        <f ca="1">IF(Table_NFI[[#This Row],[Pcode]]="","",OFFSET(CampList[Priority],MATCH(Table_NFI[[#This Row],[Pcode]],CampList[CP_Pcode],0)-1,0,1,1))</f>
        <v>P4</v>
      </c>
      <c r="AQ654" s="438">
        <f>IFERROR(Table_NFI[[#This Row],[Kitchen Set]]/VLOOKUP(Table_NFI[[#This Row],[Camp Name]],CL,4,0),"")</f>
        <v>0</v>
      </c>
      <c r="AR654" s="779" t="s">
        <v>1099</v>
      </c>
      <c r="AS654" s="783"/>
    </row>
    <row r="655" spans="1:45" x14ac:dyDescent="0.25">
      <c r="A655" s="455">
        <f t="shared" si="10"/>
        <v>34.233333333333334</v>
      </c>
      <c r="B655" s="778">
        <v>41282</v>
      </c>
      <c r="C655" s="779" t="s">
        <v>912</v>
      </c>
      <c r="D655" s="779" t="s">
        <v>912</v>
      </c>
      <c r="E655" s="779" t="s">
        <v>380</v>
      </c>
      <c r="F655" s="779" t="s">
        <v>185</v>
      </c>
      <c r="G655" s="435" t="s">
        <v>223</v>
      </c>
      <c r="H655" s="436">
        <v>353</v>
      </c>
      <c r="I655" s="436"/>
      <c r="J655" s="436">
        <v>435</v>
      </c>
      <c r="K655" s="436"/>
      <c r="L655" s="437"/>
      <c r="M655" s="437"/>
      <c r="N655" s="437"/>
      <c r="O655" s="437"/>
      <c r="P655" s="437">
        <v>0</v>
      </c>
      <c r="Q655" s="437">
        <v>0</v>
      </c>
      <c r="R655" s="436"/>
      <c r="S655" s="436"/>
      <c r="T655" s="436"/>
      <c r="U655" s="436"/>
      <c r="V655" s="436"/>
      <c r="W655" s="436">
        <f>IF(NFI_Expiration=1,IF($A655&lt;VLOOKUP(H$5,NFI,5,0),1,0)*Table_NFI[[#This Row],[Hygiene Kit]],Table_NFI[Hygiene Kit])</f>
        <v>0</v>
      </c>
      <c r="X655" s="436">
        <f>IF(NFI_Expiration=1,IF($A655&lt;VLOOKUP(I$5,NFI,5,0),1,0)*Table_NFI[[#This Row],[NFI Core Kit]],Table_NFI[NFI Core Kit])</f>
        <v>0</v>
      </c>
      <c r="Y655" s="436">
        <f>IF(NFI_Expiration=1,IF($A655&lt;VLOOKUP(J$5,NFI,5,0),1,0)*Table_NFI[[#This Row],[Sanitary Kit]],Table_NFI[Sanitary Kit])</f>
        <v>0</v>
      </c>
      <c r="Z655" s="436">
        <f>IF(NFI_Expiration=1,IF($A655&lt;VLOOKUP(K$5,NFI,5,0),1,0)*Table_NFI[[#This Row],[Mosquito net]],Table_NFI[Mosquito net])</f>
        <v>0</v>
      </c>
      <c r="AA655" s="436">
        <f>IF(NFI_Expiration=1,IF($A655&lt;VLOOKUP(L$5,NFI,5,0),1,0)*Table_NFI[[#This Row],[Tarpaulin]],Table_NFI[[#This Row],[Tarpaulin]])</f>
        <v>0</v>
      </c>
      <c r="AB655" s="436">
        <f>IF(NFI_Expiration=1,IF($A655&lt;VLOOKUP(M$5,NFI,5,0),1,0)*Table_NFI[[#This Row],[Blanket]],Table_NFI[[#This Row],[Blanket]])</f>
        <v>0</v>
      </c>
      <c r="AC655" s="436">
        <f>IF(NFI_Expiration=1,IF($A655&lt;VLOOKUP(N$5,NFI,5,0),1,0)*Table_NFI[[#This Row],[Kitchen Set]],Table_NFI[Kitchen Set])</f>
        <v>0</v>
      </c>
      <c r="AD655" s="436">
        <f>IF(NFI_Expiration=1,IF($A655&lt;VLOOKUP(O$5,NFI,5,0),1,0)*Table_NFI[[#This Row],[Clothes Kit]],Table_NFI[Clothes Kit])</f>
        <v>0</v>
      </c>
      <c r="AE655" s="436">
        <f>IF(NFI_Expiration=1,IF($A655&lt;VLOOKUP(P$5,NFI,5,0),1,0)*Table_NFI[[#This Row],[Plastic Bucket]],Table_NFI[Plastic Bucket])</f>
        <v>0</v>
      </c>
      <c r="AF655" s="436">
        <f>IF(NFI_Expiration=1,IF($A655&lt;VLOOKUP(Q$5,NFI,5,0),1,0)*Table_NFI[[#This Row],[Plastic Mat]],Table_NFI[Plastic Mat])*IF(Table_NFI[[#This Row],[Distribution Date]]&gt;"2014-04-01",1,2.5)</f>
        <v>0</v>
      </c>
      <c r="AG655" s="436">
        <f>IF(NFI_Expiration=1,IF($A655&lt;VLOOKUP(R$5,NFI,5,0),1,0)*Table_NFI[[#This Row],[Winter Clothes Adult]],Table_NFI[Winter Clothes Adult])</f>
        <v>0</v>
      </c>
      <c r="AH655" s="436">
        <f>IF(NFI_Expiration=1,IF($A655&lt;VLOOKUP(S$5,NFI,5,0),1,0)*Table_NFI[[#This Row],[Winter Clothes Children]],Table_NFI[Winter Clothes Children])</f>
        <v>0</v>
      </c>
      <c r="AI655" s="436">
        <f>IF(NFI_Expiration=1,IF($A655&lt;VLOOKUP(T$5,NFI,5,0),1,0)*Table_NFI[[#This Row],[Winter Items Other]],Table_NFI[Winter Items Other])</f>
        <v>0</v>
      </c>
      <c r="AJ655" s="436">
        <f>IF(NFI_Expiration=1,IF($A655&lt;VLOOKUP(M$5,NFI,5,0),1,0)*Table_NFI[[#This Row],[Winter Blanket]],Table_NFI[[#This Row],[Winter Blanket]])</f>
        <v>0</v>
      </c>
      <c r="AK655" s="436">
        <f>IF(Table_NFI[[#This Row],[Winter Clothes Adult]]+Table_NFI[[#This Row],[Winter Clothes Children]]+Table_NFI[[#This Row],[Winter Items Other]]+Table_NFI[[#This Row],[Winter Blanket]]&gt;0,1,0)</f>
        <v>0</v>
      </c>
      <c r="AL655" s="439">
        <f>IF(NFI_Expiration=1,IF($A655&lt;VLOOKUP(V$5,NFI,5,0),1,0)*Table_NFI[[#This Row],[Jerry Can]],Table_NFI[Jerry Can])</f>
        <v>0</v>
      </c>
      <c r="AM655" s="781" t="str">
        <f>IFERROR(VLOOKUP(Table_NFI[[#This Row],[Camp Name]],CL,2,0),"")</f>
        <v>MMR001CMP069</v>
      </c>
      <c r="AN655" s="782">
        <f ca="1">IF(Table_NFI[[#This Row],[Pcode]]="","",IF(OFFSET(CampList[Opening Date],MATCH(Table_NFI[[#This Row],[Pcode]],CampList[CP_Pcode],0)-1,0,1,1)&gt;=NFI_Monitor_Date,1,0))</f>
        <v>0</v>
      </c>
      <c r="AO655" s="781" t="str">
        <f>IFERROR(VLOOKUP(Table_NFI[[#This Row],[Camp Name]],CL,3,0),"")</f>
        <v>Open</v>
      </c>
      <c r="AP655" s="436" t="str">
        <f ca="1">IF(Table_NFI[[#This Row],[Pcode]]="","",OFFSET(CampList[Priority],MATCH(Table_NFI[[#This Row],[Pcode]],CampList[CP_Pcode],0)-1,0,1,1))</f>
        <v>P3</v>
      </c>
      <c r="AQ655" s="438">
        <f>IFERROR(Table_NFI[[#This Row],[Kitchen Set]]/VLOOKUP(Table_NFI[[#This Row],[Camp Name]],CL,4,0),"")</f>
        <v>0</v>
      </c>
      <c r="AR655" s="779" t="s">
        <v>1099</v>
      </c>
      <c r="AS655" s="783"/>
    </row>
    <row r="656" spans="1:45" x14ac:dyDescent="0.25">
      <c r="A656" s="455">
        <f t="shared" si="10"/>
        <v>34.233333333333334</v>
      </c>
      <c r="B656" s="778">
        <v>41282</v>
      </c>
      <c r="C656" s="779" t="s">
        <v>912</v>
      </c>
      <c r="D656" s="779" t="s">
        <v>912</v>
      </c>
      <c r="E656" s="779" t="s">
        <v>380</v>
      </c>
      <c r="F656" s="779" t="s">
        <v>5</v>
      </c>
      <c r="G656" s="435" t="s">
        <v>26</v>
      </c>
      <c r="H656" s="436">
        <v>132</v>
      </c>
      <c r="I656" s="436"/>
      <c r="J656" s="436">
        <v>180</v>
      </c>
      <c r="K656" s="436"/>
      <c r="L656" s="437"/>
      <c r="M656" s="437"/>
      <c r="N656" s="437"/>
      <c r="O656" s="437"/>
      <c r="P656" s="439">
        <v>0</v>
      </c>
      <c r="Q656" s="439">
        <v>0</v>
      </c>
      <c r="R656" s="436"/>
      <c r="S656" s="436"/>
      <c r="T656" s="436"/>
      <c r="U656" s="436"/>
      <c r="V656" s="436"/>
      <c r="W656" s="436">
        <f>IF(NFI_Expiration=1,IF($A656&lt;VLOOKUP(H$5,NFI,5,0),1,0)*Table_NFI[[#This Row],[Hygiene Kit]],Table_NFI[Hygiene Kit])</f>
        <v>0</v>
      </c>
      <c r="X656" s="436">
        <f>IF(NFI_Expiration=1,IF($A656&lt;VLOOKUP(I$5,NFI,5,0),1,0)*Table_NFI[[#This Row],[NFI Core Kit]],Table_NFI[NFI Core Kit])</f>
        <v>0</v>
      </c>
      <c r="Y656" s="436">
        <f>IF(NFI_Expiration=1,IF($A656&lt;VLOOKUP(J$5,NFI,5,0),1,0)*Table_NFI[[#This Row],[Sanitary Kit]],Table_NFI[Sanitary Kit])</f>
        <v>0</v>
      </c>
      <c r="Z656" s="436">
        <f>IF(NFI_Expiration=1,IF($A656&lt;VLOOKUP(K$5,NFI,5,0),1,0)*Table_NFI[[#This Row],[Mosquito net]],Table_NFI[Mosquito net])</f>
        <v>0</v>
      </c>
      <c r="AA656" s="436">
        <f>IF(NFI_Expiration=1,IF($A656&lt;VLOOKUP(L$5,NFI,5,0),1,0)*Table_NFI[[#This Row],[Tarpaulin]],Table_NFI[[#This Row],[Tarpaulin]])</f>
        <v>0</v>
      </c>
      <c r="AB656" s="436">
        <f>IF(NFI_Expiration=1,IF($A656&lt;VLOOKUP(M$5,NFI,5,0),1,0)*Table_NFI[[#This Row],[Blanket]],Table_NFI[[#This Row],[Blanket]])</f>
        <v>0</v>
      </c>
      <c r="AC656" s="436">
        <f>IF(NFI_Expiration=1,IF($A656&lt;VLOOKUP(N$5,NFI,5,0),1,0)*Table_NFI[[#This Row],[Kitchen Set]],Table_NFI[Kitchen Set])</f>
        <v>0</v>
      </c>
      <c r="AD656" s="436">
        <f>IF(NFI_Expiration=1,IF($A656&lt;VLOOKUP(O$5,NFI,5,0),1,0)*Table_NFI[[#This Row],[Clothes Kit]],Table_NFI[Clothes Kit])</f>
        <v>0</v>
      </c>
      <c r="AE656" s="436">
        <f>IF(NFI_Expiration=1,IF($A656&lt;VLOOKUP(P$5,NFI,5,0),1,0)*Table_NFI[[#This Row],[Plastic Bucket]],Table_NFI[Plastic Bucket])</f>
        <v>0</v>
      </c>
      <c r="AF656" s="436">
        <f>IF(NFI_Expiration=1,IF($A656&lt;VLOOKUP(Q$5,NFI,5,0),1,0)*Table_NFI[[#This Row],[Plastic Mat]],Table_NFI[Plastic Mat])*IF(Table_NFI[[#This Row],[Distribution Date]]&gt;"2014-04-01",1,2.5)</f>
        <v>0</v>
      </c>
      <c r="AG656" s="436">
        <f>IF(NFI_Expiration=1,IF($A656&lt;VLOOKUP(R$5,NFI,5,0),1,0)*Table_NFI[[#This Row],[Winter Clothes Adult]],Table_NFI[Winter Clothes Adult])</f>
        <v>0</v>
      </c>
      <c r="AH656" s="436">
        <f>IF(NFI_Expiration=1,IF($A656&lt;VLOOKUP(S$5,NFI,5,0),1,0)*Table_NFI[[#This Row],[Winter Clothes Children]],Table_NFI[Winter Clothes Children])</f>
        <v>0</v>
      </c>
      <c r="AI656" s="436">
        <f>IF(NFI_Expiration=1,IF($A656&lt;VLOOKUP(T$5,NFI,5,0),1,0)*Table_NFI[[#This Row],[Winter Items Other]],Table_NFI[Winter Items Other])</f>
        <v>0</v>
      </c>
      <c r="AJ656" s="436">
        <f>IF(NFI_Expiration=1,IF($A656&lt;VLOOKUP(M$5,NFI,5,0),1,0)*Table_NFI[[#This Row],[Winter Blanket]],Table_NFI[[#This Row],[Winter Blanket]])</f>
        <v>0</v>
      </c>
      <c r="AK656" s="436">
        <f>IF(Table_NFI[[#This Row],[Winter Clothes Adult]]+Table_NFI[[#This Row],[Winter Clothes Children]]+Table_NFI[[#This Row],[Winter Items Other]]+Table_NFI[[#This Row],[Winter Blanket]]&gt;0,1,0)</f>
        <v>0</v>
      </c>
      <c r="AL656" s="439">
        <f>IF(NFI_Expiration=1,IF($A656&lt;VLOOKUP(V$5,NFI,5,0),1,0)*Table_NFI[[#This Row],[Jerry Can]],Table_NFI[Jerry Can])</f>
        <v>0</v>
      </c>
      <c r="AM656" s="781" t="str">
        <f>IFERROR(VLOOKUP(Table_NFI[[#This Row],[Camp Name]],CL,2,0),"")</f>
        <v>MMR001CMP053</v>
      </c>
      <c r="AN656" s="782">
        <f ca="1">IF(Table_NFI[[#This Row],[Pcode]]="","",IF(OFFSET(CampList[Opening Date],MATCH(Table_NFI[[#This Row],[Pcode]],CampList[CP_Pcode],0)-1,0,1,1)&gt;=NFI_Monitor_Date,1,0))</f>
        <v>0</v>
      </c>
      <c r="AO656" s="781" t="str">
        <f>IFERROR(VLOOKUP(Table_NFI[[#This Row],[Camp Name]],CL,3,0),"")</f>
        <v>Open</v>
      </c>
      <c r="AP656" s="436" t="str">
        <f ca="1">IF(Table_NFI[[#This Row],[Pcode]]="","",OFFSET(CampList[Priority],MATCH(Table_NFI[[#This Row],[Pcode]],CampList[CP_Pcode],0)-1,0,1,1))</f>
        <v>P4</v>
      </c>
      <c r="AQ656" s="438">
        <f>IFERROR(Table_NFI[[#This Row],[Kitchen Set]]/VLOOKUP(Table_NFI[[#This Row],[Camp Name]],CL,4,0),"")</f>
        <v>0</v>
      </c>
      <c r="AR656" s="779" t="s">
        <v>1099</v>
      </c>
      <c r="AS656" s="783"/>
    </row>
    <row r="657" spans="1:45" x14ac:dyDescent="0.25">
      <c r="A657" s="455">
        <f t="shared" si="10"/>
        <v>34.299999999999997</v>
      </c>
      <c r="B657" s="778">
        <v>41280</v>
      </c>
      <c r="C657" s="779" t="s">
        <v>912</v>
      </c>
      <c r="D657" s="780" t="s">
        <v>912</v>
      </c>
      <c r="E657" s="779" t="s">
        <v>380</v>
      </c>
      <c r="F657" s="435" t="s">
        <v>151</v>
      </c>
      <c r="G657" s="435" t="s">
        <v>152</v>
      </c>
      <c r="H657" s="436">
        <v>351</v>
      </c>
      <c r="I657" s="436"/>
      <c r="J657" s="436">
        <v>415</v>
      </c>
      <c r="K657" s="436"/>
      <c r="L657" s="437"/>
      <c r="M657" s="437"/>
      <c r="N657" s="437"/>
      <c r="O657" s="437"/>
      <c r="P657" s="437">
        <v>0</v>
      </c>
      <c r="Q657" s="437">
        <v>0</v>
      </c>
      <c r="R657" s="436"/>
      <c r="S657" s="436"/>
      <c r="T657" s="436"/>
      <c r="U657" s="436"/>
      <c r="V657" s="436"/>
      <c r="W657" s="436">
        <f>IF(NFI_Expiration=1,IF($A657&lt;VLOOKUP(H$5,NFI,5,0),1,0)*Table_NFI[[#This Row],[Hygiene Kit]],Table_NFI[Hygiene Kit])</f>
        <v>0</v>
      </c>
      <c r="X657" s="436">
        <f>IF(NFI_Expiration=1,IF($A657&lt;VLOOKUP(I$5,NFI,5,0),1,0)*Table_NFI[[#This Row],[NFI Core Kit]],Table_NFI[NFI Core Kit])</f>
        <v>0</v>
      </c>
      <c r="Y657" s="436">
        <f>IF(NFI_Expiration=1,IF($A657&lt;VLOOKUP(J$5,NFI,5,0),1,0)*Table_NFI[[#This Row],[Sanitary Kit]],Table_NFI[Sanitary Kit])</f>
        <v>0</v>
      </c>
      <c r="Z657" s="436">
        <f>IF(NFI_Expiration=1,IF($A657&lt;VLOOKUP(K$5,NFI,5,0),1,0)*Table_NFI[[#This Row],[Mosquito net]],Table_NFI[Mosquito net])</f>
        <v>0</v>
      </c>
      <c r="AA657" s="436">
        <f>IF(NFI_Expiration=1,IF($A657&lt;VLOOKUP(L$5,NFI,5,0),1,0)*Table_NFI[[#This Row],[Tarpaulin]],Table_NFI[[#This Row],[Tarpaulin]])</f>
        <v>0</v>
      </c>
      <c r="AB657" s="436">
        <f>IF(NFI_Expiration=1,IF($A657&lt;VLOOKUP(M$5,NFI,5,0),1,0)*Table_NFI[[#This Row],[Blanket]],Table_NFI[[#This Row],[Blanket]])</f>
        <v>0</v>
      </c>
      <c r="AC657" s="436">
        <f>IF(NFI_Expiration=1,IF($A657&lt;VLOOKUP(N$5,NFI,5,0),1,0)*Table_NFI[[#This Row],[Kitchen Set]],Table_NFI[Kitchen Set])</f>
        <v>0</v>
      </c>
      <c r="AD657" s="436">
        <f>IF(NFI_Expiration=1,IF($A657&lt;VLOOKUP(O$5,NFI,5,0),1,0)*Table_NFI[[#This Row],[Clothes Kit]],Table_NFI[Clothes Kit])</f>
        <v>0</v>
      </c>
      <c r="AE657" s="436">
        <f>IF(NFI_Expiration=1,IF($A657&lt;VLOOKUP(P$5,NFI,5,0),1,0)*Table_NFI[[#This Row],[Plastic Bucket]],Table_NFI[Plastic Bucket])</f>
        <v>0</v>
      </c>
      <c r="AF657" s="436">
        <f>IF(NFI_Expiration=1,IF($A657&lt;VLOOKUP(Q$5,NFI,5,0),1,0)*Table_NFI[[#This Row],[Plastic Mat]],Table_NFI[Plastic Mat])*IF(Table_NFI[[#This Row],[Distribution Date]]&gt;"2014-04-01",1,2.5)</f>
        <v>0</v>
      </c>
      <c r="AG657" s="436">
        <f>IF(NFI_Expiration=1,IF($A657&lt;VLOOKUP(R$5,NFI,5,0),1,0)*Table_NFI[[#This Row],[Winter Clothes Adult]],Table_NFI[Winter Clothes Adult])</f>
        <v>0</v>
      </c>
      <c r="AH657" s="436">
        <f>IF(NFI_Expiration=1,IF($A657&lt;VLOOKUP(S$5,NFI,5,0),1,0)*Table_NFI[[#This Row],[Winter Clothes Children]],Table_NFI[Winter Clothes Children])</f>
        <v>0</v>
      </c>
      <c r="AI657" s="436">
        <f>IF(NFI_Expiration=1,IF($A657&lt;VLOOKUP(T$5,NFI,5,0),1,0)*Table_NFI[[#This Row],[Winter Items Other]],Table_NFI[Winter Items Other])</f>
        <v>0</v>
      </c>
      <c r="AJ657" s="436">
        <f>IF(NFI_Expiration=1,IF($A657&lt;VLOOKUP(M$5,NFI,5,0),1,0)*Table_NFI[[#This Row],[Winter Blanket]],Table_NFI[[#This Row],[Winter Blanket]])</f>
        <v>0</v>
      </c>
      <c r="AK657" s="436">
        <f>IF(Table_NFI[[#This Row],[Winter Clothes Adult]]+Table_NFI[[#This Row],[Winter Clothes Children]]+Table_NFI[[#This Row],[Winter Items Other]]+Table_NFI[[#This Row],[Winter Blanket]]&gt;0,1,0)</f>
        <v>0</v>
      </c>
      <c r="AL657" s="439">
        <f>IF(NFI_Expiration=1,IF($A657&lt;VLOOKUP(V$5,NFI,5,0),1,0)*Table_NFI[[#This Row],[Jerry Can]],Table_NFI[Jerry Can])</f>
        <v>0</v>
      </c>
      <c r="AM657" s="781" t="str">
        <f>IFERROR(VLOOKUP(Table_NFI[[#This Row],[Camp Name]],CL,2,0),"")</f>
        <v>MMR001CMP066</v>
      </c>
      <c r="AN657" s="782">
        <f ca="1">IF(Table_NFI[[#This Row],[Pcode]]="","",IF(OFFSET(CampList[Opening Date],MATCH(Table_NFI[[#This Row],[Pcode]],CampList[CP_Pcode],0)-1,0,1,1)&gt;=NFI_Monitor_Date,1,0))</f>
        <v>0</v>
      </c>
      <c r="AO657" s="781" t="str">
        <f>IFERROR(VLOOKUP(Table_NFI[[#This Row],[Camp Name]],CL,3,0),"")</f>
        <v>Open</v>
      </c>
      <c r="AP657" s="436" t="str">
        <f ca="1">IF(Table_NFI[[#This Row],[Pcode]]="","",OFFSET(CampList[Priority],MATCH(Table_NFI[[#This Row],[Pcode]],CampList[CP_Pcode],0)-1,0,1,1))</f>
        <v>P4</v>
      </c>
      <c r="AQ657" s="438">
        <f>IFERROR(Table_NFI[[#This Row],[Kitchen Set]]/VLOOKUP(Table_NFI[[#This Row],[Camp Name]],CL,4,0),"")</f>
        <v>0</v>
      </c>
      <c r="AR657" s="779" t="s">
        <v>1099</v>
      </c>
      <c r="AS657" s="783"/>
    </row>
    <row r="658" spans="1:45" x14ac:dyDescent="0.25">
      <c r="A658" s="455">
        <f t="shared" si="10"/>
        <v>34.5</v>
      </c>
      <c r="B658" s="778">
        <v>41274</v>
      </c>
      <c r="C658" s="779" t="s">
        <v>455</v>
      </c>
      <c r="D658" s="780" t="s">
        <v>455</v>
      </c>
      <c r="E658" s="779" t="s">
        <v>380</v>
      </c>
      <c r="F658" s="435" t="s">
        <v>529</v>
      </c>
      <c r="G658" s="435" t="s">
        <v>62</v>
      </c>
      <c r="H658" s="436">
        <v>12</v>
      </c>
      <c r="I658" s="436"/>
      <c r="J658" s="436"/>
      <c r="K658" s="436"/>
      <c r="L658" s="437"/>
      <c r="M658" s="437"/>
      <c r="N658" s="437"/>
      <c r="O658" s="437"/>
      <c r="P658" s="437">
        <v>0</v>
      </c>
      <c r="Q658" s="437">
        <v>0</v>
      </c>
      <c r="R658" s="436"/>
      <c r="S658" s="436"/>
      <c r="T658" s="436"/>
      <c r="U658" s="436"/>
      <c r="V658" s="436"/>
      <c r="W658" s="436">
        <f>IF(NFI_Expiration=1,IF($A658&lt;VLOOKUP(H$5,NFI,5,0),1,0)*Table_NFI[[#This Row],[Hygiene Kit]],Table_NFI[Hygiene Kit])</f>
        <v>0</v>
      </c>
      <c r="X658" s="436">
        <f>IF(NFI_Expiration=1,IF($A658&lt;VLOOKUP(I$5,NFI,5,0),1,0)*Table_NFI[[#This Row],[NFI Core Kit]],Table_NFI[NFI Core Kit])</f>
        <v>0</v>
      </c>
      <c r="Y658" s="436">
        <f>IF(NFI_Expiration=1,IF($A658&lt;VLOOKUP(J$5,NFI,5,0),1,0)*Table_NFI[[#This Row],[Sanitary Kit]],Table_NFI[Sanitary Kit])</f>
        <v>0</v>
      </c>
      <c r="Z658" s="436">
        <f>IF(NFI_Expiration=1,IF($A658&lt;VLOOKUP(K$5,NFI,5,0),1,0)*Table_NFI[[#This Row],[Mosquito net]],Table_NFI[Mosquito net])</f>
        <v>0</v>
      </c>
      <c r="AA658" s="436">
        <f>IF(NFI_Expiration=1,IF($A658&lt;VLOOKUP(L$5,NFI,5,0),1,0)*Table_NFI[[#This Row],[Tarpaulin]],Table_NFI[[#This Row],[Tarpaulin]])</f>
        <v>0</v>
      </c>
      <c r="AB658" s="436">
        <f>IF(NFI_Expiration=1,IF($A658&lt;VLOOKUP(M$5,NFI,5,0),1,0)*Table_NFI[[#This Row],[Blanket]],Table_NFI[[#This Row],[Blanket]])</f>
        <v>0</v>
      </c>
      <c r="AC658" s="436">
        <f>IF(NFI_Expiration=1,IF($A658&lt;VLOOKUP(N$5,NFI,5,0),1,0)*Table_NFI[[#This Row],[Kitchen Set]],Table_NFI[Kitchen Set])</f>
        <v>0</v>
      </c>
      <c r="AD658" s="436">
        <f>IF(NFI_Expiration=1,IF($A658&lt;VLOOKUP(O$5,NFI,5,0),1,0)*Table_NFI[[#This Row],[Clothes Kit]],Table_NFI[Clothes Kit])</f>
        <v>0</v>
      </c>
      <c r="AE658" s="436">
        <f>IF(NFI_Expiration=1,IF($A658&lt;VLOOKUP(P$5,NFI,5,0),1,0)*Table_NFI[[#This Row],[Plastic Bucket]],Table_NFI[Plastic Bucket])</f>
        <v>0</v>
      </c>
      <c r="AF658" s="436">
        <f>IF(NFI_Expiration=1,IF($A658&lt;VLOOKUP(Q$5,NFI,5,0),1,0)*Table_NFI[[#This Row],[Plastic Mat]],Table_NFI[Plastic Mat])*IF(Table_NFI[[#This Row],[Distribution Date]]&gt;"2014-04-01",1,2.5)</f>
        <v>0</v>
      </c>
      <c r="AG658" s="436">
        <f>IF(NFI_Expiration=1,IF($A658&lt;VLOOKUP(R$5,NFI,5,0),1,0)*Table_NFI[[#This Row],[Winter Clothes Adult]],Table_NFI[Winter Clothes Adult])</f>
        <v>0</v>
      </c>
      <c r="AH658" s="436">
        <f>IF(NFI_Expiration=1,IF($A658&lt;VLOOKUP(S$5,NFI,5,0),1,0)*Table_NFI[[#This Row],[Winter Clothes Children]],Table_NFI[Winter Clothes Children])</f>
        <v>0</v>
      </c>
      <c r="AI658" s="436">
        <f>IF(NFI_Expiration=1,IF($A658&lt;VLOOKUP(T$5,NFI,5,0),1,0)*Table_NFI[[#This Row],[Winter Items Other]],Table_NFI[Winter Items Other])</f>
        <v>0</v>
      </c>
      <c r="AJ658" s="436">
        <f>IF(NFI_Expiration=1,IF($A658&lt;VLOOKUP(M$5,NFI,5,0),1,0)*Table_NFI[[#This Row],[Winter Blanket]],Table_NFI[[#This Row],[Winter Blanket]])</f>
        <v>0</v>
      </c>
      <c r="AK658" s="436">
        <f>IF(Table_NFI[[#This Row],[Winter Clothes Adult]]+Table_NFI[[#This Row],[Winter Clothes Children]]+Table_NFI[[#This Row],[Winter Items Other]]+Table_NFI[[#This Row],[Winter Blanket]]&gt;0,1,0)</f>
        <v>0</v>
      </c>
      <c r="AL658" s="439">
        <f>IF(NFI_Expiration=1,IF($A658&lt;VLOOKUP(V$5,NFI,5,0),1,0)*Table_NFI[[#This Row],[Jerry Can]],Table_NFI[Jerry Can])</f>
        <v>0</v>
      </c>
      <c r="AM658" s="781" t="str">
        <f>IFERROR(VLOOKUP(Table_NFI[[#This Row],[Camp Name]],CL,2,0),"")</f>
        <v>MMR001CMP179</v>
      </c>
      <c r="AN658" s="782">
        <f ca="1">IF(Table_NFI[[#This Row],[Pcode]]="","",IF(OFFSET(CampList[Opening Date],MATCH(Table_NFI[[#This Row],[Pcode]],CampList[CP_Pcode],0)-1,0,1,1)&gt;=NFI_Monitor_Date,1,0))</f>
        <v>0</v>
      </c>
      <c r="AO658" s="781" t="str">
        <f>IFERROR(VLOOKUP(Table_NFI[[#This Row],[Camp Name]],CL,3,0),"")</f>
        <v>Open</v>
      </c>
      <c r="AP658" s="436" t="str">
        <f ca="1">IF(Table_NFI[[#This Row],[Pcode]]="","",OFFSET(CampList[Priority],MATCH(Table_NFI[[#This Row],[Pcode]],CampList[CP_Pcode],0)-1,0,1,1))</f>
        <v>P4</v>
      </c>
      <c r="AQ658" s="438">
        <f>IFERROR(Table_NFI[[#This Row],[Kitchen Set]]/VLOOKUP(Table_NFI[[#This Row],[Camp Name]],CL,4,0),"")</f>
        <v>0</v>
      </c>
      <c r="AR658" s="779" t="s">
        <v>1099</v>
      </c>
      <c r="AS658" s="783"/>
    </row>
    <row r="659" spans="1:45" x14ac:dyDescent="0.25">
      <c r="A659" s="455">
        <f t="shared" si="10"/>
        <v>34.5</v>
      </c>
      <c r="B659" s="778">
        <v>41274</v>
      </c>
      <c r="C659" s="779" t="s">
        <v>455</v>
      </c>
      <c r="D659" s="780" t="s">
        <v>455</v>
      </c>
      <c r="E659" s="779" t="s">
        <v>380</v>
      </c>
      <c r="F659" s="435" t="s">
        <v>529</v>
      </c>
      <c r="G659" s="435" t="s">
        <v>120</v>
      </c>
      <c r="H659" s="436">
        <v>19</v>
      </c>
      <c r="I659" s="436"/>
      <c r="J659" s="436"/>
      <c r="K659" s="436"/>
      <c r="L659" s="437"/>
      <c r="M659" s="437"/>
      <c r="N659" s="437"/>
      <c r="O659" s="437"/>
      <c r="P659" s="437">
        <v>0</v>
      </c>
      <c r="Q659" s="437">
        <v>0</v>
      </c>
      <c r="R659" s="436"/>
      <c r="S659" s="436"/>
      <c r="T659" s="436"/>
      <c r="U659" s="436"/>
      <c r="V659" s="436"/>
      <c r="W659" s="436">
        <f>IF(NFI_Expiration=1,IF($A659&lt;VLOOKUP(H$5,NFI,5,0),1,0)*Table_NFI[[#This Row],[Hygiene Kit]],Table_NFI[Hygiene Kit])</f>
        <v>0</v>
      </c>
      <c r="X659" s="436">
        <f>IF(NFI_Expiration=1,IF($A659&lt;VLOOKUP(I$5,NFI,5,0),1,0)*Table_NFI[[#This Row],[NFI Core Kit]],Table_NFI[NFI Core Kit])</f>
        <v>0</v>
      </c>
      <c r="Y659" s="436">
        <f>IF(NFI_Expiration=1,IF($A659&lt;VLOOKUP(J$5,NFI,5,0),1,0)*Table_NFI[[#This Row],[Sanitary Kit]],Table_NFI[Sanitary Kit])</f>
        <v>0</v>
      </c>
      <c r="Z659" s="436">
        <f>IF(NFI_Expiration=1,IF($A659&lt;VLOOKUP(K$5,NFI,5,0),1,0)*Table_NFI[[#This Row],[Mosquito net]],Table_NFI[Mosquito net])</f>
        <v>0</v>
      </c>
      <c r="AA659" s="436">
        <f>IF(NFI_Expiration=1,IF($A659&lt;VLOOKUP(L$5,NFI,5,0),1,0)*Table_NFI[[#This Row],[Tarpaulin]],Table_NFI[[#This Row],[Tarpaulin]])</f>
        <v>0</v>
      </c>
      <c r="AB659" s="436">
        <f>IF(NFI_Expiration=1,IF($A659&lt;VLOOKUP(M$5,NFI,5,0),1,0)*Table_NFI[[#This Row],[Blanket]],Table_NFI[[#This Row],[Blanket]])</f>
        <v>0</v>
      </c>
      <c r="AC659" s="436">
        <f>IF(NFI_Expiration=1,IF($A659&lt;VLOOKUP(N$5,NFI,5,0),1,0)*Table_NFI[[#This Row],[Kitchen Set]],Table_NFI[Kitchen Set])</f>
        <v>0</v>
      </c>
      <c r="AD659" s="436">
        <f>IF(NFI_Expiration=1,IF($A659&lt;VLOOKUP(O$5,NFI,5,0),1,0)*Table_NFI[[#This Row],[Clothes Kit]],Table_NFI[Clothes Kit])</f>
        <v>0</v>
      </c>
      <c r="AE659" s="436">
        <f>IF(NFI_Expiration=1,IF($A659&lt;VLOOKUP(P$5,NFI,5,0),1,0)*Table_NFI[[#This Row],[Plastic Bucket]],Table_NFI[Plastic Bucket])</f>
        <v>0</v>
      </c>
      <c r="AF659" s="436">
        <f>IF(NFI_Expiration=1,IF($A659&lt;VLOOKUP(Q$5,NFI,5,0),1,0)*Table_NFI[[#This Row],[Plastic Mat]],Table_NFI[Plastic Mat])*IF(Table_NFI[[#This Row],[Distribution Date]]&gt;"2014-04-01",1,2.5)</f>
        <v>0</v>
      </c>
      <c r="AG659" s="436">
        <f>IF(NFI_Expiration=1,IF($A659&lt;VLOOKUP(R$5,NFI,5,0),1,0)*Table_NFI[[#This Row],[Winter Clothes Adult]],Table_NFI[Winter Clothes Adult])</f>
        <v>0</v>
      </c>
      <c r="AH659" s="436">
        <f>IF(NFI_Expiration=1,IF($A659&lt;VLOOKUP(S$5,NFI,5,0),1,0)*Table_NFI[[#This Row],[Winter Clothes Children]],Table_NFI[Winter Clothes Children])</f>
        <v>0</v>
      </c>
      <c r="AI659" s="436">
        <f>IF(NFI_Expiration=1,IF($A659&lt;VLOOKUP(T$5,NFI,5,0),1,0)*Table_NFI[[#This Row],[Winter Items Other]],Table_NFI[Winter Items Other])</f>
        <v>0</v>
      </c>
      <c r="AJ659" s="436">
        <f>IF(NFI_Expiration=1,IF($A659&lt;VLOOKUP(M$5,NFI,5,0),1,0)*Table_NFI[[#This Row],[Winter Blanket]],Table_NFI[[#This Row],[Winter Blanket]])</f>
        <v>0</v>
      </c>
      <c r="AK659" s="436">
        <f>IF(Table_NFI[[#This Row],[Winter Clothes Adult]]+Table_NFI[[#This Row],[Winter Clothes Children]]+Table_NFI[[#This Row],[Winter Items Other]]+Table_NFI[[#This Row],[Winter Blanket]]&gt;0,1,0)</f>
        <v>0</v>
      </c>
      <c r="AL659" s="439">
        <f>IF(NFI_Expiration=1,IF($A659&lt;VLOOKUP(V$5,NFI,5,0),1,0)*Table_NFI[[#This Row],[Jerry Can]],Table_NFI[Jerry Can])</f>
        <v>0</v>
      </c>
      <c r="AM659" s="781" t="str">
        <f>IFERROR(VLOOKUP(Table_NFI[[#This Row],[Camp Name]],CL,2,0),"")</f>
        <v>MMR001CMP168</v>
      </c>
      <c r="AN659" s="782">
        <f ca="1">IF(Table_NFI[[#This Row],[Pcode]]="","",IF(OFFSET(CampList[Opening Date],MATCH(Table_NFI[[#This Row],[Pcode]],CampList[CP_Pcode],0)-1,0,1,1)&gt;=NFI_Monitor_Date,1,0))</f>
        <v>0</v>
      </c>
      <c r="AO659" s="781" t="str">
        <f>IFERROR(VLOOKUP(Table_NFI[[#This Row],[Camp Name]],CL,3,0),"")</f>
        <v>Open</v>
      </c>
      <c r="AP659" s="436" t="str">
        <f ca="1">IF(Table_NFI[[#This Row],[Pcode]]="","",OFFSET(CampList[Priority],MATCH(Table_NFI[[#This Row],[Pcode]],CampList[CP_Pcode],0)-1,0,1,1))</f>
        <v>P4</v>
      </c>
      <c r="AQ659" s="438">
        <f>IFERROR(Table_NFI[[#This Row],[Kitchen Set]]/VLOOKUP(Table_NFI[[#This Row],[Camp Name]],CL,4,0),"")</f>
        <v>0</v>
      </c>
      <c r="AR659" s="779" t="s">
        <v>1099</v>
      </c>
      <c r="AS659" s="783"/>
    </row>
    <row r="660" spans="1:45" x14ac:dyDescent="0.25">
      <c r="A660" s="455">
        <f t="shared" si="10"/>
        <v>34.5</v>
      </c>
      <c r="B660" s="778">
        <v>41274</v>
      </c>
      <c r="C660" s="779" t="s">
        <v>455</v>
      </c>
      <c r="D660" s="779" t="s">
        <v>455</v>
      </c>
      <c r="E660" s="779" t="s">
        <v>380</v>
      </c>
      <c r="F660" s="779" t="s">
        <v>529</v>
      </c>
      <c r="G660" s="435" t="s">
        <v>41</v>
      </c>
      <c r="H660" s="436">
        <v>7</v>
      </c>
      <c r="I660" s="436"/>
      <c r="J660" s="436"/>
      <c r="K660" s="436"/>
      <c r="L660" s="437"/>
      <c r="M660" s="437"/>
      <c r="N660" s="437"/>
      <c r="O660" s="437"/>
      <c r="P660" s="439">
        <v>0</v>
      </c>
      <c r="Q660" s="439">
        <v>0</v>
      </c>
      <c r="R660" s="436"/>
      <c r="S660" s="436"/>
      <c r="T660" s="436"/>
      <c r="U660" s="436"/>
      <c r="V660" s="436"/>
      <c r="W660" s="436">
        <f>IF(NFI_Expiration=1,IF($A660&lt;VLOOKUP(H$5,NFI,5,0),1,0)*Table_NFI[[#This Row],[Hygiene Kit]],Table_NFI[Hygiene Kit])</f>
        <v>0</v>
      </c>
      <c r="X660" s="436">
        <f>IF(NFI_Expiration=1,IF($A660&lt;VLOOKUP(I$5,NFI,5,0),1,0)*Table_NFI[[#This Row],[NFI Core Kit]],Table_NFI[NFI Core Kit])</f>
        <v>0</v>
      </c>
      <c r="Y660" s="436">
        <f>IF(NFI_Expiration=1,IF($A660&lt;VLOOKUP(J$5,NFI,5,0),1,0)*Table_NFI[[#This Row],[Sanitary Kit]],Table_NFI[Sanitary Kit])</f>
        <v>0</v>
      </c>
      <c r="Z660" s="436">
        <f>IF(NFI_Expiration=1,IF($A660&lt;VLOOKUP(K$5,NFI,5,0),1,0)*Table_NFI[[#This Row],[Mosquito net]],Table_NFI[Mosquito net])</f>
        <v>0</v>
      </c>
      <c r="AA660" s="436">
        <f>IF(NFI_Expiration=1,IF($A660&lt;VLOOKUP(L$5,NFI,5,0),1,0)*Table_NFI[[#This Row],[Tarpaulin]],Table_NFI[[#This Row],[Tarpaulin]])</f>
        <v>0</v>
      </c>
      <c r="AB660" s="436">
        <f>IF(NFI_Expiration=1,IF($A660&lt;VLOOKUP(M$5,NFI,5,0),1,0)*Table_NFI[[#This Row],[Blanket]],Table_NFI[[#This Row],[Blanket]])</f>
        <v>0</v>
      </c>
      <c r="AC660" s="436">
        <f>IF(NFI_Expiration=1,IF($A660&lt;VLOOKUP(N$5,NFI,5,0),1,0)*Table_NFI[[#This Row],[Kitchen Set]],Table_NFI[Kitchen Set])</f>
        <v>0</v>
      </c>
      <c r="AD660" s="436">
        <f>IF(NFI_Expiration=1,IF($A660&lt;VLOOKUP(O$5,NFI,5,0),1,0)*Table_NFI[[#This Row],[Clothes Kit]],Table_NFI[Clothes Kit])</f>
        <v>0</v>
      </c>
      <c r="AE660" s="436">
        <f>IF(NFI_Expiration=1,IF($A660&lt;VLOOKUP(P$5,NFI,5,0),1,0)*Table_NFI[[#This Row],[Plastic Bucket]],Table_NFI[Plastic Bucket])</f>
        <v>0</v>
      </c>
      <c r="AF660" s="436">
        <f>IF(NFI_Expiration=1,IF($A660&lt;VLOOKUP(Q$5,NFI,5,0),1,0)*Table_NFI[[#This Row],[Plastic Mat]],Table_NFI[Plastic Mat])*IF(Table_NFI[[#This Row],[Distribution Date]]&gt;"2014-04-01",1,2.5)</f>
        <v>0</v>
      </c>
      <c r="AG660" s="436">
        <f>IF(NFI_Expiration=1,IF($A660&lt;VLOOKUP(R$5,NFI,5,0),1,0)*Table_NFI[[#This Row],[Winter Clothes Adult]],Table_NFI[Winter Clothes Adult])</f>
        <v>0</v>
      </c>
      <c r="AH660" s="436">
        <f>IF(NFI_Expiration=1,IF($A660&lt;VLOOKUP(S$5,NFI,5,0),1,0)*Table_NFI[[#This Row],[Winter Clothes Children]],Table_NFI[Winter Clothes Children])</f>
        <v>0</v>
      </c>
      <c r="AI660" s="436">
        <f>IF(NFI_Expiration=1,IF($A660&lt;VLOOKUP(T$5,NFI,5,0),1,0)*Table_NFI[[#This Row],[Winter Items Other]],Table_NFI[Winter Items Other])</f>
        <v>0</v>
      </c>
      <c r="AJ660" s="436">
        <f>IF(NFI_Expiration=1,IF($A660&lt;VLOOKUP(M$5,NFI,5,0),1,0)*Table_NFI[[#This Row],[Winter Blanket]],Table_NFI[[#This Row],[Winter Blanket]])</f>
        <v>0</v>
      </c>
      <c r="AK660" s="436">
        <f>IF(Table_NFI[[#This Row],[Winter Clothes Adult]]+Table_NFI[[#This Row],[Winter Clothes Children]]+Table_NFI[[#This Row],[Winter Items Other]]+Table_NFI[[#This Row],[Winter Blanket]]&gt;0,1,0)</f>
        <v>0</v>
      </c>
      <c r="AL660" s="439">
        <f>IF(NFI_Expiration=1,IF($A660&lt;VLOOKUP(V$5,NFI,5,0),1,0)*Table_NFI[[#This Row],[Jerry Can]],Table_NFI[Jerry Can])</f>
        <v>0</v>
      </c>
      <c r="AM660" s="781" t="str">
        <f>IFERROR(VLOOKUP(Table_NFI[[#This Row],[Camp Name]],CL,2,0),"")</f>
        <v>MMR001CMP176</v>
      </c>
      <c r="AN660" s="782">
        <f ca="1">IF(Table_NFI[[#This Row],[Pcode]]="","",IF(OFFSET(CampList[Opening Date],MATCH(Table_NFI[[#This Row],[Pcode]],CampList[CP_Pcode],0)-1,0,1,1)&gt;=NFI_Monitor_Date,1,0))</f>
        <v>0</v>
      </c>
      <c r="AO660" s="781" t="str">
        <f>IFERROR(VLOOKUP(Table_NFI[[#This Row],[Camp Name]],CL,3,0),"")</f>
        <v>Open</v>
      </c>
      <c r="AP660" s="436" t="str">
        <f ca="1">IF(Table_NFI[[#This Row],[Pcode]]="","",OFFSET(CampList[Priority],MATCH(Table_NFI[[#This Row],[Pcode]],CampList[CP_Pcode],0)-1,0,1,1))</f>
        <v>P4</v>
      </c>
      <c r="AQ660" s="438">
        <f>IFERROR(Table_NFI[[#This Row],[Kitchen Set]]/VLOOKUP(Table_NFI[[#This Row],[Camp Name]],CL,4,0),"")</f>
        <v>0</v>
      </c>
      <c r="AR660" s="779" t="s">
        <v>1099</v>
      </c>
      <c r="AS660" s="783"/>
    </row>
    <row r="661" spans="1:45" x14ac:dyDescent="0.25">
      <c r="A661" s="455">
        <f t="shared" si="10"/>
        <v>34.5</v>
      </c>
      <c r="B661" s="778">
        <v>41274</v>
      </c>
      <c r="C661" s="779" t="s">
        <v>455</v>
      </c>
      <c r="D661" s="780" t="s">
        <v>455</v>
      </c>
      <c r="E661" s="779" t="s">
        <v>380</v>
      </c>
      <c r="F661" s="435" t="s">
        <v>529</v>
      </c>
      <c r="G661" s="435" t="s">
        <v>43</v>
      </c>
      <c r="H661" s="436">
        <v>4</v>
      </c>
      <c r="I661" s="436"/>
      <c r="J661" s="436"/>
      <c r="K661" s="436"/>
      <c r="L661" s="437"/>
      <c r="M661" s="437"/>
      <c r="N661" s="437"/>
      <c r="O661" s="437"/>
      <c r="P661" s="437">
        <v>0</v>
      </c>
      <c r="Q661" s="437">
        <v>0</v>
      </c>
      <c r="R661" s="436"/>
      <c r="S661" s="436"/>
      <c r="T661" s="436"/>
      <c r="U661" s="436"/>
      <c r="V661" s="436"/>
      <c r="W661" s="436">
        <f>IF(NFI_Expiration=1,IF($A661&lt;VLOOKUP(H$5,NFI,5,0),1,0)*Table_NFI[[#This Row],[Hygiene Kit]],Table_NFI[Hygiene Kit])</f>
        <v>0</v>
      </c>
      <c r="X661" s="436">
        <f>IF(NFI_Expiration=1,IF($A661&lt;VLOOKUP(I$5,NFI,5,0),1,0)*Table_NFI[[#This Row],[NFI Core Kit]],Table_NFI[NFI Core Kit])</f>
        <v>0</v>
      </c>
      <c r="Y661" s="436">
        <f>IF(NFI_Expiration=1,IF($A661&lt;VLOOKUP(J$5,NFI,5,0),1,0)*Table_NFI[[#This Row],[Sanitary Kit]],Table_NFI[Sanitary Kit])</f>
        <v>0</v>
      </c>
      <c r="Z661" s="436">
        <f>IF(NFI_Expiration=1,IF($A661&lt;VLOOKUP(K$5,NFI,5,0),1,0)*Table_NFI[[#This Row],[Mosquito net]],Table_NFI[Mosquito net])</f>
        <v>0</v>
      </c>
      <c r="AA661" s="436">
        <f>IF(NFI_Expiration=1,IF($A661&lt;VLOOKUP(L$5,NFI,5,0),1,0)*Table_NFI[[#This Row],[Tarpaulin]],Table_NFI[[#This Row],[Tarpaulin]])</f>
        <v>0</v>
      </c>
      <c r="AB661" s="436">
        <f>IF(NFI_Expiration=1,IF($A661&lt;VLOOKUP(M$5,NFI,5,0),1,0)*Table_NFI[[#This Row],[Blanket]],Table_NFI[[#This Row],[Blanket]])</f>
        <v>0</v>
      </c>
      <c r="AC661" s="436">
        <f>IF(NFI_Expiration=1,IF($A661&lt;VLOOKUP(N$5,NFI,5,0),1,0)*Table_NFI[[#This Row],[Kitchen Set]],Table_NFI[Kitchen Set])</f>
        <v>0</v>
      </c>
      <c r="AD661" s="436">
        <f>IF(NFI_Expiration=1,IF($A661&lt;VLOOKUP(O$5,NFI,5,0),1,0)*Table_NFI[[#This Row],[Clothes Kit]],Table_NFI[Clothes Kit])</f>
        <v>0</v>
      </c>
      <c r="AE661" s="436">
        <f>IF(NFI_Expiration=1,IF($A661&lt;VLOOKUP(P$5,NFI,5,0),1,0)*Table_NFI[[#This Row],[Plastic Bucket]],Table_NFI[Plastic Bucket])</f>
        <v>0</v>
      </c>
      <c r="AF661" s="436">
        <f>IF(NFI_Expiration=1,IF($A661&lt;VLOOKUP(Q$5,NFI,5,0),1,0)*Table_NFI[[#This Row],[Plastic Mat]],Table_NFI[Plastic Mat])*IF(Table_NFI[[#This Row],[Distribution Date]]&gt;"2014-04-01",1,2.5)</f>
        <v>0</v>
      </c>
      <c r="AG661" s="436">
        <f>IF(NFI_Expiration=1,IF($A661&lt;VLOOKUP(R$5,NFI,5,0),1,0)*Table_NFI[[#This Row],[Winter Clothes Adult]],Table_NFI[Winter Clothes Adult])</f>
        <v>0</v>
      </c>
      <c r="AH661" s="436">
        <f>IF(NFI_Expiration=1,IF($A661&lt;VLOOKUP(S$5,NFI,5,0),1,0)*Table_NFI[[#This Row],[Winter Clothes Children]],Table_NFI[Winter Clothes Children])</f>
        <v>0</v>
      </c>
      <c r="AI661" s="436">
        <f>IF(NFI_Expiration=1,IF($A661&lt;VLOOKUP(T$5,NFI,5,0),1,0)*Table_NFI[[#This Row],[Winter Items Other]],Table_NFI[Winter Items Other])</f>
        <v>0</v>
      </c>
      <c r="AJ661" s="436">
        <f>IF(NFI_Expiration=1,IF($A661&lt;VLOOKUP(M$5,NFI,5,0),1,0)*Table_NFI[[#This Row],[Winter Blanket]],Table_NFI[[#This Row],[Winter Blanket]])</f>
        <v>0</v>
      </c>
      <c r="AK661" s="436">
        <f>IF(Table_NFI[[#This Row],[Winter Clothes Adult]]+Table_NFI[[#This Row],[Winter Clothes Children]]+Table_NFI[[#This Row],[Winter Items Other]]+Table_NFI[[#This Row],[Winter Blanket]]&gt;0,1,0)</f>
        <v>0</v>
      </c>
      <c r="AL661" s="439">
        <f>IF(NFI_Expiration=1,IF($A661&lt;VLOOKUP(V$5,NFI,5,0),1,0)*Table_NFI[[#This Row],[Jerry Can]],Table_NFI[Jerry Can])</f>
        <v>0</v>
      </c>
      <c r="AM661" s="781" t="str">
        <f>IFERROR(VLOOKUP(Table_NFI[[#This Row],[Camp Name]],CL,2,0),"")</f>
        <v>MMR001CMP190</v>
      </c>
      <c r="AN661" s="782">
        <f ca="1">IF(Table_NFI[[#This Row],[Pcode]]="","",IF(OFFSET(CampList[Opening Date],MATCH(Table_NFI[[#This Row],[Pcode]],CampList[CP_Pcode],0)-1,0,1,1)&gt;=NFI_Monitor_Date,1,0))</f>
        <v>0</v>
      </c>
      <c r="AO661" s="781" t="str">
        <f>IFERROR(VLOOKUP(Table_NFI[[#This Row],[Camp Name]],CL,3,0),"")</f>
        <v>Open</v>
      </c>
      <c r="AP661" s="436" t="str">
        <f ca="1">IF(Table_NFI[[#This Row],[Pcode]]="","",OFFSET(CampList[Priority],MATCH(Table_NFI[[#This Row],[Pcode]],CampList[CP_Pcode],0)-1,0,1,1))</f>
        <v>P4</v>
      </c>
      <c r="AQ661" s="438">
        <f>IFERROR(Table_NFI[[#This Row],[Kitchen Set]]/VLOOKUP(Table_NFI[[#This Row],[Camp Name]],CL,4,0),"")</f>
        <v>0</v>
      </c>
      <c r="AR661" s="779" t="s">
        <v>1099</v>
      </c>
      <c r="AS661" s="783"/>
    </row>
    <row r="662" spans="1:45" x14ac:dyDescent="0.25">
      <c r="A662" s="455">
        <f t="shared" si="10"/>
        <v>34.5</v>
      </c>
      <c r="B662" s="778">
        <v>41274</v>
      </c>
      <c r="C662" s="779" t="s">
        <v>455</v>
      </c>
      <c r="D662" s="779" t="s">
        <v>455</v>
      </c>
      <c r="E662" s="779" t="s">
        <v>380</v>
      </c>
      <c r="F662" s="435" t="s">
        <v>529</v>
      </c>
      <c r="G662" s="435" t="s">
        <v>50</v>
      </c>
      <c r="H662" s="436">
        <v>16</v>
      </c>
      <c r="I662" s="436"/>
      <c r="J662" s="436"/>
      <c r="K662" s="436"/>
      <c r="L662" s="437"/>
      <c r="M662" s="437"/>
      <c r="N662" s="437"/>
      <c r="O662" s="437"/>
      <c r="P662" s="439">
        <v>0</v>
      </c>
      <c r="Q662" s="439">
        <v>0</v>
      </c>
      <c r="R662" s="436"/>
      <c r="S662" s="436"/>
      <c r="T662" s="436"/>
      <c r="U662" s="436"/>
      <c r="V662" s="436"/>
      <c r="W662" s="436">
        <f>IF(NFI_Expiration=1,IF($A662&lt;VLOOKUP(H$5,NFI,5,0),1,0)*Table_NFI[[#This Row],[Hygiene Kit]],Table_NFI[Hygiene Kit])</f>
        <v>0</v>
      </c>
      <c r="X662" s="436">
        <f>IF(NFI_Expiration=1,IF($A662&lt;VLOOKUP(I$5,NFI,5,0),1,0)*Table_NFI[[#This Row],[NFI Core Kit]],Table_NFI[NFI Core Kit])</f>
        <v>0</v>
      </c>
      <c r="Y662" s="436">
        <f>IF(NFI_Expiration=1,IF($A662&lt;VLOOKUP(J$5,NFI,5,0),1,0)*Table_NFI[[#This Row],[Sanitary Kit]],Table_NFI[Sanitary Kit])</f>
        <v>0</v>
      </c>
      <c r="Z662" s="436">
        <f>IF(NFI_Expiration=1,IF($A662&lt;VLOOKUP(K$5,NFI,5,0),1,0)*Table_NFI[[#This Row],[Mosquito net]],Table_NFI[Mosquito net])</f>
        <v>0</v>
      </c>
      <c r="AA662" s="436">
        <f>IF(NFI_Expiration=1,IF($A662&lt;VLOOKUP(L$5,NFI,5,0),1,0)*Table_NFI[[#This Row],[Tarpaulin]],Table_NFI[[#This Row],[Tarpaulin]])</f>
        <v>0</v>
      </c>
      <c r="AB662" s="436">
        <f>IF(NFI_Expiration=1,IF($A662&lt;VLOOKUP(M$5,NFI,5,0),1,0)*Table_NFI[[#This Row],[Blanket]],Table_NFI[[#This Row],[Blanket]])</f>
        <v>0</v>
      </c>
      <c r="AC662" s="436">
        <f>IF(NFI_Expiration=1,IF($A662&lt;VLOOKUP(N$5,NFI,5,0),1,0)*Table_NFI[[#This Row],[Kitchen Set]],Table_NFI[Kitchen Set])</f>
        <v>0</v>
      </c>
      <c r="AD662" s="436">
        <f>IF(NFI_Expiration=1,IF($A662&lt;VLOOKUP(O$5,NFI,5,0),1,0)*Table_NFI[[#This Row],[Clothes Kit]],Table_NFI[Clothes Kit])</f>
        <v>0</v>
      </c>
      <c r="AE662" s="436">
        <f>IF(NFI_Expiration=1,IF($A662&lt;VLOOKUP(P$5,NFI,5,0),1,0)*Table_NFI[[#This Row],[Plastic Bucket]],Table_NFI[Plastic Bucket])</f>
        <v>0</v>
      </c>
      <c r="AF662" s="436">
        <f>IF(NFI_Expiration=1,IF($A662&lt;VLOOKUP(Q$5,NFI,5,0),1,0)*Table_NFI[[#This Row],[Plastic Mat]],Table_NFI[Plastic Mat])*IF(Table_NFI[[#This Row],[Distribution Date]]&gt;"2014-04-01",1,2.5)</f>
        <v>0</v>
      </c>
      <c r="AG662" s="436">
        <f>IF(NFI_Expiration=1,IF($A662&lt;VLOOKUP(R$5,NFI,5,0),1,0)*Table_NFI[[#This Row],[Winter Clothes Adult]],Table_NFI[Winter Clothes Adult])</f>
        <v>0</v>
      </c>
      <c r="AH662" s="436">
        <f>IF(NFI_Expiration=1,IF($A662&lt;VLOOKUP(S$5,NFI,5,0),1,0)*Table_NFI[[#This Row],[Winter Clothes Children]],Table_NFI[Winter Clothes Children])</f>
        <v>0</v>
      </c>
      <c r="AI662" s="436">
        <f>IF(NFI_Expiration=1,IF($A662&lt;VLOOKUP(T$5,NFI,5,0),1,0)*Table_NFI[[#This Row],[Winter Items Other]],Table_NFI[Winter Items Other])</f>
        <v>0</v>
      </c>
      <c r="AJ662" s="436">
        <f>IF(NFI_Expiration=1,IF($A662&lt;VLOOKUP(M$5,NFI,5,0),1,0)*Table_NFI[[#This Row],[Winter Blanket]],Table_NFI[[#This Row],[Winter Blanket]])</f>
        <v>0</v>
      </c>
      <c r="AK662" s="436">
        <f>IF(Table_NFI[[#This Row],[Winter Clothes Adult]]+Table_NFI[[#This Row],[Winter Clothes Children]]+Table_NFI[[#This Row],[Winter Items Other]]+Table_NFI[[#This Row],[Winter Blanket]]&gt;0,1,0)</f>
        <v>0</v>
      </c>
      <c r="AL662" s="439">
        <f>IF(NFI_Expiration=1,IF($A662&lt;VLOOKUP(V$5,NFI,5,0),1,0)*Table_NFI[[#This Row],[Jerry Can]],Table_NFI[Jerry Can])</f>
        <v>0</v>
      </c>
      <c r="AM662" s="781" t="str">
        <f>IFERROR(VLOOKUP(Table_NFI[[#This Row],[Camp Name]],CL,2,0),"")</f>
        <v>MMR001CMP092</v>
      </c>
      <c r="AN662" s="782">
        <f ca="1">IF(Table_NFI[[#This Row],[Pcode]]="","",IF(OFFSET(CampList[Opening Date],MATCH(Table_NFI[[#This Row],[Pcode]],CampList[CP_Pcode],0)-1,0,1,1)&gt;=NFI_Monitor_Date,1,0))</f>
        <v>0</v>
      </c>
      <c r="AO662" s="781" t="str">
        <f>IFERROR(VLOOKUP(Table_NFI[[#This Row],[Camp Name]],CL,3,0),"")</f>
        <v>Closed</v>
      </c>
      <c r="AP662" s="436" t="str">
        <f ca="1">IF(Table_NFI[[#This Row],[Pcode]]="","",OFFSET(CampList[Priority],MATCH(Table_NFI[[#This Row],[Pcode]],CampList[CP_Pcode],0)-1,0,1,1))</f>
        <v/>
      </c>
      <c r="AQ662" s="438" t="str">
        <f>IFERROR(Table_NFI[[#This Row],[Kitchen Set]]/VLOOKUP(Table_NFI[[#This Row],[Camp Name]],CL,4,0),"")</f>
        <v/>
      </c>
      <c r="AR662" s="779" t="s">
        <v>1099</v>
      </c>
      <c r="AS662" s="783"/>
    </row>
    <row r="663" spans="1:45" x14ac:dyDescent="0.25">
      <c r="A663" s="455">
        <f t="shared" si="10"/>
        <v>34.5</v>
      </c>
      <c r="B663" s="778">
        <v>41274</v>
      </c>
      <c r="C663" s="779" t="s">
        <v>455</v>
      </c>
      <c r="D663" s="780" t="s">
        <v>455</v>
      </c>
      <c r="E663" s="779" t="s">
        <v>380</v>
      </c>
      <c r="F663" s="435" t="s">
        <v>529</v>
      </c>
      <c r="G663" s="435" t="s">
        <v>52</v>
      </c>
      <c r="H663" s="436">
        <v>20</v>
      </c>
      <c r="I663" s="436"/>
      <c r="J663" s="436"/>
      <c r="K663" s="436"/>
      <c r="L663" s="437"/>
      <c r="M663" s="437"/>
      <c r="N663" s="437"/>
      <c r="O663" s="437"/>
      <c r="P663" s="437">
        <v>0</v>
      </c>
      <c r="Q663" s="437">
        <v>0</v>
      </c>
      <c r="R663" s="436"/>
      <c r="S663" s="436"/>
      <c r="T663" s="436"/>
      <c r="U663" s="436"/>
      <c r="V663" s="436"/>
      <c r="W663" s="436">
        <f>IF(NFI_Expiration=1,IF($A663&lt;VLOOKUP(H$5,NFI,5,0),1,0)*Table_NFI[[#This Row],[Hygiene Kit]],Table_NFI[Hygiene Kit])</f>
        <v>0</v>
      </c>
      <c r="X663" s="436">
        <f>IF(NFI_Expiration=1,IF($A663&lt;VLOOKUP(I$5,NFI,5,0),1,0)*Table_NFI[[#This Row],[NFI Core Kit]],Table_NFI[NFI Core Kit])</f>
        <v>0</v>
      </c>
      <c r="Y663" s="436">
        <f>IF(NFI_Expiration=1,IF($A663&lt;VLOOKUP(J$5,NFI,5,0),1,0)*Table_NFI[[#This Row],[Sanitary Kit]],Table_NFI[Sanitary Kit])</f>
        <v>0</v>
      </c>
      <c r="Z663" s="436">
        <f>IF(NFI_Expiration=1,IF($A663&lt;VLOOKUP(K$5,NFI,5,0),1,0)*Table_NFI[[#This Row],[Mosquito net]],Table_NFI[Mosquito net])</f>
        <v>0</v>
      </c>
      <c r="AA663" s="436">
        <f>IF(NFI_Expiration=1,IF($A663&lt;VLOOKUP(L$5,NFI,5,0),1,0)*Table_NFI[[#This Row],[Tarpaulin]],Table_NFI[[#This Row],[Tarpaulin]])</f>
        <v>0</v>
      </c>
      <c r="AB663" s="436">
        <f>IF(NFI_Expiration=1,IF($A663&lt;VLOOKUP(M$5,NFI,5,0),1,0)*Table_NFI[[#This Row],[Blanket]],Table_NFI[[#This Row],[Blanket]])</f>
        <v>0</v>
      </c>
      <c r="AC663" s="436">
        <f>IF(NFI_Expiration=1,IF($A663&lt;VLOOKUP(N$5,NFI,5,0),1,0)*Table_NFI[[#This Row],[Kitchen Set]],Table_NFI[Kitchen Set])</f>
        <v>0</v>
      </c>
      <c r="AD663" s="436">
        <f>IF(NFI_Expiration=1,IF($A663&lt;VLOOKUP(O$5,NFI,5,0),1,0)*Table_NFI[[#This Row],[Clothes Kit]],Table_NFI[Clothes Kit])</f>
        <v>0</v>
      </c>
      <c r="AE663" s="436">
        <f>IF(NFI_Expiration=1,IF($A663&lt;VLOOKUP(P$5,NFI,5,0),1,0)*Table_NFI[[#This Row],[Plastic Bucket]],Table_NFI[Plastic Bucket])</f>
        <v>0</v>
      </c>
      <c r="AF663" s="436">
        <f>IF(NFI_Expiration=1,IF($A663&lt;VLOOKUP(Q$5,NFI,5,0),1,0)*Table_NFI[[#This Row],[Plastic Mat]],Table_NFI[Plastic Mat])*IF(Table_NFI[[#This Row],[Distribution Date]]&gt;"2014-04-01",1,2.5)</f>
        <v>0</v>
      </c>
      <c r="AG663" s="436">
        <f>IF(NFI_Expiration=1,IF($A663&lt;VLOOKUP(R$5,NFI,5,0),1,0)*Table_NFI[[#This Row],[Winter Clothes Adult]],Table_NFI[Winter Clothes Adult])</f>
        <v>0</v>
      </c>
      <c r="AH663" s="436">
        <f>IF(NFI_Expiration=1,IF($A663&lt;VLOOKUP(S$5,NFI,5,0),1,0)*Table_NFI[[#This Row],[Winter Clothes Children]],Table_NFI[Winter Clothes Children])</f>
        <v>0</v>
      </c>
      <c r="AI663" s="436">
        <f>IF(NFI_Expiration=1,IF($A663&lt;VLOOKUP(T$5,NFI,5,0),1,0)*Table_NFI[[#This Row],[Winter Items Other]],Table_NFI[Winter Items Other])</f>
        <v>0</v>
      </c>
      <c r="AJ663" s="436">
        <f>IF(NFI_Expiration=1,IF($A663&lt;VLOOKUP(M$5,NFI,5,0),1,0)*Table_NFI[[#This Row],[Winter Blanket]],Table_NFI[[#This Row],[Winter Blanket]])</f>
        <v>0</v>
      </c>
      <c r="AK663" s="436">
        <f>IF(Table_NFI[[#This Row],[Winter Clothes Adult]]+Table_NFI[[#This Row],[Winter Clothes Children]]+Table_NFI[[#This Row],[Winter Items Other]]+Table_NFI[[#This Row],[Winter Blanket]]&gt;0,1,0)</f>
        <v>0</v>
      </c>
      <c r="AL663" s="439">
        <f>IF(NFI_Expiration=1,IF($A663&lt;VLOOKUP(V$5,NFI,5,0),1,0)*Table_NFI[[#This Row],[Jerry Can]],Table_NFI[Jerry Can])</f>
        <v>0</v>
      </c>
      <c r="AM663" s="781" t="str">
        <f>IFERROR(VLOOKUP(Table_NFI[[#This Row],[Camp Name]],CL,2,0),"")</f>
        <v>MMR001CMP169</v>
      </c>
      <c r="AN663" s="782">
        <f ca="1">IF(Table_NFI[[#This Row],[Pcode]]="","",IF(OFFSET(CampList[Opening Date],MATCH(Table_NFI[[#This Row],[Pcode]],CampList[CP_Pcode],0)-1,0,1,1)&gt;=NFI_Monitor_Date,1,0))</f>
        <v>0</v>
      </c>
      <c r="AO663" s="781" t="str">
        <f>IFERROR(VLOOKUP(Table_NFI[[#This Row],[Camp Name]],CL,3,0),"")</f>
        <v>Open</v>
      </c>
      <c r="AP663" s="436" t="str">
        <f ca="1">IF(Table_NFI[[#This Row],[Pcode]]="","",OFFSET(CampList[Priority],MATCH(Table_NFI[[#This Row],[Pcode]],CampList[CP_Pcode],0)-1,0,1,1))</f>
        <v>P4</v>
      </c>
      <c r="AQ663" s="438">
        <f>IFERROR(Table_NFI[[#This Row],[Kitchen Set]]/VLOOKUP(Table_NFI[[#This Row],[Camp Name]],CL,4,0),"")</f>
        <v>0</v>
      </c>
      <c r="AR663" s="779" t="s">
        <v>1099</v>
      </c>
      <c r="AS663" s="783"/>
    </row>
    <row r="664" spans="1:45" x14ac:dyDescent="0.25">
      <c r="A664" s="455">
        <f t="shared" si="10"/>
        <v>34.5</v>
      </c>
      <c r="B664" s="778">
        <v>41274</v>
      </c>
      <c r="C664" s="779" t="s">
        <v>455</v>
      </c>
      <c r="D664" s="780" t="s">
        <v>455</v>
      </c>
      <c r="E664" s="779" t="s">
        <v>380</v>
      </c>
      <c r="F664" s="435" t="s">
        <v>529</v>
      </c>
      <c r="G664" s="435" t="s">
        <v>60</v>
      </c>
      <c r="H664" s="436">
        <v>3</v>
      </c>
      <c r="I664" s="436"/>
      <c r="J664" s="436"/>
      <c r="K664" s="436"/>
      <c r="L664" s="437"/>
      <c r="M664" s="437"/>
      <c r="N664" s="437"/>
      <c r="O664" s="437"/>
      <c r="P664" s="437">
        <v>0</v>
      </c>
      <c r="Q664" s="437">
        <v>0</v>
      </c>
      <c r="R664" s="436"/>
      <c r="S664" s="436"/>
      <c r="T664" s="436"/>
      <c r="U664" s="436"/>
      <c r="V664" s="436"/>
      <c r="W664" s="436">
        <f>IF(NFI_Expiration=1,IF($A664&lt;VLOOKUP(H$5,NFI,5,0),1,0)*Table_NFI[[#This Row],[Hygiene Kit]],Table_NFI[Hygiene Kit])</f>
        <v>0</v>
      </c>
      <c r="X664" s="436">
        <f>IF(NFI_Expiration=1,IF($A664&lt;VLOOKUP(I$5,NFI,5,0),1,0)*Table_NFI[[#This Row],[NFI Core Kit]],Table_NFI[NFI Core Kit])</f>
        <v>0</v>
      </c>
      <c r="Y664" s="436">
        <f>IF(NFI_Expiration=1,IF($A664&lt;VLOOKUP(J$5,NFI,5,0),1,0)*Table_NFI[[#This Row],[Sanitary Kit]],Table_NFI[Sanitary Kit])</f>
        <v>0</v>
      </c>
      <c r="Z664" s="436">
        <f>IF(NFI_Expiration=1,IF($A664&lt;VLOOKUP(K$5,NFI,5,0),1,0)*Table_NFI[[#This Row],[Mosquito net]],Table_NFI[Mosquito net])</f>
        <v>0</v>
      </c>
      <c r="AA664" s="436">
        <f>IF(NFI_Expiration=1,IF($A664&lt;VLOOKUP(L$5,NFI,5,0),1,0)*Table_NFI[[#This Row],[Tarpaulin]],Table_NFI[[#This Row],[Tarpaulin]])</f>
        <v>0</v>
      </c>
      <c r="AB664" s="436">
        <f>IF(NFI_Expiration=1,IF($A664&lt;VLOOKUP(M$5,NFI,5,0),1,0)*Table_NFI[[#This Row],[Blanket]],Table_NFI[[#This Row],[Blanket]])</f>
        <v>0</v>
      </c>
      <c r="AC664" s="436">
        <f>IF(NFI_Expiration=1,IF($A664&lt;VLOOKUP(N$5,NFI,5,0),1,0)*Table_NFI[[#This Row],[Kitchen Set]],Table_NFI[Kitchen Set])</f>
        <v>0</v>
      </c>
      <c r="AD664" s="436">
        <f>IF(NFI_Expiration=1,IF($A664&lt;VLOOKUP(O$5,NFI,5,0),1,0)*Table_NFI[[#This Row],[Clothes Kit]],Table_NFI[Clothes Kit])</f>
        <v>0</v>
      </c>
      <c r="AE664" s="436">
        <f>IF(NFI_Expiration=1,IF($A664&lt;VLOOKUP(P$5,NFI,5,0),1,0)*Table_NFI[[#This Row],[Plastic Bucket]],Table_NFI[Plastic Bucket])</f>
        <v>0</v>
      </c>
      <c r="AF664" s="436">
        <f>IF(NFI_Expiration=1,IF($A664&lt;VLOOKUP(Q$5,NFI,5,0),1,0)*Table_NFI[[#This Row],[Plastic Mat]],Table_NFI[Plastic Mat])*IF(Table_NFI[[#This Row],[Distribution Date]]&gt;"2014-04-01",1,2.5)</f>
        <v>0</v>
      </c>
      <c r="AG664" s="436">
        <f>IF(NFI_Expiration=1,IF($A664&lt;VLOOKUP(R$5,NFI,5,0),1,0)*Table_NFI[[#This Row],[Winter Clothes Adult]],Table_NFI[Winter Clothes Adult])</f>
        <v>0</v>
      </c>
      <c r="AH664" s="436">
        <f>IF(NFI_Expiration=1,IF($A664&lt;VLOOKUP(S$5,NFI,5,0),1,0)*Table_NFI[[#This Row],[Winter Clothes Children]],Table_NFI[Winter Clothes Children])</f>
        <v>0</v>
      </c>
      <c r="AI664" s="436">
        <f>IF(NFI_Expiration=1,IF($A664&lt;VLOOKUP(T$5,NFI,5,0),1,0)*Table_NFI[[#This Row],[Winter Items Other]],Table_NFI[Winter Items Other])</f>
        <v>0</v>
      </c>
      <c r="AJ664" s="436">
        <f>IF(NFI_Expiration=1,IF($A664&lt;VLOOKUP(M$5,NFI,5,0),1,0)*Table_NFI[[#This Row],[Winter Blanket]],Table_NFI[[#This Row],[Winter Blanket]])</f>
        <v>0</v>
      </c>
      <c r="AK664" s="436">
        <f>IF(Table_NFI[[#This Row],[Winter Clothes Adult]]+Table_NFI[[#This Row],[Winter Clothes Children]]+Table_NFI[[#This Row],[Winter Items Other]]+Table_NFI[[#This Row],[Winter Blanket]]&gt;0,1,0)</f>
        <v>0</v>
      </c>
      <c r="AL664" s="439">
        <f>IF(NFI_Expiration=1,IF($A664&lt;VLOOKUP(V$5,NFI,5,0),1,0)*Table_NFI[[#This Row],[Jerry Can]],Table_NFI[Jerry Can])</f>
        <v>0</v>
      </c>
      <c r="AM664" s="781" t="str">
        <f>IFERROR(VLOOKUP(Table_NFI[[#This Row],[Camp Name]],CL,2,0),"")</f>
        <v>MMR001CMP172</v>
      </c>
      <c r="AN664" s="782">
        <f ca="1">IF(Table_NFI[[#This Row],[Pcode]]="","",IF(OFFSET(CampList[Opening Date],MATCH(Table_NFI[[#This Row],[Pcode]],CampList[CP_Pcode],0)-1,0,1,1)&gt;=NFI_Monitor_Date,1,0))</f>
        <v>0</v>
      </c>
      <c r="AO664" s="781" t="str">
        <f>IFERROR(VLOOKUP(Table_NFI[[#This Row],[Camp Name]],CL,3,0),"")</f>
        <v>Closed</v>
      </c>
      <c r="AP664" s="436" t="str">
        <f ca="1">IF(Table_NFI[[#This Row],[Pcode]]="","",OFFSET(CampList[Priority],MATCH(Table_NFI[[#This Row],[Pcode]],CampList[CP_Pcode],0)-1,0,1,1))</f>
        <v/>
      </c>
      <c r="AQ664" s="438" t="str">
        <f>IFERROR(Table_NFI[[#This Row],[Kitchen Set]]/VLOOKUP(Table_NFI[[#This Row],[Camp Name]],CL,4,0),"")</f>
        <v/>
      </c>
      <c r="AR664" s="779" t="s">
        <v>1099</v>
      </c>
      <c r="AS664" s="783"/>
    </row>
    <row r="665" spans="1:45" s="784" customFormat="1" x14ac:dyDescent="0.25">
      <c r="A665" s="455">
        <f t="shared" si="10"/>
        <v>34.5</v>
      </c>
      <c r="B665" s="778">
        <v>41274</v>
      </c>
      <c r="C665" s="779" t="s">
        <v>455</v>
      </c>
      <c r="D665" s="780" t="s">
        <v>455</v>
      </c>
      <c r="E665" s="779" t="s">
        <v>380</v>
      </c>
      <c r="F665" s="435" t="s">
        <v>529</v>
      </c>
      <c r="G665" s="435" t="s">
        <v>76</v>
      </c>
      <c r="H665" s="436">
        <v>6</v>
      </c>
      <c r="I665" s="436"/>
      <c r="J665" s="436"/>
      <c r="K665" s="436"/>
      <c r="L665" s="437"/>
      <c r="M665" s="437"/>
      <c r="N665" s="437"/>
      <c r="O665" s="437"/>
      <c r="P665" s="437">
        <v>0</v>
      </c>
      <c r="Q665" s="437">
        <v>0</v>
      </c>
      <c r="R665" s="436"/>
      <c r="S665" s="436"/>
      <c r="T665" s="436"/>
      <c r="U665" s="436"/>
      <c r="V665" s="436"/>
      <c r="W665" s="436">
        <f>IF(NFI_Expiration=1,IF($A665&lt;VLOOKUP(H$5,NFI,5,0),1,0)*Table_NFI[[#This Row],[Hygiene Kit]],Table_NFI[Hygiene Kit])</f>
        <v>0</v>
      </c>
      <c r="X665" s="436">
        <f>IF(NFI_Expiration=1,IF($A665&lt;VLOOKUP(I$5,NFI,5,0),1,0)*Table_NFI[[#This Row],[NFI Core Kit]],Table_NFI[NFI Core Kit])</f>
        <v>0</v>
      </c>
      <c r="Y665" s="436">
        <f>IF(NFI_Expiration=1,IF($A665&lt;VLOOKUP(J$5,NFI,5,0),1,0)*Table_NFI[[#This Row],[Sanitary Kit]],Table_NFI[Sanitary Kit])</f>
        <v>0</v>
      </c>
      <c r="Z665" s="436">
        <f>IF(NFI_Expiration=1,IF($A665&lt;VLOOKUP(K$5,NFI,5,0),1,0)*Table_NFI[[#This Row],[Mosquito net]],Table_NFI[Mosquito net])</f>
        <v>0</v>
      </c>
      <c r="AA665" s="436">
        <f>IF(NFI_Expiration=1,IF($A665&lt;VLOOKUP(L$5,NFI,5,0),1,0)*Table_NFI[[#This Row],[Tarpaulin]],Table_NFI[[#This Row],[Tarpaulin]])</f>
        <v>0</v>
      </c>
      <c r="AB665" s="436">
        <f>IF(NFI_Expiration=1,IF($A665&lt;VLOOKUP(M$5,NFI,5,0),1,0)*Table_NFI[[#This Row],[Blanket]],Table_NFI[[#This Row],[Blanket]])</f>
        <v>0</v>
      </c>
      <c r="AC665" s="436">
        <f>IF(NFI_Expiration=1,IF($A665&lt;VLOOKUP(N$5,NFI,5,0),1,0)*Table_NFI[[#This Row],[Kitchen Set]],Table_NFI[Kitchen Set])</f>
        <v>0</v>
      </c>
      <c r="AD665" s="436">
        <f>IF(NFI_Expiration=1,IF($A665&lt;VLOOKUP(O$5,NFI,5,0),1,0)*Table_NFI[[#This Row],[Clothes Kit]],Table_NFI[Clothes Kit])</f>
        <v>0</v>
      </c>
      <c r="AE665" s="436">
        <f>IF(NFI_Expiration=1,IF($A665&lt;VLOOKUP(P$5,NFI,5,0),1,0)*Table_NFI[[#This Row],[Plastic Bucket]],Table_NFI[Plastic Bucket])</f>
        <v>0</v>
      </c>
      <c r="AF665" s="436">
        <f>IF(NFI_Expiration=1,IF($A665&lt;VLOOKUP(Q$5,NFI,5,0),1,0)*Table_NFI[[#This Row],[Plastic Mat]],Table_NFI[Plastic Mat])*IF(Table_NFI[[#This Row],[Distribution Date]]&gt;"2014-04-01",1,2.5)</f>
        <v>0</v>
      </c>
      <c r="AG665" s="436">
        <f>IF(NFI_Expiration=1,IF($A665&lt;VLOOKUP(R$5,NFI,5,0),1,0)*Table_NFI[[#This Row],[Winter Clothes Adult]],Table_NFI[Winter Clothes Adult])</f>
        <v>0</v>
      </c>
      <c r="AH665" s="436">
        <f>IF(NFI_Expiration=1,IF($A665&lt;VLOOKUP(S$5,NFI,5,0),1,0)*Table_NFI[[#This Row],[Winter Clothes Children]],Table_NFI[Winter Clothes Children])</f>
        <v>0</v>
      </c>
      <c r="AI665" s="436">
        <f>IF(NFI_Expiration=1,IF($A665&lt;VLOOKUP(T$5,NFI,5,0),1,0)*Table_NFI[[#This Row],[Winter Items Other]],Table_NFI[Winter Items Other])</f>
        <v>0</v>
      </c>
      <c r="AJ665" s="436">
        <f>IF(NFI_Expiration=1,IF($A665&lt;VLOOKUP(M$5,NFI,5,0),1,0)*Table_NFI[[#This Row],[Winter Blanket]],Table_NFI[[#This Row],[Winter Blanket]])</f>
        <v>0</v>
      </c>
      <c r="AK665" s="436">
        <f>IF(Table_NFI[[#This Row],[Winter Clothes Adult]]+Table_NFI[[#This Row],[Winter Clothes Children]]+Table_NFI[[#This Row],[Winter Items Other]]+Table_NFI[[#This Row],[Winter Blanket]]&gt;0,1,0)</f>
        <v>0</v>
      </c>
      <c r="AL665" s="439">
        <f>IF(NFI_Expiration=1,IF($A665&lt;VLOOKUP(V$5,NFI,5,0),1,0)*Table_NFI[[#This Row],[Jerry Can]],Table_NFI[Jerry Can])</f>
        <v>0</v>
      </c>
      <c r="AM665" s="781" t="str">
        <f>IFERROR(VLOOKUP(Table_NFI[[#This Row],[Camp Name]],CL,2,0),"")</f>
        <v>MMR001CMP174</v>
      </c>
      <c r="AN665" s="782">
        <f ca="1">IF(Table_NFI[[#This Row],[Pcode]]="","",IF(OFFSET(CampList[Opening Date],MATCH(Table_NFI[[#This Row],[Pcode]],CampList[CP_Pcode],0)-1,0,1,1)&gt;=NFI_Monitor_Date,1,0))</f>
        <v>0</v>
      </c>
      <c r="AO665" s="781" t="str">
        <f>IFERROR(VLOOKUP(Table_NFI[[#This Row],[Camp Name]],CL,3,0),"")</f>
        <v>Open</v>
      </c>
      <c r="AP665" s="436" t="str">
        <f ca="1">IF(Table_NFI[[#This Row],[Pcode]]="","",OFFSET(CampList[Priority],MATCH(Table_NFI[[#This Row],[Pcode]],CampList[CP_Pcode],0)-1,0,1,1))</f>
        <v>P4</v>
      </c>
      <c r="AQ665" s="438">
        <f>IFERROR(Table_NFI[[#This Row],[Kitchen Set]]/VLOOKUP(Table_NFI[[#This Row],[Camp Name]],CL,4,0),"")</f>
        <v>0</v>
      </c>
      <c r="AR665" s="779" t="s">
        <v>1099</v>
      </c>
      <c r="AS665" s="783"/>
    </row>
    <row r="666" spans="1:45" s="784" customFormat="1" x14ac:dyDescent="0.25">
      <c r="A666" s="455">
        <f t="shared" si="10"/>
        <v>34.5</v>
      </c>
      <c r="B666" s="778">
        <v>41274</v>
      </c>
      <c r="C666" s="779" t="s">
        <v>455</v>
      </c>
      <c r="D666" s="780" t="s">
        <v>455</v>
      </c>
      <c r="E666" s="779" t="s">
        <v>380</v>
      </c>
      <c r="F666" s="779" t="s">
        <v>310</v>
      </c>
      <c r="G666" s="435" t="s">
        <v>313</v>
      </c>
      <c r="H666" s="436">
        <v>136</v>
      </c>
      <c r="I666" s="436"/>
      <c r="J666" s="436"/>
      <c r="K666" s="436"/>
      <c r="L666" s="437"/>
      <c r="M666" s="437"/>
      <c r="N666" s="437"/>
      <c r="O666" s="437"/>
      <c r="P666" s="437">
        <v>0</v>
      </c>
      <c r="Q666" s="437">
        <v>0</v>
      </c>
      <c r="R666" s="436"/>
      <c r="S666" s="436"/>
      <c r="T666" s="436"/>
      <c r="U666" s="436"/>
      <c r="V666" s="436"/>
      <c r="W666" s="436">
        <f>IF(NFI_Expiration=1,IF($A666&lt;VLOOKUP(H$5,NFI,5,0),1,0)*Table_NFI[[#This Row],[Hygiene Kit]],Table_NFI[Hygiene Kit])</f>
        <v>0</v>
      </c>
      <c r="X666" s="436">
        <f>IF(NFI_Expiration=1,IF($A666&lt;VLOOKUP(I$5,NFI,5,0),1,0)*Table_NFI[[#This Row],[NFI Core Kit]],Table_NFI[NFI Core Kit])</f>
        <v>0</v>
      </c>
      <c r="Y666" s="436">
        <f>IF(NFI_Expiration=1,IF($A666&lt;VLOOKUP(J$5,NFI,5,0),1,0)*Table_NFI[[#This Row],[Sanitary Kit]],Table_NFI[Sanitary Kit])</f>
        <v>0</v>
      </c>
      <c r="Z666" s="436">
        <f>IF(NFI_Expiration=1,IF($A666&lt;VLOOKUP(K$5,NFI,5,0),1,0)*Table_NFI[[#This Row],[Mosquito net]],Table_NFI[Mosquito net])</f>
        <v>0</v>
      </c>
      <c r="AA666" s="436">
        <f>IF(NFI_Expiration=1,IF($A666&lt;VLOOKUP(L$5,NFI,5,0),1,0)*Table_NFI[[#This Row],[Tarpaulin]],Table_NFI[[#This Row],[Tarpaulin]])</f>
        <v>0</v>
      </c>
      <c r="AB666" s="436">
        <f>IF(NFI_Expiration=1,IF($A666&lt;VLOOKUP(M$5,NFI,5,0),1,0)*Table_NFI[[#This Row],[Blanket]],Table_NFI[[#This Row],[Blanket]])</f>
        <v>0</v>
      </c>
      <c r="AC666" s="436">
        <f>IF(NFI_Expiration=1,IF($A666&lt;VLOOKUP(N$5,NFI,5,0),1,0)*Table_NFI[[#This Row],[Kitchen Set]],Table_NFI[Kitchen Set])</f>
        <v>0</v>
      </c>
      <c r="AD666" s="436">
        <f>IF(NFI_Expiration=1,IF($A666&lt;VLOOKUP(O$5,NFI,5,0),1,0)*Table_NFI[[#This Row],[Clothes Kit]],Table_NFI[Clothes Kit])</f>
        <v>0</v>
      </c>
      <c r="AE666" s="436">
        <f>IF(NFI_Expiration=1,IF($A666&lt;VLOOKUP(P$5,NFI,5,0),1,0)*Table_NFI[[#This Row],[Plastic Bucket]],Table_NFI[Plastic Bucket])</f>
        <v>0</v>
      </c>
      <c r="AF666" s="436">
        <f>IF(NFI_Expiration=1,IF($A666&lt;VLOOKUP(Q$5,NFI,5,0),1,0)*Table_NFI[[#This Row],[Plastic Mat]],Table_NFI[Plastic Mat])*IF(Table_NFI[[#This Row],[Distribution Date]]&gt;"2014-04-01",1,2.5)</f>
        <v>0</v>
      </c>
      <c r="AG666" s="436">
        <f>IF(NFI_Expiration=1,IF($A666&lt;VLOOKUP(R$5,NFI,5,0),1,0)*Table_NFI[[#This Row],[Winter Clothes Adult]],Table_NFI[Winter Clothes Adult])</f>
        <v>0</v>
      </c>
      <c r="AH666" s="436">
        <f>IF(NFI_Expiration=1,IF($A666&lt;VLOOKUP(S$5,NFI,5,0),1,0)*Table_NFI[[#This Row],[Winter Clothes Children]],Table_NFI[Winter Clothes Children])</f>
        <v>0</v>
      </c>
      <c r="AI666" s="436">
        <f>IF(NFI_Expiration=1,IF($A666&lt;VLOOKUP(T$5,NFI,5,0),1,0)*Table_NFI[[#This Row],[Winter Items Other]],Table_NFI[Winter Items Other])</f>
        <v>0</v>
      </c>
      <c r="AJ666" s="436">
        <f>IF(NFI_Expiration=1,IF($A666&lt;VLOOKUP(M$5,NFI,5,0),1,0)*Table_NFI[[#This Row],[Winter Blanket]],Table_NFI[[#This Row],[Winter Blanket]])</f>
        <v>0</v>
      </c>
      <c r="AK666" s="436">
        <f>IF(Table_NFI[[#This Row],[Winter Clothes Adult]]+Table_NFI[[#This Row],[Winter Clothes Children]]+Table_NFI[[#This Row],[Winter Items Other]]+Table_NFI[[#This Row],[Winter Blanket]]&gt;0,1,0)</f>
        <v>0</v>
      </c>
      <c r="AL666" s="439">
        <f>IF(NFI_Expiration=1,IF($A666&lt;VLOOKUP(V$5,NFI,5,0),1,0)*Table_NFI[[#This Row],[Jerry Can]],Table_NFI[Jerry Can])</f>
        <v>0</v>
      </c>
      <c r="AM666" s="781" t="str">
        <f>IFERROR(VLOOKUP(Table_NFI[[#This Row],[Camp Name]],CL,2,0),"")</f>
        <v>MMR001CMP028</v>
      </c>
      <c r="AN666" s="782">
        <f ca="1">IF(Table_NFI[[#This Row],[Pcode]]="","",IF(OFFSET(CampList[Opening Date],MATCH(Table_NFI[[#This Row],[Pcode]],CampList[CP_Pcode],0)-1,0,1,1)&gt;=NFI_Monitor_Date,1,0))</f>
        <v>0</v>
      </c>
      <c r="AO666" s="781" t="str">
        <f>IFERROR(VLOOKUP(Table_NFI[[#This Row],[Camp Name]],CL,3,0),"")</f>
        <v>Open</v>
      </c>
      <c r="AP666" s="436" t="str">
        <f ca="1">IF(Table_NFI[[#This Row],[Pcode]]="","",OFFSET(CampList[Priority],MATCH(Table_NFI[[#This Row],[Pcode]],CampList[CP_Pcode],0)-1,0,1,1))</f>
        <v>P4</v>
      </c>
      <c r="AQ666" s="438">
        <f>IFERROR(Table_NFI[[#This Row],[Kitchen Set]]/VLOOKUP(Table_NFI[[#This Row],[Camp Name]],CL,4,0),"")</f>
        <v>0</v>
      </c>
      <c r="AR666" s="779" t="s">
        <v>1099</v>
      </c>
      <c r="AS666" s="783"/>
    </row>
    <row r="667" spans="1:45" s="784" customFormat="1" x14ac:dyDescent="0.25">
      <c r="A667" s="455">
        <f t="shared" si="10"/>
        <v>34.5</v>
      </c>
      <c r="B667" s="778">
        <v>41274</v>
      </c>
      <c r="C667" s="779" t="s">
        <v>455</v>
      </c>
      <c r="D667" s="779" t="s">
        <v>455</v>
      </c>
      <c r="E667" s="779" t="s">
        <v>380</v>
      </c>
      <c r="F667" s="779" t="s">
        <v>529</v>
      </c>
      <c r="G667" s="435" t="s">
        <v>88</v>
      </c>
      <c r="H667" s="436">
        <v>4</v>
      </c>
      <c r="I667" s="436"/>
      <c r="J667" s="436"/>
      <c r="K667" s="436"/>
      <c r="L667" s="437"/>
      <c r="M667" s="437"/>
      <c r="N667" s="437"/>
      <c r="O667" s="437"/>
      <c r="P667" s="437">
        <v>0</v>
      </c>
      <c r="Q667" s="437">
        <v>0</v>
      </c>
      <c r="R667" s="436"/>
      <c r="S667" s="436"/>
      <c r="T667" s="436"/>
      <c r="U667" s="436"/>
      <c r="V667" s="436"/>
      <c r="W667" s="436">
        <f>IF(NFI_Expiration=1,IF($A667&lt;VLOOKUP(H$5,NFI,5,0),1,0)*Table_NFI[[#This Row],[Hygiene Kit]],Table_NFI[Hygiene Kit])</f>
        <v>0</v>
      </c>
      <c r="X667" s="436">
        <f>IF(NFI_Expiration=1,IF($A667&lt;VLOOKUP(I$5,NFI,5,0),1,0)*Table_NFI[[#This Row],[NFI Core Kit]],Table_NFI[NFI Core Kit])</f>
        <v>0</v>
      </c>
      <c r="Y667" s="436">
        <f>IF(NFI_Expiration=1,IF($A667&lt;VLOOKUP(J$5,NFI,5,0),1,0)*Table_NFI[[#This Row],[Sanitary Kit]],Table_NFI[Sanitary Kit])</f>
        <v>0</v>
      </c>
      <c r="Z667" s="436">
        <f>IF(NFI_Expiration=1,IF($A667&lt;VLOOKUP(K$5,NFI,5,0),1,0)*Table_NFI[[#This Row],[Mosquito net]],Table_NFI[Mosquito net])</f>
        <v>0</v>
      </c>
      <c r="AA667" s="436">
        <f>IF(NFI_Expiration=1,IF($A667&lt;VLOOKUP(L$5,NFI,5,0),1,0)*Table_NFI[[#This Row],[Tarpaulin]],Table_NFI[[#This Row],[Tarpaulin]])</f>
        <v>0</v>
      </c>
      <c r="AB667" s="436">
        <f>IF(NFI_Expiration=1,IF($A667&lt;VLOOKUP(M$5,NFI,5,0),1,0)*Table_NFI[[#This Row],[Blanket]],Table_NFI[[#This Row],[Blanket]])</f>
        <v>0</v>
      </c>
      <c r="AC667" s="436">
        <f>IF(NFI_Expiration=1,IF($A667&lt;VLOOKUP(N$5,NFI,5,0),1,0)*Table_NFI[[#This Row],[Kitchen Set]],Table_NFI[Kitchen Set])</f>
        <v>0</v>
      </c>
      <c r="AD667" s="436">
        <f>IF(NFI_Expiration=1,IF($A667&lt;VLOOKUP(O$5,NFI,5,0),1,0)*Table_NFI[[#This Row],[Clothes Kit]],Table_NFI[Clothes Kit])</f>
        <v>0</v>
      </c>
      <c r="AE667" s="436">
        <f>IF(NFI_Expiration=1,IF($A667&lt;VLOOKUP(P$5,NFI,5,0),1,0)*Table_NFI[[#This Row],[Plastic Bucket]],Table_NFI[Plastic Bucket])</f>
        <v>0</v>
      </c>
      <c r="AF667" s="436">
        <f>IF(NFI_Expiration=1,IF($A667&lt;VLOOKUP(Q$5,NFI,5,0),1,0)*Table_NFI[[#This Row],[Plastic Mat]],Table_NFI[Plastic Mat])*IF(Table_NFI[[#This Row],[Distribution Date]]&gt;"2014-04-01",1,2.5)</f>
        <v>0</v>
      </c>
      <c r="AG667" s="436">
        <f>IF(NFI_Expiration=1,IF($A667&lt;VLOOKUP(R$5,NFI,5,0),1,0)*Table_NFI[[#This Row],[Winter Clothes Adult]],Table_NFI[Winter Clothes Adult])</f>
        <v>0</v>
      </c>
      <c r="AH667" s="436">
        <f>IF(NFI_Expiration=1,IF($A667&lt;VLOOKUP(S$5,NFI,5,0),1,0)*Table_NFI[[#This Row],[Winter Clothes Children]],Table_NFI[Winter Clothes Children])</f>
        <v>0</v>
      </c>
      <c r="AI667" s="436">
        <f>IF(NFI_Expiration=1,IF($A667&lt;VLOOKUP(T$5,NFI,5,0),1,0)*Table_NFI[[#This Row],[Winter Items Other]],Table_NFI[Winter Items Other])</f>
        <v>0</v>
      </c>
      <c r="AJ667" s="436">
        <f>IF(NFI_Expiration=1,IF($A667&lt;VLOOKUP(M$5,NFI,5,0),1,0)*Table_NFI[[#This Row],[Winter Blanket]],Table_NFI[[#This Row],[Winter Blanket]])</f>
        <v>0</v>
      </c>
      <c r="AK667" s="436">
        <f>IF(Table_NFI[[#This Row],[Winter Clothes Adult]]+Table_NFI[[#This Row],[Winter Clothes Children]]+Table_NFI[[#This Row],[Winter Items Other]]+Table_NFI[[#This Row],[Winter Blanket]]&gt;0,1,0)</f>
        <v>0</v>
      </c>
      <c r="AL667" s="439">
        <f>IF(NFI_Expiration=1,IF($A667&lt;VLOOKUP(V$5,NFI,5,0),1,0)*Table_NFI[[#This Row],[Jerry Can]],Table_NFI[Jerry Can])</f>
        <v>0</v>
      </c>
      <c r="AM667" s="781" t="str">
        <f>IFERROR(VLOOKUP(Table_NFI[[#This Row],[Camp Name]],CL,2,0),"")</f>
        <v>MMR001CMP148</v>
      </c>
      <c r="AN667" s="782">
        <f ca="1">IF(Table_NFI[[#This Row],[Pcode]]="","",IF(OFFSET(CampList[Opening Date],MATCH(Table_NFI[[#This Row],[Pcode]],CampList[CP_Pcode],0)-1,0,1,1)&gt;=NFI_Monitor_Date,1,0))</f>
        <v>0</v>
      </c>
      <c r="AO667" s="781" t="str">
        <f>IFERROR(VLOOKUP(Table_NFI[[#This Row],[Camp Name]],CL,3,0),"")</f>
        <v>Open</v>
      </c>
      <c r="AP667" s="436" t="str">
        <f ca="1">IF(Table_NFI[[#This Row],[Pcode]]="","",OFFSET(CampList[Priority],MATCH(Table_NFI[[#This Row],[Pcode]],CampList[CP_Pcode],0)-1,0,1,1))</f>
        <v>P4</v>
      </c>
      <c r="AQ667" s="438">
        <f>IFERROR(Table_NFI[[#This Row],[Kitchen Set]]/VLOOKUP(Table_NFI[[#This Row],[Camp Name]],CL,4,0),"")</f>
        <v>0</v>
      </c>
      <c r="AR667" s="779" t="s">
        <v>1099</v>
      </c>
      <c r="AS667" s="783"/>
    </row>
    <row r="668" spans="1:45" s="784" customFormat="1" x14ac:dyDescent="0.25">
      <c r="A668" s="455">
        <f t="shared" si="10"/>
        <v>34.5</v>
      </c>
      <c r="B668" s="778">
        <v>41274</v>
      </c>
      <c r="C668" s="779" t="s">
        <v>455</v>
      </c>
      <c r="D668" s="780" t="s">
        <v>455</v>
      </c>
      <c r="E668" s="779" t="s">
        <v>380</v>
      </c>
      <c r="F668" s="435" t="s">
        <v>529</v>
      </c>
      <c r="G668" s="435" t="s">
        <v>44</v>
      </c>
      <c r="H668" s="436">
        <v>3</v>
      </c>
      <c r="I668" s="436"/>
      <c r="J668" s="436"/>
      <c r="K668" s="436"/>
      <c r="L668" s="437"/>
      <c r="M668" s="437"/>
      <c r="N668" s="437"/>
      <c r="O668" s="437"/>
      <c r="P668" s="437">
        <v>0</v>
      </c>
      <c r="Q668" s="437">
        <v>0</v>
      </c>
      <c r="R668" s="436"/>
      <c r="S668" s="436"/>
      <c r="T668" s="436"/>
      <c r="U668" s="436"/>
      <c r="V668" s="436"/>
      <c r="W668" s="436">
        <f>IF(NFI_Expiration=1,IF($A668&lt;VLOOKUP(H$5,NFI,5,0),1,0)*Table_NFI[[#This Row],[Hygiene Kit]],Table_NFI[Hygiene Kit])</f>
        <v>0</v>
      </c>
      <c r="X668" s="436">
        <f>IF(NFI_Expiration=1,IF($A668&lt;VLOOKUP(I$5,NFI,5,0),1,0)*Table_NFI[[#This Row],[NFI Core Kit]],Table_NFI[NFI Core Kit])</f>
        <v>0</v>
      </c>
      <c r="Y668" s="436">
        <f>IF(NFI_Expiration=1,IF($A668&lt;VLOOKUP(J$5,NFI,5,0),1,0)*Table_NFI[[#This Row],[Sanitary Kit]],Table_NFI[Sanitary Kit])</f>
        <v>0</v>
      </c>
      <c r="Z668" s="436">
        <f>IF(NFI_Expiration=1,IF($A668&lt;VLOOKUP(K$5,NFI,5,0),1,0)*Table_NFI[[#This Row],[Mosquito net]],Table_NFI[Mosquito net])</f>
        <v>0</v>
      </c>
      <c r="AA668" s="436">
        <f>IF(NFI_Expiration=1,IF($A668&lt;VLOOKUP(L$5,NFI,5,0),1,0)*Table_NFI[[#This Row],[Tarpaulin]],Table_NFI[[#This Row],[Tarpaulin]])</f>
        <v>0</v>
      </c>
      <c r="AB668" s="436">
        <f>IF(NFI_Expiration=1,IF($A668&lt;VLOOKUP(M$5,NFI,5,0),1,0)*Table_NFI[[#This Row],[Blanket]],Table_NFI[[#This Row],[Blanket]])</f>
        <v>0</v>
      </c>
      <c r="AC668" s="436">
        <f>IF(NFI_Expiration=1,IF($A668&lt;VLOOKUP(N$5,NFI,5,0),1,0)*Table_NFI[[#This Row],[Kitchen Set]],Table_NFI[Kitchen Set])</f>
        <v>0</v>
      </c>
      <c r="AD668" s="436">
        <f>IF(NFI_Expiration=1,IF($A668&lt;VLOOKUP(O$5,NFI,5,0),1,0)*Table_NFI[[#This Row],[Clothes Kit]],Table_NFI[Clothes Kit])</f>
        <v>0</v>
      </c>
      <c r="AE668" s="436">
        <f>IF(NFI_Expiration=1,IF($A668&lt;VLOOKUP(P$5,NFI,5,0),1,0)*Table_NFI[[#This Row],[Plastic Bucket]],Table_NFI[Plastic Bucket])</f>
        <v>0</v>
      </c>
      <c r="AF668" s="436">
        <f>IF(NFI_Expiration=1,IF($A668&lt;VLOOKUP(Q$5,NFI,5,0),1,0)*Table_NFI[[#This Row],[Plastic Mat]],Table_NFI[Plastic Mat])*IF(Table_NFI[[#This Row],[Distribution Date]]&gt;"2014-04-01",1,2.5)</f>
        <v>0</v>
      </c>
      <c r="AG668" s="436">
        <f>IF(NFI_Expiration=1,IF($A668&lt;VLOOKUP(R$5,NFI,5,0),1,0)*Table_NFI[[#This Row],[Winter Clothes Adult]],Table_NFI[Winter Clothes Adult])</f>
        <v>0</v>
      </c>
      <c r="AH668" s="436">
        <f>IF(NFI_Expiration=1,IF($A668&lt;VLOOKUP(S$5,NFI,5,0),1,0)*Table_NFI[[#This Row],[Winter Clothes Children]],Table_NFI[Winter Clothes Children])</f>
        <v>0</v>
      </c>
      <c r="AI668" s="436">
        <f>IF(NFI_Expiration=1,IF($A668&lt;VLOOKUP(T$5,NFI,5,0),1,0)*Table_NFI[[#This Row],[Winter Items Other]],Table_NFI[Winter Items Other])</f>
        <v>0</v>
      </c>
      <c r="AJ668" s="436">
        <f>IF(NFI_Expiration=1,IF($A668&lt;VLOOKUP(M$5,NFI,5,0),1,0)*Table_NFI[[#This Row],[Winter Blanket]],Table_NFI[[#This Row],[Winter Blanket]])</f>
        <v>0</v>
      </c>
      <c r="AK668" s="436">
        <f>IF(Table_NFI[[#This Row],[Winter Clothes Adult]]+Table_NFI[[#This Row],[Winter Clothes Children]]+Table_NFI[[#This Row],[Winter Items Other]]+Table_NFI[[#This Row],[Winter Blanket]]&gt;0,1,0)</f>
        <v>0</v>
      </c>
      <c r="AL668" s="439">
        <f>IF(NFI_Expiration=1,IF($A668&lt;VLOOKUP(V$5,NFI,5,0),1,0)*Table_NFI[[#This Row],[Jerry Can]],Table_NFI[Jerry Can])</f>
        <v>0</v>
      </c>
      <c r="AM668" s="781" t="str">
        <f>IFERROR(VLOOKUP(Table_NFI[[#This Row],[Camp Name]],CL,2,0),"")</f>
        <v>MMR001CMP191</v>
      </c>
      <c r="AN668" s="782">
        <f ca="1">IF(Table_NFI[[#This Row],[Pcode]]="","",IF(OFFSET(CampList[Opening Date],MATCH(Table_NFI[[#This Row],[Pcode]],CampList[CP_Pcode],0)-1,0,1,1)&gt;=NFI_Monitor_Date,1,0))</f>
        <v>0</v>
      </c>
      <c r="AO668" s="781" t="str">
        <f>IFERROR(VLOOKUP(Table_NFI[[#This Row],[Camp Name]],CL,3,0),"")</f>
        <v>Open</v>
      </c>
      <c r="AP668" s="436" t="str">
        <f ca="1">IF(Table_NFI[[#This Row],[Pcode]]="","",OFFSET(CampList[Priority],MATCH(Table_NFI[[#This Row],[Pcode]],CampList[CP_Pcode],0)-1,0,1,1))</f>
        <v>P4</v>
      </c>
      <c r="AQ668" s="438">
        <f>IFERROR(Table_NFI[[#This Row],[Kitchen Set]]/VLOOKUP(Table_NFI[[#This Row],[Camp Name]],CL,4,0),"")</f>
        <v>0</v>
      </c>
      <c r="AR668" s="779" t="s">
        <v>1099</v>
      </c>
      <c r="AS668" s="783"/>
    </row>
    <row r="669" spans="1:45" s="784" customFormat="1" x14ac:dyDescent="0.25">
      <c r="A669" s="455">
        <f t="shared" si="10"/>
        <v>34.5</v>
      </c>
      <c r="B669" s="778">
        <v>41274</v>
      </c>
      <c r="C669" s="779" t="s">
        <v>455</v>
      </c>
      <c r="D669" s="780" t="s">
        <v>455</v>
      </c>
      <c r="E669" s="779" t="s">
        <v>380</v>
      </c>
      <c r="F669" s="435" t="s">
        <v>529</v>
      </c>
      <c r="G669" s="435" t="s">
        <v>92</v>
      </c>
      <c r="H669" s="436">
        <v>1</v>
      </c>
      <c r="I669" s="436"/>
      <c r="J669" s="436"/>
      <c r="K669" s="436"/>
      <c r="L669" s="437"/>
      <c r="M669" s="437"/>
      <c r="N669" s="437"/>
      <c r="O669" s="437"/>
      <c r="P669" s="437">
        <v>0</v>
      </c>
      <c r="Q669" s="437">
        <v>0</v>
      </c>
      <c r="R669" s="436"/>
      <c r="S669" s="436"/>
      <c r="T669" s="436"/>
      <c r="U669" s="436"/>
      <c r="V669" s="436"/>
      <c r="W669" s="436">
        <f>IF(NFI_Expiration=1,IF($A669&lt;VLOOKUP(H$5,NFI,5,0),1,0)*Table_NFI[[#This Row],[Hygiene Kit]],Table_NFI[Hygiene Kit])</f>
        <v>0</v>
      </c>
      <c r="X669" s="436">
        <f>IF(NFI_Expiration=1,IF($A669&lt;VLOOKUP(I$5,NFI,5,0),1,0)*Table_NFI[[#This Row],[NFI Core Kit]],Table_NFI[NFI Core Kit])</f>
        <v>0</v>
      </c>
      <c r="Y669" s="436">
        <f>IF(NFI_Expiration=1,IF($A669&lt;VLOOKUP(J$5,NFI,5,0),1,0)*Table_NFI[[#This Row],[Sanitary Kit]],Table_NFI[Sanitary Kit])</f>
        <v>0</v>
      </c>
      <c r="Z669" s="436">
        <f>IF(NFI_Expiration=1,IF($A669&lt;VLOOKUP(K$5,NFI,5,0),1,0)*Table_NFI[[#This Row],[Mosquito net]],Table_NFI[Mosquito net])</f>
        <v>0</v>
      </c>
      <c r="AA669" s="436">
        <f>IF(NFI_Expiration=1,IF($A669&lt;VLOOKUP(L$5,NFI,5,0),1,0)*Table_NFI[[#This Row],[Tarpaulin]],Table_NFI[[#This Row],[Tarpaulin]])</f>
        <v>0</v>
      </c>
      <c r="AB669" s="436">
        <f>IF(NFI_Expiration=1,IF($A669&lt;VLOOKUP(M$5,NFI,5,0),1,0)*Table_NFI[[#This Row],[Blanket]],Table_NFI[[#This Row],[Blanket]])</f>
        <v>0</v>
      </c>
      <c r="AC669" s="436">
        <f>IF(NFI_Expiration=1,IF($A669&lt;VLOOKUP(N$5,NFI,5,0),1,0)*Table_NFI[[#This Row],[Kitchen Set]],Table_NFI[Kitchen Set])</f>
        <v>0</v>
      </c>
      <c r="AD669" s="436">
        <f>IF(NFI_Expiration=1,IF($A669&lt;VLOOKUP(O$5,NFI,5,0),1,0)*Table_NFI[[#This Row],[Clothes Kit]],Table_NFI[Clothes Kit])</f>
        <v>0</v>
      </c>
      <c r="AE669" s="436">
        <f>IF(NFI_Expiration=1,IF($A669&lt;VLOOKUP(P$5,NFI,5,0),1,0)*Table_NFI[[#This Row],[Plastic Bucket]],Table_NFI[Plastic Bucket])</f>
        <v>0</v>
      </c>
      <c r="AF669" s="436">
        <f>IF(NFI_Expiration=1,IF($A669&lt;VLOOKUP(Q$5,NFI,5,0),1,0)*Table_NFI[[#This Row],[Plastic Mat]],Table_NFI[Plastic Mat])*IF(Table_NFI[[#This Row],[Distribution Date]]&gt;"2014-04-01",1,2.5)</f>
        <v>0</v>
      </c>
      <c r="AG669" s="436">
        <f>IF(NFI_Expiration=1,IF($A669&lt;VLOOKUP(R$5,NFI,5,0),1,0)*Table_NFI[[#This Row],[Winter Clothes Adult]],Table_NFI[Winter Clothes Adult])</f>
        <v>0</v>
      </c>
      <c r="AH669" s="436">
        <f>IF(NFI_Expiration=1,IF($A669&lt;VLOOKUP(S$5,NFI,5,0),1,0)*Table_NFI[[#This Row],[Winter Clothes Children]],Table_NFI[Winter Clothes Children])</f>
        <v>0</v>
      </c>
      <c r="AI669" s="436">
        <f>IF(NFI_Expiration=1,IF($A669&lt;VLOOKUP(T$5,NFI,5,0),1,0)*Table_NFI[[#This Row],[Winter Items Other]],Table_NFI[Winter Items Other])</f>
        <v>0</v>
      </c>
      <c r="AJ669" s="436">
        <f>IF(NFI_Expiration=1,IF($A669&lt;VLOOKUP(M$5,NFI,5,0),1,0)*Table_NFI[[#This Row],[Winter Blanket]],Table_NFI[[#This Row],[Winter Blanket]])</f>
        <v>0</v>
      </c>
      <c r="AK669" s="436">
        <f>IF(Table_NFI[[#This Row],[Winter Clothes Adult]]+Table_NFI[[#This Row],[Winter Clothes Children]]+Table_NFI[[#This Row],[Winter Items Other]]+Table_NFI[[#This Row],[Winter Blanket]]&gt;0,1,0)</f>
        <v>0</v>
      </c>
      <c r="AL669" s="439">
        <f>IF(NFI_Expiration=1,IF($A669&lt;VLOOKUP(V$5,NFI,5,0),1,0)*Table_NFI[[#This Row],[Jerry Can]],Table_NFI[Jerry Can])</f>
        <v>0</v>
      </c>
      <c r="AM669" s="781" t="str">
        <f>IFERROR(VLOOKUP(Table_NFI[[#This Row],[Camp Name]],CL,2,0),"")</f>
        <v>MMR001CMP167</v>
      </c>
      <c r="AN669" s="782">
        <f ca="1">IF(Table_NFI[[#This Row],[Pcode]]="","",IF(OFFSET(CampList[Opening Date],MATCH(Table_NFI[[#This Row],[Pcode]],CampList[CP_Pcode],0)-1,0,1,1)&gt;=NFI_Monitor_Date,1,0))</f>
        <v>0</v>
      </c>
      <c r="AO669" s="781" t="str">
        <f>IFERROR(VLOOKUP(Table_NFI[[#This Row],[Camp Name]],CL,3,0),"")</f>
        <v>Open</v>
      </c>
      <c r="AP669" s="436" t="str">
        <f ca="1">IF(Table_NFI[[#This Row],[Pcode]]="","",OFFSET(CampList[Priority],MATCH(Table_NFI[[#This Row],[Pcode]],CampList[CP_Pcode],0)-1,0,1,1))</f>
        <v>P4</v>
      </c>
      <c r="AQ669" s="438">
        <f>IFERROR(Table_NFI[[#This Row],[Kitchen Set]]/VLOOKUP(Table_NFI[[#This Row],[Camp Name]],CL,4,0),"")</f>
        <v>0</v>
      </c>
      <c r="AR669" s="779" t="s">
        <v>1099</v>
      </c>
      <c r="AS669" s="783"/>
    </row>
    <row r="670" spans="1:45" s="784" customFormat="1" x14ac:dyDescent="0.25">
      <c r="A670" s="455">
        <f t="shared" si="10"/>
        <v>34.5</v>
      </c>
      <c r="B670" s="778">
        <v>41274</v>
      </c>
      <c r="C670" s="779" t="s">
        <v>455</v>
      </c>
      <c r="D670" s="779" t="s">
        <v>455</v>
      </c>
      <c r="E670" s="779" t="s">
        <v>380</v>
      </c>
      <c r="F670" s="435" t="s">
        <v>310</v>
      </c>
      <c r="G670" s="435" t="s">
        <v>320</v>
      </c>
      <c r="H670" s="436">
        <v>23</v>
      </c>
      <c r="I670" s="436"/>
      <c r="J670" s="436"/>
      <c r="K670" s="436"/>
      <c r="L670" s="437"/>
      <c r="M670" s="437"/>
      <c r="N670" s="437"/>
      <c r="O670" s="437"/>
      <c r="P670" s="439">
        <v>0</v>
      </c>
      <c r="Q670" s="439">
        <v>0</v>
      </c>
      <c r="R670" s="436"/>
      <c r="S670" s="436"/>
      <c r="T670" s="436"/>
      <c r="U670" s="436"/>
      <c r="V670" s="436"/>
      <c r="W670" s="436">
        <f>IF(NFI_Expiration=1,IF($A670&lt;VLOOKUP(H$5,NFI,5,0),1,0)*Table_NFI[[#This Row],[Hygiene Kit]],Table_NFI[Hygiene Kit])</f>
        <v>0</v>
      </c>
      <c r="X670" s="436">
        <f>IF(NFI_Expiration=1,IF($A670&lt;VLOOKUP(I$5,NFI,5,0),1,0)*Table_NFI[[#This Row],[NFI Core Kit]],Table_NFI[NFI Core Kit])</f>
        <v>0</v>
      </c>
      <c r="Y670" s="436">
        <f>IF(NFI_Expiration=1,IF($A670&lt;VLOOKUP(J$5,NFI,5,0),1,0)*Table_NFI[[#This Row],[Sanitary Kit]],Table_NFI[Sanitary Kit])</f>
        <v>0</v>
      </c>
      <c r="Z670" s="436">
        <f>IF(NFI_Expiration=1,IF($A670&lt;VLOOKUP(K$5,NFI,5,0),1,0)*Table_NFI[[#This Row],[Mosquito net]],Table_NFI[Mosquito net])</f>
        <v>0</v>
      </c>
      <c r="AA670" s="436">
        <f>IF(NFI_Expiration=1,IF($A670&lt;VLOOKUP(L$5,NFI,5,0),1,0)*Table_NFI[[#This Row],[Tarpaulin]],Table_NFI[[#This Row],[Tarpaulin]])</f>
        <v>0</v>
      </c>
      <c r="AB670" s="436">
        <f>IF(NFI_Expiration=1,IF($A670&lt;VLOOKUP(M$5,NFI,5,0),1,0)*Table_NFI[[#This Row],[Blanket]],Table_NFI[[#This Row],[Blanket]])</f>
        <v>0</v>
      </c>
      <c r="AC670" s="436">
        <f>IF(NFI_Expiration=1,IF($A670&lt;VLOOKUP(N$5,NFI,5,0),1,0)*Table_NFI[[#This Row],[Kitchen Set]],Table_NFI[Kitchen Set])</f>
        <v>0</v>
      </c>
      <c r="AD670" s="436">
        <f>IF(NFI_Expiration=1,IF($A670&lt;VLOOKUP(O$5,NFI,5,0),1,0)*Table_NFI[[#This Row],[Clothes Kit]],Table_NFI[Clothes Kit])</f>
        <v>0</v>
      </c>
      <c r="AE670" s="436">
        <f>IF(NFI_Expiration=1,IF($A670&lt;VLOOKUP(P$5,NFI,5,0),1,0)*Table_NFI[[#This Row],[Plastic Bucket]],Table_NFI[Plastic Bucket])</f>
        <v>0</v>
      </c>
      <c r="AF670" s="436">
        <f>IF(NFI_Expiration=1,IF($A670&lt;VLOOKUP(Q$5,NFI,5,0),1,0)*Table_NFI[[#This Row],[Plastic Mat]],Table_NFI[Plastic Mat])*IF(Table_NFI[[#This Row],[Distribution Date]]&gt;"2014-04-01",1,2.5)</f>
        <v>0</v>
      </c>
      <c r="AG670" s="436">
        <f>IF(NFI_Expiration=1,IF($A670&lt;VLOOKUP(R$5,NFI,5,0),1,0)*Table_NFI[[#This Row],[Winter Clothes Adult]],Table_NFI[Winter Clothes Adult])</f>
        <v>0</v>
      </c>
      <c r="AH670" s="436">
        <f>IF(NFI_Expiration=1,IF($A670&lt;VLOOKUP(S$5,NFI,5,0),1,0)*Table_NFI[[#This Row],[Winter Clothes Children]],Table_NFI[Winter Clothes Children])</f>
        <v>0</v>
      </c>
      <c r="AI670" s="436">
        <f>IF(NFI_Expiration=1,IF($A670&lt;VLOOKUP(T$5,NFI,5,0),1,0)*Table_NFI[[#This Row],[Winter Items Other]],Table_NFI[Winter Items Other])</f>
        <v>0</v>
      </c>
      <c r="AJ670" s="436">
        <f>IF(NFI_Expiration=1,IF($A670&lt;VLOOKUP(M$5,NFI,5,0),1,0)*Table_NFI[[#This Row],[Winter Blanket]],Table_NFI[[#This Row],[Winter Blanket]])</f>
        <v>0</v>
      </c>
      <c r="AK670" s="436">
        <f>IF(Table_NFI[[#This Row],[Winter Clothes Adult]]+Table_NFI[[#This Row],[Winter Clothes Children]]+Table_NFI[[#This Row],[Winter Items Other]]+Table_NFI[[#This Row],[Winter Blanket]]&gt;0,1,0)</f>
        <v>0</v>
      </c>
      <c r="AL670" s="439">
        <f>IF(NFI_Expiration=1,IF($A670&lt;VLOOKUP(V$5,NFI,5,0),1,0)*Table_NFI[[#This Row],[Jerry Can]],Table_NFI[Jerry Can])</f>
        <v>0</v>
      </c>
      <c r="AM670" s="781" t="str">
        <f>IFERROR(VLOOKUP(Table_NFI[[#This Row],[Camp Name]],CL,2,0),"")</f>
        <v>MMR001CMP027</v>
      </c>
      <c r="AN670" s="782">
        <f ca="1">IF(Table_NFI[[#This Row],[Pcode]]="","",IF(OFFSET(CampList[Opening Date],MATCH(Table_NFI[[#This Row],[Pcode]],CampList[CP_Pcode],0)-1,0,1,1)&gt;=NFI_Monitor_Date,1,0))</f>
        <v>0</v>
      </c>
      <c r="AO670" s="781" t="str">
        <f>IFERROR(VLOOKUP(Table_NFI[[#This Row],[Camp Name]],CL,3,0),"")</f>
        <v>Open</v>
      </c>
      <c r="AP670" s="436" t="str">
        <f ca="1">IF(Table_NFI[[#This Row],[Pcode]]="","",OFFSET(CampList[Priority],MATCH(Table_NFI[[#This Row],[Pcode]],CampList[CP_Pcode],0)-1,0,1,1))</f>
        <v>P4</v>
      </c>
      <c r="AQ670" s="438">
        <f>IFERROR(Table_NFI[[#This Row],[Kitchen Set]]/VLOOKUP(Table_NFI[[#This Row],[Camp Name]],CL,4,0),"")</f>
        <v>0</v>
      </c>
      <c r="AR670" s="779" t="s">
        <v>1099</v>
      </c>
      <c r="AS670" s="783"/>
    </row>
    <row r="671" spans="1:45" s="784" customFormat="1" x14ac:dyDescent="0.25">
      <c r="A671" s="455">
        <f t="shared" si="10"/>
        <v>34.5</v>
      </c>
      <c r="B671" s="778">
        <v>41274</v>
      </c>
      <c r="C671" s="779" t="s">
        <v>455</v>
      </c>
      <c r="D671" s="780" t="s">
        <v>455</v>
      </c>
      <c r="E671" s="779" t="s">
        <v>380</v>
      </c>
      <c r="F671" s="435" t="s">
        <v>310</v>
      </c>
      <c r="G671" s="435" t="s">
        <v>328</v>
      </c>
      <c r="H671" s="436">
        <v>79</v>
      </c>
      <c r="I671" s="436"/>
      <c r="J671" s="436"/>
      <c r="K671" s="436"/>
      <c r="L671" s="437"/>
      <c r="M671" s="437"/>
      <c r="N671" s="437"/>
      <c r="O671" s="437"/>
      <c r="P671" s="437">
        <v>0</v>
      </c>
      <c r="Q671" s="437">
        <v>0</v>
      </c>
      <c r="R671" s="436"/>
      <c r="S671" s="436"/>
      <c r="T671" s="436"/>
      <c r="U671" s="436"/>
      <c r="V671" s="436"/>
      <c r="W671" s="436">
        <f>IF(NFI_Expiration=1,IF($A671&lt;VLOOKUP(H$5,NFI,5,0),1,0)*Table_NFI[[#This Row],[Hygiene Kit]],Table_NFI[Hygiene Kit])</f>
        <v>0</v>
      </c>
      <c r="X671" s="436">
        <f>IF(NFI_Expiration=1,IF($A671&lt;VLOOKUP(I$5,NFI,5,0),1,0)*Table_NFI[[#This Row],[NFI Core Kit]],Table_NFI[NFI Core Kit])</f>
        <v>0</v>
      </c>
      <c r="Y671" s="436">
        <f>IF(NFI_Expiration=1,IF($A671&lt;VLOOKUP(J$5,NFI,5,0),1,0)*Table_NFI[[#This Row],[Sanitary Kit]],Table_NFI[Sanitary Kit])</f>
        <v>0</v>
      </c>
      <c r="Z671" s="436">
        <f>IF(NFI_Expiration=1,IF($A671&lt;VLOOKUP(K$5,NFI,5,0),1,0)*Table_NFI[[#This Row],[Mosquito net]],Table_NFI[Mosquito net])</f>
        <v>0</v>
      </c>
      <c r="AA671" s="436">
        <f>IF(NFI_Expiration=1,IF($A671&lt;VLOOKUP(L$5,NFI,5,0),1,0)*Table_NFI[[#This Row],[Tarpaulin]],Table_NFI[[#This Row],[Tarpaulin]])</f>
        <v>0</v>
      </c>
      <c r="AB671" s="436">
        <f>IF(NFI_Expiration=1,IF($A671&lt;VLOOKUP(M$5,NFI,5,0),1,0)*Table_NFI[[#This Row],[Blanket]],Table_NFI[[#This Row],[Blanket]])</f>
        <v>0</v>
      </c>
      <c r="AC671" s="436">
        <f>IF(NFI_Expiration=1,IF($A671&lt;VLOOKUP(N$5,NFI,5,0),1,0)*Table_NFI[[#This Row],[Kitchen Set]],Table_NFI[Kitchen Set])</f>
        <v>0</v>
      </c>
      <c r="AD671" s="436">
        <f>IF(NFI_Expiration=1,IF($A671&lt;VLOOKUP(O$5,NFI,5,0),1,0)*Table_NFI[[#This Row],[Clothes Kit]],Table_NFI[Clothes Kit])</f>
        <v>0</v>
      </c>
      <c r="AE671" s="436">
        <f>IF(NFI_Expiration=1,IF($A671&lt;VLOOKUP(P$5,NFI,5,0),1,0)*Table_NFI[[#This Row],[Plastic Bucket]],Table_NFI[Plastic Bucket])</f>
        <v>0</v>
      </c>
      <c r="AF671" s="436">
        <f>IF(NFI_Expiration=1,IF($A671&lt;VLOOKUP(Q$5,NFI,5,0),1,0)*Table_NFI[[#This Row],[Plastic Mat]],Table_NFI[Plastic Mat])*IF(Table_NFI[[#This Row],[Distribution Date]]&gt;"2014-04-01",1,2.5)</f>
        <v>0</v>
      </c>
      <c r="AG671" s="436">
        <f>IF(NFI_Expiration=1,IF($A671&lt;VLOOKUP(R$5,NFI,5,0),1,0)*Table_NFI[[#This Row],[Winter Clothes Adult]],Table_NFI[Winter Clothes Adult])</f>
        <v>0</v>
      </c>
      <c r="AH671" s="436">
        <f>IF(NFI_Expiration=1,IF($A671&lt;VLOOKUP(S$5,NFI,5,0),1,0)*Table_NFI[[#This Row],[Winter Clothes Children]],Table_NFI[Winter Clothes Children])</f>
        <v>0</v>
      </c>
      <c r="AI671" s="436">
        <f>IF(NFI_Expiration=1,IF($A671&lt;VLOOKUP(T$5,NFI,5,0),1,0)*Table_NFI[[#This Row],[Winter Items Other]],Table_NFI[Winter Items Other])</f>
        <v>0</v>
      </c>
      <c r="AJ671" s="436">
        <f>IF(NFI_Expiration=1,IF($A671&lt;VLOOKUP(M$5,NFI,5,0),1,0)*Table_NFI[[#This Row],[Winter Blanket]],Table_NFI[[#This Row],[Winter Blanket]])</f>
        <v>0</v>
      </c>
      <c r="AK671" s="436">
        <f>IF(Table_NFI[[#This Row],[Winter Clothes Adult]]+Table_NFI[[#This Row],[Winter Clothes Children]]+Table_NFI[[#This Row],[Winter Items Other]]+Table_NFI[[#This Row],[Winter Blanket]]&gt;0,1,0)</f>
        <v>0</v>
      </c>
      <c r="AL671" s="439">
        <f>IF(NFI_Expiration=1,IF($A671&lt;VLOOKUP(V$5,NFI,5,0),1,0)*Table_NFI[[#This Row],[Jerry Can]],Table_NFI[Jerry Can])</f>
        <v>0</v>
      </c>
      <c r="AM671" s="781" t="str">
        <f>IFERROR(VLOOKUP(Table_NFI[[#This Row],[Camp Name]],CL,2,0),"")</f>
        <v>MMR001CMP031</v>
      </c>
      <c r="AN671" s="782">
        <f ca="1">IF(Table_NFI[[#This Row],[Pcode]]="","",IF(OFFSET(CampList[Opening Date],MATCH(Table_NFI[[#This Row],[Pcode]],CampList[CP_Pcode],0)-1,0,1,1)&gt;=NFI_Monitor_Date,1,0))</f>
        <v>0</v>
      </c>
      <c r="AO671" s="781" t="str">
        <f>IFERROR(VLOOKUP(Table_NFI[[#This Row],[Camp Name]],CL,3,0),"")</f>
        <v>Open</v>
      </c>
      <c r="AP671" s="436" t="str">
        <f ca="1">IF(Table_NFI[[#This Row],[Pcode]]="","",OFFSET(CampList[Priority],MATCH(Table_NFI[[#This Row],[Pcode]],CampList[CP_Pcode],0)-1,0,1,1))</f>
        <v>P4</v>
      </c>
      <c r="AQ671" s="438">
        <f>IFERROR(Table_NFI[[#This Row],[Kitchen Set]]/VLOOKUP(Table_NFI[[#This Row],[Camp Name]],CL,4,0),"")</f>
        <v>0</v>
      </c>
      <c r="AR671" s="779" t="s">
        <v>1099</v>
      </c>
      <c r="AS671" s="783"/>
    </row>
    <row r="672" spans="1:45" s="784" customFormat="1" x14ac:dyDescent="0.25">
      <c r="A672" s="455">
        <f t="shared" si="10"/>
        <v>34.5</v>
      </c>
      <c r="B672" s="778">
        <v>41274</v>
      </c>
      <c r="C672" s="779" t="s">
        <v>455</v>
      </c>
      <c r="D672" s="780" t="s">
        <v>455</v>
      </c>
      <c r="E672" s="779" t="s">
        <v>380</v>
      </c>
      <c r="F672" s="435" t="s">
        <v>529</v>
      </c>
      <c r="G672" s="435" t="s">
        <v>54</v>
      </c>
      <c r="H672" s="436">
        <v>57</v>
      </c>
      <c r="I672" s="436"/>
      <c r="J672" s="436"/>
      <c r="K672" s="436"/>
      <c r="L672" s="437"/>
      <c r="M672" s="437"/>
      <c r="N672" s="437"/>
      <c r="O672" s="437"/>
      <c r="P672" s="437">
        <v>0</v>
      </c>
      <c r="Q672" s="437">
        <v>0</v>
      </c>
      <c r="R672" s="436"/>
      <c r="S672" s="436"/>
      <c r="T672" s="436"/>
      <c r="U672" s="436"/>
      <c r="V672" s="436"/>
      <c r="W672" s="436">
        <f>IF(NFI_Expiration=1,IF($A672&lt;VLOOKUP(H$5,NFI,5,0),1,0)*Table_NFI[[#This Row],[Hygiene Kit]],Table_NFI[Hygiene Kit])</f>
        <v>0</v>
      </c>
      <c r="X672" s="436">
        <f>IF(NFI_Expiration=1,IF($A672&lt;VLOOKUP(I$5,NFI,5,0),1,0)*Table_NFI[[#This Row],[NFI Core Kit]],Table_NFI[NFI Core Kit])</f>
        <v>0</v>
      </c>
      <c r="Y672" s="436">
        <f>IF(NFI_Expiration=1,IF($A672&lt;VLOOKUP(J$5,NFI,5,0),1,0)*Table_NFI[[#This Row],[Sanitary Kit]],Table_NFI[Sanitary Kit])</f>
        <v>0</v>
      </c>
      <c r="Z672" s="436">
        <f>IF(NFI_Expiration=1,IF($A672&lt;VLOOKUP(K$5,NFI,5,0),1,0)*Table_NFI[[#This Row],[Mosquito net]],Table_NFI[Mosquito net])</f>
        <v>0</v>
      </c>
      <c r="AA672" s="436">
        <f>IF(NFI_Expiration=1,IF($A672&lt;VLOOKUP(L$5,NFI,5,0),1,0)*Table_NFI[[#This Row],[Tarpaulin]],Table_NFI[[#This Row],[Tarpaulin]])</f>
        <v>0</v>
      </c>
      <c r="AB672" s="436">
        <f>IF(NFI_Expiration=1,IF($A672&lt;VLOOKUP(M$5,NFI,5,0),1,0)*Table_NFI[[#This Row],[Blanket]],Table_NFI[[#This Row],[Blanket]])</f>
        <v>0</v>
      </c>
      <c r="AC672" s="436">
        <f>IF(NFI_Expiration=1,IF($A672&lt;VLOOKUP(N$5,NFI,5,0),1,0)*Table_NFI[[#This Row],[Kitchen Set]],Table_NFI[Kitchen Set])</f>
        <v>0</v>
      </c>
      <c r="AD672" s="436">
        <f>IF(NFI_Expiration=1,IF($A672&lt;VLOOKUP(O$5,NFI,5,0),1,0)*Table_NFI[[#This Row],[Clothes Kit]],Table_NFI[Clothes Kit])</f>
        <v>0</v>
      </c>
      <c r="AE672" s="436">
        <f>IF(NFI_Expiration=1,IF($A672&lt;VLOOKUP(P$5,NFI,5,0),1,0)*Table_NFI[[#This Row],[Plastic Bucket]],Table_NFI[Plastic Bucket])</f>
        <v>0</v>
      </c>
      <c r="AF672" s="436">
        <f>IF(NFI_Expiration=1,IF($A672&lt;VLOOKUP(Q$5,NFI,5,0),1,0)*Table_NFI[[#This Row],[Plastic Mat]],Table_NFI[Plastic Mat])*IF(Table_NFI[[#This Row],[Distribution Date]]&gt;"2014-04-01",1,2.5)</f>
        <v>0</v>
      </c>
      <c r="AG672" s="436">
        <f>IF(NFI_Expiration=1,IF($A672&lt;VLOOKUP(R$5,NFI,5,0),1,0)*Table_NFI[[#This Row],[Winter Clothes Adult]],Table_NFI[Winter Clothes Adult])</f>
        <v>0</v>
      </c>
      <c r="AH672" s="436">
        <f>IF(NFI_Expiration=1,IF($A672&lt;VLOOKUP(S$5,NFI,5,0),1,0)*Table_NFI[[#This Row],[Winter Clothes Children]],Table_NFI[Winter Clothes Children])</f>
        <v>0</v>
      </c>
      <c r="AI672" s="436">
        <f>IF(NFI_Expiration=1,IF($A672&lt;VLOOKUP(T$5,NFI,5,0),1,0)*Table_NFI[[#This Row],[Winter Items Other]],Table_NFI[Winter Items Other])</f>
        <v>0</v>
      </c>
      <c r="AJ672" s="436">
        <f>IF(NFI_Expiration=1,IF($A672&lt;VLOOKUP(M$5,NFI,5,0),1,0)*Table_NFI[[#This Row],[Winter Blanket]],Table_NFI[[#This Row],[Winter Blanket]])</f>
        <v>0</v>
      </c>
      <c r="AK672" s="436">
        <f>IF(Table_NFI[[#This Row],[Winter Clothes Adult]]+Table_NFI[[#This Row],[Winter Clothes Children]]+Table_NFI[[#This Row],[Winter Items Other]]+Table_NFI[[#This Row],[Winter Blanket]]&gt;0,1,0)</f>
        <v>0</v>
      </c>
      <c r="AL672" s="439">
        <f>IF(NFI_Expiration=1,IF($A672&lt;VLOOKUP(V$5,NFI,5,0),1,0)*Table_NFI[[#This Row],[Jerry Can]],Table_NFI[Jerry Can])</f>
        <v>0</v>
      </c>
      <c r="AM672" s="781" t="str">
        <f>IFERROR(VLOOKUP(Table_NFI[[#This Row],[Camp Name]],CL,2,0),"")</f>
        <v>MMR001CMP094</v>
      </c>
      <c r="AN672" s="782">
        <f ca="1">IF(Table_NFI[[#This Row],[Pcode]]="","",IF(OFFSET(CampList[Opening Date],MATCH(Table_NFI[[#This Row],[Pcode]],CampList[CP_Pcode],0)-1,0,1,1)&gt;=NFI_Monitor_Date,1,0))</f>
        <v>0</v>
      </c>
      <c r="AO672" s="781" t="str">
        <f>IFERROR(VLOOKUP(Table_NFI[[#This Row],[Camp Name]],CL,3,0),"")</f>
        <v>Closed</v>
      </c>
      <c r="AP672" s="436" t="str">
        <f ca="1">IF(Table_NFI[[#This Row],[Pcode]]="","",OFFSET(CampList[Priority],MATCH(Table_NFI[[#This Row],[Pcode]],CampList[CP_Pcode],0)-1,0,1,1))</f>
        <v/>
      </c>
      <c r="AQ672" s="438" t="str">
        <f>IFERROR(Table_NFI[[#This Row],[Kitchen Set]]/VLOOKUP(Table_NFI[[#This Row],[Camp Name]],CL,4,0),"")</f>
        <v/>
      </c>
      <c r="AR672" s="779" t="s">
        <v>1099</v>
      </c>
      <c r="AS672" s="783"/>
    </row>
    <row r="673" spans="1:45" s="784" customFormat="1" x14ac:dyDescent="0.25">
      <c r="A673" s="455">
        <f t="shared" si="10"/>
        <v>34.5</v>
      </c>
      <c r="B673" s="778">
        <v>41274</v>
      </c>
      <c r="C673" s="779" t="s">
        <v>455</v>
      </c>
      <c r="D673" s="780" t="s">
        <v>455</v>
      </c>
      <c r="E673" s="779" t="s">
        <v>380</v>
      </c>
      <c r="F673" s="435" t="s">
        <v>529</v>
      </c>
      <c r="G673" s="435" t="s">
        <v>66</v>
      </c>
      <c r="H673" s="436">
        <v>2</v>
      </c>
      <c r="I673" s="436"/>
      <c r="J673" s="436"/>
      <c r="K673" s="436"/>
      <c r="L673" s="437"/>
      <c r="M673" s="437"/>
      <c r="N673" s="437"/>
      <c r="O673" s="437"/>
      <c r="P673" s="437">
        <v>0</v>
      </c>
      <c r="Q673" s="437">
        <v>0</v>
      </c>
      <c r="R673" s="436"/>
      <c r="S673" s="436"/>
      <c r="T673" s="436"/>
      <c r="U673" s="436"/>
      <c r="V673" s="436"/>
      <c r="W673" s="436">
        <f>IF(NFI_Expiration=1,IF($A673&lt;VLOOKUP(H$5,NFI,5,0),1,0)*Table_NFI[[#This Row],[Hygiene Kit]],Table_NFI[Hygiene Kit])</f>
        <v>0</v>
      </c>
      <c r="X673" s="436">
        <f>IF(NFI_Expiration=1,IF($A673&lt;VLOOKUP(I$5,NFI,5,0),1,0)*Table_NFI[[#This Row],[NFI Core Kit]],Table_NFI[NFI Core Kit])</f>
        <v>0</v>
      </c>
      <c r="Y673" s="436">
        <f>IF(NFI_Expiration=1,IF($A673&lt;VLOOKUP(J$5,NFI,5,0),1,0)*Table_NFI[[#This Row],[Sanitary Kit]],Table_NFI[Sanitary Kit])</f>
        <v>0</v>
      </c>
      <c r="Z673" s="436">
        <f>IF(NFI_Expiration=1,IF($A673&lt;VLOOKUP(K$5,NFI,5,0),1,0)*Table_NFI[[#This Row],[Mosquito net]],Table_NFI[Mosquito net])</f>
        <v>0</v>
      </c>
      <c r="AA673" s="436">
        <f>IF(NFI_Expiration=1,IF($A673&lt;VLOOKUP(L$5,NFI,5,0),1,0)*Table_NFI[[#This Row],[Tarpaulin]],Table_NFI[[#This Row],[Tarpaulin]])</f>
        <v>0</v>
      </c>
      <c r="AB673" s="436">
        <f>IF(NFI_Expiration=1,IF($A673&lt;VLOOKUP(M$5,NFI,5,0),1,0)*Table_NFI[[#This Row],[Blanket]],Table_NFI[[#This Row],[Blanket]])</f>
        <v>0</v>
      </c>
      <c r="AC673" s="436">
        <f>IF(NFI_Expiration=1,IF($A673&lt;VLOOKUP(N$5,NFI,5,0),1,0)*Table_NFI[[#This Row],[Kitchen Set]],Table_NFI[Kitchen Set])</f>
        <v>0</v>
      </c>
      <c r="AD673" s="436">
        <f>IF(NFI_Expiration=1,IF($A673&lt;VLOOKUP(O$5,NFI,5,0),1,0)*Table_NFI[[#This Row],[Clothes Kit]],Table_NFI[Clothes Kit])</f>
        <v>0</v>
      </c>
      <c r="AE673" s="436">
        <f>IF(NFI_Expiration=1,IF($A673&lt;VLOOKUP(P$5,NFI,5,0),1,0)*Table_NFI[[#This Row],[Plastic Bucket]],Table_NFI[Plastic Bucket])</f>
        <v>0</v>
      </c>
      <c r="AF673" s="436">
        <f>IF(NFI_Expiration=1,IF($A673&lt;VLOOKUP(Q$5,NFI,5,0),1,0)*Table_NFI[[#This Row],[Plastic Mat]],Table_NFI[Plastic Mat])*IF(Table_NFI[[#This Row],[Distribution Date]]&gt;"2014-04-01",1,2.5)</f>
        <v>0</v>
      </c>
      <c r="AG673" s="436">
        <f>IF(NFI_Expiration=1,IF($A673&lt;VLOOKUP(R$5,NFI,5,0),1,0)*Table_NFI[[#This Row],[Winter Clothes Adult]],Table_NFI[Winter Clothes Adult])</f>
        <v>0</v>
      </c>
      <c r="AH673" s="436">
        <f>IF(NFI_Expiration=1,IF($A673&lt;VLOOKUP(S$5,NFI,5,0),1,0)*Table_NFI[[#This Row],[Winter Clothes Children]],Table_NFI[Winter Clothes Children])</f>
        <v>0</v>
      </c>
      <c r="AI673" s="436">
        <f>IF(NFI_Expiration=1,IF($A673&lt;VLOOKUP(T$5,NFI,5,0),1,0)*Table_NFI[[#This Row],[Winter Items Other]],Table_NFI[Winter Items Other])</f>
        <v>0</v>
      </c>
      <c r="AJ673" s="436">
        <f>IF(NFI_Expiration=1,IF($A673&lt;VLOOKUP(M$5,NFI,5,0),1,0)*Table_NFI[[#This Row],[Winter Blanket]],Table_NFI[[#This Row],[Winter Blanket]])</f>
        <v>0</v>
      </c>
      <c r="AK673" s="436">
        <f>IF(Table_NFI[[#This Row],[Winter Clothes Adult]]+Table_NFI[[#This Row],[Winter Clothes Children]]+Table_NFI[[#This Row],[Winter Items Other]]+Table_NFI[[#This Row],[Winter Blanket]]&gt;0,1,0)</f>
        <v>0</v>
      </c>
      <c r="AL673" s="439">
        <f>IF(NFI_Expiration=1,IF($A673&lt;VLOOKUP(V$5,NFI,5,0),1,0)*Table_NFI[[#This Row],[Jerry Can]],Table_NFI[Jerry Can])</f>
        <v>0</v>
      </c>
      <c r="AM673" s="781" t="str">
        <f>IFERROR(VLOOKUP(Table_NFI[[#This Row],[Camp Name]],CL,2,0),"")</f>
        <v>MMR001CMP093</v>
      </c>
      <c r="AN673" s="782">
        <f ca="1">IF(Table_NFI[[#This Row],[Pcode]]="","",IF(OFFSET(CampList[Opening Date],MATCH(Table_NFI[[#This Row],[Pcode]],CampList[CP_Pcode],0)-1,0,1,1)&gt;=NFI_Monitor_Date,1,0))</f>
        <v>0</v>
      </c>
      <c r="AO673" s="781" t="str">
        <f>IFERROR(VLOOKUP(Table_NFI[[#This Row],[Camp Name]],CL,3,0),"")</f>
        <v>Closed</v>
      </c>
      <c r="AP673" s="436" t="str">
        <f ca="1">IF(Table_NFI[[#This Row],[Pcode]]="","",OFFSET(CampList[Priority],MATCH(Table_NFI[[#This Row],[Pcode]],CampList[CP_Pcode],0)-1,0,1,1))</f>
        <v/>
      </c>
      <c r="AQ673" s="438" t="str">
        <f>IFERROR(Table_NFI[[#This Row],[Kitchen Set]]/VLOOKUP(Table_NFI[[#This Row],[Camp Name]],CL,4,0),"")</f>
        <v/>
      </c>
      <c r="AR673" s="779" t="s">
        <v>1099</v>
      </c>
      <c r="AS673" s="783"/>
    </row>
    <row r="674" spans="1:45" s="784" customFormat="1" x14ac:dyDescent="0.25">
      <c r="A674" s="455">
        <f t="shared" si="10"/>
        <v>34.5</v>
      </c>
      <c r="B674" s="778">
        <v>41274</v>
      </c>
      <c r="C674" s="779" t="s">
        <v>455</v>
      </c>
      <c r="D674" s="780" t="s">
        <v>455</v>
      </c>
      <c r="E674" s="779" t="s">
        <v>380</v>
      </c>
      <c r="F674" s="435" t="s">
        <v>237</v>
      </c>
      <c r="G674" s="435" t="s">
        <v>263</v>
      </c>
      <c r="H674" s="436">
        <v>14</v>
      </c>
      <c r="I674" s="436"/>
      <c r="J674" s="436"/>
      <c r="K674" s="436"/>
      <c r="L674" s="437"/>
      <c r="M674" s="437"/>
      <c r="N674" s="437"/>
      <c r="O674" s="437"/>
      <c r="P674" s="437">
        <v>0</v>
      </c>
      <c r="Q674" s="437">
        <v>0</v>
      </c>
      <c r="R674" s="436"/>
      <c r="S674" s="436"/>
      <c r="T674" s="436"/>
      <c r="U674" s="436"/>
      <c r="V674" s="436"/>
      <c r="W674" s="436">
        <f>IF(NFI_Expiration=1,IF($A674&lt;VLOOKUP(H$5,NFI,5,0),1,0)*Table_NFI[[#This Row],[Hygiene Kit]],Table_NFI[Hygiene Kit])</f>
        <v>0</v>
      </c>
      <c r="X674" s="436">
        <f>IF(NFI_Expiration=1,IF($A674&lt;VLOOKUP(I$5,NFI,5,0),1,0)*Table_NFI[[#This Row],[NFI Core Kit]],Table_NFI[NFI Core Kit])</f>
        <v>0</v>
      </c>
      <c r="Y674" s="436">
        <f>IF(NFI_Expiration=1,IF($A674&lt;VLOOKUP(J$5,NFI,5,0),1,0)*Table_NFI[[#This Row],[Sanitary Kit]],Table_NFI[Sanitary Kit])</f>
        <v>0</v>
      </c>
      <c r="Z674" s="436">
        <f>IF(NFI_Expiration=1,IF($A674&lt;VLOOKUP(K$5,NFI,5,0),1,0)*Table_NFI[[#This Row],[Mosquito net]],Table_NFI[Mosquito net])</f>
        <v>0</v>
      </c>
      <c r="AA674" s="436">
        <f>IF(NFI_Expiration=1,IF($A674&lt;VLOOKUP(L$5,NFI,5,0),1,0)*Table_NFI[[#This Row],[Tarpaulin]],Table_NFI[[#This Row],[Tarpaulin]])</f>
        <v>0</v>
      </c>
      <c r="AB674" s="436">
        <f>IF(NFI_Expiration=1,IF($A674&lt;VLOOKUP(M$5,NFI,5,0),1,0)*Table_NFI[[#This Row],[Blanket]],Table_NFI[[#This Row],[Blanket]])</f>
        <v>0</v>
      </c>
      <c r="AC674" s="436">
        <f>IF(NFI_Expiration=1,IF($A674&lt;VLOOKUP(N$5,NFI,5,0),1,0)*Table_NFI[[#This Row],[Kitchen Set]],Table_NFI[Kitchen Set])</f>
        <v>0</v>
      </c>
      <c r="AD674" s="436">
        <f>IF(NFI_Expiration=1,IF($A674&lt;VLOOKUP(O$5,NFI,5,0),1,0)*Table_NFI[[#This Row],[Clothes Kit]],Table_NFI[Clothes Kit])</f>
        <v>0</v>
      </c>
      <c r="AE674" s="436">
        <f>IF(NFI_Expiration=1,IF($A674&lt;VLOOKUP(P$5,NFI,5,0),1,0)*Table_NFI[[#This Row],[Plastic Bucket]],Table_NFI[Plastic Bucket])</f>
        <v>0</v>
      </c>
      <c r="AF674" s="436">
        <f>IF(NFI_Expiration=1,IF($A674&lt;VLOOKUP(Q$5,NFI,5,0),1,0)*Table_NFI[[#This Row],[Plastic Mat]],Table_NFI[Plastic Mat])*IF(Table_NFI[[#This Row],[Distribution Date]]&gt;"2014-04-01",1,2.5)</f>
        <v>0</v>
      </c>
      <c r="AG674" s="436">
        <f>IF(NFI_Expiration=1,IF($A674&lt;VLOOKUP(R$5,NFI,5,0),1,0)*Table_NFI[[#This Row],[Winter Clothes Adult]],Table_NFI[Winter Clothes Adult])</f>
        <v>0</v>
      </c>
      <c r="AH674" s="436">
        <f>IF(NFI_Expiration=1,IF($A674&lt;VLOOKUP(S$5,NFI,5,0),1,0)*Table_NFI[[#This Row],[Winter Clothes Children]],Table_NFI[Winter Clothes Children])</f>
        <v>0</v>
      </c>
      <c r="AI674" s="436">
        <f>IF(NFI_Expiration=1,IF($A674&lt;VLOOKUP(T$5,NFI,5,0),1,0)*Table_NFI[[#This Row],[Winter Items Other]],Table_NFI[Winter Items Other])</f>
        <v>0</v>
      </c>
      <c r="AJ674" s="436">
        <f>IF(NFI_Expiration=1,IF($A674&lt;VLOOKUP(M$5,NFI,5,0),1,0)*Table_NFI[[#This Row],[Winter Blanket]],Table_NFI[[#This Row],[Winter Blanket]])</f>
        <v>0</v>
      </c>
      <c r="AK674" s="436">
        <f>IF(Table_NFI[[#This Row],[Winter Clothes Adult]]+Table_NFI[[#This Row],[Winter Clothes Children]]+Table_NFI[[#This Row],[Winter Items Other]]+Table_NFI[[#This Row],[Winter Blanket]]&gt;0,1,0)</f>
        <v>0</v>
      </c>
      <c r="AL674" s="439">
        <f>IF(NFI_Expiration=1,IF($A674&lt;VLOOKUP(V$5,NFI,5,0),1,0)*Table_NFI[[#This Row],[Jerry Can]],Table_NFI[Jerry Can])</f>
        <v>0</v>
      </c>
      <c r="AM674" s="781" t="str">
        <f>IFERROR(VLOOKUP(Table_NFI[[#This Row],[Camp Name]],CL,2,0),"")</f>
        <v>MMR001CMP020</v>
      </c>
      <c r="AN674" s="782">
        <f ca="1">IF(Table_NFI[[#This Row],[Pcode]]="","",IF(OFFSET(CampList[Opening Date],MATCH(Table_NFI[[#This Row],[Pcode]],CampList[CP_Pcode],0)-1,0,1,1)&gt;=NFI_Monitor_Date,1,0))</f>
        <v>0</v>
      </c>
      <c r="AO674" s="781" t="str">
        <f>IFERROR(VLOOKUP(Table_NFI[[#This Row],[Camp Name]],CL,3,0),"")</f>
        <v>Open</v>
      </c>
      <c r="AP674" s="436" t="str">
        <f ca="1">IF(Table_NFI[[#This Row],[Pcode]]="","",OFFSET(CampList[Priority],MATCH(Table_NFI[[#This Row],[Pcode]],CampList[CP_Pcode],0)-1,0,1,1))</f>
        <v>P4</v>
      </c>
      <c r="AQ674" s="438">
        <f>IFERROR(Table_NFI[[#This Row],[Kitchen Set]]/VLOOKUP(Table_NFI[[#This Row],[Camp Name]],CL,4,0),"")</f>
        <v>0</v>
      </c>
      <c r="AR674" s="779" t="s">
        <v>1099</v>
      </c>
      <c r="AS674" s="783"/>
    </row>
    <row r="675" spans="1:45" s="784" customFormat="1" x14ac:dyDescent="0.25">
      <c r="A675" s="455">
        <f t="shared" si="10"/>
        <v>34.5</v>
      </c>
      <c r="B675" s="778">
        <v>41274</v>
      </c>
      <c r="C675" s="779" t="s">
        <v>455</v>
      </c>
      <c r="D675" s="779" t="s">
        <v>455</v>
      </c>
      <c r="E675" s="779" t="s">
        <v>380</v>
      </c>
      <c r="F675" s="779" t="s">
        <v>237</v>
      </c>
      <c r="G675" s="435" t="s">
        <v>265</v>
      </c>
      <c r="H675" s="436">
        <v>23</v>
      </c>
      <c r="I675" s="436"/>
      <c r="J675" s="436"/>
      <c r="K675" s="436"/>
      <c r="L675" s="437"/>
      <c r="M675" s="437"/>
      <c r="N675" s="437"/>
      <c r="O675" s="437"/>
      <c r="P675" s="437">
        <v>0</v>
      </c>
      <c r="Q675" s="437">
        <v>0</v>
      </c>
      <c r="R675" s="436"/>
      <c r="S675" s="436"/>
      <c r="T675" s="436"/>
      <c r="U675" s="436"/>
      <c r="V675" s="436"/>
      <c r="W675" s="436">
        <f>IF(NFI_Expiration=1,IF($A675&lt;VLOOKUP(H$5,NFI,5,0),1,0)*Table_NFI[[#This Row],[Hygiene Kit]],Table_NFI[Hygiene Kit])</f>
        <v>0</v>
      </c>
      <c r="X675" s="436">
        <f>IF(NFI_Expiration=1,IF($A675&lt;VLOOKUP(I$5,NFI,5,0),1,0)*Table_NFI[[#This Row],[NFI Core Kit]],Table_NFI[NFI Core Kit])</f>
        <v>0</v>
      </c>
      <c r="Y675" s="436">
        <f>IF(NFI_Expiration=1,IF($A675&lt;VLOOKUP(J$5,NFI,5,0),1,0)*Table_NFI[[#This Row],[Sanitary Kit]],Table_NFI[Sanitary Kit])</f>
        <v>0</v>
      </c>
      <c r="Z675" s="436">
        <f>IF(NFI_Expiration=1,IF($A675&lt;VLOOKUP(K$5,NFI,5,0),1,0)*Table_NFI[[#This Row],[Mosquito net]],Table_NFI[Mosquito net])</f>
        <v>0</v>
      </c>
      <c r="AA675" s="436">
        <f>IF(NFI_Expiration=1,IF($A675&lt;VLOOKUP(L$5,NFI,5,0),1,0)*Table_NFI[[#This Row],[Tarpaulin]],Table_NFI[[#This Row],[Tarpaulin]])</f>
        <v>0</v>
      </c>
      <c r="AB675" s="436">
        <f>IF(NFI_Expiration=1,IF($A675&lt;VLOOKUP(M$5,NFI,5,0),1,0)*Table_NFI[[#This Row],[Blanket]],Table_NFI[[#This Row],[Blanket]])</f>
        <v>0</v>
      </c>
      <c r="AC675" s="436">
        <f>IF(NFI_Expiration=1,IF($A675&lt;VLOOKUP(N$5,NFI,5,0),1,0)*Table_NFI[[#This Row],[Kitchen Set]],Table_NFI[Kitchen Set])</f>
        <v>0</v>
      </c>
      <c r="AD675" s="436">
        <f>IF(NFI_Expiration=1,IF($A675&lt;VLOOKUP(O$5,NFI,5,0),1,0)*Table_NFI[[#This Row],[Clothes Kit]],Table_NFI[Clothes Kit])</f>
        <v>0</v>
      </c>
      <c r="AE675" s="436">
        <f>IF(NFI_Expiration=1,IF($A675&lt;VLOOKUP(P$5,NFI,5,0),1,0)*Table_NFI[[#This Row],[Plastic Bucket]],Table_NFI[Plastic Bucket])</f>
        <v>0</v>
      </c>
      <c r="AF675" s="436">
        <f>IF(NFI_Expiration=1,IF($A675&lt;VLOOKUP(Q$5,NFI,5,0),1,0)*Table_NFI[[#This Row],[Plastic Mat]],Table_NFI[Plastic Mat])*IF(Table_NFI[[#This Row],[Distribution Date]]&gt;"2014-04-01",1,2.5)</f>
        <v>0</v>
      </c>
      <c r="AG675" s="436">
        <f>IF(NFI_Expiration=1,IF($A675&lt;VLOOKUP(R$5,NFI,5,0),1,0)*Table_NFI[[#This Row],[Winter Clothes Adult]],Table_NFI[Winter Clothes Adult])</f>
        <v>0</v>
      </c>
      <c r="AH675" s="436">
        <f>IF(NFI_Expiration=1,IF($A675&lt;VLOOKUP(S$5,NFI,5,0),1,0)*Table_NFI[[#This Row],[Winter Clothes Children]],Table_NFI[Winter Clothes Children])</f>
        <v>0</v>
      </c>
      <c r="AI675" s="436">
        <f>IF(NFI_Expiration=1,IF($A675&lt;VLOOKUP(T$5,NFI,5,0),1,0)*Table_NFI[[#This Row],[Winter Items Other]],Table_NFI[Winter Items Other])</f>
        <v>0</v>
      </c>
      <c r="AJ675" s="436">
        <f>IF(NFI_Expiration=1,IF($A675&lt;VLOOKUP(M$5,NFI,5,0),1,0)*Table_NFI[[#This Row],[Winter Blanket]],Table_NFI[[#This Row],[Winter Blanket]])</f>
        <v>0</v>
      </c>
      <c r="AK675" s="436">
        <f>IF(Table_NFI[[#This Row],[Winter Clothes Adult]]+Table_NFI[[#This Row],[Winter Clothes Children]]+Table_NFI[[#This Row],[Winter Items Other]]+Table_NFI[[#This Row],[Winter Blanket]]&gt;0,1,0)</f>
        <v>0</v>
      </c>
      <c r="AL675" s="439">
        <f>IF(NFI_Expiration=1,IF($A675&lt;VLOOKUP(V$5,NFI,5,0),1,0)*Table_NFI[[#This Row],[Jerry Can]],Table_NFI[Jerry Can])</f>
        <v>0</v>
      </c>
      <c r="AM675" s="781" t="str">
        <f>IFERROR(VLOOKUP(Table_NFI[[#This Row],[Camp Name]],CL,2,0),"")</f>
        <v>MMR001CMP021</v>
      </c>
      <c r="AN675" s="782">
        <f ca="1">IF(Table_NFI[[#This Row],[Pcode]]="","",IF(OFFSET(CampList[Opening Date],MATCH(Table_NFI[[#This Row],[Pcode]],CampList[CP_Pcode],0)-1,0,1,1)&gt;=NFI_Monitor_Date,1,0))</f>
        <v>0</v>
      </c>
      <c r="AO675" s="781" t="str">
        <f>IFERROR(VLOOKUP(Table_NFI[[#This Row],[Camp Name]],CL,3,0),"")</f>
        <v>Open</v>
      </c>
      <c r="AP675" s="436" t="str">
        <f ca="1">IF(Table_NFI[[#This Row],[Pcode]]="","",OFFSET(CampList[Priority],MATCH(Table_NFI[[#This Row],[Pcode]],CampList[CP_Pcode],0)-1,0,1,1))</f>
        <v>P4</v>
      </c>
      <c r="AQ675" s="438">
        <f>IFERROR(Table_NFI[[#This Row],[Kitchen Set]]/VLOOKUP(Table_NFI[[#This Row],[Camp Name]],CL,4,0),"")</f>
        <v>0</v>
      </c>
      <c r="AR675" s="779" t="s">
        <v>1099</v>
      </c>
      <c r="AS675" s="783"/>
    </row>
    <row r="676" spans="1:45" x14ac:dyDescent="0.25">
      <c r="A676" s="455">
        <f t="shared" si="10"/>
        <v>34.5</v>
      </c>
      <c r="B676" s="778">
        <v>41274</v>
      </c>
      <c r="C676" s="779" t="s">
        <v>455</v>
      </c>
      <c r="D676" s="780" t="s">
        <v>455</v>
      </c>
      <c r="E676" s="779" t="s">
        <v>380</v>
      </c>
      <c r="F676" s="435" t="s">
        <v>529</v>
      </c>
      <c r="G676" s="435" t="s">
        <v>136</v>
      </c>
      <c r="H676" s="436">
        <v>3</v>
      </c>
      <c r="I676" s="436"/>
      <c r="J676" s="436"/>
      <c r="K676" s="436"/>
      <c r="L676" s="437"/>
      <c r="M676" s="437"/>
      <c r="N676" s="437"/>
      <c r="O676" s="437"/>
      <c r="P676" s="437">
        <v>0</v>
      </c>
      <c r="Q676" s="437">
        <v>0</v>
      </c>
      <c r="R676" s="436"/>
      <c r="S676" s="436"/>
      <c r="T676" s="436"/>
      <c r="U676" s="436"/>
      <c r="V676" s="436"/>
      <c r="W676" s="436">
        <f>IF(NFI_Expiration=1,IF($A676&lt;VLOOKUP(H$5,NFI,5,0),1,0)*Table_NFI[[#This Row],[Hygiene Kit]],Table_NFI[Hygiene Kit])</f>
        <v>0</v>
      </c>
      <c r="X676" s="436">
        <f>IF(NFI_Expiration=1,IF($A676&lt;VLOOKUP(I$5,NFI,5,0),1,0)*Table_NFI[[#This Row],[NFI Core Kit]],Table_NFI[NFI Core Kit])</f>
        <v>0</v>
      </c>
      <c r="Y676" s="436">
        <f>IF(NFI_Expiration=1,IF($A676&lt;VLOOKUP(J$5,NFI,5,0),1,0)*Table_NFI[[#This Row],[Sanitary Kit]],Table_NFI[Sanitary Kit])</f>
        <v>0</v>
      </c>
      <c r="Z676" s="436">
        <f>IF(NFI_Expiration=1,IF($A676&lt;VLOOKUP(K$5,NFI,5,0),1,0)*Table_NFI[[#This Row],[Mosquito net]],Table_NFI[Mosquito net])</f>
        <v>0</v>
      </c>
      <c r="AA676" s="436">
        <f>IF(NFI_Expiration=1,IF($A676&lt;VLOOKUP(L$5,NFI,5,0),1,0)*Table_NFI[[#This Row],[Tarpaulin]],Table_NFI[[#This Row],[Tarpaulin]])</f>
        <v>0</v>
      </c>
      <c r="AB676" s="436">
        <f>IF(NFI_Expiration=1,IF($A676&lt;VLOOKUP(M$5,NFI,5,0),1,0)*Table_NFI[[#This Row],[Blanket]],Table_NFI[[#This Row],[Blanket]])</f>
        <v>0</v>
      </c>
      <c r="AC676" s="436">
        <f>IF(NFI_Expiration=1,IF($A676&lt;VLOOKUP(N$5,NFI,5,0),1,0)*Table_NFI[[#This Row],[Kitchen Set]],Table_NFI[Kitchen Set])</f>
        <v>0</v>
      </c>
      <c r="AD676" s="436">
        <f>IF(NFI_Expiration=1,IF($A676&lt;VLOOKUP(O$5,NFI,5,0),1,0)*Table_NFI[[#This Row],[Clothes Kit]],Table_NFI[Clothes Kit])</f>
        <v>0</v>
      </c>
      <c r="AE676" s="436">
        <f>IF(NFI_Expiration=1,IF($A676&lt;VLOOKUP(P$5,NFI,5,0),1,0)*Table_NFI[[#This Row],[Plastic Bucket]],Table_NFI[Plastic Bucket])</f>
        <v>0</v>
      </c>
      <c r="AF676" s="436">
        <f>IF(NFI_Expiration=1,IF($A676&lt;VLOOKUP(Q$5,NFI,5,0),1,0)*Table_NFI[[#This Row],[Plastic Mat]],Table_NFI[Plastic Mat])*IF(Table_NFI[[#This Row],[Distribution Date]]&gt;"2014-04-01",1,2.5)</f>
        <v>0</v>
      </c>
      <c r="AG676" s="436">
        <f>IF(NFI_Expiration=1,IF($A676&lt;VLOOKUP(R$5,NFI,5,0),1,0)*Table_NFI[[#This Row],[Winter Clothes Adult]],Table_NFI[Winter Clothes Adult])</f>
        <v>0</v>
      </c>
      <c r="AH676" s="436">
        <f>IF(NFI_Expiration=1,IF($A676&lt;VLOOKUP(S$5,NFI,5,0),1,0)*Table_NFI[[#This Row],[Winter Clothes Children]],Table_NFI[Winter Clothes Children])</f>
        <v>0</v>
      </c>
      <c r="AI676" s="436">
        <f>IF(NFI_Expiration=1,IF($A676&lt;VLOOKUP(T$5,NFI,5,0),1,0)*Table_NFI[[#This Row],[Winter Items Other]],Table_NFI[Winter Items Other])</f>
        <v>0</v>
      </c>
      <c r="AJ676" s="436">
        <f>IF(NFI_Expiration=1,IF($A676&lt;VLOOKUP(M$5,NFI,5,0),1,0)*Table_NFI[[#This Row],[Winter Blanket]],Table_NFI[[#This Row],[Winter Blanket]])</f>
        <v>0</v>
      </c>
      <c r="AK676" s="436">
        <f>IF(Table_NFI[[#This Row],[Winter Clothes Adult]]+Table_NFI[[#This Row],[Winter Clothes Children]]+Table_NFI[[#This Row],[Winter Items Other]]+Table_NFI[[#This Row],[Winter Blanket]]&gt;0,1,0)</f>
        <v>0</v>
      </c>
      <c r="AL676" s="439">
        <f>IF(NFI_Expiration=1,IF($A676&lt;VLOOKUP(V$5,NFI,5,0),1,0)*Table_NFI[[#This Row],[Jerry Can]],Table_NFI[Jerry Can])</f>
        <v>0</v>
      </c>
      <c r="AM676" s="781" t="str">
        <f>IFERROR(VLOOKUP(Table_NFI[[#This Row],[Camp Name]],CL,2,0),"")</f>
        <v>MMR001CMP106</v>
      </c>
      <c r="AN676" s="782">
        <f ca="1">IF(Table_NFI[[#This Row],[Pcode]]="","",IF(OFFSET(CampList[Opening Date],MATCH(Table_NFI[[#This Row],[Pcode]],CampList[CP_Pcode],0)-1,0,1,1)&gt;=NFI_Monitor_Date,1,0))</f>
        <v>0</v>
      </c>
      <c r="AO676" s="781" t="str">
        <f>IFERROR(VLOOKUP(Table_NFI[[#This Row],[Camp Name]],CL,3,0),"")</f>
        <v>Closed</v>
      </c>
      <c r="AP676" s="436" t="str">
        <f ca="1">IF(Table_NFI[[#This Row],[Pcode]]="","",OFFSET(CampList[Priority],MATCH(Table_NFI[[#This Row],[Pcode]],CampList[CP_Pcode],0)-1,0,1,1))</f>
        <v/>
      </c>
      <c r="AQ676" s="438" t="str">
        <f>IFERROR(Table_NFI[[#This Row],[Kitchen Set]]/VLOOKUP(Table_NFI[[#This Row],[Camp Name]],CL,4,0),"")</f>
        <v/>
      </c>
      <c r="AR676" s="779" t="s">
        <v>1099</v>
      </c>
      <c r="AS676" s="783"/>
    </row>
    <row r="677" spans="1:45" x14ac:dyDescent="0.25">
      <c r="A677" s="455">
        <f t="shared" si="10"/>
        <v>34.5</v>
      </c>
      <c r="B677" s="778">
        <v>41274</v>
      </c>
      <c r="C677" s="779" t="s">
        <v>455</v>
      </c>
      <c r="D677" s="779" t="s">
        <v>455</v>
      </c>
      <c r="E677" s="779" t="s">
        <v>380</v>
      </c>
      <c r="F677" s="435" t="s">
        <v>529</v>
      </c>
      <c r="G677" s="435" t="s">
        <v>84</v>
      </c>
      <c r="H677" s="436">
        <v>10</v>
      </c>
      <c r="I677" s="436"/>
      <c r="J677" s="436"/>
      <c r="K677" s="436"/>
      <c r="L677" s="437"/>
      <c r="M677" s="437"/>
      <c r="N677" s="437"/>
      <c r="O677" s="437"/>
      <c r="P677" s="439">
        <v>0</v>
      </c>
      <c r="Q677" s="439">
        <v>0</v>
      </c>
      <c r="R677" s="436"/>
      <c r="S677" s="436"/>
      <c r="T677" s="436"/>
      <c r="U677" s="436"/>
      <c r="V677" s="436"/>
      <c r="W677" s="436">
        <f>IF(NFI_Expiration=1,IF($A677&lt;VLOOKUP(H$5,NFI,5,0),1,0)*Table_NFI[[#This Row],[Hygiene Kit]],Table_NFI[Hygiene Kit])</f>
        <v>0</v>
      </c>
      <c r="X677" s="436">
        <f>IF(NFI_Expiration=1,IF($A677&lt;VLOOKUP(I$5,NFI,5,0),1,0)*Table_NFI[[#This Row],[NFI Core Kit]],Table_NFI[NFI Core Kit])</f>
        <v>0</v>
      </c>
      <c r="Y677" s="436">
        <f>IF(NFI_Expiration=1,IF($A677&lt;VLOOKUP(J$5,NFI,5,0),1,0)*Table_NFI[[#This Row],[Sanitary Kit]],Table_NFI[Sanitary Kit])</f>
        <v>0</v>
      </c>
      <c r="Z677" s="436">
        <f>IF(NFI_Expiration=1,IF($A677&lt;VLOOKUP(K$5,NFI,5,0),1,0)*Table_NFI[[#This Row],[Mosquito net]],Table_NFI[Mosquito net])</f>
        <v>0</v>
      </c>
      <c r="AA677" s="436">
        <f>IF(NFI_Expiration=1,IF($A677&lt;VLOOKUP(L$5,NFI,5,0),1,0)*Table_NFI[[#This Row],[Tarpaulin]],Table_NFI[[#This Row],[Tarpaulin]])</f>
        <v>0</v>
      </c>
      <c r="AB677" s="436">
        <f>IF(NFI_Expiration=1,IF($A677&lt;VLOOKUP(M$5,NFI,5,0),1,0)*Table_NFI[[#This Row],[Blanket]],Table_NFI[[#This Row],[Blanket]])</f>
        <v>0</v>
      </c>
      <c r="AC677" s="436">
        <f>IF(NFI_Expiration=1,IF($A677&lt;VLOOKUP(N$5,NFI,5,0),1,0)*Table_NFI[[#This Row],[Kitchen Set]],Table_NFI[Kitchen Set])</f>
        <v>0</v>
      </c>
      <c r="AD677" s="436">
        <f>IF(NFI_Expiration=1,IF($A677&lt;VLOOKUP(O$5,NFI,5,0),1,0)*Table_NFI[[#This Row],[Clothes Kit]],Table_NFI[Clothes Kit])</f>
        <v>0</v>
      </c>
      <c r="AE677" s="436">
        <f>IF(NFI_Expiration=1,IF($A677&lt;VLOOKUP(P$5,NFI,5,0),1,0)*Table_NFI[[#This Row],[Plastic Bucket]],Table_NFI[Plastic Bucket])</f>
        <v>0</v>
      </c>
      <c r="AF677" s="436">
        <f>IF(NFI_Expiration=1,IF($A677&lt;VLOOKUP(Q$5,NFI,5,0),1,0)*Table_NFI[[#This Row],[Plastic Mat]],Table_NFI[Plastic Mat])*IF(Table_NFI[[#This Row],[Distribution Date]]&gt;"2014-04-01",1,2.5)</f>
        <v>0</v>
      </c>
      <c r="AG677" s="436">
        <f>IF(NFI_Expiration=1,IF($A677&lt;VLOOKUP(R$5,NFI,5,0),1,0)*Table_NFI[[#This Row],[Winter Clothes Adult]],Table_NFI[Winter Clothes Adult])</f>
        <v>0</v>
      </c>
      <c r="AH677" s="436">
        <f>IF(NFI_Expiration=1,IF($A677&lt;VLOOKUP(S$5,NFI,5,0),1,0)*Table_NFI[[#This Row],[Winter Clothes Children]],Table_NFI[Winter Clothes Children])</f>
        <v>0</v>
      </c>
      <c r="AI677" s="436">
        <f>IF(NFI_Expiration=1,IF($A677&lt;VLOOKUP(T$5,NFI,5,0),1,0)*Table_NFI[[#This Row],[Winter Items Other]],Table_NFI[Winter Items Other])</f>
        <v>0</v>
      </c>
      <c r="AJ677" s="436">
        <f>IF(NFI_Expiration=1,IF($A677&lt;VLOOKUP(M$5,NFI,5,0),1,0)*Table_NFI[[#This Row],[Winter Blanket]],Table_NFI[[#This Row],[Winter Blanket]])</f>
        <v>0</v>
      </c>
      <c r="AK677" s="436">
        <f>IF(Table_NFI[[#This Row],[Winter Clothes Adult]]+Table_NFI[[#This Row],[Winter Clothes Children]]+Table_NFI[[#This Row],[Winter Items Other]]+Table_NFI[[#This Row],[Winter Blanket]]&gt;0,1,0)</f>
        <v>0</v>
      </c>
      <c r="AL677" s="439">
        <f>IF(NFI_Expiration=1,IF($A677&lt;VLOOKUP(V$5,NFI,5,0),1,0)*Table_NFI[[#This Row],[Jerry Can]],Table_NFI[Jerry Can])</f>
        <v>0</v>
      </c>
      <c r="AM677" s="781" t="str">
        <f>IFERROR(VLOOKUP(Table_NFI[[#This Row],[Camp Name]],CL,2,0),"")</f>
        <v>MMR001CMP085</v>
      </c>
      <c r="AN677" s="782">
        <f ca="1">IF(Table_NFI[[#This Row],[Pcode]]="","",IF(OFFSET(CampList[Opening Date],MATCH(Table_NFI[[#This Row],[Pcode]],CampList[CP_Pcode],0)-1,0,1,1)&gt;=NFI_Monitor_Date,1,0))</f>
        <v>0</v>
      </c>
      <c r="AO677" s="781" t="str">
        <f>IFERROR(VLOOKUP(Table_NFI[[#This Row],[Camp Name]],CL,3,0),"")</f>
        <v>Closed</v>
      </c>
      <c r="AP677" s="436" t="str">
        <f ca="1">IF(Table_NFI[[#This Row],[Pcode]]="","",OFFSET(CampList[Priority],MATCH(Table_NFI[[#This Row],[Pcode]],CampList[CP_Pcode],0)-1,0,1,1))</f>
        <v/>
      </c>
      <c r="AQ677" s="438" t="str">
        <f>IFERROR(Table_NFI[[#This Row],[Kitchen Set]]/VLOOKUP(Table_NFI[[#This Row],[Camp Name]],CL,4,0),"")</f>
        <v/>
      </c>
      <c r="AR677" s="779" t="s">
        <v>1099</v>
      </c>
      <c r="AS677" s="783"/>
    </row>
    <row r="678" spans="1:45" x14ac:dyDescent="0.25">
      <c r="A678" s="455">
        <f t="shared" si="10"/>
        <v>34.5</v>
      </c>
      <c r="B678" s="778">
        <v>41274</v>
      </c>
      <c r="C678" s="779" t="s">
        <v>455</v>
      </c>
      <c r="D678" s="780" t="s">
        <v>455</v>
      </c>
      <c r="E678" s="779" t="s">
        <v>380</v>
      </c>
      <c r="F678" s="435" t="s">
        <v>529</v>
      </c>
      <c r="G678" s="435" t="s">
        <v>100</v>
      </c>
      <c r="H678" s="436">
        <v>2</v>
      </c>
      <c r="I678" s="436"/>
      <c r="J678" s="436"/>
      <c r="K678" s="436"/>
      <c r="L678" s="437"/>
      <c r="M678" s="437"/>
      <c r="N678" s="437"/>
      <c r="O678" s="437"/>
      <c r="P678" s="437">
        <v>0</v>
      </c>
      <c r="Q678" s="437">
        <v>0</v>
      </c>
      <c r="R678" s="436"/>
      <c r="S678" s="436"/>
      <c r="T678" s="436"/>
      <c r="U678" s="436"/>
      <c r="V678" s="436"/>
      <c r="W678" s="436">
        <f>IF(NFI_Expiration=1,IF($A678&lt;VLOOKUP(H$5,NFI,5,0),1,0)*Table_NFI[[#This Row],[Hygiene Kit]],Table_NFI[Hygiene Kit])</f>
        <v>0</v>
      </c>
      <c r="X678" s="436">
        <f>IF(NFI_Expiration=1,IF($A678&lt;VLOOKUP(I$5,NFI,5,0),1,0)*Table_NFI[[#This Row],[NFI Core Kit]],Table_NFI[NFI Core Kit])</f>
        <v>0</v>
      </c>
      <c r="Y678" s="436">
        <f>IF(NFI_Expiration=1,IF($A678&lt;VLOOKUP(J$5,NFI,5,0),1,0)*Table_NFI[[#This Row],[Sanitary Kit]],Table_NFI[Sanitary Kit])</f>
        <v>0</v>
      </c>
      <c r="Z678" s="436">
        <f>IF(NFI_Expiration=1,IF($A678&lt;VLOOKUP(K$5,NFI,5,0),1,0)*Table_NFI[[#This Row],[Mosquito net]],Table_NFI[Mosquito net])</f>
        <v>0</v>
      </c>
      <c r="AA678" s="436">
        <f>IF(NFI_Expiration=1,IF($A678&lt;VLOOKUP(L$5,NFI,5,0),1,0)*Table_NFI[[#This Row],[Tarpaulin]],Table_NFI[[#This Row],[Tarpaulin]])</f>
        <v>0</v>
      </c>
      <c r="AB678" s="436">
        <f>IF(NFI_Expiration=1,IF($A678&lt;VLOOKUP(M$5,NFI,5,0),1,0)*Table_NFI[[#This Row],[Blanket]],Table_NFI[[#This Row],[Blanket]])</f>
        <v>0</v>
      </c>
      <c r="AC678" s="436">
        <f>IF(NFI_Expiration=1,IF($A678&lt;VLOOKUP(N$5,NFI,5,0),1,0)*Table_NFI[[#This Row],[Kitchen Set]],Table_NFI[Kitchen Set])</f>
        <v>0</v>
      </c>
      <c r="AD678" s="436">
        <f>IF(NFI_Expiration=1,IF($A678&lt;VLOOKUP(O$5,NFI,5,0),1,0)*Table_NFI[[#This Row],[Clothes Kit]],Table_NFI[Clothes Kit])</f>
        <v>0</v>
      </c>
      <c r="AE678" s="436">
        <f>IF(NFI_Expiration=1,IF($A678&lt;VLOOKUP(P$5,NFI,5,0),1,0)*Table_NFI[[#This Row],[Plastic Bucket]],Table_NFI[Plastic Bucket])</f>
        <v>0</v>
      </c>
      <c r="AF678" s="436">
        <f>IF(NFI_Expiration=1,IF($A678&lt;VLOOKUP(Q$5,NFI,5,0),1,0)*Table_NFI[[#This Row],[Plastic Mat]],Table_NFI[Plastic Mat])*IF(Table_NFI[[#This Row],[Distribution Date]]&gt;"2014-04-01",1,2.5)</f>
        <v>0</v>
      </c>
      <c r="AG678" s="436">
        <f>IF(NFI_Expiration=1,IF($A678&lt;VLOOKUP(R$5,NFI,5,0),1,0)*Table_NFI[[#This Row],[Winter Clothes Adult]],Table_NFI[Winter Clothes Adult])</f>
        <v>0</v>
      </c>
      <c r="AH678" s="436">
        <f>IF(NFI_Expiration=1,IF($A678&lt;VLOOKUP(S$5,NFI,5,0),1,0)*Table_NFI[[#This Row],[Winter Clothes Children]],Table_NFI[Winter Clothes Children])</f>
        <v>0</v>
      </c>
      <c r="AI678" s="436">
        <f>IF(NFI_Expiration=1,IF($A678&lt;VLOOKUP(T$5,NFI,5,0),1,0)*Table_NFI[[#This Row],[Winter Items Other]],Table_NFI[Winter Items Other])</f>
        <v>0</v>
      </c>
      <c r="AJ678" s="436">
        <f>IF(NFI_Expiration=1,IF($A678&lt;VLOOKUP(M$5,NFI,5,0),1,0)*Table_NFI[[#This Row],[Winter Blanket]],Table_NFI[[#This Row],[Winter Blanket]])</f>
        <v>0</v>
      </c>
      <c r="AK678" s="436">
        <f>IF(Table_NFI[[#This Row],[Winter Clothes Adult]]+Table_NFI[[#This Row],[Winter Clothes Children]]+Table_NFI[[#This Row],[Winter Items Other]]+Table_NFI[[#This Row],[Winter Blanket]]&gt;0,1,0)</f>
        <v>0</v>
      </c>
      <c r="AL678" s="439">
        <f>IF(NFI_Expiration=1,IF($A678&lt;VLOOKUP(V$5,NFI,5,0),1,0)*Table_NFI[[#This Row],[Jerry Can]],Table_NFI[Jerry Can])</f>
        <v>0</v>
      </c>
      <c r="AM678" s="781" t="str">
        <f>IFERROR(VLOOKUP(Table_NFI[[#This Row],[Camp Name]],CL,2,0),"")</f>
        <v>MMR001CMP091</v>
      </c>
      <c r="AN678" s="782">
        <f ca="1">IF(Table_NFI[[#This Row],[Pcode]]="","",IF(OFFSET(CampList[Opening Date],MATCH(Table_NFI[[#This Row],[Pcode]],CampList[CP_Pcode],0)-1,0,1,1)&gt;=NFI_Monitor_Date,1,0))</f>
        <v>0</v>
      </c>
      <c r="AO678" s="781" t="str">
        <f>IFERROR(VLOOKUP(Table_NFI[[#This Row],[Camp Name]],CL,3,0),"")</f>
        <v>Open</v>
      </c>
      <c r="AP678" s="436" t="str">
        <f ca="1">IF(Table_NFI[[#This Row],[Pcode]]="","",OFFSET(CampList[Priority],MATCH(Table_NFI[[#This Row],[Pcode]],CampList[CP_Pcode],0)-1,0,1,1))</f>
        <v>P4</v>
      </c>
      <c r="AQ678" s="438">
        <f>IFERROR(Table_NFI[[#This Row],[Kitchen Set]]/VLOOKUP(Table_NFI[[#This Row],[Camp Name]],CL,4,0),"")</f>
        <v>0</v>
      </c>
      <c r="AR678" s="779" t="s">
        <v>1099</v>
      </c>
      <c r="AS678" s="783"/>
    </row>
    <row r="679" spans="1:45" x14ac:dyDescent="0.25">
      <c r="A679" s="455">
        <f t="shared" si="10"/>
        <v>34.5</v>
      </c>
      <c r="B679" s="778">
        <v>41274</v>
      </c>
      <c r="C679" s="779" t="s">
        <v>455</v>
      </c>
      <c r="D679" s="779" t="s">
        <v>455</v>
      </c>
      <c r="E679" s="779" t="s">
        <v>380</v>
      </c>
      <c r="F679" s="435" t="s">
        <v>529</v>
      </c>
      <c r="G679" s="435" t="s">
        <v>98</v>
      </c>
      <c r="H679" s="436">
        <v>5</v>
      </c>
      <c r="I679" s="436"/>
      <c r="J679" s="436"/>
      <c r="K679" s="436"/>
      <c r="L679" s="437"/>
      <c r="M679" s="437"/>
      <c r="N679" s="437"/>
      <c r="O679" s="437"/>
      <c r="P679" s="439">
        <v>0</v>
      </c>
      <c r="Q679" s="439">
        <v>0</v>
      </c>
      <c r="R679" s="436"/>
      <c r="S679" s="436"/>
      <c r="T679" s="436"/>
      <c r="U679" s="436"/>
      <c r="V679" s="436"/>
      <c r="W679" s="436">
        <f>IF(NFI_Expiration=1,IF($A679&lt;VLOOKUP(H$5,NFI,5,0),1,0)*Table_NFI[[#This Row],[Hygiene Kit]],Table_NFI[Hygiene Kit])</f>
        <v>0</v>
      </c>
      <c r="X679" s="436">
        <f>IF(NFI_Expiration=1,IF($A679&lt;VLOOKUP(I$5,NFI,5,0),1,0)*Table_NFI[[#This Row],[NFI Core Kit]],Table_NFI[NFI Core Kit])</f>
        <v>0</v>
      </c>
      <c r="Y679" s="436">
        <f>IF(NFI_Expiration=1,IF($A679&lt;VLOOKUP(J$5,NFI,5,0),1,0)*Table_NFI[[#This Row],[Sanitary Kit]],Table_NFI[Sanitary Kit])</f>
        <v>0</v>
      </c>
      <c r="Z679" s="436">
        <f>IF(NFI_Expiration=1,IF($A679&lt;VLOOKUP(K$5,NFI,5,0),1,0)*Table_NFI[[#This Row],[Mosquito net]],Table_NFI[Mosquito net])</f>
        <v>0</v>
      </c>
      <c r="AA679" s="436">
        <f>IF(NFI_Expiration=1,IF($A679&lt;VLOOKUP(L$5,NFI,5,0),1,0)*Table_NFI[[#This Row],[Tarpaulin]],Table_NFI[[#This Row],[Tarpaulin]])</f>
        <v>0</v>
      </c>
      <c r="AB679" s="436">
        <f>IF(NFI_Expiration=1,IF($A679&lt;VLOOKUP(M$5,NFI,5,0),1,0)*Table_NFI[[#This Row],[Blanket]],Table_NFI[[#This Row],[Blanket]])</f>
        <v>0</v>
      </c>
      <c r="AC679" s="436">
        <f>IF(NFI_Expiration=1,IF($A679&lt;VLOOKUP(N$5,NFI,5,0),1,0)*Table_NFI[[#This Row],[Kitchen Set]],Table_NFI[Kitchen Set])</f>
        <v>0</v>
      </c>
      <c r="AD679" s="436">
        <f>IF(NFI_Expiration=1,IF($A679&lt;VLOOKUP(O$5,NFI,5,0),1,0)*Table_NFI[[#This Row],[Clothes Kit]],Table_NFI[Clothes Kit])</f>
        <v>0</v>
      </c>
      <c r="AE679" s="436">
        <f>IF(NFI_Expiration=1,IF($A679&lt;VLOOKUP(P$5,NFI,5,0),1,0)*Table_NFI[[#This Row],[Plastic Bucket]],Table_NFI[Plastic Bucket])</f>
        <v>0</v>
      </c>
      <c r="AF679" s="436">
        <f>IF(NFI_Expiration=1,IF($A679&lt;VLOOKUP(Q$5,NFI,5,0),1,0)*Table_NFI[[#This Row],[Plastic Mat]],Table_NFI[Plastic Mat])*IF(Table_NFI[[#This Row],[Distribution Date]]&gt;"2014-04-01",1,2.5)</f>
        <v>0</v>
      </c>
      <c r="AG679" s="436">
        <f>IF(NFI_Expiration=1,IF($A679&lt;VLOOKUP(R$5,NFI,5,0),1,0)*Table_NFI[[#This Row],[Winter Clothes Adult]],Table_NFI[Winter Clothes Adult])</f>
        <v>0</v>
      </c>
      <c r="AH679" s="436">
        <f>IF(NFI_Expiration=1,IF($A679&lt;VLOOKUP(S$5,NFI,5,0),1,0)*Table_NFI[[#This Row],[Winter Clothes Children]],Table_NFI[Winter Clothes Children])</f>
        <v>0</v>
      </c>
      <c r="AI679" s="436">
        <f>IF(NFI_Expiration=1,IF($A679&lt;VLOOKUP(T$5,NFI,5,0),1,0)*Table_NFI[[#This Row],[Winter Items Other]],Table_NFI[Winter Items Other])</f>
        <v>0</v>
      </c>
      <c r="AJ679" s="436">
        <f>IF(NFI_Expiration=1,IF($A679&lt;VLOOKUP(M$5,NFI,5,0),1,0)*Table_NFI[[#This Row],[Winter Blanket]],Table_NFI[[#This Row],[Winter Blanket]])</f>
        <v>0</v>
      </c>
      <c r="AK679" s="436">
        <f>IF(Table_NFI[[#This Row],[Winter Clothes Adult]]+Table_NFI[[#This Row],[Winter Clothes Children]]+Table_NFI[[#This Row],[Winter Items Other]]+Table_NFI[[#This Row],[Winter Blanket]]&gt;0,1,0)</f>
        <v>0</v>
      </c>
      <c r="AL679" s="439">
        <f>IF(NFI_Expiration=1,IF($A679&lt;VLOOKUP(V$5,NFI,5,0),1,0)*Table_NFI[[#This Row],[Jerry Can]],Table_NFI[Jerry Can])</f>
        <v>0</v>
      </c>
      <c r="AM679" s="781" t="str">
        <f>IFERROR(VLOOKUP(Table_NFI[[#This Row],[Camp Name]],CL,2,0),"")</f>
        <v>MMR001CMP178</v>
      </c>
      <c r="AN679" s="782">
        <f ca="1">IF(Table_NFI[[#This Row],[Pcode]]="","",IF(OFFSET(CampList[Opening Date],MATCH(Table_NFI[[#This Row],[Pcode]],CampList[CP_Pcode],0)-1,0,1,1)&gt;=NFI_Monitor_Date,1,0))</f>
        <v>0</v>
      </c>
      <c r="AO679" s="781" t="str">
        <f>IFERROR(VLOOKUP(Table_NFI[[#This Row],[Camp Name]],CL,3,0),"")</f>
        <v>Closed</v>
      </c>
      <c r="AP679" s="436" t="str">
        <f ca="1">IF(Table_NFI[[#This Row],[Pcode]]="","",OFFSET(CampList[Priority],MATCH(Table_NFI[[#This Row],[Pcode]],CampList[CP_Pcode],0)-1,0,1,1))</f>
        <v/>
      </c>
      <c r="AQ679" s="438" t="str">
        <f>IFERROR(Table_NFI[[#This Row],[Kitchen Set]]/VLOOKUP(Table_NFI[[#This Row],[Camp Name]],CL,4,0),"")</f>
        <v/>
      </c>
      <c r="AR679" s="779" t="s">
        <v>1099</v>
      </c>
      <c r="AS679" s="783"/>
    </row>
    <row r="680" spans="1:45" x14ac:dyDescent="0.25">
      <c r="A680" s="455">
        <f t="shared" si="10"/>
        <v>34.5</v>
      </c>
      <c r="B680" s="778">
        <v>41274</v>
      </c>
      <c r="C680" s="779" t="s">
        <v>455</v>
      </c>
      <c r="D680" s="779" t="s">
        <v>455</v>
      </c>
      <c r="E680" s="779" t="s">
        <v>380</v>
      </c>
      <c r="F680" s="435" t="s">
        <v>529</v>
      </c>
      <c r="G680" s="435" t="s">
        <v>142</v>
      </c>
      <c r="H680" s="436">
        <v>1</v>
      </c>
      <c r="I680" s="436"/>
      <c r="J680" s="436"/>
      <c r="K680" s="436"/>
      <c r="L680" s="437"/>
      <c r="M680" s="437"/>
      <c r="N680" s="437"/>
      <c r="O680" s="437"/>
      <c r="P680" s="439">
        <v>0</v>
      </c>
      <c r="Q680" s="439">
        <v>0</v>
      </c>
      <c r="R680" s="436"/>
      <c r="S680" s="436"/>
      <c r="T680" s="436"/>
      <c r="U680" s="436"/>
      <c r="V680" s="436"/>
      <c r="W680" s="436">
        <f>IF(NFI_Expiration=1,IF($A680&lt;VLOOKUP(H$5,NFI,5,0),1,0)*Table_NFI[[#This Row],[Hygiene Kit]],Table_NFI[Hygiene Kit])</f>
        <v>0</v>
      </c>
      <c r="X680" s="436">
        <f>IF(NFI_Expiration=1,IF($A680&lt;VLOOKUP(I$5,NFI,5,0),1,0)*Table_NFI[[#This Row],[NFI Core Kit]],Table_NFI[NFI Core Kit])</f>
        <v>0</v>
      </c>
      <c r="Y680" s="436">
        <f>IF(NFI_Expiration=1,IF($A680&lt;VLOOKUP(J$5,NFI,5,0),1,0)*Table_NFI[[#This Row],[Sanitary Kit]],Table_NFI[Sanitary Kit])</f>
        <v>0</v>
      </c>
      <c r="Z680" s="436">
        <f>IF(NFI_Expiration=1,IF($A680&lt;VLOOKUP(K$5,NFI,5,0),1,0)*Table_NFI[[#This Row],[Mosquito net]],Table_NFI[Mosquito net])</f>
        <v>0</v>
      </c>
      <c r="AA680" s="436">
        <f>IF(NFI_Expiration=1,IF($A680&lt;VLOOKUP(L$5,NFI,5,0),1,0)*Table_NFI[[#This Row],[Tarpaulin]],Table_NFI[[#This Row],[Tarpaulin]])</f>
        <v>0</v>
      </c>
      <c r="AB680" s="436">
        <f>IF(NFI_Expiration=1,IF($A680&lt;VLOOKUP(M$5,NFI,5,0),1,0)*Table_NFI[[#This Row],[Blanket]],Table_NFI[[#This Row],[Blanket]])</f>
        <v>0</v>
      </c>
      <c r="AC680" s="436">
        <f>IF(NFI_Expiration=1,IF($A680&lt;VLOOKUP(N$5,NFI,5,0),1,0)*Table_NFI[[#This Row],[Kitchen Set]],Table_NFI[Kitchen Set])</f>
        <v>0</v>
      </c>
      <c r="AD680" s="436">
        <f>IF(NFI_Expiration=1,IF($A680&lt;VLOOKUP(O$5,NFI,5,0),1,0)*Table_NFI[[#This Row],[Clothes Kit]],Table_NFI[Clothes Kit])</f>
        <v>0</v>
      </c>
      <c r="AE680" s="436">
        <f>IF(NFI_Expiration=1,IF($A680&lt;VLOOKUP(P$5,NFI,5,0),1,0)*Table_NFI[[#This Row],[Plastic Bucket]],Table_NFI[Plastic Bucket])</f>
        <v>0</v>
      </c>
      <c r="AF680" s="436">
        <f>IF(NFI_Expiration=1,IF($A680&lt;VLOOKUP(Q$5,NFI,5,0),1,0)*Table_NFI[[#This Row],[Plastic Mat]],Table_NFI[Plastic Mat])*IF(Table_NFI[[#This Row],[Distribution Date]]&gt;"2014-04-01",1,2.5)</f>
        <v>0</v>
      </c>
      <c r="AG680" s="436">
        <f>IF(NFI_Expiration=1,IF($A680&lt;VLOOKUP(R$5,NFI,5,0),1,0)*Table_NFI[[#This Row],[Winter Clothes Adult]],Table_NFI[Winter Clothes Adult])</f>
        <v>0</v>
      </c>
      <c r="AH680" s="436">
        <f>IF(NFI_Expiration=1,IF($A680&lt;VLOOKUP(S$5,NFI,5,0),1,0)*Table_NFI[[#This Row],[Winter Clothes Children]],Table_NFI[Winter Clothes Children])</f>
        <v>0</v>
      </c>
      <c r="AI680" s="436">
        <f>IF(NFI_Expiration=1,IF($A680&lt;VLOOKUP(T$5,NFI,5,0),1,0)*Table_NFI[[#This Row],[Winter Items Other]],Table_NFI[Winter Items Other])</f>
        <v>0</v>
      </c>
      <c r="AJ680" s="436">
        <f>IF(NFI_Expiration=1,IF($A680&lt;VLOOKUP(M$5,NFI,5,0),1,0)*Table_NFI[[#This Row],[Winter Blanket]],Table_NFI[[#This Row],[Winter Blanket]])</f>
        <v>0</v>
      </c>
      <c r="AK680" s="436">
        <f>IF(Table_NFI[[#This Row],[Winter Clothes Adult]]+Table_NFI[[#This Row],[Winter Clothes Children]]+Table_NFI[[#This Row],[Winter Items Other]]+Table_NFI[[#This Row],[Winter Blanket]]&gt;0,1,0)</f>
        <v>0</v>
      </c>
      <c r="AL680" s="439">
        <f>IF(NFI_Expiration=1,IF($A680&lt;VLOOKUP(V$5,NFI,5,0),1,0)*Table_NFI[[#This Row],[Jerry Can]],Table_NFI[Jerry Can])</f>
        <v>0</v>
      </c>
      <c r="AM680" s="781" t="str">
        <f>IFERROR(VLOOKUP(Table_NFI[[#This Row],[Camp Name]],CL,2,0),"")</f>
        <v>MMR001CMP177</v>
      </c>
      <c r="AN680" s="782">
        <f ca="1">IF(Table_NFI[[#This Row],[Pcode]]="","",IF(OFFSET(CampList[Opening Date],MATCH(Table_NFI[[#This Row],[Pcode]],CampList[CP_Pcode],0)-1,0,1,1)&gt;=NFI_Monitor_Date,1,0))</f>
        <v>0</v>
      </c>
      <c r="AO680" s="781" t="str">
        <f>IFERROR(VLOOKUP(Table_NFI[[#This Row],[Camp Name]],CL,3,0),"")</f>
        <v>Closed</v>
      </c>
      <c r="AP680" s="436" t="str">
        <f ca="1">IF(Table_NFI[[#This Row],[Pcode]]="","",OFFSET(CampList[Priority],MATCH(Table_NFI[[#This Row],[Pcode]],CampList[CP_Pcode],0)-1,0,1,1))</f>
        <v/>
      </c>
      <c r="AQ680" s="438" t="str">
        <f>IFERROR(Table_NFI[[#This Row],[Kitchen Set]]/VLOOKUP(Table_NFI[[#This Row],[Camp Name]],CL,4,0),"")</f>
        <v/>
      </c>
      <c r="AR680" s="779" t="s">
        <v>1099</v>
      </c>
      <c r="AS680" s="783"/>
    </row>
    <row r="681" spans="1:45" x14ac:dyDescent="0.25">
      <c r="A681" s="455">
        <f t="shared" si="10"/>
        <v>34.5</v>
      </c>
      <c r="B681" s="778">
        <v>41274</v>
      </c>
      <c r="C681" s="779" t="s">
        <v>455</v>
      </c>
      <c r="D681" s="780" t="s">
        <v>455</v>
      </c>
      <c r="E681" s="779" t="s">
        <v>380</v>
      </c>
      <c r="F681" s="435" t="s">
        <v>237</v>
      </c>
      <c r="G681" s="435" t="s">
        <v>267</v>
      </c>
      <c r="H681" s="436">
        <v>12</v>
      </c>
      <c r="I681" s="436"/>
      <c r="J681" s="436"/>
      <c r="K681" s="436"/>
      <c r="L681" s="437"/>
      <c r="M681" s="437"/>
      <c r="N681" s="437"/>
      <c r="O681" s="437"/>
      <c r="P681" s="437">
        <v>0</v>
      </c>
      <c r="Q681" s="437">
        <v>0</v>
      </c>
      <c r="R681" s="436"/>
      <c r="S681" s="436"/>
      <c r="T681" s="436"/>
      <c r="U681" s="436"/>
      <c r="V681" s="436"/>
      <c r="W681" s="436">
        <f>IF(NFI_Expiration=1,IF($A681&lt;VLOOKUP(H$5,NFI,5,0),1,0)*Table_NFI[[#This Row],[Hygiene Kit]],Table_NFI[Hygiene Kit])</f>
        <v>0</v>
      </c>
      <c r="X681" s="436">
        <f>IF(NFI_Expiration=1,IF($A681&lt;VLOOKUP(I$5,NFI,5,0),1,0)*Table_NFI[[#This Row],[NFI Core Kit]],Table_NFI[NFI Core Kit])</f>
        <v>0</v>
      </c>
      <c r="Y681" s="436">
        <f>IF(NFI_Expiration=1,IF($A681&lt;VLOOKUP(J$5,NFI,5,0),1,0)*Table_NFI[[#This Row],[Sanitary Kit]],Table_NFI[Sanitary Kit])</f>
        <v>0</v>
      </c>
      <c r="Z681" s="436">
        <f>IF(NFI_Expiration=1,IF($A681&lt;VLOOKUP(K$5,NFI,5,0),1,0)*Table_NFI[[#This Row],[Mosquito net]],Table_NFI[Mosquito net])</f>
        <v>0</v>
      </c>
      <c r="AA681" s="436">
        <f>IF(NFI_Expiration=1,IF($A681&lt;VLOOKUP(L$5,NFI,5,0),1,0)*Table_NFI[[#This Row],[Tarpaulin]],Table_NFI[[#This Row],[Tarpaulin]])</f>
        <v>0</v>
      </c>
      <c r="AB681" s="436">
        <f>IF(NFI_Expiration=1,IF($A681&lt;VLOOKUP(M$5,NFI,5,0),1,0)*Table_NFI[[#This Row],[Blanket]],Table_NFI[[#This Row],[Blanket]])</f>
        <v>0</v>
      </c>
      <c r="AC681" s="436">
        <f>IF(NFI_Expiration=1,IF($A681&lt;VLOOKUP(N$5,NFI,5,0),1,0)*Table_NFI[[#This Row],[Kitchen Set]],Table_NFI[Kitchen Set])</f>
        <v>0</v>
      </c>
      <c r="AD681" s="436">
        <f>IF(NFI_Expiration=1,IF($A681&lt;VLOOKUP(O$5,NFI,5,0),1,0)*Table_NFI[[#This Row],[Clothes Kit]],Table_NFI[Clothes Kit])</f>
        <v>0</v>
      </c>
      <c r="AE681" s="436">
        <f>IF(NFI_Expiration=1,IF($A681&lt;VLOOKUP(P$5,NFI,5,0),1,0)*Table_NFI[[#This Row],[Plastic Bucket]],Table_NFI[Plastic Bucket])</f>
        <v>0</v>
      </c>
      <c r="AF681" s="436">
        <f>IF(NFI_Expiration=1,IF($A681&lt;VLOOKUP(Q$5,NFI,5,0),1,0)*Table_NFI[[#This Row],[Plastic Mat]],Table_NFI[Plastic Mat])*IF(Table_NFI[[#This Row],[Distribution Date]]&gt;"2014-04-01",1,2.5)</f>
        <v>0</v>
      </c>
      <c r="AG681" s="436">
        <f>IF(NFI_Expiration=1,IF($A681&lt;VLOOKUP(R$5,NFI,5,0),1,0)*Table_NFI[[#This Row],[Winter Clothes Adult]],Table_NFI[Winter Clothes Adult])</f>
        <v>0</v>
      </c>
      <c r="AH681" s="436">
        <f>IF(NFI_Expiration=1,IF($A681&lt;VLOOKUP(S$5,NFI,5,0),1,0)*Table_NFI[[#This Row],[Winter Clothes Children]],Table_NFI[Winter Clothes Children])</f>
        <v>0</v>
      </c>
      <c r="AI681" s="436">
        <f>IF(NFI_Expiration=1,IF($A681&lt;VLOOKUP(T$5,NFI,5,0),1,0)*Table_NFI[[#This Row],[Winter Items Other]],Table_NFI[Winter Items Other])</f>
        <v>0</v>
      </c>
      <c r="AJ681" s="436">
        <f>IF(NFI_Expiration=1,IF($A681&lt;VLOOKUP(M$5,NFI,5,0),1,0)*Table_NFI[[#This Row],[Winter Blanket]],Table_NFI[[#This Row],[Winter Blanket]])</f>
        <v>0</v>
      </c>
      <c r="AK681" s="436">
        <f>IF(Table_NFI[[#This Row],[Winter Clothes Adult]]+Table_NFI[[#This Row],[Winter Clothes Children]]+Table_NFI[[#This Row],[Winter Items Other]]+Table_NFI[[#This Row],[Winter Blanket]]&gt;0,1,0)</f>
        <v>0</v>
      </c>
      <c r="AL681" s="439">
        <f>IF(NFI_Expiration=1,IF($A681&lt;VLOOKUP(V$5,NFI,5,0),1,0)*Table_NFI[[#This Row],[Jerry Can]],Table_NFI[Jerry Can])</f>
        <v>0</v>
      </c>
      <c r="AM681" s="781" t="str">
        <f>IFERROR(VLOOKUP(Table_NFI[[#This Row],[Camp Name]],CL,2,0),"")</f>
        <v>MMR001CMP017</v>
      </c>
      <c r="AN681" s="782">
        <f ca="1">IF(Table_NFI[[#This Row],[Pcode]]="","",IF(OFFSET(CampList[Opening Date],MATCH(Table_NFI[[#This Row],[Pcode]],CampList[CP_Pcode],0)-1,0,1,1)&gt;=NFI_Monitor_Date,1,0))</f>
        <v>0</v>
      </c>
      <c r="AO681" s="781" t="str">
        <f>IFERROR(VLOOKUP(Table_NFI[[#This Row],[Camp Name]],CL,3,0),"")</f>
        <v>Closed</v>
      </c>
      <c r="AP681" s="436" t="str">
        <f ca="1">IF(Table_NFI[[#This Row],[Pcode]]="","",OFFSET(CampList[Priority],MATCH(Table_NFI[[#This Row],[Pcode]],CampList[CP_Pcode],0)-1,0,1,1))</f>
        <v>P4</v>
      </c>
      <c r="AQ681" s="438" t="str">
        <f>IFERROR(Table_NFI[[#This Row],[Kitchen Set]]/VLOOKUP(Table_NFI[[#This Row],[Camp Name]],CL,4,0),"")</f>
        <v/>
      </c>
      <c r="AR681" s="779" t="s">
        <v>1099</v>
      </c>
      <c r="AS681" s="783"/>
    </row>
    <row r="682" spans="1:45" x14ac:dyDescent="0.25">
      <c r="A682" s="455">
        <f t="shared" si="10"/>
        <v>34.5</v>
      </c>
      <c r="B682" s="778">
        <v>41274</v>
      </c>
      <c r="C682" s="779" t="s">
        <v>455</v>
      </c>
      <c r="D682" s="780" t="s">
        <v>455</v>
      </c>
      <c r="E682" s="779" t="s">
        <v>380</v>
      </c>
      <c r="F682" s="435" t="s">
        <v>529</v>
      </c>
      <c r="G682" s="435" t="s">
        <v>613</v>
      </c>
      <c r="H682" s="436">
        <v>32</v>
      </c>
      <c r="I682" s="436"/>
      <c r="J682" s="436"/>
      <c r="K682" s="436"/>
      <c r="L682" s="437"/>
      <c r="M682" s="437"/>
      <c r="N682" s="437"/>
      <c r="O682" s="437"/>
      <c r="P682" s="437">
        <v>0</v>
      </c>
      <c r="Q682" s="437">
        <v>0</v>
      </c>
      <c r="R682" s="436"/>
      <c r="S682" s="436"/>
      <c r="T682" s="436"/>
      <c r="U682" s="436"/>
      <c r="V682" s="436"/>
      <c r="W682" s="436">
        <f>IF(NFI_Expiration=1,IF($A682&lt;VLOOKUP(H$5,NFI,5,0),1,0)*Table_NFI[[#This Row],[Hygiene Kit]],Table_NFI[Hygiene Kit])</f>
        <v>0</v>
      </c>
      <c r="X682" s="436">
        <f>IF(NFI_Expiration=1,IF($A682&lt;VLOOKUP(I$5,NFI,5,0),1,0)*Table_NFI[[#This Row],[NFI Core Kit]],Table_NFI[NFI Core Kit])</f>
        <v>0</v>
      </c>
      <c r="Y682" s="436">
        <f>IF(NFI_Expiration=1,IF($A682&lt;VLOOKUP(J$5,NFI,5,0),1,0)*Table_NFI[[#This Row],[Sanitary Kit]],Table_NFI[Sanitary Kit])</f>
        <v>0</v>
      </c>
      <c r="Z682" s="436">
        <f>IF(NFI_Expiration=1,IF($A682&lt;VLOOKUP(K$5,NFI,5,0),1,0)*Table_NFI[[#This Row],[Mosquito net]],Table_NFI[Mosquito net])</f>
        <v>0</v>
      </c>
      <c r="AA682" s="436">
        <f>IF(NFI_Expiration=1,IF($A682&lt;VLOOKUP(L$5,NFI,5,0),1,0)*Table_NFI[[#This Row],[Tarpaulin]],Table_NFI[[#This Row],[Tarpaulin]])</f>
        <v>0</v>
      </c>
      <c r="AB682" s="436">
        <f>IF(NFI_Expiration=1,IF($A682&lt;VLOOKUP(M$5,NFI,5,0),1,0)*Table_NFI[[#This Row],[Blanket]],Table_NFI[[#This Row],[Blanket]])</f>
        <v>0</v>
      </c>
      <c r="AC682" s="436">
        <f>IF(NFI_Expiration=1,IF($A682&lt;VLOOKUP(N$5,NFI,5,0),1,0)*Table_NFI[[#This Row],[Kitchen Set]],Table_NFI[Kitchen Set])</f>
        <v>0</v>
      </c>
      <c r="AD682" s="436">
        <f>IF(NFI_Expiration=1,IF($A682&lt;VLOOKUP(O$5,NFI,5,0),1,0)*Table_NFI[[#This Row],[Clothes Kit]],Table_NFI[Clothes Kit])</f>
        <v>0</v>
      </c>
      <c r="AE682" s="436">
        <f>IF(NFI_Expiration=1,IF($A682&lt;VLOOKUP(P$5,NFI,5,0),1,0)*Table_NFI[[#This Row],[Plastic Bucket]],Table_NFI[Plastic Bucket])</f>
        <v>0</v>
      </c>
      <c r="AF682" s="436">
        <f>IF(NFI_Expiration=1,IF($A682&lt;VLOOKUP(Q$5,NFI,5,0),1,0)*Table_NFI[[#This Row],[Plastic Mat]],Table_NFI[Plastic Mat])*IF(Table_NFI[[#This Row],[Distribution Date]]&gt;"2014-04-01",1,2.5)</f>
        <v>0</v>
      </c>
      <c r="AG682" s="436">
        <f>IF(NFI_Expiration=1,IF($A682&lt;VLOOKUP(R$5,NFI,5,0),1,0)*Table_NFI[[#This Row],[Winter Clothes Adult]],Table_NFI[Winter Clothes Adult])</f>
        <v>0</v>
      </c>
      <c r="AH682" s="436">
        <f>IF(NFI_Expiration=1,IF($A682&lt;VLOOKUP(S$5,NFI,5,0),1,0)*Table_NFI[[#This Row],[Winter Clothes Children]],Table_NFI[Winter Clothes Children])</f>
        <v>0</v>
      </c>
      <c r="AI682" s="436">
        <f>IF(NFI_Expiration=1,IF($A682&lt;VLOOKUP(T$5,NFI,5,0),1,0)*Table_NFI[[#This Row],[Winter Items Other]],Table_NFI[Winter Items Other])</f>
        <v>0</v>
      </c>
      <c r="AJ682" s="436">
        <f>IF(NFI_Expiration=1,IF($A682&lt;VLOOKUP(M$5,NFI,5,0),1,0)*Table_NFI[[#This Row],[Winter Blanket]],Table_NFI[[#This Row],[Winter Blanket]])</f>
        <v>0</v>
      </c>
      <c r="AK682" s="436">
        <f>IF(Table_NFI[[#This Row],[Winter Clothes Adult]]+Table_NFI[[#This Row],[Winter Clothes Children]]+Table_NFI[[#This Row],[Winter Items Other]]+Table_NFI[[#This Row],[Winter Blanket]]&gt;0,1,0)</f>
        <v>0</v>
      </c>
      <c r="AL682" s="439">
        <f>IF(NFI_Expiration=1,IF($A682&lt;VLOOKUP(V$5,NFI,5,0),1,0)*Table_NFI[[#This Row],[Jerry Can]],Table_NFI[Jerry Can])</f>
        <v>0</v>
      </c>
      <c r="AM682" s="781" t="str">
        <f>IFERROR(VLOOKUP(Table_NFI[[#This Row],[Camp Name]],CL,2,0),"")</f>
        <v>MMR001CMP192</v>
      </c>
      <c r="AN682" s="782">
        <f ca="1">IF(Table_NFI[[#This Row],[Pcode]]="","",IF(OFFSET(CampList[Opening Date],MATCH(Table_NFI[[#This Row],[Pcode]],CampList[CP_Pcode],0)-1,0,1,1)&gt;=NFI_Monitor_Date,1,0))</f>
        <v>0</v>
      </c>
      <c r="AO682" s="781" t="str">
        <f>IFERROR(VLOOKUP(Table_NFI[[#This Row],[Camp Name]],CL,3,0),"")</f>
        <v>Open</v>
      </c>
      <c r="AP682" s="436" t="str">
        <f ca="1">IF(Table_NFI[[#This Row],[Pcode]]="","",OFFSET(CampList[Priority],MATCH(Table_NFI[[#This Row],[Pcode]],CampList[CP_Pcode],0)-1,0,1,1))</f>
        <v>P4</v>
      </c>
      <c r="AQ682" s="438">
        <f>IFERROR(Table_NFI[[#This Row],[Kitchen Set]]/VLOOKUP(Table_NFI[[#This Row],[Camp Name]],CL,4,0),"")</f>
        <v>0</v>
      </c>
      <c r="AR682" s="779" t="s">
        <v>1099</v>
      </c>
      <c r="AS682" s="783"/>
    </row>
    <row r="683" spans="1:45" x14ac:dyDescent="0.25">
      <c r="A683" s="455">
        <f t="shared" si="10"/>
        <v>34.5</v>
      </c>
      <c r="B683" s="778">
        <v>41274</v>
      </c>
      <c r="C683" s="779" t="s">
        <v>455</v>
      </c>
      <c r="D683" s="780" t="s">
        <v>455</v>
      </c>
      <c r="E683" s="779" t="s">
        <v>380</v>
      </c>
      <c r="F683" s="435" t="s">
        <v>529</v>
      </c>
      <c r="G683" s="435" t="s">
        <v>108</v>
      </c>
      <c r="H683" s="436">
        <v>4</v>
      </c>
      <c r="I683" s="436"/>
      <c r="J683" s="436"/>
      <c r="K683" s="436"/>
      <c r="L683" s="437"/>
      <c r="M683" s="437"/>
      <c r="N683" s="437"/>
      <c r="O683" s="437"/>
      <c r="P683" s="437">
        <v>0</v>
      </c>
      <c r="Q683" s="437">
        <v>0</v>
      </c>
      <c r="R683" s="436"/>
      <c r="S683" s="436"/>
      <c r="T683" s="436"/>
      <c r="U683" s="436"/>
      <c r="V683" s="436"/>
      <c r="W683" s="436">
        <f>IF(NFI_Expiration=1,IF($A683&lt;VLOOKUP(H$5,NFI,5,0),1,0)*Table_NFI[[#This Row],[Hygiene Kit]],Table_NFI[Hygiene Kit])</f>
        <v>0</v>
      </c>
      <c r="X683" s="436">
        <f>IF(NFI_Expiration=1,IF($A683&lt;VLOOKUP(I$5,NFI,5,0),1,0)*Table_NFI[[#This Row],[NFI Core Kit]],Table_NFI[NFI Core Kit])</f>
        <v>0</v>
      </c>
      <c r="Y683" s="436">
        <f>IF(NFI_Expiration=1,IF($A683&lt;VLOOKUP(J$5,NFI,5,0),1,0)*Table_NFI[[#This Row],[Sanitary Kit]],Table_NFI[Sanitary Kit])</f>
        <v>0</v>
      </c>
      <c r="Z683" s="436">
        <f>IF(NFI_Expiration=1,IF($A683&lt;VLOOKUP(K$5,NFI,5,0),1,0)*Table_NFI[[#This Row],[Mosquito net]],Table_NFI[Mosquito net])</f>
        <v>0</v>
      </c>
      <c r="AA683" s="436">
        <f>IF(NFI_Expiration=1,IF($A683&lt;VLOOKUP(L$5,NFI,5,0),1,0)*Table_NFI[[#This Row],[Tarpaulin]],Table_NFI[[#This Row],[Tarpaulin]])</f>
        <v>0</v>
      </c>
      <c r="AB683" s="436">
        <f>IF(NFI_Expiration=1,IF($A683&lt;VLOOKUP(M$5,NFI,5,0),1,0)*Table_NFI[[#This Row],[Blanket]],Table_NFI[[#This Row],[Blanket]])</f>
        <v>0</v>
      </c>
      <c r="AC683" s="436">
        <f>IF(NFI_Expiration=1,IF($A683&lt;VLOOKUP(N$5,NFI,5,0),1,0)*Table_NFI[[#This Row],[Kitchen Set]],Table_NFI[Kitchen Set])</f>
        <v>0</v>
      </c>
      <c r="AD683" s="436">
        <f>IF(NFI_Expiration=1,IF($A683&lt;VLOOKUP(O$5,NFI,5,0),1,0)*Table_NFI[[#This Row],[Clothes Kit]],Table_NFI[Clothes Kit])</f>
        <v>0</v>
      </c>
      <c r="AE683" s="436">
        <f>IF(NFI_Expiration=1,IF($A683&lt;VLOOKUP(P$5,NFI,5,0),1,0)*Table_NFI[[#This Row],[Plastic Bucket]],Table_NFI[Plastic Bucket])</f>
        <v>0</v>
      </c>
      <c r="AF683" s="436">
        <f>IF(NFI_Expiration=1,IF($A683&lt;VLOOKUP(Q$5,NFI,5,0),1,0)*Table_NFI[[#This Row],[Plastic Mat]],Table_NFI[Plastic Mat])*IF(Table_NFI[[#This Row],[Distribution Date]]&gt;"2014-04-01",1,2.5)</f>
        <v>0</v>
      </c>
      <c r="AG683" s="436">
        <f>IF(NFI_Expiration=1,IF($A683&lt;VLOOKUP(R$5,NFI,5,0),1,0)*Table_NFI[[#This Row],[Winter Clothes Adult]],Table_NFI[Winter Clothes Adult])</f>
        <v>0</v>
      </c>
      <c r="AH683" s="436">
        <f>IF(NFI_Expiration=1,IF($A683&lt;VLOOKUP(S$5,NFI,5,0),1,0)*Table_NFI[[#This Row],[Winter Clothes Children]],Table_NFI[Winter Clothes Children])</f>
        <v>0</v>
      </c>
      <c r="AI683" s="436">
        <f>IF(NFI_Expiration=1,IF($A683&lt;VLOOKUP(T$5,NFI,5,0),1,0)*Table_NFI[[#This Row],[Winter Items Other]],Table_NFI[Winter Items Other])</f>
        <v>0</v>
      </c>
      <c r="AJ683" s="436">
        <f>IF(NFI_Expiration=1,IF($A683&lt;VLOOKUP(M$5,NFI,5,0),1,0)*Table_NFI[[#This Row],[Winter Blanket]],Table_NFI[[#This Row],[Winter Blanket]])</f>
        <v>0</v>
      </c>
      <c r="AK683" s="436">
        <f>IF(Table_NFI[[#This Row],[Winter Clothes Adult]]+Table_NFI[[#This Row],[Winter Clothes Children]]+Table_NFI[[#This Row],[Winter Items Other]]+Table_NFI[[#This Row],[Winter Blanket]]&gt;0,1,0)</f>
        <v>0</v>
      </c>
      <c r="AL683" s="439">
        <f>IF(NFI_Expiration=1,IF($A683&lt;VLOOKUP(V$5,NFI,5,0),1,0)*Table_NFI[[#This Row],[Jerry Can]],Table_NFI[Jerry Can])</f>
        <v>0</v>
      </c>
      <c r="AM683" s="781" t="str">
        <f>IFERROR(VLOOKUP(Table_NFI[[#This Row],[Camp Name]],CL,2,0),"")</f>
        <v>MMR001CMP103</v>
      </c>
      <c r="AN683" s="782">
        <f ca="1">IF(Table_NFI[[#This Row],[Pcode]]="","",IF(OFFSET(CampList[Opening Date],MATCH(Table_NFI[[#This Row],[Pcode]],CampList[CP_Pcode],0)-1,0,1,1)&gt;=NFI_Monitor_Date,1,0))</f>
        <v>0</v>
      </c>
      <c r="AO683" s="781" t="str">
        <f>IFERROR(VLOOKUP(Table_NFI[[#This Row],[Camp Name]],CL,3,0),"")</f>
        <v>Open</v>
      </c>
      <c r="AP683" s="436" t="str">
        <f ca="1">IF(Table_NFI[[#This Row],[Pcode]]="","",OFFSET(CampList[Priority],MATCH(Table_NFI[[#This Row],[Pcode]],CampList[CP_Pcode],0)-1,0,1,1))</f>
        <v>P4</v>
      </c>
      <c r="AQ683" s="438">
        <f>IFERROR(Table_NFI[[#This Row],[Kitchen Set]]/VLOOKUP(Table_NFI[[#This Row],[Camp Name]],CL,4,0),"")</f>
        <v>0</v>
      </c>
      <c r="AR683" s="779" t="s">
        <v>1099</v>
      </c>
      <c r="AS683" s="783"/>
    </row>
    <row r="684" spans="1:45" x14ac:dyDescent="0.25">
      <c r="A684" s="455">
        <f t="shared" si="10"/>
        <v>34.5</v>
      </c>
      <c r="B684" s="778">
        <v>41274</v>
      </c>
      <c r="C684" s="779" t="s">
        <v>455</v>
      </c>
      <c r="D684" s="780" t="s">
        <v>455</v>
      </c>
      <c r="E684" s="779" t="s">
        <v>380</v>
      </c>
      <c r="F684" s="435" t="s">
        <v>529</v>
      </c>
      <c r="G684" s="435" t="s">
        <v>112</v>
      </c>
      <c r="H684" s="436">
        <v>3</v>
      </c>
      <c r="I684" s="436"/>
      <c r="J684" s="436"/>
      <c r="K684" s="436"/>
      <c r="L684" s="437"/>
      <c r="M684" s="437"/>
      <c r="N684" s="437"/>
      <c r="O684" s="437"/>
      <c r="P684" s="437">
        <v>0</v>
      </c>
      <c r="Q684" s="437">
        <v>0</v>
      </c>
      <c r="R684" s="436"/>
      <c r="S684" s="436"/>
      <c r="T684" s="436"/>
      <c r="U684" s="436"/>
      <c r="V684" s="436"/>
      <c r="W684" s="436">
        <f>IF(NFI_Expiration=1,IF($A684&lt;VLOOKUP(H$5,NFI,5,0),1,0)*Table_NFI[[#This Row],[Hygiene Kit]],Table_NFI[Hygiene Kit])</f>
        <v>0</v>
      </c>
      <c r="X684" s="436">
        <f>IF(NFI_Expiration=1,IF($A684&lt;VLOOKUP(I$5,NFI,5,0),1,0)*Table_NFI[[#This Row],[NFI Core Kit]],Table_NFI[NFI Core Kit])</f>
        <v>0</v>
      </c>
      <c r="Y684" s="436">
        <f>IF(NFI_Expiration=1,IF($A684&lt;VLOOKUP(J$5,NFI,5,0),1,0)*Table_NFI[[#This Row],[Sanitary Kit]],Table_NFI[Sanitary Kit])</f>
        <v>0</v>
      </c>
      <c r="Z684" s="436">
        <f>IF(NFI_Expiration=1,IF($A684&lt;VLOOKUP(K$5,NFI,5,0),1,0)*Table_NFI[[#This Row],[Mosquito net]],Table_NFI[Mosquito net])</f>
        <v>0</v>
      </c>
      <c r="AA684" s="436">
        <f>IF(NFI_Expiration=1,IF($A684&lt;VLOOKUP(L$5,NFI,5,0),1,0)*Table_NFI[[#This Row],[Tarpaulin]],Table_NFI[[#This Row],[Tarpaulin]])</f>
        <v>0</v>
      </c>
      <c r="AB684" s="436">
        <f>IF(NFI_Expiration=1,IF($A684&lt;VLOOKUP(M$5,NFI,5,0),1,0)*Table_NFI[[#This Row],[Blanket]],Table_NFI[[#This Row],[Blanket]])</f>
        <v>0</v>
      </c>
      <c r="AC684" s="436">
        <f>IF(NFI_Expiration=1,IF($A684&lt;VLOOKUP(N$5,NFI,5,0),1,0)*Table_NFI[[#This Row],[Kitchen Set]],Table_NFI[Kitchen Set])</f>
        <v>0</v>
      </c>
      <c r="AD684" s="436">
        <f>IF(NFI_Expiration=1,IF($A684&lt;VLOOKUP(O$5,NFI,5,0),1,0)*Table_NFI[[#This Row],[Clothes Kit]],Table_NFI[Clothes Kit])</f>
        <v>0</v>
      </c>
      <c r="AE684" s="436">
        <f>IF(NFI_Expiration=1,IF($A684&lt;VLOOKUP(P$5,NFI,5,0),1,0)*Table_NFI[[#This Row],[Plastic Bucket]],Table_NFI[Plastic Bucket])</f>
        <v>0</v>
      </c>
      <c r="AF684" s="436">
        <f>IF(NFI_Expiration=1,IF($A684&lt;VLOOKUP(Q$5,NFI,5,0),1,0)*Table_NFI[[#This Row],[Plastic Mat]],Table_NFI[Plastic Mat])*IF(Table_NFI[[#This Row],[Distribution Date]]&gt;"2014-04-01",1,2.5)</f>
        <v>0</v>
      </c>
      <c r="AG684" s="436">
        <f>IF(NFI_Expiration=1,IF($A684&lt;VLOOKUP(R$5,NFI,5,0),1,0)*Table_NFI[[#This Row],[Winter Clothes Adult]],Table_NFI[Winter Clothes Adult])</f>
        <v>0</v>
      </c>
      <c r="AH684" s="436">
        <f>IF(NFI_Expiration=1,IF($A684&lt;VLOOKUP(S$5,NFI,5,0),1,0)*Table_NFI[[#This Row],[Winter Clothes Children]],Table_NFI[Winter Clothes Children])</f>
        <v>0</v>
      </c>
      <c r="AI684" s="436">
        <f>IF(NFI_Expiration=1,IF($A684&lt;VLOOKUP(T$5,NFI,5,0),1,0)*Table_NFI[[#This Row],[Winter Items Other]],Table_NFI[Winter Items Other])</f>
        <v>0</v>
      </c>
      <c r="AJ684" s="436">
        <f>IF(NFI_Expiration=1,IF($A684&lt;VLOOKUP(M$5,NFI,5,0),1,0)*Table_NFI[[#This Row],[Winter Blanket]],Table_NFI[[#This Row],[Winter Blanket]])</f>
        <v>0</v>
      </c>
      <c r="AK684" s="436">
        <f>IF(Table_NFI[[#This Row],[Winter Clothes Adult]]+Table_NFI[[#This Row],[Winter Clothes Children]]+Table_NFI[[#This Row],[Winter Items Other]]+Table_NFI[[#This Row],[Winter Blanket]]&gt;0,1,0)</f>
        <v>0</v>
      </c>
      <c r="AL684" s="439">
        <f>IF(NFI_Expiration=1,IF($A684&lt;VLOOKUP(V$5,NFI,5,0),1,0)*Table_NFI[[#This Row],[Jerry Can]],Table_NFI[Jerry Can])</f>
        <v>0</v>
      </c>
      <c r="AM684" s="781" t="str">
        <f>IFERROR(VLOOKUP(Table_NFI[[#This Row],[Camp Name]],CL,2,0),"")</f>
        <v>MMR001CMP083</v>
      </c>
      <c r="AN684" s="782">
        <f ca="1">IF(Table_NFI[[#This Row],[Pcode]]="","",IF(OFFSET(CampList[Opening Date],MATCH(Table_NFI[[#This Row],[Pcode]],CampList[CP_Pcode],0)-1,0,1,1)&gt;=NFI_Monitor_Date,1,0))</f>
        <v>0</v>
      </c>
      <c r="AO684" s="781" t="str">
        <f>IFERROR(VLOOKUP(Table_NFI[[#This Row],[Camp Name]],CL,3,0),"")</f>
        <v>Closed</v>
      </c>
      <c r="AP684" s="436" t="str">
        <f ca="1">IF(Table_NFI[[#This Row],[Pcode]]="","",OFFSET(CampList[Priority],MATCH(Table_NFI[[#This Row],[Pcode]],CampList[CP_Pcode],0)-1,0,1,1))</f>
        <v/>
      </c>
      <c r="AQ684" s="438" t="str">
        <f>IFERROR(Table_NFI[[#This Row],[Kitchen Set]]/VLOOKUP(Table_NFI[[#This Row],[Camp Name]],CL,4,0),"")</f>
        <v/>
      </c>
      <c r="AR684" s="779" t="s">
        <v>1099</v>
      </c>
      <c r="AS684" s="783"/>
    </row>
    <row r="685" spans="1:45" x14ac:dyDescent="0.25">
      <c r="A685" s="455">
        <f t="shared" si="10"/>
        <v>34.5</v>
      </c>
      <c r="B685" s="778">
        <v>41274</v>
      </c>
      <c r="C685" s="779" t="s">
        <v>455</v>
      </c>
      <c r="D685" s="780" t="s">
        <v>455</v>
      </c>
      <c r="E685" s="779" t="s">
        <v>380</v>
      </c>
      <c r="F685" s="435" t="s">
        <v>310</v>
      </c>
      <c r="G685" s="435" t="s">
        <v>318</v>
      </c>
      <c r="H685" s="436">
        <v>92</v>
      </c>
      <c r="I685" s="436"/>
      <c r="J685" s="436"/>
      <c r="K685" s="436"/>
      <c r="L685" s="437"/>
      <c r="M685" s="437"/>
      <c r="N685" s="437"/>
      <c r="O685" s="437"/>
      <c r="P685" s="437">
        <v>0</v>
      </c>
      <c r="Q685" s="437">
        <v>0</v>
      </c>
      <c r="R685" s="436"/>
      <c r="S685" s="436"/>
      <c r="T685" s="436"/>
      <c r="U685" s="436"/>
      <c r="V685" s="436"/>
      <c r="W685" s="436">
        <f>IF(NFI_Expiration=1,IF($A685&lt;VLOOKUP(H$5,NFI,5,0),1,0)*Table_NFI[[#This Row],[Hygiene Kit]],Table_NFI[Hygiene Kit])</f>
        <v>0</v>
      </c>
      <c r="X685" s="436">
        <f>IF(NFI_Expiration=1,IF($A685&lt;VLOOKUP(I$5,NFI,5,0),1,0)*Table_NFI[[#This Row],[NFI Core Kit]],Table_NFI[NFI Core Kit])</f>
        <v>0</v>
      </c>
      <c r="Y685" s="436">
        <f>IF(NFI_Expiration=1,IF($A685&lt;VLOOKUP(J$5,NFI,5,0),1,0)*Table_NFI[[#This Row],[Sanitary Kit]],Table_NFI[Sanitary Kit])</f>
        <v>0</v>
      </c>
      <c r="Z685" s="436">
        <f>IF(NFI_Expiration=1,IF($A685&lt;VLOOKUP(K$5,NFI,5,0),1,0)*Table_NFI[[#This Row],[Mosquito net]],Table_NFI[Mosquito net])</f>
        <v>0</v>
      </c>
      <c r="AA685" s="436">
        <f>IF(NFI_Expiration=1,IF($A685&lt;VLOOKUP(L$5,NFI,5,0),1,0)*Table_NFI[[#This Row],[Tarpaulin]],Table_NFI[[#This Row],[Tarpaulin]])</f>
        <v>0</v>
      </c>
      <c r="AB685" s="436">
        <f>IF(NFI_Expiration=1,IF($A685&lt;VLOOKUP(M$5,NFI,5,0),1,0)*Table_NFI[[#This Row],[Blanket]],Table_NFI[[#This Row],[Blanket]])</f>
        <v>0</v>
      </c>
      <c r="AC685" s="436">
        <f>IF(NFI_Expiration=1,IF($A685&lt;VLOOKUP(N$5,NFI,5,0),1,0)*Table_NFI[[#This Row],[Kitchen Set]],Table_NFI[Kitchen Set])</f>
        <v>0</v>
      </c>
      <c r="AD685" s="436">
        <f>IF(NFI_Expiration=1,IF($A685&lt;VLOOKUP(O$5,NFI,5,0),1,0)*Table_NFI[[#This Row],[Clothes Kit]],Table_NFI[Clothes Kit])</f>
        <v>0</v>
      </c>
      <c r="AE685" s="436">
        <f>IF(NFI_Expiration=1,IF($A685&lt;VLOOKUP(P$5,NFI,5,0),1,0)*Table_NFI[[#This Row],[Plastic Bucket]],Table_NFI[Plastic Bucket])</f>
        <v>0</v>
      </c>
      <c r="AF685" s="436">
        <f>IF(NFI_Expiration=1,IF($A685&lt;VLOOKUP(Q$5,NFI,5,0),1,0)*Table_NFI[[#This Row],[Plastic Mat]],Table_NFI[Plastic Mat])*IF(Table_NFI[[#This Row],[Distribution Date]]&gt;"2014-04-01",1,2.5)</f>
        <v>0</v>
      </c>
      <c r="AG685" s="436">
        <f>IF(NFI_Expiration=1,IF($A685&lt;VLOOKUP(R$5,NFI,5,0),1,0)*Table_NFI[[#This Row],[Winter Clothes Adult]],Table_NFI[Winter Clothes Adult])</f>
        <v>0</v>
      </c>
      <c r="AH685" s="436">
        <f>IF(NFI_Expiration=1,IF($A685&lt;VLOOKUP(S$5,NFI,5,0),1,0)*Table_NFI[[#This Row],[Winter Clothes Children]],Table_NFI[Winter Clothes Children])</f>
        <v>0</v>
      </c>
      <c r="AI685" s="436">
        <f>IF(NFI_Expiration=1,IF($A685&lt;VLOOKUP(T$5,NFI,5,0),1,0)*Table_NFI[[#This Row],[Winter Items Other]],Table_NFI[Winter Items Other])</f>
        <v>0</v>
      </c>
      <c r="AJ685" s="436">
        <f>IF(NFI_Expiration=1,IF($A685&lt;VLOOKUP(M$5,NFI,5,0),1,0)*Table_NFI[[#This Row],[Winter Blanket]],Table_NFI[[#This Row],[Winter Blanket]])</f>
        <v>0</v>
      </c>
      <c r="AK685" s="436">
        <f>IF(Table_NFI[[#This Row],[Winter Clothes Adult]]+Table_NFI[[#This Row],[Winter Clothes Children]]+Table_NFI[[#This Row],[Winter Items Other]]+Table_NFI[[#This Row],[Winter Blanket]]&gt;0,1,0)</f>
        <v>0</v>
      </c>
      <c r="AL685" s="439">
        <f>IF(NFI_Expiration=1,IF($A685&lt;VLOOKUP(V$5,NFI,5,0),1,0)*Table_NFI[[#This Row],[Jerry Can]],Table_NFI[Jerry Can])</f>
        <v>0</v>
      </c>
      <c r="AM685" s="781" t="str">
        <f>IFERROR(VLOOKUP(Table_NFI[[#This Row],[Camp Name]],CL,2,0),"")</f>
        <v>MMR001CMP032</v>
      </c>
      <c r="AN685" s="782">
        <f ca="1">IF(Table_NFI[[#This Row],[Pcode]]="","",IF(OFFSET(CampList[Opening Date],MATCH(Table_NFI[[#This Row],[Pcode]],CampList[CP_Pcode],0)-1,0,1,1)&gt;=NFI_Monitor_Date,1,0))</f>
        <v>0</v>
      </c>
      <c r="AO685" s="781" t="str">
        <f>IFERROR(VLOOKUP(Table_NFI[[#This Row],[Camp Name]],CL,3,0),"")</f>
        <v>Open</v>
      </c>
      <c r="AP685" s="436" t="str">
        <f ca="1">IF(Table_NFI[[#This Row],[Pcode]]="","",OFFSET(CampList[Priority],MATCH(Table_NFI[[#This Row],[Pcode]],CampList[CP_Pcode],0)-1,0,1,1))</f>
        <v>P4</v>
      </c>
      <c r="AQ685" s="438">
        <f>IFERROR(Table_NFI[[#This Row],[Kitchen Set]]/VLOOKUP(Table_NFI[[#This Row],[Camp Name]],CL,4,0),"")</f>
        <v>0</v>
      </c>
      <c r="AR685" s="779" t="s">
        <v>1099</v>
      </c>
      <c r="AS685" s="783"/>
    </row>
    <row r="686" spans="1:45" x14ac:dyDescent="0.25">
      <c r="A686" s="455">
        <f t="shared" si="10"/>
        <v>34.5</v>
      </c>
      <c r="B686" s="778">
        <v>41274</v>
      </c>
      <c r="C686" s="779" t="s">
        <v>455</v>
      </c>
      <c r="D686" s="780" t="s">
        <v>455</v>
      </c>
      <c r="E686" s="779" t="s">
        <v>380</v>
      </c>
      <c r="F686" s="435" t="s">
        <v>310</v>
      </c>
      <c r="G686" s="435" t="s">
        <v>338</v>
      </c>
      <c r="H686" s="436">
        <v>27</v>
      </c>
      <c r="I686" s="436"/>
      <c r="J686" s="436"/>
      <c r="K686" s="436"/>
      <c r="L686" s="437"/>
      <c r="M686" s="437"/>
      <c r="N686" s="437"/>
      <c r="O686" s="437"/>
      <c r="P686" s="437">
        <v>0</v>
      </c>
      <c r="Q686" s="437">
        <v>0</v>
      </c>
      <c r="R686" s="436"/>
      <c r="S686" s="436"/>
      <c r="T686" s="436"/>
      <c r="U686" s="436"/>
      <c r="V686" s="436"/>
      <c r="W686" s="436">
        <f>IF(NFI_Expiration=1,IF($A686&lt;VLOOKUP(H$5,NFI,5,0),1,0)*Table_NFI[[#This Row],[Hygiene Kit]],Table_NFI[Hygiene Kit])</f>
        <v>0</v>
      </c>
      <c r="X686" s="436">
        <f>IF(NFI_Expiration=1,IF($A686&lt;VLOOKUP(I$5,NFI,5,0),1,0)*Table_NFI[[#This Row],[NFI Core Kit]],Table_NFI[NFI Core Kit])</f>
        <v>0</v>
      </c>
      <c r="Y686" s="436">
        <f>IF(NFI_Expiration=1,IF($A686&lt;VLOOKUP(J$5,NFI,5,0),1,0)*Table_NFI[[#This Row],[Sanitary Kit]],Table_NFI[Sanitary Kit])</f>
        <v>0</v>
      </c>
      <c r="Z686" s="436">
        <f>IF(NFI_Expiration=1,IF($A686&lt;VLOOKUP(K$5,NFI,5,0),1,0)*Table_NFI[[#This Row],[Mosquito net]],Table_NFI[Mosquito net])</f>
        <v>0</v>
      </c>
      <c r="AA686" s="436">
        <f>IF(NFI_Expiration=1,IF($A686&lt;VLOOKUP(L$5,NFI,5,0),1,0)*Table_NFI[[#This Row],[Tarpaulin]],Table_NFI[[#This Row],[Tarpaulin]])</f>
        <v>0</v>
      </c>
      <c r="AB686" s="436">
        <f>IF(NFI_Expiration=1,IF($A686&lt;VLOOKUP(M$5,NFI,5,0),1,0)*Table_NFI[[#This Row],[Blanket]],Table_NFI[[#This Row],[Blanket]])</f>
        <v>0</v>
      </c>
      <c r="AC686" s="436">
        <f>IF(NFI_Expiration=1,IF($A686&lt;VLOOKUP(N$5,NFI,5,0),1,0)*Table_NFI[[#This Row],[Kitchen Set]],Table_NFI[Kitchen Set])</f>
        <v>0</v>
      </c>
      <c r="AD686" s="436">
        <f>IF(NFI_Expiration=1,IF($A686&lt;VLOOKUP(O$5,NFI,5,0),1,0)*Table_NFI[[#This Row],[Clothes Kit]],Table_NFI[Clothes Kit])</f>
        <v>0</v>
      </c>
      <c r="AE686" s="436">
        <f>IF(NFI_Expiration=1,IF($A686&lt;VLOOKUP(P$5,NFI,5,0),1,0)*Table_NFI[[#This Row],[Plastic Bucket]],Table_NFI[Plastic Bucket])</f>
        <v>0</v>
      </c>
      <c r="AF686" s="436">
        <f>IF(NFI_Expiration=1,IF($A686&lt;VLOOKUP(Q$5,NFI,5,0),1,0)*Table_NFI[[#This Row],[Plastic Mat]],Table_NFI[Plastic Mat])*IF(Table_NFI[[#This Row],[Distribution Date]]&gt;"2014-04-01",1,2.5)</f>
        <v>0</v>
      </c>
      <c r="AG686" s="436">
        <f>IF(NFI_Expiration=1,IF($A686&lt;VLOOKUP(R$5,NFI,5,0),1,0)*Table_NFI[[#This Row],[Winter Clothes Adult]],Table_NFI[Winter Clothes Adult])</f>
        <v>0</v>
      </c>
      <c r="AH686" s="436">
        <f>IF(NFI_Expiration=1,IF($A686&lt;VLOOKUP(S$5,NFI,5,0),1,0)*Table_NFI[[#This Row],[Winter Clothes Children]],Table_NFI[Winter Clothes Children])</f>
        <v>0</v>
      </c>
      <c r="AI686" s="436">
        <f>IF(NFI_Expiration=1,IF($A686&lt;VLOOKUP(T$5,NFI,5,0),1,0)*Table_NFI[[#This Row],[Winter Items Other]],Table_NFI[Winter Items Other])</f>
        <v>0</v>
      </c>
      <c r="AJ686" s="436">
        <f>IF(NFI_Expiration=1,IF($A686&lt;VLOOKUP(M$5,NFI,5,0),1,0)*Table_NFI[[#This Row],[Winter Blanket]],Table_NFI[[#This Row],[Winter Blanket]])</f>
        <v>0</v>
      </c>
      <c r="AK686" s="436">
        <f>IF(Table_NFI[[#This Row],[Winter Clothes Adult]]+Table_NFI[[#This Row],[Winter Clothes Children]]+Table_NFI[[#This Row],[Winter Items Other]]+Table_NFI[[#This Row],[Winter Blanket]]&gt;0,1,0)</f>
        <v>0</v>
      </c>
      <c r="AL686" s="439">
        <f>IF(NFI_Expiration=1,IF($A686&lt;VLOOKUP(V$5,NFI,5,0),1,0)*Table_NFI[[#This Row],[Jerry Can]],Table_NFI[Jerry Can])</f>
        <v>0</v>
      </c>
      <c r="AM686" s="781" t="str">
        <f>IFERROR(VLOOKUP(Table_NFI[[#This Row],[Camp Name]],CL,2,0),"")</f>
        <v>MMR001CMP030</v>
      </c>
      <c r="AN686" s="782">
        <f ca="1">IF(Table_NFI[[#This Row],[Pcode]]="","",IF(OFFSET(CampList[Opening Date],MATCH(Table_NFI[[#This Row],[Pcode]],CampList[CP_Pcode],0)-1,0,1,1)&gt;=NFI_Monitor_Date,1,0))</f>
        <v>0</v>
      </c>
      <c r="AO686" s="781" t="str">
        <f>IFERROR(VLOOKUP(Table_NFI[[#This Row],[Camp Name]],CL,3,0),"")</f>
        <v>Open</v>
      </c>
      <c r="AP686" s="436" t="str">
        <f ca="1">IF(Table_NFI[[#This Row],[Pcode]]="","",OFFSET(CampList[Priority],MATCH(Table_NFI[[#This Row],[Pcode]],CampList[CP_Pcode],0)-1,0,1,1))</f>
        <v>P4</v>
      </c>
      <c r="AQ686" s="438">
        <f>IFERROR(Table_NFI[[#This Row],[Kitchen Set]]/VLOOKUP(Table_NFI[[#This Row],[Camp Name]],CL,4,0),"")</f>
        <v>0</v>
      </c>
      <c r="AR686" s="779" t="s">
        <v>1099</v>
      </c>
      <c r="AS686" s="783"/>
    </row>
    <row r="687" spans="1:45" x14ac:dyDescent="0.25">
      <c r="A687" s="455">
        <f t="shared" si="10"/>
        <v>34.5</v>
      </c>
      <c r="B687" s="778">
        <v>41274</v>
      </c>
      <c r="C687" s="779" t="s">
        <v>455</v>
      </c>
      <c r="D687" s="780" t="s">
        <v>455</v>
      </c>
      <c r="E687" s="779" t="s">
        <v>380</v>
      </c>
      <c r="F687" s="435" t="s">
        <v>310</v>
      </c>
      <c r="G687" s="435" t="s">
        <v>351</v>
      </c>
      <c r="H687" s="436">
        <v>96</v>
      </c>
      <c r="I687" s="436"/>
      <c r="J687" s="436"/>
      <c r="K687" s="436"/>
      <c r="L687" s="437"/>
      <c r="M687" s="437"/>
      <c r="N687" s="437"/>
      <c r="O687" s="437"/>
      <c r="P687" s="437">
        <v>0</v>
      </c>
      <c r="Q687" s="437">
        <v>0</v>
      </c>
      <c r="R687" s="436"/>
      <c r="S687" s="436"/>
      <c r="T687" s="436"/>
      <c r="U687" s="436"/>
      <c r="V687" s="436"/>
      <c r="W687" s="436">
        <f>IF(NFI_Expiration=1,IF($A687&lt;VLOOKUP(H$5,NFI,5,0),1,0)*Table_NFI[[#This Row],[Hygiene Kit]],Table_NFI[Hygiene Kit])</f>
        <v>0</v>
      </c>
      <c r="X687" s="436">
        <f>IF(NFI_Expiration=1,IF($A687&lt;VLOOKUP(I$5,NFI,5,0),1,0)*Table_NFI[[#This Row],[NFI Core Kit]],Table_NFI[NFI Core Kit])</f>
        <v>0</v>
      </c>
      <c r="Y687" s="436">
        <f>IF(NFI_Expiration=1,IF($A687&lt;VLOOKUP(J$5,NFI,5,0),1,0)*Table_NFI[[#This Row],[Sanitary Kit]],Table_NFI[Sanitary Kit])</f>
        <v>0</v>
      </c>
      <c r="Z687" s="436">
        <f>IF(NFI_Expiration=1,IF($A687&lt;VLOOKUP(K$5,NFI,5,0),1,0)*Table_NFI[[#This Row],[Mosquito net]],Table_NFI[Mosquito net])</f>
        <v>0</v>
      </c>
      <c r="AA687" s="436">
        <f>IF(NFI_Expiration=1,IF($A687&lt;VLOOKUP(L$5,NFI,5,0),1,0)*Table_NFI[[#This Row],[Tarpaulin]],Table_NFI[[#This Row],[Tarpaulin]])</f>
        <v>0</v>
      </c>
      <c r="AB687" s="436">
        <f>IF(NFI_Expiration=1,IF($A687&lt;VLOOKUP(M$5,NFI,5,0),1,0)*Table_NFI[[#This Row],[Blanket]],Table_NFI[[#This Row],[Blanket]])</f>
        <v>0</v>
      </c>
      <c r="AC687" s="436">
        <f>IF(NFI_Expiration=1,IF($A687&lt;VLOOKUP(N$5,NFI,5,0),1,0)*Table_NFI[[#This Row],[Kitchen Set]],Table_NFI[Kitchen Set])</f>
        <v>0</v>
      </c>
      <c r="AD687" s="436">
        <f>IF(NFI_Expiration=1,IF($A687&lt;VLOOKUP(O$5,NFI,5,0),1,0)*Table_NFI[[#This Row],[Clothes Kit]],Table_NFI[Clothes Kit])</f>
        <v>0</v>
      </c>
      <c r="AE687" s="436">
        <f>IF(NFI_Expiration=1,IF($A687&lt;VLOOKUP(P$5,NFI,5,0),1,0)*Table_NFI[[#This Row],[Plastic Bucket]],Table_NFI[Plastic Bucket])</f>
        <v>0</v>
      </c>
      <c r="AF687" s="436">
        <f>IF(NFI_Expiration=1,IF($A687&lt;VLOOKUP(Q$5,NFI,5,0),1,0)*Table_NFI[[#This Row],[Plastic Mat]],Table_NFI[Plastic Mat])*IF(Table_NFI[[#This Row],[Distribution Date]]&gt;"2014-04-01",1,2.5)</f>
        <v>0</v>
      </c>
      <c r="AG687" s="436">
        <f>IF(NFI_Expiration=1,IF($A687&lt;VLOOKUP(R$5,NFI,5,0),1,0)*Table_NFI[[#This Row],[Winter Clothes Adult]],Table_NFI[Winter Clothes Adult])</f>
        <v>0</v>
      </c>
      <c r="AH687" s="436">
        <f>IF(NFI_Expiration=1,IF($A687&lt;VLOOKUP(S$5,NFI,5,0),1,0)*Table_NFI[[#This Row],[Winter Clothes Children]],Table_NFI[Winter Clothes Children])</f>
        <v>0</v>
      </c>
      <c r="AI687" s="436">
        <f>IF(NFI_Expiration=1,IF($A687&lt;VLOOKUP(T$5,NFI,5,0),1,0)*Table_NFI[[#This Row],[Winter Items Other]],Table_NFI[Winter Items Other])</f>
        <v>0</v>
      </c>
      <c r="AJ687" s="436">
        <f>IF(NFI_Expiration=1,IF($A687&lt;VLOOKUP(M$5,NFI,5,0),1,0)*Table_NFI[[#This Row],[Winter Blanket]],Table_NFI[[#This Row],[Winter Blanket]])</f>
        <v>0</v>
      </c>
      <c r="AK687" s="436">
        <f>IF(Table_NFI[[#This Row],[Winter Clothes Adult]]+Table_NFI[[#This Row],[Winter Clothes Children]]+Table_NFI[[#This Row],[Winter Items Other]]+Table_NFI[[#This Row],[Winter Blanket]]&gt;0,1,0)</f>
        <v>0</v>
      </c>
      <c r="AL687" s="439">
        <f>IF(NFI_Expiration=1,IF($A687&lt;VLOOKUP(V$5,NFI,5,0),1,0)*Table_NFI[[#This Row],[Jerry Can]],Table_NFI[Jerry Can])</f>
        <v>0</v>
      </c>
      <c r="AM687" s="781" t="str">
        <f>IFERROR(VLOOKUP(Table_NFI[[#This Row],[Camp Name]],CL,2,0),"")</f>
        <v>MMR001CMP026</v>
      </c>
      <c r="AN687" s="782">
        <f ca="1">IF(Table_NFI[[#This Row],[Pcode]]="","",IF(OFFSET(CampList[Opening Date],MATCH(Table_NFI[[#This Row],[Pcode]],CampList[CP_Pcode],0)-1,0,1,1)&gt;=NFI_Monitor_Date,1,0))</f>
        <v>0</v>
      </c>
      <c r="AO687" s="781" t="str">
        <f>IFERROR(VLOOKUP(Table_NFI[[#This Row],[Camp Name]],CL,3,0),"")</f>
        <v>Open</v>
      </c>
      <c r="AP687" s="436" t="str">
        <f ca="1">IF(Table_NFI[[#This Row],[Pcode]]="","",OFFSET(CampList[Priority],MATCH(Table_NFI[[#This Row],[Pcode]],CampList[CP_Pcode],0)-1,0,1,1))</f>
        <v>P4</v>
      </c>
      <c r="AQ687" s="438">
        <f>IFERROR(Table_NFI[[#This Row],[Kitchen Set]]/VLOOKUP(Table_NFI[[#This Row],[Camp Name]],CL,4,0),"")</f>
        <v>0</v>
      </c>
      <c r="AR687" s="779" t="s">
        <v>1099</v>
      </c>
      <c r="AS687" s="783"/>
    </row>
    <row r="688" spans="1:45" x14ac:dyDescent="0.25">
      <c r="A688" s="455">
        <f t="shared" si="10"/>
        <v>34.5</v>
      </c>
      <c r="B688" s="778">
        <v>41274</v>
      </c>
      <c r="C688" s="779" t="s">
        <v>455</v>
      </c>
      <c r="D688" s="780" t="s">
        <v>455</v>
      </c>
      <c r="E688" s="779" t="s">
        <v>380</v>
      </c>
      <c r="F688" s="435" t="s">
        <v>237</v>
      </c>
      <c r="G688" s="435" t="s">
        <v>279</v>
      </c>
      <c r="H688" s="436">
        <v>17</v>
      </c>
      <c r="I688" s="436"/>
      <c r="J688" s="436"/>
      <c r="K688" s="436"/>
      <c r="L688" s="437"/>
      <c r="M688" s="437"/>
      <c r="N688" s="437"/>
      <c r="O688" s="437"/>
      <c r="P688" s="437">
        <v>0</v>
      </c>
      <c r="Q688" s="437">
        <v>0</v>
      </c>
      <c r="R688" s="436"/>
      <c r="S688" s="436"/>
      <c r="T688" s="436"/>
      <c r="U688" s="436"/>
      <c r="V688" s="436"/>
      <c r="W688" s="436">
        <f>IF(NFI_Expiration=1,IF($A688&lt;VLOOKUP(H$5,NFI,5,0),1,0)*Table_NFI[[#This Row],[Hygiene Kit]],Table_NFI[Hygiene Kit])</f>
        <v>0</v>
      </c>
      <c r="X688" s="436">
        <f>IF(NFI_Expiration=1,IF($A688&lt;VLOOKUP(I$5,NFI,5,0),1,0)*Table_NFI[[#This Row],[NFI Core Kit]],Table_NFI[NFI Core Kit])</f>
        <v>0</v>
      </c>
      <c r="Y688" s="436">
        <f>IF(NFI_Expiration=1,IF($A688&lt;VLOOKUP(J$5,NFI,5,0),1,0)*Table_NFI[[#This Row],[Sanitary Kit]],Table_NFI[Sanitary Kit])</f>
        <v>0</v>
      </c>
      <c r="Z688" s="436">
        <f>IF(NFI_Expiration=1,IF($A688&lt;VLOOKUP(K$5,NFI,5,0),1,0)*Table_NFI[[#This Row],[Mosquito net]],Table_NFI[Mosquito net])</f>
        <v>0</v>
      </c>
      <c r="AA688" s="436">
        <f>IF(NFI_Expiration=1,IF($A688&lt;VLOOKUP(L$5,NFI,5,0),1,0)*Table_NFI[[#This Row],[Tarpaulin]],Table_NFI[[#This Row],[Tarpaulin]])</f>
        <v>0</v>
      </c>
      <c r="AB688" s="436">
        <f>IF(NFI_Expiration=1,IF($A688&lt;VLOOKUP(M$5,NFI,5,0),1,0)*Table_NFI[[#This Row],[Blanket]],Table_NFI[[#This Row],[Blanket]])</f>
        <v>0</v>
      </c>
      <c r="AC688" s="436">
        <f>IF(NFI_Expiration=1,IF($A688&lt;VLOOKUP(N$5,NFI,5,0),1,0)*Table_NFI[[#This Row],[Kitchen Set]],Table_NFI[Kitchen Set])</f>
        <v>0</v>
      </c>
      <c r="AD688" s="436">
        <f>IF(NFI_Expiration=1,IF($A688&lt;VLOOKUP(O$5,NFI,5,0),1,0)*Table_NFI[[#This Row],[Clothes Kit]],Table_NFI[Clothes Kit])</f>
        <v>0</v>
      </c>
      <c r="AE688" s="436">
        <f>IF(NFI_Expiration=1,IF($A688&lt;VLOOKUP(P$5,NFI,5,0),1,0)*Table_NFI[[#This Row],[Plastic Bucket]],Table_NFI[Plastic Bucket])</f>
        <v>0</v>
      </c>
      <c r="AF688" s="436">
        <f>IF(NFI_Expiration=1,IF($A688&lt;VLOOKUP(Q$5,NFI,5,0),1,0)*Table_NFI[[#This Row],[Plastic Mat]],Table_NFI[Plastic Mat])*IF(Table_NFI[[#This Row],[Distribution Date]]&gt;"2014-04-01",1,2.5)</f>
        <v>0</v>
      </c>
      <c r="AG688" s="436">
        <f>IF(NFI_Expiration=1,IF($A688&lt;VLOOKUP(R$5,NFI,5,0),1,0)*Table_NFI[[#This Row],[Winter Clothes Adult]],Table_NFI[Winter Clothes Adult])</f>
        <v>0</v>
      </c>
      <c r="AH688" s="436">
        <f>IF(NFI_Expiration=1,IF($A688&lt;VLOOKUP(S$5,NFI,5,0),1,0)*Table_NFI[[#This Row],[Winter Clothes Children]],Table_NFI[Winter Clothes Children])</f>
        <v>0</v>
      </c>
      <c r="AI688" s="436">
        <f>IF(NFI_Expiration=1,IF($A688&lt;VLOOKUP(T$5,NFI,5,0),1,0)*Table_NFI[[#This Row],[Winter Items Other]],Table_NFI[Winter Items Other])</f>
        <v>0</v>
      </c>
      <c r="AJ688" s="436">
        <f>IF(NFI_Expiration=1,IF($A688&lt;VLOOKUP(M$5,NFI,5,0),1,0)*Table_NFI[[#This Row],[Winter Blanket]],Table_NFI[[#This Row],[Winter Blanket]])</f>
        <v>0</v>
      </c>
      <c r="AK688" s="436">
        <f>IF(Table_NFI[[#This Row],[Winter Clothes Adult]]+Table_NFI[[#This Row],[Winter Clothes Children]]+Table_NFI[[#This Row],[Winter Items Other]]+Table_NFI[[#This Row],[Winter Blanket]]&gt;0,1,0)</f>
        <v>0</v>
      </c>
      <c r="AL688" s="439">
        <f>IF(NFI_Expiration=1,IF($A688&lt;VLOOKUP(V$5,NFI,5,0),1,0)*Table_NFI[[#This Row],[Jerry Can]],Table_NFI[Jerry Can])</f>
        <v>0</v>
      </c>
      <c r="AM688" s="781" t="str">
        <f>IFERROR(VLOOKUP(Table_NFI[[#This Row],[Camp Name]],CL,2,0),"")</f>
        <v>MMR001CMP007</v>
      </c>
      <c r="AN688" s="782">
        <f ca="1">IF(Table_NFI[[#This Row],[Pcode]]="","",IF(OFFSET(CampList[Opening Date],MATCH(Table_NFI[[#This Row],[Pcode]],CampList[CP_Pcode],0)-1,0,1,1)&gt;=NFI_Monitor_Date,1,0))</f>
        <v>0</v>
      </c>
      <c r="AO688" s="781" t="str">
        <f>IFERROR(VLOOKUP(Table_NFI[[#This Row],[Camp Name]],CL,3,0),"")</f>
        <v>Open</v>
      </c>
      <c r="AP688" s="436" t="str">
        <f ca="1">IF(Table_NFI[[#This Row],[Pcode]]="","",OFFSET(CampList[Priority],MATCH(Table_NFI[[#This Row],[Pcode]],CampList[CP_Pcode],0)-1,0,1,1))</f>
        <v>P4</v>
      </c>
      <c r="AQ688" s="438">
        <f>IFERROR(Table_NFI[[#This Row],[Kitchen Set]]/VLOOKUP(Table_NFI[[#This Row],[Camp Name]],CL,4,0),"")</f>
        <v>0</v>
      </c>
      <c r="AR688" s="779" t="s">
        <v>1099</v>
      </c>
      <c r="AS688" s="783"/>
    </row>
    <row r="689" spans="1:45" x14ac:dyDescent="0.25">
      <c r="A689" s="455">
        <f t="shared" si="10"/>
        <v>34.5</v>
      </c>
      <c r="B689" s="778">
        <v>41274</v>
      </c>
      <c r="C689" s="779" t="s">
        <v>455</v>
      </c>
      <c r="D689" s="780" t="s">
        <v>455</v>
      </c>
      <c r="E689" s="779" t="s">
        <v>380</v>
      </c>
      <c r="F689" s="435" t="s">
        <v>237</v>
      </c>
      <c r="G689" s="435" t="s">
        <v>1267</v>
      </c>
      <c r="H689" s="436">
        <v>34</v>
      </c>
      <c r="I689" s="436"/>
      <c r="J689" s="436"/>
      <c r="K689" s="436"/>
      <c r="L689" s="437"/>
      <c r="M689" s="437"/>
      <c r="N689" s="437"/>
      <c r="O689" s="437"/>
      <c r="P689" s="437">
        <v>0</v>
      </c>
      <c r="Q689" s="437">
        <v>0</v>
      </c>
      <c r="R689" s="436"/>
      <c r="S689" s="436"/>
      <c r="T689" s="436"/>
      <c r="U689" s="436"/>
      <c r="V689" s="436"/>
      <c r="W689" s="436">
        <f>IF(NFI_Expiration=1,IF($A689&lt;VLOOKUP(H$5,NFI,5,0),1,0)*Table_NFI[[#This Row],[Hygiene Kit]],Table_NFI[Hygiene Kit])</f>
        <v>0</v>
      </c>
      <c r="X689" s="436">
        <f>IF(NFI_Expiration=1,IF($A689&lt;VLOOKUP(I$5,NFI,5,0),1,0)*Table_NFI[[#This Row],[NFI Core Kit]],Table_NFI[NFI Core Kit])</f>
        <v>0</v>
      </c>
      <c r="Y689" s="436">
        <f>IF(NFI_Expiration=1,IF($A689&lt;VLOOKUP(J$5,NFI,5,0),1,0)*Table_NFI[[#This Row],[Sanitary Kit]],Table_NFI[Sanitary Kit])</f>
        <v>0</v>
      </c>
      <c r="Z689" s="436">
        <f>IF(NFI_Expiration=1,IF($A689&lt;VLOOKUP(K$5,NFI,5,0),1,0)*Table_NFI[[#This Row],[Mosquito net]],Table_NFI[Mosquito net])</f>
        <v>0</v>
      </c>
      <c r="AA689" s="436">
        <f>IF(NFI_Expiration=1,IF($A689&lt;VLOOKUP(L$5,NFI,5,0),1,0)*Table_NFI[[#This Row],[Tarpaulin]],Table_NFI[[#This Row],[Tarpaulin]])</f>
        <v>0</v>
      </c>
      <c r="AB689" s="436">
        <f>IF(NFI_Expiration=1,IF($A689&lt;VLOOKUP(M$5,NFI,5,0),1,0)*Table_NFI[[#This Row],[Blanket]],Table_NFI[[#This Row],[Blanket]])</f>
        <v>0</v>
      </c>
      <c r="AC689" s="436">
        <f>IF(NFI_Expiration=1,IF($A689&lt;VLOOKUP(N$5,NFI,5,0),1,0)*Table_NFI[[#This Row],[Kitchen Set]],Table_NFI[Kitchen Set])</f>
        <v>0</v>
      </c>
      <c r="AD689" s="436">
        <f>IF(NFI_Expiration=1,IF($A689&lt;VLOOKUP(O$5,NFI,5,0),1,0)*Table_NFI[[#This Row],[Clothes Kit]],Table_NFI[Clothes Kit])</f>
        <v>0</v>
      </c>
      <c r="AE689" s="436">
        <f>IF(NFI_Expiration=1,IF($A689&lt;VLOOKUP(P$5,NFI,5,0),1,0)*Table_NFI[[#This Row],[Plastic Bucket]],Table_NFI[Plastic Bucket])</f>
        <v>0</v>
      </c>
      <c r="AF689" s="436">
        <f>IF(NFI_Expiration=1,IF($A689&lt;VLOOKUP(Q$5,NFI,5,0),1,0)*Table_NFI[[#This Row],[Plastic Mat]],Table_NFI[Plastic Mat])*IF(Table_NFI[[#This Row],[Distribution Date]]&gt;"2014-04-01",1,2.5)</f>
        <v>0</v>
      </c>
      <c r="AG689" s="436">
        <f>IF(NFI_Expiration=1,IF($A689&lt;VLOOKUP(R$5,NFI,5,0),1,0)*Table_NFI[[#This Row],[Winter Clothes Adult]],Table_NFI[Winter Clothes Adult])</f>
        <v>0</v>
      </c>
      <c r="AH689" s="436">
        <f>IF(NFI_Expiration=1,IF($A689&lt;VLOOKUP(S$5,NFI,5,0),1,0)*Table_NFI[[#This Row],[Winter Clothes Children]],Table_NFI[Winter Clothes Children])</f>
        <v>0</v>
      </c>
      <c r="AI689" s="436">
        <f>IF(NFI_Expiration=1,IF($A689&lt;VLOOKUP(T$5,NFI,5,0),1,0)*Table_NFI[[#This Row],[Winter Items Other]],Table_NFI[Winter Items Other])</f>
        <v>0</v>
      </c>
      <c r="AJ689" s="436">
        <f>IF(NFI_Expiration=1,IF($A689&lt;VLOOKUP(M$5,NFI,5,0),1,0)*Table_NFI[[#This Row],[Winter Blanket]],Table_NFI[[#This Row],[Winter Blanket]])</f>
        <v>0</v>
      </c>
      <c r="AK689" s="436">
        <f>IF(Table_NFI[[#This Row],[Winter Clothes Adult]]+Table_NFI[[#This Row],[Winter Clothes Children]]+Table_NFI[[#This Row],[Winter Items Other]]+Table_NFI[[#This Row],[Winter Blanket]]&gt;0,1,0)</f>
        <v>0</v>
      </c>
      <c r="AL689" s="439">
        <f>IF(NFI_Expiration=1,IF($A689&lt;VLOOKUP(V$5,NFI,5,0),1,0)*Table_NFI[[#This Row],[Jerry Can]],Table_NFI[Jerry Can])</f>
        <v>0</v>
      </c>
      <c r="AM689" s="781" t="str">
        <f>IFERROR(VLOOKUP(Table_NFI[[#This Row],[Camp Name]],CL,2,0),"")</f>
        <v>MMR001CMP023</v>
      </c>
      <c r="AN689" s="782">
        <f ca="1">IF(Table_NFI[[#This Row],[Pcode]]="","",IF(OFFSET(CampList[Opening Date],MATCH(Table_NFI[[#This Row],[Pcode]],CampList[CP_Pcode],0)-1,0,1,1)&gt;=NFI_Monitor_Date,1,0))</f>
        <v>0</v>
      </c>
      <c r="AO689" s="781" t="str">
        <f>IFERROR(VLOOKUP(Table_NFI[[#This Row],[Camp Name]],CL,3,0),"")</f>
        <v>Open</v>
      </c>
      <c r="AP689" s="436" t="str">
        <f ca="1">IF(Table_NFI[[#This Row],[Pcode]]="","",OFFSET(CampList[Priority],MATCH(Table_NFI[[#This Row],[Pcode]],CampList[CP_Pcode],0)-1,0,1,1))</f>
        <v>P4</v>
      </c>
      <c r="AQ689" s="438">
        <f>IFERROR(Table_NFI[[#This Row],[Kitchen Set]]/VLOOKUP(Table_NFI[[#This Row],[Camp Name]],CL,4,0),"")</f>
        <v>0</v>
      </c>
      <c r="AR689" s="779" t="s">
        <v>1099</v>
      </c>
      <c r="AS689" s="783"/>
    </row>
    <row r="690" spans="1:45" x14ac:dyDescent="0.25">
      <c r="A690" s="455">
        <f t="shared" si="10"/>
        <v>34.5</v>
      </c>
      <c r="B690" s="778">
        <v>41274</v>
      </c>
      <c r="C690" s="779" t="s">
        <v>455</v>
      </c>
      <c r="D690" s="780" t="s">
        <v>455</v>
      </c>
      <c r="E690" s="779" t="s">
        <v>380</v>
      </c>
      <c r="F690" s="435" t="s">
        <v>237</v>
      </c>
      <c r="G690" s="435" t="s">
        <v>249</v>
      </c>
      <c r="H690" s="436">
        <v>14</v>
      </c>
      <c r="I690" s="436"/>
      <c r="J690" s="436"/>
      <c r="K690" s="436"/>
      <c r="L690" s="437"/>
      <c r="M690" s="437"/>
      <c r="N690" s="437"/>
      <c r="O690" s="437"/>
      <c r="P690" s="437">
        <v>0</v>
      </c>
      <c r="Q690" s="437">
        <v>0</v>
      </c>
      <c r="R690" s="436"/>
      <c r="S690" s="436"/>
      <c r="T690" s="436"/>
      <c r="U690" s="436"/>
      <c r="V690" s="436"/>
      <c r="W690" s="436">
        <f>IF(NFI_Expiration=1,IF($A690&lt;VLOOKUP(H$5,NFI,5,0),1,0)*Table_NFI[[#This Row],[Hygiene Kit]],Table_NFI[Hygiene Kit])</f>
        <v>0</v>
      </c>
      <c r="X690" s="436">
        <f>IF(NFI_Expiration=1,IF($A690&lt;VLOOKUP(I$5,NFI,5,0),1,0)*Table_NFI[[#This Row],[NFI Core Kit]],Table_NFI[NFI Core Kit])</f>
        <v>0</v>
      </c>
      <c r="Y690" s="436">
        <f>IF(NFI_Expiration=1,IF($A690&lt;VLOOKUP(J$5,NFI,5,0),1,0)*Table_NFI[[#This Row],[Sanitary Kit]],Table_NFI[Sanitary Kit])</f>
        <v>0</v>
      </c>
      <c r="Z690" s="436">
        <f>IF(NFI_Expiration=1,IF($A690&lt;VLOOKUP(K$5,NFI,5,0),1,0)*Table_NFI[[#This Row],[Mosquito net]],Table_NFI[Mosquito net])</f>
        <v>0</v>
      </c>
      <c r="AA690" s="436">
        <f>IF(NFI_Expiration=1,IF($A690&lt;VLOOKUP(L$5,NFI,5,0),1,0)*Table_NFI[[#This Row],[Tarpaulin]],Table_NFI[[#This Row],[Tarpaulin]])</f>
        <v>0</v>
      </c>
      <c r="AB690" s="436">
        <f>IF(NFI_Expiration=1,IF($A690&lt;VLOOKUP(M$5,NFI,5,0),1,0)*Table_NFI[[#This Row],[Blanket]],Table_NFI[[#This Row],[Blanket]])</f>
        <v>0</v>
      </c>
      <c r="AC690" s="436">
        <f>IF(NFI_Expiration=1,IF($A690&lt;VLOOKUP(N$5,NFI,5,0),1,0)*Table_NFI[[#This Row],[Kitchen Set]],Table_NFI[Kitchen Set])</f>
        <v>0</v>
      </c>
      <c r="AD690" s="436">
        <f>IF(NFI_Expiration=1,IF($A690&lt;VLOOKUP(O$5,NFI,5,0),1,0)*Table_NFI[[#This Row],[Clothes Kit]],Table_NFI[Clothes Kit])</f>
        <v>0</v>
      </c>
      <c r="AE690" s="436">
        <f>IF(NFI_Expiration=1,IF($A690&lt;VLOOKUP(P$5,NFI,5,0),1,0)*Table_NFI[[#This Row],[Plastic Bucket]],Table_NFI[Plastic Bucket])</f>
        <v>0</v>
      </c>
      <c r="AF690" s="436">
        <f>IF(NFI_Expiration=1,IF($A690&lt;VLOOKUP(Q$5,NFI,5,0),1,0)*Table_NFI[[#This Row],[Plastic Mat]],Table_NFI[Plastic Mat])*IF(Table_NFI[[#This Row],[Distribution Date]]&gt;"2014-04-01",1,2.5)</f>
        <v>0</v>
      </c>
      <c r="AG690" s="436">
        <f>IF(NFI_Expiration=1,IF($A690&lt;VLOOKUP(R$5,NFI,5,0),1,0)*Table_NFI[[#This Row],[Winter Clothes Adult]],Table_NFI[Winter Clothes Adult])</f>
        <v>0</v>
      </c>
      <c r="AH690" s="436">
        <f>IF(NFI_Expiration=1,IF($A690&lt;VLOOKUP(S$5,NFI,5,0),1,0)*Table_NFI[[#This Row],[Winter Clothes Children]],Table_NFI[Winter Clothes Children])</f>
        <v>0</v>
      </c>
      <c r="AI690" s="436">
        <f>IF(NFI_Expiration=1,IF($A690&lt;VLOOKUP(T$5,NFI,5,0),1,0)*Table_NFI[[#This Row],[Winter Items Other]],Table_NFI[Winter Items Other])</f>
        <v>0</v>
      </c>
      <c r="AJ690" s="436">
        <f>IF(NFI_Expiration=1,IF($A690&lt;VLOOKUP(M$5,NFI,5,0),1,0)*Table_NFI[[#This Row],[Winter Blanket]],Table_NFI[[#This Row],[Winter Blanket]])</f>
        <v>0</v>
      </c>
      <c r="AK690" s="436">
        <f>IF(Table_NFI[[#This Row],[Winter Clothes Adult]]+Table_NFI[[#This Row],[Winter Clothes Children]]+Table_NFI[[#This Row],[Winter Items Other]]+Table_NFI[[#This Row],[Winter Blanket]]&gt;0,1,0)</f>
        <v>0</v>
      </c>
      <c r="AL690" s="439">
        <f>IF(NFI_Expiration=1,IF($A690&lt;VLOOKUP(V$5,NFI,5,0),1,0)*Table_NFI[[#This Row],[Jerry Can]],Table_NFI[Jerry Can])</f>
        <v>0</v>
      </c>
      <c r="AM690" s="781" t="str">
        <f>IFERROR(VLOOKUP(Table_NFI[[#This Row],[Camp Name]],CL,2,0),"")</f>
        <v>MMR001CMP004</v>
      </c>
      <c r="AN690" s="782">
        <f ca="1">IF(Table_NFI[[#This Row],[Pcode]]="","",IF(OFFSET(CampList[Opening Date],MATCH(Table_NFI[[#This Row],[Pcode]],CampList[CP_Pcode],0)-1,0,1,1)&gt;=NFI_Monitor_Date,1,0))</f>
        <v>0</v>
      </c>
      <c r="AO690" s="781" t="str">
        <f>IFERROR(VLOOKUP(Table_NFI[[#This Row],[Camp Name]],CL,3,0),"")</f>
        <v>Open</v>
      </c>
      <c r="AP690" s="436" t="str">
        <f ca="1">IF(Table_NFI[[#This Row],[Pcode]]="","",OFFSET(CampList[Priority],MATCH(Table_NFI[[#This Row],[Pcode]],CampList[CP_Pcode],0)-1,0,1,1))</f>
        <v>P4</v>
      </c>
      <c r="AQ690" s="438">
        <f>IFERROR(Table_NFI[[#This Row],[Kitchen Set]]/VLOOKUP(Table_NFI[[#This Row],[Camp Name]],CL,4,0),"")</f>
        <v>0</v>
      </c>
      <c r="AR690" s="779" t="s">
        <v>1099</v>
      </c>
      <c r="AS690" s="783"/>
    </row>
    <row r="691" spans="1:45" x14ac:dyDescent="0.25">
      <c r="A691" s="455">
        <f t="shared" si="10"/>
        <v>34.5</v>
      </c>
      <c r="B691" s="778">
        <v>41274</v>
      </c>
      <c r="C691" s="779" t="s">
        <v>455</v>
      </c>
      <c r="D691" s="779" t="s">
        <v>455</v>
      </c>
      <c r="E691" s="779" t="s">
        <v>380</v>
      </c>
      <c r="F691" s="435" t="s">
        <v>310</v>
      </c>
      <c r="G691" s="435" t="s">
        <v>349</v>
      </c>
      <c r="H691" s="436">
        <v>68</v>
      </c>
      <c r="I691" s="436"/>
      <c r="J691" s="436"/>
      <c r="K691" s="436"/>
      <c r="L691" s="437"/>
      <c r="M691" s="437"/>
      <c r="N691" s="437"/>
      <c r="O691" s="437"/>
      <c r="P691" s="439">
        <v>0</v>
      </c>
      <c r="Q691" s="439">
        <v>0</v>
      </c>
      <c r="R691" s="436"/>
      <c r="S691" s="436"/>
      <c r="T691" s="436"/>
      <c r="U691" s="436"/>
      <c r="V691" s="436"/>
      <c r="W691" s="436">
        <f>IF(NFI_Expiration=1,IF($A691&lt;VLOOKUP(H$5,NFI,5,0),1,0)*Table_NFI[[#This Row],[Hygiene Kit]],Table_NFI[Hygiene Kit])</f>
        <v>0</v>
      </c>
      <c r="X691" s="436">
        <f>IF(NFI_Expiration=1,IF($A691&lt;VLOOKUP(I$5,NFI,5,0),1,0)*Table_NFI[[#This Row],[NFI Core Kit]],Table_NFI[NFI Core Kit])</f>
        <v>0</v>
      </c>
      <c r="Y691" s="436">
        <f>IF(NFI_Expiration=1,IF($A691&lt;VLOOKUP(J$5,NFI,5,0),1,0)*Table_NFI[[#This Row],[Sanitary Kit]],Table_NFI[Sanitary Kit])</f>
        <v>0</v>
      </c>
      <c r="Z691" s="436">
        <f>IF(NFI_Expiration=1,IF($A691&lt;VLOOKUP(K$5,NFI,5,0),1,0)*Table_NFI[[#This Row],[Mosquito net]],Table_NFI[Mosquito net])</f>
        <v>0</v>
      </c>
      <c r="AA691" s="436">
        <f>IF(NFI_Expiration=1,IF($A691&lt;VLOOKUP(L$5,NFI,5,0),1,0)*Table_NFI[[#This Row],[Tarpaulin]],Table_NFI[[#This Row],[Tarpaulin]])</f>
        <v>0</v>
      </c>
      <c r="AB691" s="436">
        <f>IF(NFI_Expiration=1,IF($A691&lt;VLOOKUP(M$5,NFI,5,0),1,0)*Table_NFI[[#This Row],[Blanket]],Table_NFI[[#This Row],[Blanket]])</f>
        <v>0</v>
      </c>
      <c r="AC691" s="436">
        <f>IF(NFI_Expiration=1,IF($A691&lt;VLOOKUP(N$5,NFI,5,0),1,0)*Table_NFI[[#This Row],[Kitchen Set]],Table_NFI[Kitchen Set])</f>
        <v>0</v>
      </c>
      <c r="AD691" s="436">
        <f>IF(NFI_Expiration=1,IF($A691&lt;VLOOKUP(O$5,NFI,5,0),1,0)*Table_NFI[[#This Row],[Clothes Kit]],Table_NFI[Clothes Kit])</f>
        <v>0</v>
      </c>
      <c r="AE691" s="436">
        <f>IF(NFI_Expiration=1,IF($A691&lt;VLOOKUP(P$5,NFI,5,0),1,0)*Table_NFI[[#This Row],[Plastic Bucket]],Table_NFI[Plastic Bucket])</f>
        <v>0</v>
      </c>
      <c r="AF691" s="436">
        <f>IF(NFI_Expiration=1,IF($A691&lt;VLOOKUP(Q$5,NFI,5,0),1,0)*Table_NFI[[#This Row],[Plastic Mat]],Table_NFI[Plastic Mat])*IF(Table_NFI[[#This Row],[Distribution Date]]&gt;"2014-04-01",1,2.5)</f>
        <v>0</v>
      </c>
      <c r="AG691" s="436">
        <f>IF(NFI_Expiration=1,IF($A691&lt;VLOOKUP(R$5,NFI,5,0),1,0)*Table_NFI[[#This Row],[Winter Clothes Adult]],Table_NFI[Winter Clothes Adult])</f>
        <v>0</v>
      </c>
      <c r="AH691" s="436">
        <f>IF(NFI_Expiration=1,IF($A691&lt;VLOOKUP(S$5,NFI,5,0),1,0)*Table_NFI[[#This Row],[Winter Clothes Children]],Table_NFI[Winter Clothes Children])</f>
        <v>0</v>
      </c>
      <c r="AI691" s="436">
        <f>IF(NFI_Expiration=1,IF($A691&lt;VLOOKUP(T$5,NFI,5,0),1,0)*Table_NFI[[#This Row],[Winter Items Other]],Table_NFI[Winter Items Other])</f>
        <v>0</v>
      </c>
      <c r="AJ691" s="436">
        <f>IF(NFI_Expiration=1,IF($A691&lt;VLOOKUP(M$5,NFI,5,0),1,0)*Table_NFI[[#This Row],[Winter Blanket]],Table_NFI[[#This Row],[Winter Blanket]])</f>
        <v>0</v>
      </c>
      <c r="AK691" s="436">
        <f>IF(Table_NFI[[#This Row],[Winter Clothes Adult]]+Table_NFI[[#This Row],[Winter Clothes Children]]+Table_NFI[[#This Row],[Winter Items Other]]+Table_NFI[[#This Row],[Winter Blanket]]&gt;0,1,0)</f>
        <v>0</v>
      </c>
      <c r="AL691" s="439">
        <f>IF(NFI_Expiration=1,IF($A691&lt;VLOOKUP(V$5,NFI,5,0),1,0)*Table_NFI[[#This Row],[Jerry Can]],Table_NFI[Jerry Can])</f>
        <v>0</v>
      </c>
      <c r="AM691" s="781" t="str">
        <f>IFERROR(VLOOKUP(Table_NFI[[#This Row],[Camp Name]],CL,2,0),"")</f>
        <v>MMR001CMP037</v>
      </c>
      <c r="AN691" s="782">
        <f ca="1">IF(Table_NFI[[#This Row],[Pcode]]="","",IF(OFFSET(CampList[Opening Date],MATCH(Table_NFI[[#This Row],[Pcode]],CampList[CP_Pcode],0)-1,0,1,1)&gt;=NFI_Monitor_Date,1,0))</f>
        <v>0</v>
      </c>
      <c r="AO691" s="781" t="str">
        <f>IFERROR(VLOOKUP(Table_NFI[[#This Row],[Camp Name]],CL,3,0),"")</f>
        <v>Open</v>
      </c>
      <c r="AP691" s="436" t="str">
        <f ca="1">IF(Table_NFI[[#This Row],[Pcode]]="","",OFFSET(CampList[Priority],MATCH(Table_NFI[[#This Row],[Pcode]],CampList[CP_Pcode],0)-1,0,1,1))</f>
        <v>P4</v>
      </c>
      <c r="AQ691" s="438">
        <f>IFERROR(Table_NFI[[#This Row],[Kitchen Set]]/VLOOKUP(Table_NFI[[#This Row],[Camp Name]],CL,4,0),"")</f>
        <v>0</v>
      </c>
      <c r="AR691" s="779" t="s">
        <v>1099</v>
      </c>
      <c r="AS691" s="783"/>
    </row>
    <row r="692" spans="1:45" x14ac:dyDescent="0.25">
      <c r="A692" s="455">
        <f t="shared" si="10"/>
        <v>34.5</v>
      </c>
      <c r="B692" s="778">
        <v>41274</v>
      </c>
      <c r="C692" s="779" t="s">
        <v>455</v>
      </c>
      <c r="D692" s="779" t="s">
        <v>455</v>
      </c>
      <c r="E692" s="779" t="s">
        <v>380</v>
      </c>
      <c r="F692" s="435" t="s">
        <v>310</v>
      </c>
      <c r="G692" s="435" t="s">
        <v>316</v>
      </c>
      <c r="H692" s="436">
        <v>56</v>
      </c>
      <c r="I692" s="436"/>
      <c r="J692" s="436"/>
      <c r="K692" s="436"/>
      <c r="L692" s="437"/>
      <c r="M692" s="437"/>
      <c r="N692" s="437"/>
      <c r="O692" s="437"/>
      <c r="P692" s="439">
        <v>0</v>
      </c>
      <c r="Q692" s="439">
        <v>0</v>
      </c>
      <c r="R692" s="436"/>
      <c r="S692" s="436"/>
      <c r="T692" s="436"/>
      <c r="U692" s="436"/>
      <c r="V692" s="436"/>
      <c r="W692" s="436">
        <f>IF(NFI_Expiration=1,IF($A692&lt;VLOOKUP(H$5,NFI,5,0),1,0)*Table_NFI[[#This Row],[Hygiene Kit]],Table_NFI[Hygiene Kit])</f>
        <v>0</v>
      </c>
      <c r="X692" s="436">
        <f>IF(NFI_Expiration=1,IF($A692&lt;VLOOKUP(I$5,NFI,5,0),1,0)*Table_NFI[[#This Row],[NFI Core Kit]],Table_NFI[NFI Core Kit])</f>
        <v>0</v>
      </c>
      <c r="Y692" s="436">
        <f>IF(NFI_Expiration=1,IF($A692&lt;VLOOKUP(J$5,NFI,5,0),1,0)*Table_NFI[[#This Row],[Sanitary Kit]],Table_NFI[Sanitary Kit])</f>
        <v>0</v>
      </c>
      <c r="Z692" s="436">
        <f>IF(NFI_Expiration=1,IF($A692&lt;VLOOKUP(K$5,NFI,5,0),1,0)*Table_NFI[[#This Row],[Mosquito net]],Table_NFI[Mosquito net])</f>
        <v>0</v>
      </c>
      <c r="AA692" s="436">
        <f>IF(NFI_Expiration=1,IF($A692&lt;VLOOKUP(L$5,NFI,5,0),1,0)*Table_NFI[[#This Row],[Tarpaulin]],Table_NFI[[#This Row],[Tarpaulin]])</f>
        <v>0</v>
      </c>
      <c r="AB692" s="436">
        <f>IF(NFI_Expiration=1,IF($A692&lt;VLOOKUP(M$5,NFI,5,0),1,0)*Table_NFI[[#This Row],[Blanket]],Table_NFI[[#This Row],[Blanket]])</f>
        <v>0</v>
      </c>
      <c r="AC692" s="436">
        <f>IF(NFI_Expiration=1,IF($A692&lt;VLOOKUP(N$5,NFI,5,0),1,0)*Table_NFI[[#This Row],[Kitchen Set]],Table_NFI[Kitchen Set])</f>
        <v>0</v>
      </c>
      <c r="AD692" s="436">
        <f>IF(NFI_Expiration=1,IF($A692&lt;VLOOKUP(O$5,NFI,5,0),1,0)*Table_NFI[[#This Row],[Clothes Kit]],Table_NFI[Clothes Kit])</f>
        <v>0</v>
      </c>
      <c r="AE692" s="436">
        <f>IF(NFI_Expiration=1,IF($A692&lt;VLOOKUP(P$5,NFI,5,0),1,0)*Table_NFI[[#This Row],[Plastic Bucket]],Table_NFI[Plastic Bucket])</f>
        <v>0</v>
      </c>
      <c r="AF692" s="436">
        <f>IF(NFI_Expiration=1,IF($A692&lt;VLOOKUP(Q$5,NFI,5,0),1,0)*Table_NFI[[#This Row],[Plastic Mat]],Table_NFI[Plastic Mat])*IF(Table_NFI[[#This Row],[Distribution Date]]&gt;"2014-04-01",1,2.5)</f>
        <v>0</v>
      </c>
      <c r="AG692" s="436">
        <f>IF(NFI_Expiration=1,IF($A692&lt;VLOOKUP(R$5,NFI,5,0),1,0)*Table_NFI[[#This Row],[Winter Clothes Adult]],Table_NFI[Winter Clothes Adult])</f>
        <v>0</v>
      </c>
      <c r="AH692" s="436">
        <f>IF(NFI_Expiration=1,IF($A692&lt;VLOOKUP(S$5,NFI,5,0),1,0)*Table_NFI[[#This Row],[Winter Clothes Children]],Table_NFI[Winter Clothes Children])</f>
        <v>0</v>
      </c>
      <c r="AI692" s="436">
        <f>IF(NFI_Expiration=1,IF($A692&lt;VLOOKUP(T$5,NFI,5,0),1,0)*Table_NFI[[#This Row],[Winter Items Other]],Table_NFI[Winter Items Other])</f>
        <v>0</v>
      </c>
      <c r="AJ692" s="436">
        <f>IF(NFI_Expiration=1,IF($A692&lt;VLOOKUP(M$5,NFI,5,0),1,0)*Table_NFI[[#This Row],[Winter Blanket]],Table_NFI[[#This Row],[Winter Blanket]])</f>
        <v>0</v>
      </c>
      <c r="AK692" s="436">
        <f>IF(Table_NFI[[#This Row],[Winter Clothes Adult]]+Table_NFI[[#This Row],[Winter Clothes Children]]+Table_NFI[[#This Row],[Winter Items Other]]+Table_NFI[[#This Row],[Winter Blanket]]&gt;0,1,0)</f>
        <v>0</v>
      </c>
      <c r="AL692" s="439">
        <f>IF(NFI_Expiration=1,IF($A692&lt;VLOOKUP(V$5,NFI,5,0),1,0)*Table_NFI[[#This Row],[Jerry Can]],Table_NFI[Jerry Can])</f>
        <v>0</v>
      </c>
      <c r="AM692" s="781" t="str">
        <f>IFERROR(VLOOKUP(Table_NFI[[#This Row],[Camp Name]],CL,2,0),"")</f>
        <v>MMR001CMP038</v>
      </c>
      <c r="AN692" s="782">
        <f ca="1">IF(Table_NFI[[#This Row],[Pcode]]="","",IF(OFFSET(CampList[Opening Date],MATCH(Table_NFI[[#This Row],[Pcode]],CampList[CP_Pcode],0)-1,0,1,1)&gt;=NFI_Monitor_Date,1,0))</f>
        <v>0</v>
      </c>
      <c r="AO692" s="781" t="str">
        <f>IFERROR(VLOOKUP(Table_NFI[[#This Row],[Camp Name]],CL,3,0),"")</f>
        <v>Open</v>
      </c>
      <c r="AP692" s="436" t="str">
        <f ca="1">IF(Table_NFI[[#This Row],[Pcode]]="","",OFFSET(CampList[Priority],MATCH(Table_NFI[[#This Row],[Pcode]],CampList[CP_Pcode],0)-1,0,1,1))</f>
        <v>P4</v>
      </c>
      <c r="AQ692" s="438">
        <f>IFERROR(Table_NFI[[#This Row],[Kitchen Set]]/VLOOKUP(Table_NFI[[#This Row],[Camp Name]],CL,4,0),"")</f>
        <v>0</v>
      </c>
      <c r="AR692" s="779" t="s">
        <v>1099</v>
      </c>
      <c r="AS692" s="783"/>
    </row>
    <row r="693" spans="1:45" x14ac:dyDescent="0.25">
      <c r="A693" s="455">
        <f t="shared" si="10"/>
        <v>34.5</v>
      </c>
      <c r="B693" s="778">
        <v>41274</v>
      </c>
      <c r="C693" s="779" t="s">
        <v>455</v>
      </c>
      <c r="D693" s="779" t="s">
        <v>455</v>
      </c>
      <c r="E693" s="779" t="s">
        <v>380</v>
      </c>
      <c r="F693" s="435" t="s">
        <v>529</v>
      </c>
      <c r="G693" s="435" t="s">
        <v>74</v>
      </c>
      <c r="H693" s="436">
        <v>3</v>
      </c>
      <c r="I693" s="436"/>
      <c r="J693" s="436"/>
      <c r="K693" s="436"/>
      <c r="L693" s="437"/>
      <c r="M693" s="437"/>
      <c r="N693" s="437"/>
      <c r="O693" s="437"/>
      <c r="P693" s="439">
        <v>0</v>
      </c>
      <c r="Q693" s="439">
        <v>0</v>
      </c>
      <c r="R693" s="436"/>
      <c r="S693" s="436"/>
      <c r="T693" s="436"/>
      <c r="U693" s="436"/>
      <c r="V693" s="436"/>
      <c r="W693" s="436">
        <f>IF(NFI_Expiration=1,IF($A693&lt;VLOOKUP(H$5,NFI,5,0),1,0)*Table_NFI[[#This Row],[Hygiene Kit]],Table_NFI[Hygiene Kit])</f>
        <v>0</v>
      </c>
      <c r="X693" s="436">
        <f>IF(NFI_Expiration=1,IF($A693&lt;VLOOKUP(I$5,NFI,5,0),1,0)*Table_NFI[[#This Row],[NFI Core Kit]],Table_NFI[NFI Core Kit])</f>
        <v>0</v>
      </c>
      <c r="Y693" s="436">
        <f>IF(NFI_Expiration=1,IF($A693&lt;VLOOKUP(J$5,NFI,5,0),1,0)*Table_NFI[[#This Row],[Sanitary Kit]],Table_NFI[Sanitary Kit])</f>
        <v>0</v>
      </c>
      <c r="Z693" s="436">
        <f>IF(NFI_Expiration=1,IF($A693&lt;VLOOKUP(K$5,NFI,5,0),1,0)*Table_NFI[[#This Row],[Mosquito net]],Table_NFI[Mosquito net])</f>
        <v>0</v>
      </c>
      <c r="AA693" s="436">
        <f>IF(NFI_Expiration=1,IF($A693&lt;VLOOKUP(L$5,NFI,5,0),1,0)*Table_NFI[[#This Row],[Tarpaulin]],Table_NFI[[#This Row],[Tarpaulin]])</f>
        <v>0</v>
      </c>
      <c r="AB693" s="436">
        <f>IF(NFI_Expiration=1,IF($A693&lt;VLOOKUP(M$5,NFI,5,0),1,0)*Table_NFI[[#This Row],[Blanket]],Table_NFI[[#This Row],[Blanket]])</f>
        <v>0</v>
      </c>
      <c r="AC693" s="436">
        <f>IF(NFI_Expiration=1,IF($A693&lt;VLOOKUP(N$5,NFI,5,0),1,0)*Table_NFI[[#This Row],[Kitchen Set]],Table_NFI[Kitchen Set])</f>
        <v>0</v>
      </c>
      <c r="AD693" s="436">
        <f>IF(NFI_Expiration=1,IF($A693&lt;VLOOKUP(O$5,NFI,5,0),1,0)*Table_NFI[[#This Row],[Clothes Kit]],Table_NFI[Clothes Kit])</f>
        <v>0</v>
      </c>
      <c r="AE693" s="436">
        <f>IF(NFI_Expiration=1,IF($A693&lt;VLOOKUP(P$5,NFI,5,0),1,0)*Table_NFI[[#This Row],[Plastic Bucket]],Table_NFI[Plastic Bucket])</f>
        <v>0</v>
      </c>
      <c r="AF693" s="436">
        <f>IF(NFI_Expiration=1,IF($A693&lt;VLOOKUP(Q$5,NFI,5,0),1,0)*Table_NFI[[#This Row],[Plastic Mat]],Table_NFI[Plastic Mat])*IF(Table_NFI[[#This Row],[Distribution Date]]&gt;"2014-04-01",1,2.5)</f>
        <v>0</v>
      </c>
      <c r="AG693" s="436">
        <f>IF(NFI_Expiration=1,IF($A693&lt;VLOOKUP(R$5,NFI,5,0),1,0)*Table_NFI[[#This Row],[Winter Clothes Adult]],Table_NFI[Winter Clothes Adult])</f>
        <v>0</v>
      </c>
      <c r="AH693" s="436">
        <f>IF(NFI_Expiration=1,IF($A693&lt;VLOOKUP(S$5,NFI,5,0),1,0)*Table_NFI[[#This Row],[Winter Clothes Children]],Table_NFI[Winter Clothes Children])</f>
        <v>0</v>
      </c>
      <c r="AI693" s="436">
        <f>IF(NFI_Expiration=1,IF($A693&lt;VLOOKUP(T$5,NFI,5,0),1,0)*Table_NFI[[#This Row],[Winter Items Other]],Table_NFI[Winter Items Other])</f>
        <v>0</v>
      </c>
      <c r="AJ693" s="436">
        <f>IF(NFI_Expiration=1,IF($A693&lt;VLOOKUP(M$5,NFI,5,0),1,0)*Table_NFI[[#This Row],[Winter Blanket]],Table_NFI[[#This Row],[Winter Blanket]])</f>
        <v>0</v>
      </c>
      <c r="AK693" s="436">
        <f>IF(Table_NFI[[#This Row],[Winter Clothes Adult]]+Table_NFI[[#This Row],[Winter Clothes Children]]+Table_NFI[[#This Row],[Winter Items Other]]+Table_NFI[[#This Row],[Winter Blanket]]&gt;0,1,0)</f>
        <v>0</v>
      </c>
      <c r="AL693" s="439">
        <f>IF(NFI_Expiration=1,IF($A693&lt;VLOOKUP(V$5,NFI,5,0),1,0)*Table_NFI[[#This Row],[Jerry Can]],Table_NFI[Jerry Can])</f>
        <v>0</v>
      </c>
      <c r="AM693" s="781" t="str">
        <f>IFERROR(VLOOKUP(Table_NFI[[#This Row],[Camp Name]],CL,2,0),"")</f>
        <v>MMR001CMP175</v>
      </c>
      <c r="AN693" s="782">
        <f ca="1">IF(Table_NFI[[#This Row],[Pcode]]="","",IF(OFFSET(CampList[Opening Date],MATCH(Table_NFI[[#This Row],[Pcode]],CampList[CP_Pcode],0)-1,0,1,1)&gt;=NFI_Monitor_Date,1,0))</f>
        <v>0</v>
      </c>
      <c r="AO693" s="781" t="str">
        <f>IFERROR(VLOOKUP(Table_NFI[[#This Row],[Camp Name]],CL,3,0),"")</f>
        <v>Closed</v>
      </c>
      <c r="AP693" s="436" t="str">
        <f ca="1">IF(Table_NFI[[#This Row],[Pcode]]="","",OFFSET(CampList[Priority],MATCH(Table_NFI[[#This Row],[Pcode]],CampList[CP_Pcode],0)-1,0,1,1))</f>
        <v/>
      </c>
      <c r="AQ693" s="438" t="str">
        <f>IFERROR(Table_NFI[[#This Row],[Kitchen Set]]/VLOOKUP(Table_NFI[[#This Row],[Camp Name]],CL,4,0),"")</f>
        <v/>
      </c>
      <c r="AR693" s="779" t="s">
        <v>1099</v>
      </c>
      <c r="AS693" s="783"/>
    </row>
    <row r="694" spans="1:45" x14ac:dyDescent="0.25">
      <c r="A694" s="455">
        <f t="shared" si="10"/>
        <v>34.5</v>
      </c>
      <c r="B694" s="778">
        <v>41274</v>
      </c>
      <c r="C694" s="779" t="s">
        <v>455</v>
      </c>
      <c r="D694" s="779" t="s">
        <v>455</v>
      </c>
      <c r="E694" s="779" t="s">
        <v>380</v>
      </c>
      <c r="F694" s="779" t="s">
        <v>237</v>
      </c>
      <c r="G694" s="435" t="s">
        <v>283</v>
      </c>
      <c r="H694" s="436">
        <v>24</v>
      </c>
      <c r="I694" s="436"/>
      <c r="J694" s="436"/>
      <c r="K694" s="436"/>
      <c r="L694" s="437"/>
      <c r="M694" s="437"/>
      <c r="N694" s="437"/>
      <c r="O694" s="437"/>
      <c r="P694" s="437">
        <v>0</v>
      </c>
      <c r="Q694" s="437">
        <v>0</v>
      </c>
      <c r="R694" s="436"/>
      <c r="S694" s="436"/>
      <c r="T694" s="436"/>
      <c r="U694" s="436"/>
      <c r="V694" s="436"/>
      <c r="W694" s="436">
        <f>IF(NFI_Expiration=1,IF($A694&lt;VLOOKUP(H$5,NFI,5,0),1,0)*Table_NFI[[#This Row],[Hygiene Kit]],Table_NFI[Hygiene Kit])</f>
        <v>0</v>
      </c>
      <c r="X694" s="436">
        <f>IF(NFI_Expiration=1,IF($A694&lt;VLOOKUP(I$5,NFI,5,0),1,0)*Table_NFI[[#This Row],[NFI Core Kit]],Table_NFI[NFI Core Kit])</f>
        <v>0</v>
      </c>
      <c r="Y694" s="436">
        <f>IF(NFI_Expiration=1,IF($A694&lt;VLOOKUP(J$5,NFI,5,0),1,0)*Table_NFI[[#This Row],[Sanitary Kit]],Table_NFI[Sanitary Kit])</f>
        <v>0</v>
      </c>
      <c r="Z694" s="436">
        <f>IF(NFI_Expiration=1,IF($A694&lt;VLOOKUP(K$5,NFI,5,0),1,0)*Table_NFI[[#This Row],[Mosquito net]],Table_NFI[Mosquito net])</f>
        <v>0</v>
      </c>
      <c r="AA694" s="436">
        <f>IF(NFI_Expiration=1,IF($A694&lt;VLOOKUP(L$5,NFI,5,0),1,0)*Table_NFI[[#This Row],[Tarpaulin]],Table_NFI[[#This Row],[Tarpaulin]])</f>
        <v>0</v>
      </c>
      <c r="AB694" s="436">
        <f>IF(NFI_Expiration=1,IF($A694&lt;VLOOKUP(M$5,NFI,5,0),1,0)*Table_NFI[[#This Row],[Blanket]],Table_NFI[[#This Row],[Blanket]])</f>
        <v>0</v>
      </c>
      <c r="AC694" s="436">
        <f>IF(NFI_Expiration=1,IF($A694&lt;VLOOKUP(N$5,NFI,5,0),1,0)*Table_NFI[[#This Row],[Kitchen Set]],Table_NFI[Kitchen Set])</f>
        <v>0</v>
      </c>
      <c r="AD694" s="436">
        <f>IF(NFI_Expiration=1,IF($A694&lt;VLOOKUP(O$5,NFI,5,0),1,0)*Table_NFI[[#This Row],[Clothes Kit]],Table_NFI[Clothes Kit])</f>
        <v>0</v>
      </c>
      <c r="AE694" s="436">
        <f>IF(NFI_Expiration=1,IF($A694&lt;VLOOKUP(P$5,NFI,5,0),1,0)*Table_NFI[[#This Row],[Plastic Bucket]],Table_NFI[Plastic Bucket])</f>
        <v>0</v>
      </c>
      <c r="AF694" s="436">
        <f>IF(NFI_Expiration=1,IF($A694&lt;VLOOKUP(Q$5,NFI,5,0),1,0)*Table_NFI[[#This Row],[Plastic Mat]],Table_NFI[Plastic Mat])*IF(Table_NFI[[#This Row],[Distribution Date]]&gt;"2014-04-01",1,2.5)</f>
        <v>0</v>
      </c>
      <c r="AG694" s="436">
        <f>IF(NFI_Expiration=1,IF($A694&lt;VLOOKUP(R$5,NFI,5,0),1,0)*Table_NFI[[#This Row],[Winter Clothes Adult]],Table_NFI[Winter Clothes Adult])</f>
        <v>0</v>
      </c>
      <c r="AH694" s="436">
        <f>IF(NFI_Expiration=1,IF($A694&lt;VLOOKUP(S$5,NFI,5,0),1,0)*Table_NFI[[#This Row],[Winter Clothes Children]],Table_NFI[Winter Clothes Children])</f>
        <v>0</v>
      </c>
      <c r="AI694" s="436">
        <f>IF(NFI_Expiration=1,IF($A694&lt;VLOOKUP(T$5,NFI,5,0),1,0)*Table_NFI[[#This Row],[Winter Items Other]],Table_NFI[Winter Items Other])</f>
        <v>0</v>
      </c>
      <c r="AJ694" s="436">
        <f>IF(NFI_Expiration=1,IF($A694&lt;VLOOKUP(M$5,NFI,5,0),1,0)*Table_NFI[[#This Row],[Winter Blanket]],Table_NFI[[#This Row],[Winter Blanket]])</f>
        <v>0</v>
      </c>
      <c r="AK694" s="436">
        <f>IF(Table_NFI[[#This Row],[Winter Clothes Adult]]+Table_NFI[[#This Row],[Winter Clothes Children]]+Table_NFI[[#This Row],[Winter Items Other]]+Table_NFI[[#This Row],[Winter Blanket]]&gt;0,1,0)</f>
        <v>0</v>
      </c>
      <c r="AL694" s="439">
        <f>IF(NFI_Expiration=1,IF($A694&lt;VLOOKUP(V$5,NFI,5,0),1,0)*Table_NFI[[#This Row],[Jerry Can]],Table_NFI[Jerry Can])</f>
        <v>0</v>
      </c>
      <c r="AM694" s="781" t="str">
        <f>IFERROR(VLOOKUP(Table_NFI[[#This Row],[Camp Name]],CL,2,0),"")</f>
        <v>MMR001CMP022</v>
      </c>
      <c r="AN694" s="782">
        <f ca="1">IF(Table_NFI[[#This Row],[Pcode]]="","",IF(OFFSET(CampList[Opening Date],MATCH(Table_NFI[[#This Row],[Pcode]],CampList[CP_Pcode],0)-1,0,1,1)&gt;=NFI_Monitor_Date,1,0))</f>
        <v>0</v>
      </c>
      <c r="AO694" s="781" t="str">
        <f>IFERROR(VLOOKUP(Table_NFI[[#This Row],[Camp Name]],CL,3,0),"")</f>
        <v>Open</v>
      </c>
      <c r="AP694" s="436" t="str">
        <f ca="1">IF(Table_NFI[[#This Row],[Pcode]]="","",OFFSET(CampList[Priority],MATCH(Table_NFI[[#This Row],[Pcode]],CampList[CP_Pcode],0)-1,0,1,1))</f>
        <v>P4</v>
      </c>
      <c r="AQ694" s="438">
        <f>IFERROR(Table_NFI[[#This Row],[Kitchen Set]]/VLOOKUP(Table_NFI[[#This Row],[Camp Name]],CL,4,0),"")</f>
        <v>0</v>
      </c>
      <c r="AR694" s="779" t="s">
        <v>1099</v>
      </c>
      <c r="AS694" s="783"/>
    </row>
    <row r="695" spans="1:45" x14ac:dyDescent="0.25">
      <c r="A695" s="455">
        <f t="shared" si="10"/>
        <v>34.5</v>
      </c>
      <c r="B695" s="778">
        <v>41274</v>
      </c>
      <c r="C695" s="779" t="s">
        <v>455</v>
      </c>
      <c r="D695" s="780" t="s">
        <v>455</v>
      </c>
      <c r="E695" s="779" t="s">
        <v>380</v>
      </c>
      <c r="F695" s="435" t="s">
        <v>529</v>
      </c>
      <c r="G695" s="435" t="s">
        <v>140</v>
      </c>
      <c r="H695" s="436">
        <v>42</v>
      </c>
      <c r="I695" s="441"/>
      <c r="J695" s="434"/>
      <c r="K695" s="434"/>
      <c r="L695" s="434"/>
      <c r="M695" s="434"/>
      <c r="N695" s="434"/>
      <c r="O695" s="434"/>
      <c r="P695" s="437">
        <v>0</v>
      </c>
      <c r="Q695" s="437">
        <v>0</v>
      </c>
      <c r="R695" s="436"/>
      <c r="S695" s="436"/>
      <c r="T695" s="436"/>
      <c r="U695" s="436"/>
      <c r="V695" s="436"/>
      <c r="W695" s="436">
        <f>IF(NFI_Expiration=1,IF($A695&lt;VLOOKUP(H$5,NFI,5,0),1,0)*Table_NFI[[#This Row],[Hygiene Kit]],Table_NFI[Hygiene Kit])</f>
        <v>0</v>
      </c>
      <c r="X695" s="436">
        <f>IF(NFI_Expiration=1,IF($A695&lt;VLOOKUP(I$5,NFI,5,0),1,0)*Table_NFI[[#This Row],[NFI Core Kit]],Table_NFI[NFI Core Kit])</f>
        <v>0</v>
      </c>
      <c r="Y695" s="436">
        <f>IF(NFI_Expiration=1,IF($A695&lt;VLOOKUP(J$5,NFI,5,0),1,0)*Table_NFI[[#This Row],[Sanitary Kit]],Table_NFI[Sanitary Kit])</f>
        <v>0</v>
      </c>
      <c r="Z695" s="436">
        <f>IF(NFI_Expiration=1,IF($A695&lt;VLOOKUP(K$5,NFI,5,0),1,0)*Table_NFI[[#This Row],[Mosquito net]],Table_NFI[Mosquito net])</f>
        <v>0</v>
      </c>
      <c r="AA695" s="436">
        <f>IF(NFI_Expiration=1,IF($A695&lt;VLOOKUP(L$5,NFI,5,0),1,0)*Table_NFI[[#This Row],[Tarpaulin]],Table_NFI[[#This Row],[Tarpaulin]])</f>
        <v>0</v>
      </c>
      <c r="AB695" s="436">
        <f>IF(NFI_Expiration=1,IF($A695&lt;VLOOKUP(M$5,NFI,5,0),1,0)*Table_NFI[[#This Row],[Blanket]],Table_NFI[[#This Row],[Blanket]])</f>
        <v>0</v>
      </c>
      <c r="AC695" s="436">
        <f>IF(NFI_Expiration=1,IF($A695&lt;VLOOKUP(N$5,NFI,5,0),1,0)*Table_NFI[[#This Row],[Kitchen Set]],Table_NFI[Kitchen Set])</f>
        <v>0</v>
      </c>
      <c r="AD695" s="436">
        <f>IF(NFI_Expiration=1,IF($A695&lt;VLOOKUP(O$5,NFI,5,0),1,0)*Table_NFI[[#This Row],[Clothes Kit]],Table_NFI[Clothes Kit])</f>
        <v>0</v>
      </c>
      <c r="AE695" s="436">
        <f>IF(NFI_Expiration=1,IF($A695&lt;VLOOKUP(P$5,NFI,5,0),1,0)*Table_NFI[[#This Row],[Plastic Bucket]],Table_NFI[Plastic Bucket])</f>
        <v>0</v>
      </c>
      <c r="AF695" s="436">
        <f>IF(NFI_Expiration=1,IF($A695&lt;VLOOKUP(Q$5,NFI,5,0),1,0)*Table_NFI[[#This Row],[Plastic Mat]],Table_NFI[Plastic Mat])*IF(Table_NFI[[#This Row],[Distribution Date]]&gt;"2014-04-01",1,2.5)</f>
        <v>0</v>
      </c>
      <c r="AG695" s="436">
        <f>IF(NFI_Expiration=1,IF($A695&lt;VLOOKUP(R$5,NFI,5,0),1,0)*Table_NFI[[#This Row],[Winter Clothes Adult]],Table_NFI[Winter Clothes Adult])</f>
        <v>0</v>
      </c>
      <c r="AH695" s="436">
        <f>IF(NFI_Expiration=1,IF($A695&lt;VLOOKUP(S$5,NFI,5,0),1,0)*Table_NFI[[#This Row],[Winter Clothes Children]],Table_NFI[Winter Clothes Children])</f>
        <v>0</v>
      </c>
      <c r="AI695" s="436">
        <f>IF(NFI_Expiration=1,IF($A695&lt;VLOOKUP(T$5,NFI,5,0),1,0)*Table_NFI[[#This Row],[Winter Items Other]],Table_NFI[Winter Items Other])</f>
        <v>0</v>
      </c>
      <c r="AJ695" s="436">
        <f>IF(NFI_Expiration=1,IF($A695&lt;VLOOKUP(M$5,NFI,5,0),1,0)*Table_NFI[[#This Row],[Winter Blanket]],Table_NFI[[#This Row],[Winter Blanket]])</f>
        <v>0</v>
      </c>
      <c r="AK695" s="436">
        <f>IF(Table_NFI[[#This Row],[Winter Clothes Adult]]+Table_NFI[[#This Row],[Winter Clothes Children]]+Table_NFI[[#This Row],[Winter Items Other]]+Table_NFI[[#This Row],[Winter Blanket]]&gt;0,1,0)</f>
        <v>0</v>
      </c>
      <c r="AL695" s="439">
        <f>IF(NFI_Expiration=1,IF($A695&lt;VLOOKUP(V$5,NFI,5,0),1,0)*Table_NFI[[#This Row],[Jerry Can]],Table_NFI[Jerry Can])</f>
        <v>0</v>
      </c>
      <c r="AM695" s="781" t="str">
        <f>IFERROR(VLOOKUP(Table_NFI[[#This Row],[Camp Name]],CL,2,0),"")</f>
        <v>MMR001CMP105</v>
      </c>
      <c r="AN695" s="782">
        <f ca="1">IF(Table_NFI[[#This Row],[Pcode]]="","",IF(OFFSET(CampList[Opening Date],MATCH(Table_NFI[[#This Row],[Pcode]],CampList[CP_Pcode],0)-1,0,1,1)&gt;=NFI_Monitor_Date,1,0))</f>
        <v>0</v>
      </c>
      <c r="AO695" s="781" t="str">
        <f>IFERROR(VLOOKUP(Table_NFI[[#This Row],[Camp Name]],CL,3,0),"")</f>
        <v>Open</v>
      </c>
      <c r="AP695" s="436" t="str">
        <f ca="1">IF(Table_NFI[[#This Row],[Pcode]]="","",OFFSET(CampList[Priority],MATCH(Table_NFI[[#This Row],[Pcode]],CampList[CP_Pcode],0)-1,0,1,1))</f>
        <v>P4</v>
      </c>
      <c r="AQ695" s="438">
        <f>IFERROR(Table_NFI[[#This Row],[Kitchen Set]]/VLOOKUP(Table_NFI[[#This Row],[Camp Name]],CL,4,0),"")</f>
        <v>0</v>
      </c>
      <c r="AR695" s="779" t="s">
        <v>1099</v>
      </c>
      <c r="AS695" s="783"/>
    </row>
    <row r="696" spans="1:45" x14ac:dyDescent="0.25">
      <c r="A696" s="455">
        <f t="shared" si="10"/>
        <v>34.833333333333336</v>
      </c>
      <c r="B696" s="778">
        <v>41264</v>
      </c>
      <c r="C696" s="779" t="s">
        <v>454</v>
      </c>
      <c r="D696" s="780" t="s">
        <v>454</v>
      </c>
      <c r="E696" s="779" t="s">
        <v>380</v>
      </c>
      <c r="F696" s="435" t="s">
        <v>302</v>
      </c>
      <c r="G696" s="435" t="s">
        <v>306</v>
      </c>
      <c r="H696" s="436"/>
      <c r="I696" s="436"/>
      <c r="J696" s="436"/>
      <c r="K696" s="436">
        <v>0</v>
      </c>
      <c r="L696" s="437">
        <v>0</v>
      </c>
      <c r="M696" s="437">
        <v>83</v>
      </c>
      <c r="N696" s="437">
        <v>0</v>
      </c>
      <c r="O696" s="437">
        <v>0</v>
      </c>
      <c r="P696" s="437"/>
      <c r="Q696" s="437"/>
      <c r="R696" s="436"/>
      <c r="S696" s="436"/>
      <c r="T696" s="436"/>
      <c r="U696" s="436"/>
      <c r="V696" s="436"/>
      <c r="W696" s="436">
        <f>IF(NFI_Expiration=1,IF($A696&lt;VLOOKUP(H$5,NFI,5,0),1,0)*Table_NFI[[#This Row],[Hygiene Kit]],Table_NFI[Hygiene Kit])</f>
        <v>0</v>
      </c>
      <c r="X696" s="436">
        <f>IF(NFI_Expiration=1,IF($A696&lt;VLOOKUP(I$5,NFI,5,0),1,0)*Table_NFI[[#This Row],[NFI Core Kit]],Table_NFI[NFI Core Kit])</f>
        <v>0</v>
      </c>
      <c r="Y696" s="436">
        <f>IF(NFI_Expiration=1,IF($A696&lt;VLOOKUP(J$5,NFI,5,0),1,0)*Table_NFI[[#This Row],[Sanitary Kit]],Table_NFI[Sanitary Kit])</f>
        <v>0</v>
      </c>
      <c r="Z696" s="436">
        <f>IF(NFI_Expiration=1,IF($A696&lt;VLOOKUP(K$5,NFI,5,0),1,0)*Table_NFI[[#This Row],[Mosquito net]],Table_NFI[Mosquito net])</f>
        <v>0</v>
      </c>
      <c r="AA696" s="436">
        <f>IF(NFI_Expiration=1,IF($A696&lt;VLOOKUP(L$5,NFI,5,0),1,0)*Table_NFI[[#This Row],[Tarpaulin]],Table_NFI[[#This Row],[Tarpaulin]])</f>
        <v>0</v>
      </c>
      <c r="AB696" s="436">
        <f>IF(NFI_Expiration=1,IF($A696&lt;VLOOKUP(M$5,NFI,5,0),1,0)*Table_NFI[[#This Row],[Blanket]],Table_NFI[[#This Row],[Blanket]])</f>
        <v>0</v>
      </c>
      <c r="AC696" s="436">
        <f>IF(NFI_Expiration=1,IF($A696&lt;VLOOKUP(N$5,NFI,5,0),1,0)*Table_NFI[[#This Row],[Kitchen Set]],Table_NFI[Kitchen Set])</f>
        <v>0</v>
      </c>
      <c r="AD696" s="436">
        <f>IF(NFI_Expiration=1,IF($A696&lt;VLOOKUP(O$5,NFI,5,0),1,0)*Table_NFI[[#This Row],[Clothes Kit]],Table_NFI[Clothes Kit])</f>
        <v>0</v>
      </c>
      <c r="AE696" s="436">
        <f>IF(NFI_Expiration=1,IF($A696&lt;VLOOKUP(P$5,NFI,5,0),1,0)*Table_NFI[[#This Row],[Plastic Bucket]],Table_NFI[Plastic Bucket])</f>
        <v>0</v>
      </c>
      <c r="AF696" s="436">
        <f>IF(NFI_Expiration=1,IF($A696&lt;VLOOKUP(Q$5,NFI,5,0),1,0)*Table_NFI[[#This Row],[Plastic Mat]],Table_NFI[Plastic Mat])*IF(Table_NFI[[#This Row],[Distribution Date]]&gt;"2014-04-01",1,2.5)</f>
        <v>0</v>
      </c>
      <c r="AG696" s="436">
        <f>IF(NFI_Expiration=1,IF($A696&lt;VLOOKUP(R$5,NFI,5,0),1,0)*Table_NFI[[#This Row],[Winter Clothes Adult]],Table_NFI[Winter Clothes Adult])</f>
        <v>0</v>
      </c>
      <c r="AH696" s="436">
        <f>IF(NFI_Expiration=1,IF($A696&lt;VLOOKUP(S$5,NFI,5,0),1,0)*Table_NFI[[#This Row],[Winter Clothes Children]],Table_NFI[Winter Clothes Children])</f>
        <v>0</v>
      </c>
      <c r="AI696" s="436">
        <f>IF(NFI_Expiration=1,IF($A696&lt;VLOOKUP(T$5,NFI,5,0),1,0)*Table_NFI[[#This Row],[Winter Items Other]],Table_NFI[Winter Items Other])</f>
        <v>0</v>
      </c>
      <c r="AJ696" s="436">
        <f>IF(NFI_Expiration=1,IF($A696&lt;VLOOKUP(M$5,NFI,5,0),1,0)*Table_NFI[[#This Row],[Winter Blanket]],Table_NFI[[#This Row],[Winter Blanket]])</f>
        <v>0</v>
      </c>
      <c r="AK696" s="436">
        <f>IF(Table_NFI[[#This Row],[Winter Clothes Adult]]+Table_NFI[[#This Row],[Winter Clothes Children]]+Table_NFI[[#This Row],[Winter Items Other]]+Table_NFI[[#This Row],[Winter Blanket]]&gt;0,1,0)</f>
        <v>0</v>
      </c>
      <c r="AL696" s="439">
        <f>IF(NFI_Expiration=1,IF($A696&lt;VLOOKUP(V$5,NFI,5,0),1,0)*Table_NFI[[#This Row],[Jerry Can]],Table_NFI[Jerry Can])</f>
        <v>0</v>
      </c>
      <c r="AM696" s="781" t="str">
        <f>IFERROR(VLOOKUP(Table_NFI[[#This Row],[Camp Name]],CL,2,0),"")</f>
        <v>MMR001CMP067</v>
      </c>
      <c r="AN696" s="782">
        <f ca="1">IF(Table_NFI[[#This Row],[Pcode]]="","",IF(OFFSET(CampList[Opening Date],MATCH(Table_NFI[[#This Row],[Pcode]],CampList[CP_Pcode],0)-1,0,1,1)&gt;=NFI_Monitor_Date,1,0))</f>
        <v>0</v>
      </c>
      <c r="AO696" s="781" t="str">
        <f>IFERROR(VLOOKUP(Table_NFI[[#This Row],[Camp Name]],CL,3,0),"")</f>
        <v>Open</v>
      </c>
      <c r="AP696" s="436" t="str">
        <f ca="1">IF(Table_NFI[[#This Row],[Pcode]]="","",OFFSET(CampList[Priority],MATCH(Table_NFI[[#This Row],[Pcode]],CampList[CP_Pcode],0)-1,0,1,1))</f>
        <v>P4</v>
      </c>
      <c r="AQ696" s="438">
        <f>IFERROR(Table_NFI[[#This Row],[Kitchen Set]]/VLOOKUP(Table_NFI[[#This Row],[Camp Name]],CL,4,0),"")</f>
        <v>0</v>
      </c>
      <c r="AR696" s="779" t="s">
        <v>1099</v>
      </c>
      <c r="AS696" s="783"/>
    </row>
    <row r="697" spans="1:45" x14ac:dyDescent="0.25">
      <c r="A697" s="455">
        <f t="shared" si="10"/>
        <v>34.833333333333336</v>
      </c>
      <c r="B697" s="778">
        <v>41264</v>
      </c>
      <c r="C697" s="779" t="s">
        <v>454</v>
      </c>
      <c r="D697" s="779" t="s">
        <v>454</v>
      </c>
      <c r="E697" s="779" t="s">
        <v>380</v>
      </c>
      <c r="F697" s="779" t="s">
        <v>5</v>
      </c>
      <c r="G697" s="435" t="s">
        <v>18</v>
      </c>
      <c r="H697" s="436"/>
      <c r="I697" s="436"/>
      <c r="J697" s="436"/>
      <c r="K697" s="436">
        <v>0</v>
      </c>
      <c r="L697" s="437">
        <v>12</v>
      </c>
      <c r="M697" s="437">
        <v>0</v>
      </c>
      <c r="N697" s="437">
        <v>12</v>
      </c>
      <c r="O697" s="437">
        <v>12</v>
      </c>
      <c r="P697" s="437">
        <v>12</v>
      </c>
      <c r="Q697" s="437">
        <v>12</v>
      </c>
      <c r="R697" s="436"/>
      <c r="S697" s="436"/>
      <c r="T697" s="436"/>
      <c r="U697" s="436"/>
      <c r="V697" s="436"/>
      <c r="W697" s="436">
        <f>IF(NFI_Expiration=1,IF($A697&lt;VLOOKUP(H$5,NFI,5,0),1,0)*Table_NFI[[#This Row],[Hygiene Kit]],Table_NFI[Hygiene Kit])</f>
        <v>0</v>
      </c>
      <c r="X697" s="436">
        <f>IF(NFI_Expiration=1,IF($A697&lt;VLOOKUP(I$5,NFI,5,0),1,0)*Table_NFI[[#This Row],[NFI Core Kit]],Table_NFI[NFI Core Kit])</f>
        <v>0</v>
      </c>
      <c r="Y697" s="436">
        <f>IF(NFI_Expiration=1,IF($A697&lt;VLOOKUP(J$5,NFI,5,0),1,0)*Table_NFI[[#This Row],[Sanitary Kit]],Table_NFI[Sanitary Kit])</f>
        <v>0</v>
      </c>
      <c r="Z697" s="436">
        <f>IF(NFI_Expiration=1,IF($A697&lt;VLOOKUP(K$5,NFI,5,0),1,0)*Table_NFI[[#This Row],[Mosquito net]],Table_NFI[Mosquito net])</f>
        <v>0</v>
      </c>
      <c r="AA697" s="436">
        <f>IF(NFI_Expiration=1,IF($A697&lt;VLOOKUP(L$5,NFI,5,0),1,0)*Table_NFI[[#This Row],[Tarpaulin]],Table_NFI[[#This Row],[Tarpaulin]])</f>
        <v>0</v>
      </c>
      <c r="AB697" s="436">
        <f>IF(NFI_Expiration=1,IF($A697&lt;VLOOKUP(M$5,NFI,5,0),1,0)*Table_NFI[[#This Row],[Blanket]],Table_NFI[[#This Row],[Blanket]])</f>
        <v>0</v>
      </c>
      <c r="AC697" s="436">
        <f>IF(NFI_Expiration=1,IF($A697&lt;VLOOKUP(N$5,NFI,5,0),1,0)*Table_NFI[[#This Row],[Kitchen Set]],Table_NFI[Kitchen Set])</f>
        <v>0</v>
      </c>
      <c r="AD697" s="436">
        <f>IF(NFI_Expiration=1,IF($A697&lt;VLOOKUP(O$5,NFI,5,0),1,0)*Table_NFI[[#This Row],[Clothes Kit]],Table_NFI[Clothes Kit])</f>
        <v>0</v>
      </c>
      <c r="AE697" s="436">
        <f>IF(NFI_Expiration=1,IF($A697&lt;VLOOKUP(P$5,NFI,5,0),1,0)*Table_NFI[[#This Row],[Plastic Bucket]],Table_NFI[Plastic Bucket])</f>
        <v>0</v>
      </c>
      <c r="AF697" s="436">
        <f>IF(NFI_Expiration=1,IF($A697&lt;VLOOKUP(Q$5,NFI,5,0),1,0)*Table_NFI[[#This Row],[Plastic Mat]],Table_NFI[Plastic Mat])*IF(Table_NFI[[#This Row],[Distribution Date]]&gt;"2014-04-01",1,2.5)</f>
        <v>0</v>
      </c>
      <c r="AG697" s="436">
        <f>IF(NFI_Expiration=1,IF($A697&lt;VLOOKUP(R$5,NFI,5,0),1,0)*Table_NFI[[#This Row],[Winter Clothes Adult]],Table_NFI[Winter Clothes Adult])</f>
        <v>0</v>
      </c>
      <c r="AH697" s="436">
        <f>IF(NFI_Expiration=1,IF($A697&lt;VLOOKUP(S$5,NFI,5,0),1,0)*Table_NFI[[#This Row],[Winter Clothes Children]],Table_NFI[Winter Clothes Children])</f>
        <v>0</v>
      </c>
      <c r="AI697" s="436">
        <f>IF(NFI_Expiration=1,IF($A697&lt;VLOOKUP(T$5,NFI,5,0),1,0)*Table_NFI[[#This Row],[Winter Items Other]],Table_NFI[Winter Items Other])</f>
        <v>0</v>
      </c>
      <c r="AJ697" s="436">
        <f>IF(NFI_Expiration=1,IF($A697&lt;VLOOKUP(M$5,NFI,5,0),1,0)*Table_NFI[[#This Row],[Winter Blanket]],Table_NFI[[#This Row],[Winter Blanket]])</f>
        <v>0</v>
      </c>
      <c r="AK697" s="436">
        <f>IF(Table_NFI[[#This Row],[Winter Clothes Adult]]+Table_NFI[[#This Row],[Winter Clothes Children]]+Table_NFI[[#This Row],[Winter Items Other]]+Table_NFI[[#This Row],[Winter Blanket]]&gt;0,1,0)</f>
        <v>0</v>
      </c>
      <c r="AL697" s="439">
        <f>IF(NFI_Expiration=1,IF($A697&lt;VLOOKUP(V$5,NFI,5,0),1,0)*Table_NFI[[#This Row],[Jerry Can]],Table_NFI[Jerry Can])</f>
        <v>0</v>
      </c>
      <c r="AM697" s="781" t="str">
        <f>IFERROR(VLOOKUP(Table_NFI[[#This Row],[Camp Name]],CL,2,0),"")</f>
        <v>MMR001CMP049</v>
      </c>
      <c r="AN697" s="782">
        <f ca="1">IF(Table_NFI[[#This Row],[Pcode]]="","",IF(OFFSET(CampList[Opening Date],MATCH(Table_NFI[[#This Row],[Pcode]],CampList[CP_Pcode],0)-1,0,1,1)&gt;=NFI_Monitor_Date,1,0))</f>
        <v>0</v>
      </c>
      <c r="AO697" s="781" t="str">
        <f>IFERROR(VLOOKUP(Table_NFI[[#This Row],[Camp Name]],CL,3,0),"")</f>
        <v>Open</v>
      </c>
      <c r="AP697" s="436" t="str">
        <f ca="1">IF(Table_NFI[[#This Row],[Pcode]]="","",OFFSET(CampList[Priority],MATCH(Table_NFI[[#This Row],[Pcode]],CampList[CP_Pcode],0)-1,0,1,1))</f>
        <v>P4</v>
      </c>
      <c r="AQ697" s="438">
        <f>IFERROR(Table_NFI[[#This Row],[Kitchen Set]]/VLOOKUP(Table_NFI[[#This Row],[Camp Name]],CL,4,0),"")</f>
        <v>0.10344827586206896</v>
      </c>
      <c r="AR697" s="779" t="s">
        <v>1099</v>
      </c>
      <c r="AS697" s="783"/>
    </row>
    <row r="698" spans="1:45" x14ac:dyDescent="0.25">
      <c r="A698" s="455">
        <f t="shared" si="10"/>
        <v>34.833333333333336</v>
      </c>
      <c r="B698" s="778">
        <v>41264</v>
      </c>
      <c r="C698" s="779" t="s">
        <v>454</v>
      </c>
      <c r="D698" s="780" t="s">
        <v>454</v>
      </c>
      <c r="E698" s="779" t="s">
        <v>380</v>
      </c>
      <c r="F698" s="435" t="s">
        <v>5</v>
      </c>
      <c r="G698" s="435" t="s">
        <v>22</v>
      </c>
      <c r="H698" s="436"/>
      <c r="I698" s="436"/>
      <c r="J698" s="436"/>
      <c r="K698" s="436">
        <v>0</v>
      </c>
      <c r="L698" s="437">
        <v>0</v>
      </c>
      <c r="M698" s="437">
        <v>73</v>
      </c>
      <c r="N698" s="437">
        <v>0</v>
      </c>
      <c r="O698" s="437">
        <v>0</v>
      </c>
      <c r="P698" s="437"/>
      <c r="Q698" s="437"/>
      <c r="R698" s="436"/>
      <c r="S698" s="436"/>
      <c r="T698" s="436"/>
      <c r="U698" s="436"/>
      <c r="V698" s="436"/>
      <c r="W698" s="436">
        <f>IF(NFI_Expiration=1,IF($A698&lt;VLOOKUP(H$5,NFI,5,0),1,0)*Table_NFI[[#This Row],[Hygiene Kit]],Table_NFI[Hygiene Kit])</f>
        <v>0</v>
      </c>
      <c r="X698" s="436">
        <f>IF(NFI_Expiration=1,IF($A698&lt;VLOOKUP(I$5,NFI,5,0),1,0)*Table_NFI[[#This Row],[NFI Core Kit]],Table_NFI[NFI Core Kit])</f>
        <v>0</v>
      </c>
      <c r="Y698" s="436">
        <f>IF(NFI_Expiration=1,IF($A698&lt;VLOOKUP(J$5,NFI,5,0),1,0)*Table_NFI[[#This Row],[Sanitary Kit]],Table_NFI[Sanitary Kit])</f>
        <v>0</v>
      </c>
      <c r="Z698" s="436">
        <f>IF(NFI_Expiration=1,IF($A698&lt;VLOOKUP(K$5,NFI,5,0),1,0)*Table_NFI[[#This Row],[Mosquito net]],Table_NFI[Mosquito net])</f>
        <v>0</v>
      </c>
      <c r="AA698" s="436">
        <f>IF(NFI_Expiration=1,IF($A698&lt;VLOOKUP(L$5,NFI,5,0),1,0)*Table_NFI[[#This Row],[Tarpaulin]],Table_NFI[[#This Row],[Tarpaulin]])</f>
        <v>0</v>
      </c>
      <c r="AB698" s="436">
        <f>IF(NFI_Expiration=1,IF($A698&lt;VLOOKUP(M$5,NFI,5,0),1,0)*Table_NFI[[#This Row],[Blanket]],Table_NFI[[#This Row],[Blanket]])</f>
        <v>0</v>
      </c>
      <c r="AC698" s="436">
        <f>IF(NFI_Expiration=1,IF($A698&lt;VLOOKUP(N$5,NFI,5,0),1,0)*Table_NFI[[#This Row],[Kitchen Set]],Table_NFI[Kitchen Set])</f>
        <v>0</v>
      </c>
      <c r="AD698" s="436">
        <f>IF(NFI_Expiration=1,IF($A698&lt;VLOOKUP(O$5,NFI,5,0),1,0)*Table_NFI[[#This Row],[Clothes Kit]],Table_NFI[Clothes Kit])</f>
        <v>0</v>
      </c>
      <c r="AE698" s="436">
        <f>IF(NFI_Expiration=1,IF($A698&lt;VLOOKUP(P$5,NFI,5,0),1,0)*Table_NFI[[#This Row],[Plastic Bucket]],Table_NFI[Plastic Bucket])</f>
        <v>0</v>
      </c>
      <c r="AF698" s="436">
        <f>IF(NFI_Expiration=1,IF($A698&lt;VLOOKUP(Q$5,NFI,5,0),1,0)*Table_NFI[[#This Row],[Plastic Mat]],Table_NFI[Plastic Mat])*IF(Table_NFI[[#This Row],[Distribution Date]]&gt;"2014-04-01",1,2.5)</f>
        <v>0</v>
      </c>
      <c r="AG698" s="436">
        <f>IF(NFI_Expiration=1,IF($A698&lt;VLOOKUP(R$5,NFI,5,0),1,0)*Table_NFI[[#This Row],[Winter Clothes Adult]],Table_NFI[Winter Clothes Adult])</f>
        <v>0</v>
      </c>
      <c r="AH698" s="436">
        <f>IF(NFI_Expiration=1,IF($A698&lt;VLOOKUP(S$5,NFI,5,0),1,0)*Table_NFI[[#This Row],[Winter Clothes Children]],Table_NFI[Winter Clothes Children])</f>
        <v>0</v>
      </c>
      <c r="AI698" s="436">
        <f>IF(NFI_Expiration=1,IF($A698&lt;VLOOKUP(T$5,NFI,5,0),1,0)*Table_NFI[[#This Row],[Winter Items Other]],Table_NFI[Winter Items Other])</f>
        <v>0</v>
      </c>
      <c r="AJ698" s="436">
        <f>IF(NFI_Expiration=1,IF($A698&lt;VLOOKUP(M$5,NFI,5,0),1,0)*Table_NFI[[#This Row],[Winter Blanket]],Table_NFI[[#This Row],[Winter Blanket]])</f>
        <v>0</v>
      </c>
      <c r="AK698" s="436">
        <f>IF(Table_NFI[[#This Row],[Winter Clothes Adult]]+Table_NFI[[#This Row],[Winter Clothes Children]]+Table_NFI[[#This Row],[Winter Items Other]]+Table_NFI[[#This Row],[Winter Blanket]]&gt;0,1,0)</f>
        <v>0</v>
      </c>
      <c r="AL698" s="439">
        <f>IF(NFI_Expiration=1,IF($A698&lt;VLOOKUP(V$5,NFI,5,0),1,0)*Table_NFI[[#This Row],[Jerry Can]],Table_NFI[Jerry Can])</f>
        <v>0</v>
      </c>
      <c r="AM698" s="781" t="str">
        <f>IFERROR(VLOOKUP(Table_NFI[[#This Row],[Camp Name]],CL,2,0),"")</f>
        <v>MMR001CMP047</v>
      </c>
      <c r="AN698" s="782">
        <f ca="1">IF(Table_NFI[[#This Row],[Pcode]]="","",IF(OFFSET(CampList[Opening Date],MATCH(Table_NFI[[#This Row],[Pcode]],CampList[CP_Pcode],0)-1,0,1,1)&gt;=NFI_Monitor_Date,1,0))</f>
        <v>0</v>
      </c>
      <c r="AO698" s="781" t="str">
        <f>IFERROR(VLOOKUP(Table_NFI[[#This Row],[Camp Name]],CL,3,0),"")</f>
        <v>Open</v>
      </c>
      <c r="AP698" s="436" t="str">
        <f ca="1">IF(Table_NFI[[#This Row],[Pcode]]="","",OFFSET(CampList[Priority],MATCH(Table_NFI[[#This Row],[Pcode]],CampList[CP_Pcode],0)-1,0,1,1))</f>
        <v>P4</v>
      </c>
      <c r="AQ698" s="438">
        <f>IFERROR(Table_NFI[[#This Row],[Kitchen Set]]/VLOOKUP(Table_NFI[[#This Row],[Camp Name]],CL,4,0),"")</f>
        <v>0</v>
      </c>
      <c r="AR698" s="779" t="s">
        <v>1099</v>
      </c>
      <c r="AS698" s="783"/>
    </row>
    <row r="699" spans="1:45" x14ac:dyDescent="0.25">
      <c r="A699" s="455">
        <f t="shared" si="10"/>
        <v>34.833333333333336</v>
      </c>
      <c r="B699" s="778">
        <v>41264</v>
      </c>
      <c r="C699" s="779" t="s">
        <v>454</v>
      </c>
      <c r="D699" s="780" t="s">
        <v>454</v>
      </c>
      <c r="E699" s="779" t="s">
        <v>380</v>
      </c>
      <c r="F699" s="435" t="s">
        <v>5</v>
      </c>
      <c r="G699" s="435" t="s">
        <v>22</v>
      </c>
      <c r="H699" s="436"/>
      <c r="I699" s="436"/>
      <c r="J699" s="436"/>
      <c r="K699" s="436">
        <v>24</v>
      </c>
      <c r="L699" s="437">
        <v>12</v>
      </c>
      <c r="M699" s="437">
        <v>24</v>
      </c>
      <c r="N699" s="437">
        <v>12</v>
      </c>
      <c r="O699" s="437">
        <v>12</v>
      </c>
      <c r="P699" s="437">
        <v>12</v>
      </c>
      <c r="Q699" s="437">
        <v>12</v>
      </c>
      <c r="R699" s="436"/>
      <c r="S699" s="436"/>
      <c r="T699" s="436"/>
      <c r="U699" s="436"/>
      <c r="V699" s="436"/>
      <c r="W699" s="436">
        <f>IF(NFI_Expiration=1,IF($A699&lt;VLOOKUP(H$5,NFI,5,0),1,0)*Table_NFI[[#This Row],[Hygiene Kit]],Table_NFI[Hygiene Kit])</f>
        <v>0</v>
      </c>
      <c r="X699" s="436">
        <f>IF(NFI_Expiration=1,IF($A699&lt;VLOOKUP(I$5,NFI,5,0),1,0)*Table_NFI[[#This Row],[NFI Core Kit]],Table_NFI[NFI Core Kit])</f>
        <v>0</v>
      </c>
      <c r="Y699" s="436">
        <f>IF(NFI_Expiration=1,IF($A699&lt;VLOOKUP(J$5,NFI,5,0),1,0)*Table_NFI[[#This Row],[Sanitary Kit]],Table_NFI[Sanitary Kit])</f>
        <v>0</v>
      </c>
      <c r="Z699" s="436">
        <f>IF(NFI_Expiration=1,IF($A699&lt;VLOOKUP(K$5,NFI,5,0),1,0)*Table_NFI[[#This Row],[Mosquito net]],Table_NFI[Mosquito net])</f>
        <v>0</v>
      </c>
      <c r="AA699" s="436">
        <f>IF(NFI_Expiration=1,IF($A699&lt;VLOOKUP(L$5,NFI,5,0),1,0)*Table_NFI[[#This Row],[Tarpaulin]],Table_NFI[[#This Row],[Tarpaulin]])</f>
        <v>0</v>
      </c>
      <c r="AB699" s="436">
        <f>IF(NFI_Expiration=1,IF($A699&lt;VLOOKUP(M$5,NFI,5,0),1,0)*Table_NFI[[#This Row],[Blanket]],Table_NFI[[#This Row],[Blanket]])</f>
        <v>0</v>
      </c>
      <c r="AC699" s="436">
        <f>IF(NFI_Expiration=1,IF($A699&lt;VLOOKUP(N$5,NFI,5,0),1,0)*Table_NFI[[#This Row],[Kitchen Set]],Table_NFI[Kitchen Set])</f>
        <v>0</v>
      </c>
      <c r="AD699" s="436">
        <f>IF(NFI_Expiration=1,IF($A699&lt;VLOOKUP(O$5,NFI,5,0),1,0)*Table_NFI[[#This Row],[Clothes Kit]],Table_NFI[Clothes Kit])</f>
        <v>0</v>
      </c>
      <c r="AE699" s="436">
        <f>IF(NFI_Expiration=1,IF($A699&lt;VLOOKUP(P$5,NFI,5,0),1,0)*Table_NFI[[#This Row],[Plastic Bucket]],Table_NFI[Plastic Bucket])</f>
        <v>0</v>
      </c>
      <c r="AF699" s="436">
        <f>IF(NFI_Expiration=1,IF($A699&lt;VLOOKUP(Q$5,NFI,5,0),1,0)*Table_NFI[[#This Row],[Plastic Mat]],Table_NFI[Plastic Mat])*IF(Table_NFI[[#This Row],[Distribution Date]]&gt;"2014-04-01",1,2.5)</f>
        <v>0</v>
      </c>
      <c r="AG699" s="436">
        <f>IF(NFI_Expiration=1,IF($A699&lt;VLOOKUP(R$5,NFI,5,0),1,0)*Table_NFI[[#This Row],[Winter Clothes Adult]],Table_NFI[Winter Clothes Adult])</f>
        <v>0</v>
      </c>
      <c r="AH699" s="436">
        <f>IF(NFI_Expiration=1,IF($A699&lt;VLOOKUP(S$5,NFI,5,0),1,0)*Table_NFI[[#This Row],[Winter Clothes Children]],Table_NFI[Winter Clothes Children])</f>
        <v>0</v>
      </c>
      <c r="AI699" s="436">
        <f>IF(NFI_Expiration=1,IF($A699&lt;VLOOKUP(T$5,NFI,5,0),1,0)*Table_NFI[[#This Row],[Winter Items Other]],Table_NFI[Winter Items Other])</f>
        <v>0</v>
      </c>
      <c r="AJ699" s="436">
        <f>IF(NFI_Expiration=1,IF($A699&lt;VLOOKUP(M$5,NFI,5,0),1,0)*Table_NFI[[#This Row],[Winter Blanket]],Table_NFI[[#This Row],[Winter Blanket]])</f>
        <v>0</v>
      </c>
      <c r="AK699" s="436">
        <f>IF(Table_NFI[[#This Row],[Winter Clothes Adult]]+Table_NFI[[#This Row],[Winter Clothes Children]]+Table_NFI[[#This Row],[Winter Items Other]]+Table_NFI[[#This Row],[Winter Blanket]]&gt;0,1,0)</f>
        <v>0</v>
      </c>
      <c r="AL699" s="439">
        <f>IF(NFI_Expiration=1,IF($A699&lt;VLOOKUP(V$5,NFI,5,0),1,0)*Table_NFI[[#This Row],[Jerry Can]],Table_NFI[Jerry Can])</f>
        <v>0</v>
      </c>
      <c r="AM699" s="781" t="str">
        <f>IFERROR(VLOOKUP(Table_NFI[[#This Row],[Camp Name]],CL,2,0),"")</f>
        <v>MMR001CMP047</v>
      </c>
      <c r="AN699" s="782">
        <f ca="1">IF(Table_NFI[[#This Row],[Pcode]]="","",IF(OFFSET(CampList[Opening Date],MATCH(Table_NFI[[#This Row],[Pcode]],CampList[CP_Pcode],0)-1,0,1,1)&gt;=NFI_Monitor_Date,1,0))</f>
        <v>0</v>
      </c>
      <c r="AO699" s="781" t="str">
        <f>IFERROR(VLOOKUP(Table_NFI[[#This Row],[Camp Name]],CL,3,0),"")</f>
        <v>Open</v>
      </c>
      <c r="AP699" s="436" t="str">
        <f ca="1">IF(Table_NFI[[#This Row],[Pcode]]="","",OFFSET(CampList[Priority],MATCH(Table_NFI[[#This Row],[Pcode]],CampList[CP_Pcode],0)-1,0,1,1))</f>
        <v>P4</v>
      </c>
      <c r="AQ699" s="438">
        <f>IFERROR(Table_NFI[[#This Row],[Kitchen Set]]/VLOOKUP(Table_NFI[[#This Row],[Camp Name]],CL,4,0),"")</f>
        <v>1.8404907975460124E-2</v>
      </c>
      <c r="AR699" s="779" t="s">
        <v>1099</v>
      </c>
      <c r="AS699" s="783"/>
    </row>
    <row r="700" spans="1:45" x14ac:dyDescent="0.25">
      <c r="A700" s="455">
        <f t="shared" si="10"/>
        <v>34.833333333333336</v>
      </c>
      <c r="B700" s="778">
        <v>41264</v>
      </c>
      <c r="C700" s="779" t="s">
        <v>454</v>
      </c>
      <c r="D700" s="780" t="s">
        <v>454</v>
      </c>
      <c r="E700" s="779" t="s">
        <v>380</v>
      </c>
      <c r="F700" s="435" t="s">
        <v>5</v>
      </c>
      <c r="G700" s="435" t="s">
        <v>26</v>
      </c>
      <c r="H700" s="436"/>
      <c r="I700" s="436"/>
      <c r="J700" s="436"/>
      <c r="K700" s="436">
        <v>0</v>
      </c>
      <c r="L700" s="437">
        <v>3</v>
      </c>
      <c r="M700" s="437">
        <v>0</v>
      </c>
      <c r="N700" s="437">
        <v>3</v>
      </c>
      <c r="O700" s="437">
        <v>3</v>
      </c>
      <c r="P700" s="437">
        <v>3</v>
      </c>
      <c r="Q700" s="437">
        <v>3</v>
      </c>
      <c r="R700" s="436"/>
      <c r="S700" s="436"/>
      <c r="T700" s="436"/>
      <c r="U700" s="436"/>
      <c r="V700" s="436"/>
      <c r="W700" s="436">
        <f>IF(NFI_Expiration=1,IF($A700&lt;VLOOKUP(H$5,NFI,5,0),1,0)*Table_NFI[[#This Row],[Hygiene Kit]],Table_NFI[Hygiene Kit])</f>
        <v>0</v>
      </c>
      <c r="X700" s="436">
        <f>IF(NFI_Expiration=1,IF($A700&lt;VLOOKUP(I$5,NFI,5,0),1,0)*Table_NFI[[#This Row],[NFI Core Kit]],Table_NFI[NFI Core Kit])</f>
        <v>0</v>
      </c>
      <c r="Y700" s="436">
        <f>IF(NFI_Expiration=1,IF($A700&lt;VLOOKUP(J$5,NFI,5,0),1,0)*Table_NFI[[#This Row],[Sanitary Kit]],Table_NFI[Sanitary Kit])</f>
        <v>0</v>
      </c>
      <c r="Z700" s="436">
        <f>IF(NFI_Expiration=1,IF($A700&lt;VLOOKUP(K$5,NFI,5,0),1,0)*Table_NFI[[#This Row],[Mosquito net]],Table_NFI[Mosquito net])</f>
        <v>0</v>
      </c>
      <c r="AA700" s="436">
        <f>IF(NFI_Expiration=1,IF($A700&lt;VLOOKUP(L$5,NFI,5,0),1,0)*Table_NFI[[#This Row],[Tarpaulin]],Table_NFI[[#This Row],[Tarpaulin]])</f>
        <v>0</v>
      </c>
      <c r="AB700" s="436">
        <f>IF(NFI_Expiration=1,IF($A700&lt;VLOOKUP(M$5,NFI,5,0),1,0)*Table_NFI[[#This Row],[Blanket]],Table_NFI[[#This Row],[Blanket]])</f>
        <v>0</v>
      </c>
      <c r="AC700" s="436">
        <f>IF(NFI_Expiration=1,IF($A700&lt;VLOOKUP(N$5,NFI,5,0),1,0)*Table_NFI[[#This Row],[Kitchen Set]],Table_NFI[Kitchen Set])</f>
        <v>0</v>
      </c>
      <c r="AD700" s="436">
        <f>IF(NFI_Expiration=1,IF($A700&lt;VLOOKUP(O$5,NFI,5,0),1,0)*Table_NFI[[#This Row],[Clothes Kit]],Table_NFI[Clothes Kit])</f>
        <v>0</v>
      </c>
      <c r="AE700" s="436">
        <f>IF(NFI_Expiration=1,IF($A700&lt;VLOOKUP(P$5,NFI,5,0),1,0)*Table_NFI[[#This Row],[Plastic Bucket]],Table_NFI[Plastic Bucket])</f>
        <v>0</v>
      </c>
      <c r="AF700" s="436">
        <f>IF(NFI_Expiration=1,IF($A700&lt;VLOOKUP(Q$5,NFI,5,0),1,0)*Table_NFI[[#This Row],[Plastic Mat]],Table_NFI[Plastic Mat])*IF(Table_NFI[[#This Row],[Distribution Date]]&gt;"2014-04-01",1,2.5)</f>
        <v>0</v>
      </c>
      <c r="AG700" s="436">
        <f>IF(NFI_Expiration=1,IF($A700&lt;VLOOKUP(R$5,NFI,5,0),1,0)*Table_NFI[[#This Row],[Winter Clothes Adult]],Table_NFI[Winter Clothes Adult])</f>
        <v>0</v>
      </c>
      <c r="AH700" s="436">
        <f>IF(NFI_Expiration=1,IF($A700&lt;VLOOKUP(S$5,NFI,5,0),1,0)*Table_NFI[[#This Row],[Winter Clothes Children]],Table_NFI[Winter Clothes Children])</f>
        <v>0</v>
      </c>
      <c r="AI700" s="436">
        <f>IF(NFI_Expiration=1,IF($A700&lt;VLOOKUP(T$5,NFI,5,0),1,0)*Table_NFI[[#This Row],[Winter Items Other]],Table_NFI[Winter Items Other])</f>
        <v>0</v>
      </c>
      <c r="AJ700" s="436">
        <f>IF(NFI_Expiration=1,IF($A700&lt;VLOOKUP(M$5,NFI,5,0),1,0)*Table_NFI[[#This Row],[Winter Blanket]],Table_NFI[[#This Row],[Winter Blanket]])</f>
        <v>0</v>
      </c>
      <c r="AK700" s="436">
        <f>IF(Table_NFI[[#This Row],[Winter Clothes Adult]]+Table_NFI[[#This Row],[Winter Clothes Children]]+Table_NFI[[#This Row],[Winter Items Other]]+Table_NFI[[#This Row],[Winter Blanket]]&gt;0,1,0)</f>
        <v>0</v>
      </c>
      <c r="AL700" s="439">
        <f>IF(NFI_Expiration=1,IF($A700&lt;VLOOKUP(V$5,NFI,5,0),1,0)*Table_NFI[[#This Row],[Jerry Can]],Table_NFI[Jerry Can])</f>
        <v>0</v>
      </c>
      <c r="AM700" s="781" t="str">
        <f>IFERROR(VLOOKUP(Table_NFI[[#This Row],[Camp Name]],CL,2,0),"")</f>
        <v>MMR001CMP053</v>
      </c>
      <c r="AN700" s="782">
        <f ca="1">IF(Table_NFI[[#This Row],[Pcode]]="","",IF(OFFSET(CampList[Opening Date],MATCH(Table_NFI[[#This Row],[Pcode]],CampList[CP_Pcode],0)-1,0,1,1)&gt;=NFI_Monitor_Date,1,0))</f>
        <v>0</v>
      </c>
      <c r="AO700" s="781" t="str">
        <f>IFERROR(VLOOKUP(Table_NFI[[#This Row],[Camp Name]],CL,3,0),"")</f>
        <v>Open</v>
      </c>
      <c r="AP700" s="436" t="str">
        <f ca="1">IF(Table_NFI[[#This Row],[Pcode]]="","",OFFSET(CampList[Priority],MATCH(Table_NFI[[#This Row],[Pcode]],CampList[CP_Pcode],0)-1,0,1,1))</f>
        <v>P4</v>
      </c>
      <c r="AQ700" s="438">
        <f>IFERROR(Table_NFI[[#This Row],[Kitchen Set]]/VLOOKUP(Table_NFI[[#This Row],[Camp Name]],CL,4,0),"")</f>
        <v>0.2</v>
      </c>
      <c r="AR700" s="779" t="s">
        <v>1099</v>
      </c>
      <c r="AS700" s="783"/>
    </row>
    <row r="701" spans="1:45" x14ac:dyDescent="0.25">
      <c r="A701" s="455">
        <f t="shared" si="10"/>
        <v>34.866666666666667</v>
      </c>
      <c r="B701" s="778">
        <v>41263</v>
      </c>
      <c r="C701" s="779" t="s">
        <v>454</v>
      </c>
      <c r="D701" s="780" t="s">
        <v>462</v>
      </c>
      <c r="E701" s="779" t="s">
        <v>380</v>
      </c>
      <c r="F701" s="435" t="s">
        <v>529</v>
      </c>
      <c r="G701" s="435" t="s">
        <v>88</v>
      </c>
      <c r="H701" s="436"/>
      <c r="I701" s="441"/>
      <c r="J701" s="434"/>
      <c r="K701" s="434">
        <v>12</v>
      </c>
      <c r="L701" s="434">
        <v>0</v>
      </c>
      <c r="M701" s="434">
        <v>12</v>
      </c>
      <c r="N701" s="434">
        <v>0</v>
      </c>
      <c r="O701" s="434">
        <v>0</v>
      </c>
      <c r="P701" s="437"/>
      <c r="Q701" s="437"/>
      <c r="R701" s="436"/>
      <c r="S701" s="436"/>
      <c r="T701" s="436"/>
      <c r="U701" s="436"/>
      <c r="V701" s="436"/>
      <c r="W701" s="436">
        <f>IF(NFI_Expiration=1,IF($A701&lt;VLOOKUP(H$5,NFI,5,0),1,0)*Table_NFI[[#This Row],[Hygiene Kit]],Table_NFI[Hygiene Kit])</f>
        <v>0</v>
      </c>
      <c r="X701" s="436">
        <f>IF(NFI_Expiration=1,IF($A701&lt;VLOOKUP(I$5,NFI,5,0),1,0)*Table_NFI[[#This Row],[NFI Core Kit]],Table_NFI[NFI Core Kit])</f>
        <v>0</v>
      </c>
      <c r="Y701" s="436">
        <f>IF(NFI_Expiration=1,IF($A701&lt;VLOOKUP(J$5,NFI,5,0),1,0)*Table_NFI[[#This Row],[Sanitary Kit]],Table_NFI[Sanitary Kit])</f>
        <v>0</v>
      </c>
      <c r="Z701" s="436">
        <f>IF(NFI_Expiration=1,IF($A701&lt;VLOOKUP(K$5,NFI,5,0),1,0)*Table_NFI[[#This Row],[Mosquito net]],Table_NFI[Mosquito net])</f>
        <v>0</v>
      </c>
      <c r="AA701" s="436">
        <f>IF(NFI_Expiration=1,IF($A701&lt;VLOOKUP(L$5,NFI,5,0),1,0)*Table_NFI[[#This Row],[Tarpaulin]],Table_NFI[[#This Row],[Tarpaulin]])</f>
        <v>0</v>
      </c>
      <c r="AB701" s="436">
        <f>IF(NFI_Expiration=1,IF($A701&lt;VLOOKUP(M$5,NFI,5,0),1,0)*Table_NFI[[#This Row],[Blanket]],Table_NFI[[#This Row],[Blanket]])</f>
        <v>0</v>
      </c>
      <c r="AC701" s="436">
        <f>IF(NFI_Expiration=1,IF($A701&lt;VLOOKUP(N$5,NFI,5,0),1,0)*Table_NFI[[#This Row],[Kitchen Set]],Table_NFI[Kitchen Set])</f>
        <v>0</v>
      </c>
      <c r="AD701" s="436">
        <f>IF(NFI_Expiration=1,IF($A701&lt;VLOOKUP(O$5,NFI,5,0),1,0)*Table_NFI[[#This Row],[Clothes Kit]],Table_NFI[Clothes Kit])</f>
        <v>0</v>
      </c>
      <c r="AE701" s="436">
        <f>IF(NFI_Expiration=1,IF($A701&lt;VLOOKUP(P$5,NFI,5,0),1,0)*Table_NFI[[#This Row],[Plastic Bucket]],Table_NFI[Plastic Bucket])</f>
        <v>0</v>
      </c>
      <c r="AF701" s="436">
        <f>IF(NFI_Expiration=1,IF($A701&lt;VLOOKUP(Q$5,NFI,5,0),1,0)*Table_NFI[[#This Row],[Plastic Mat]],Table_NFI[Plastic Mat])*IF(Table_NFI[[#This Row],[Distribution Date]]&gt;"2014-04-01",1,2.5)</f>
        <v>0</v>
      </c>
      <c r="AG701" s="436">
        <f>IF(NFI_Expiration=1,IF($A701&lt;VLOOKUP(R$5,NFI,5,0),1,0)*Table_NFI[[#This Row],[Winter Clothes Adult]],Table_NFI[Winter Clothes Adult])</f>
        <v>0</v>
      </c>
      <c r="AH701" s="436">
        <f>IF(NFI_Expiration=1,IF($A701&lt;VLOOKUP(S$5,NFI,5,0),1,0)*Table_NFI[[#This Row],[Winter Clothes Children]],Table_NFI[Winter Clothes Children])</f>
        <v>0</v>
      </c>
      <c r="AI701" s="436">
        <f>IF(NFI_Expiration=1,IF($A701&lt;VLOOKUP(T$5,NFI,5,0),1,0)*Table_NFI[[#This Row],[Winter Items Other]],Table_NFI[Winter Items Other])</f>
        <v>0</v>
      </c>
      <c r="AJ701" s="436">
        <f>IF(NFI_Expiration=1,IF($A701&lt;VLOOKUP(M$5,NFI,5,0),1,0)*Table_NFI[[#This Row],[Winter Blanket]],Table_NFI[[#This Row],[Winter Blanket]])</f>
        <v>0</v>
      </c>
      <c r="AK701" s="436">
        <f>IF(Table_NFI[[#This Row],[Winter Clothes Adult]]+Table_NFI[[#This Row],[Winter Clothes Children]]+Table_NFI[[#This Row],[Winter Items Other]]+Table_NFI[[#This Row],[Winter Blanket]]&gt;0,1,0)</f>
        <v>0</v>
      </c>
      <c r="AL701" s="439">
        <f>IF(NFI_Expiration=1,IF($A701&lt;VLOOKUP(V$5,NFI,5,0),1,0)*Table_NFI[[#This Row],[Jerry Can]],Table_NFI[Jerry Can])</f>
        <v>0</v>
      </c>
      <c r="AM701" s="781" t="str">
        <f>IFERROR(VLOOKUP(Table_NFI[[#This Row],[Camp Name]],CL,2,0),"")</f>
        <v>MMR001CMP148</v>
      </c>
      <c r="AN701" s="782">
        <f ca="1">IF(Table_NFI[[#This Row],[Pcode]]="","",IF(OFFSET(CampList[Opening Date],MATCH(Table_NFI[[#This Row],[Pcode]],CampList[CP_Pcode],0)-1,0,1,1)&gt;=NFI_Monitor_Date,1,0))</f>
        <v>0</v>
      </c>
      <c r="AO701" s="781" t="str">
        <f>IFERROR(VLOOKUP(Table_NFI[[#This Row],[Camp Name]],CL,3,0),"")</f>
        <v>Open</v>
      </c>
      <c r="AP701" s="436" t="str">
        <f ca="1">IF(Table_NFI[[#This Row],[Pcode]]="","",OFFSET(CampList[Priority],MATCH(Table_NFI[[#This Row],[Pcode]],CampList[CP_Pcode],0)-1,0,1,1))</f>
        <v>P4</v>
      </c>
      <c r="AQ701" s="438">
        <f>IFERROR(Table_NFI[[#This Row],[Kitchen Set]]/VLOOKUP(Table_NFI[[#This Row],[Camp Name]],CL,4,0),"")</f>
        <v>0</v>
      </c>
      <c r="AR701" s="779" t="s">
        <v>1099</v>
      </c>
      <c r="AS701" s="783"/>
    </row>
    <row r="702" spans="1:45" x14ac:dyDescent="0.25">
      <c r="A702" s="455">
        <f t="shared" si="10"/>
        <v>34.866666666666667</v>
      </c>
      <c r="B702" s="778">
        <v>41263</v>
      </c>
      <c r="C702" s="779" t="s">
        <v>454</v>
      </c>
      <c r="D702" s="779" t="s">
        <v>454</v>
      </c>
      <c r="E702" s="779" t="s">
        <v>380</v>
      </c>
      <c r="F702" s="779" t="s">
        <v>237</v>
      </c>
      <c r="G702" s="435" t="s">
        <v>253</v>
      </c>
      <c r="H702" s="436"/>
      <c r="I702" s="436"/>
      <c r="J702" s="436"/>
      <c r="K702" s="436">
        <v>19</v>
      </c>
      <c r="L702" s="437">
        <v>10</v>
      </c>
      <c r="M702" s="437">
        <v>19</v>
      </c>
      <c r="N702" s="437">
        <v>10</v>
      </c>
      <c r="O702" s="437">
        <v>10</v>
      </c>
      <c r="P702" s="437">
        <v>10</v>
      </c>
      <c r="Q702" s="437">
        <v>10</v>
      </c>
      <c r="R702" s="436"/>
      <c r="S702" s="436"/>
      <c r="T702" s="436"/>
      <c r="U702" s="436"/>
      <c r="V702" s="436"/>
      <c r="W702" s="436">
        <f>IF(NFI_Expiration=1,IF($A702&lt;VLOOKUP(H$5,NFI,5,0),1,0)*Table_NFI[[#This Row],[Hygiene Kit]],Table_NFI[Hygiene Kit])</f>
        <v>0</v>
      </c>
      <c r="X702" s="436">
        <f>IF(NFI_Expiration=1,IF($A702&lt;VLOOKUP(I$5,NFI,5,0),1,0)*Table_NFI[[#This Row],[NFI Core Kit]],Table_NFI[NFI Core Kit])</f>
        <v>0</v>
      </c>
      <c r="Y702" s="436">
        <f>IF(NFI_Expiration=1,IF($A702&lt;VLOOKUP(J$5,NFI,5,0),1,0)*Table_NFI[[#This Row],[Sanitary Kit]],Table_NFI[Sanitary Kit])</f>
        <v>0</v>
      </c>
      <c r="Z702" s="436">
        <f>IF(NFI_Expiration=1,IF($A702&lt;VLOOKUP(K$5,NFI,5,0),1,0)*Table_NFI[[#This Row],[Mosquito net]],Table_NFI[Mosquito net])</f>
        <v>0</v>
      </c>
      <c r="AA702" s="436">
        <f>IF(NFI_Expiration=1,IF($A702&lt;VLOOKUP(L$5,NFI,5,0),1,0)*Table_NFI[[#This Row],[Tarpaulin]],Table_NFI[[#This Row],[Tarpaulin]])</f>
        <v>0</v>
      </c>
      <c r="AB702" s="436">
        <f>IF(NFI_Expiration=1,IF($A702&lt;VLOOKUP(M$5,NFI,5,0),1,0)*Table_NFI[[#This Row],[Blanket]],Table_NFI[[#This Row],[Blanket]])</f>
        <v>0</v>
      </c>
      <c r="AC702" s="436">
        <f>IF(NFI_Expiration=1,IF($A702&lt;VLOOKUP(N$5,NFI,5,0),1,0)*Table_NFI[[#This Row],[Kitchen Set]],Table_NFI[Kitchen Set])</f>
        <v>0</v>
      </c>
      <c r="AD702" s="436">
        <f>IF(NFI_Expiration=1,IF($A702&lt;VLOOKUP(O$5,NFI,5,0),1,0)*Table_NFI[[#This Row],[Clothes Kit]],Table_NFI[Clothes Kit])</f>
        <v>0</v>
      </c>
      <c r="AE702" s="436">
        <f>IF(NFI_Expiration=1,IF($A702&lt;VLOOKUP(P$5,NFI,5,0),1,0)*Table_NFI[[#This Row],[Plastic Bucket]],Table_NFI[Plastic Bucket])</f>
        <v>0</v>
      </c>
      <c r="AF702" s="436">
        <f>IF(NFI_Expiration=1,IF($A702&lt;VLOOKUP(Q$5,NFI,5,0),1,0)*Table_NFI[[#This Row],[Plastic Mat]],Table_NFI[Plastic Mat])*IF(Table_NFI[[#This Row],[Distribution Date]]&gt;"2014-04-01",1,2.5)</f>
        <v>0</v>
      </c>
      <c r="AG702" s="436">
        <f>IF(NFI_Expiration=1,IF($A702&lt;VLOOKUP(R$5,NFI,5,0),1,0)*Table_NFI[[#This Row],[Winter Clothes Adult]],Table_NFI[Winter Clothes Adult])</f>
        <v>0</v>
      </c>
      <c r="AH702" s="436">
        <f>IF(NFI_Expiration=1,IF($A702&lt;VLOOKUP(S$5,NFI,5,0),1,0)*Table_NFI[[#This Row],[Winter Clothes Children]],Table_NFI[Winter Clothes Children])</f>
        <v>0</v>
      </c>
      <c r="AI702" s="436">
        <f>IF(NFI_Expiration=1,IF($A702&lt;VLOOKUP(T$5,NFI,5,0),1,0)*Table_NFI[[#This Row],[Winter Items Other]],Table_NFI[Winter Items Other])</f>
        <v>0</v>
      </c>
      <c r="AJ702" s="436">
        <f>IF(NFI_Expiration=1,IF($A702&lt;VLOOKUP(M$5,NFI,5,0),1,0)*Table_NFI[[#This Row],[Winter Blanket]],Table_NFI[[#This Row],[Winter Blanket]])</f>
        <v>0</v>
      </c>
      <c r="AK702" s="436">
        <f>IF(Table_NFI[[#This Row],[Winter Clothes Adult]]+Table_NFI[[#This Row],[Winter Clothes Children]]+Table_NFI[[#This Row],[Winter Items Other]]+Table_NFI[[#This Row],[Winter Blanket]]&gt;0,1,0)</f>
        <v>0</v>
      </c>
      <c r="AL702" s="439">
        <f>IF(NFI_Expiration=1,IF($A702&lt;VLOOKUP(V$5,NFI,5,0),1,0)*Table_NFI[[#This Row],[Jerry Can]],Table_NFI[Jerry Can])</f>
        <v>0</v>
      </c>
      <c r="AM702" s="781" t="str">
        <f>IFERROR(VLOOKUP(Table_NFI[[#This Row],[Camp Name]],CL,2,0),"")</f>
        <v>MMR001CMP018</v>
      </c>
      <c r="AN702" s="782">
        <f ca="1">IF(Table_NFI[[#This Row],[Pcode]]="","",IF(OFFSET(CampList[Opening Date],MATCH(Table_NFI[[#This Row],[Pcode]],CampList[CP_Pcode],0)-1,0,1,1)&gt;=NFI_Monitor_Date,1,0))</f>
        <v>0</v>
      </c>
      <c r="AO702" s="781" t="str">
        <f>IFERROR(VLOOKUP(Table_NFI[[#This Row],[Camp Name]],CL,3,0),"")</f>
        <v>Open</v>
      </c>
      <c r="AP702" s="436" t="str">
        <f ca="1">IF(Table_NFI[[#This Row],[Pcode]]="","",OFFSET(CampList[Priority],MATCH(Table_NFI[[#This Row],[Pcode]],CampList[CP_Pcode],0)-1,0,1,1))</f>
        <v>P4</v>
      </c>
      <c r="AQ702" s="438">
        <f>IFERROR(Table_NFI[[#This Row],[Kitchen Set]]/VLOOKUP(Table_NFI[[#This Row],[Camp Name]],CL,4,0),"")</f>
        <v>4.9261083743842367E-2</v>
      </c>
      <c r="AR702" s="779" t="s">
        <v>1099</v>
      </c>
      <c r="AS702" s="783"/>
    </row>
    <row r="703" spans="1:45" x14ac:dyDescent="0.25">
      <c r="A703" s="455">
        <f t="shared" si="10"/>
        <v>34.9</v>
      </c>
      <c r="B703" s="778">
        <v>41262</v>
      </c>
      <c r="C703" s="779" t="s">
        <v>454</v>
      </c>
      <c r="D703" s="780" t="s">
        <v>454</v>
      </c>
      <c r="E703" s="779" t="s">
        <v>380</v>
      </c>
      <c r="F703" s="435" t="s">
        <v>237</v>
      </c>
      <c r="G703" s="435" t="s">
        <v>273</v>
      </c>
      <c r="H703" s="436"/>
      <c r="I703" s="441"/>
      <c r="J703" s="434"/>
      <c r="K703" s="434">
        <v>37</v>
      </c>
      <c r="L703" s="434">
        <v>10</v>
      </c>
      <c r="M703" s="434">
        <v>37</v>
      </c>
      <c r="N703" s="434">
        <v>10</v>
      </c>
      <c r="O703" s="434">
        <v>10</v>
      </c>
      <c r="P703" s="437">
        <v>10</v>
      </c>
      <c r="Q703" s="437">
        <v>10</v>
      </c>
      <c r="R703" s="436"/>
      <c r="S703" s="436"/>
      <c r="T703" s="436"/>
      <c r="U703" s="436"/>
      <c r="V703" s="436"/>
      <c r="W703" s="436">
        <f>IF(NFI_Expiration=1,IF($A703&lt;VLOOKUP(H$5,NFI,5,0),1,0)*Table_NFI[[#This Row],[Hygiene Kit]],Table_NFI[Hygiene Kit])</f>
        <v>0</v>
      </c>
      <c r="X703" s="436">
        <f>IF(NFI_Expiration=1,IF($A703&lt;VLOOKUP(I$5,NFI,5,0),1,0)*Table_NFI[[#This Row],[NFI Core Kit]],Table_NFI[NFI Core Kit])</f>
        <v>0</v>
      </c>
      <c r="Y703" s="436">
        <f>IF(NFI_Expiration=1,IF($A703&lt;VLOOKUP(J$5,NFI,5,0),1,0)*Table_NFI[[#This Row],[Sanitary Kit]],Table_NFI[Sanitary Kit])</f>
        <v>0</v>
      </c>
      <c r="Z703" s="436">
        <f>IF(NFI_Expiration=1,IF($A703&lt;VLOOKUP(K$5,NFI,5,0),1,0)*Table_NFI[[#This Row],[Mosquito net]],Table_NFI[Mosquito net])</f>
        <v>0</v>
      </c>
      <c r="AA703" s="436">
        <f>IF(NFI_Expiration=1,IF($A703&lt;VLOOKUP(L$5,NFI,5,0),1,0)*Table_NFI[[#This Row],[Tarpaulin]],Table_NFI[[#This Row],[Tarpaulin]])</f>
        <v>0</v>
      </c>
      <c r="AB703" s="436">
        <f>IF(NFI_Expiration=1,IF($A703&lt;VLOOKUP(M$5,NFI,5,0),1,0)*Table_NFI[[#This Row],[Blanket]],Table_NFI[[#This Row],[Blanket]])</f>
        <v>0</v>
      </c>
      <c r="AC703" s="436">
        <f>IF(NFI_Expiration=1,IF($A703&lt;VLOOKUP(N$5,NFI,5,0),1,0)*Table_NFI[[#This Row],[Kitchen Set]],Table_NFI[Kitchen Set])</f>
        <v>0</v>
      </c>
      <c r="AD703" s="436">
        <f>IF(NFI_Expiration=1,IF($A703&lt;VLOOKUP(O$5,NFI,5,0),1,0)*Table_NFI[[#This Row],[Clothes Kit]],Table_NFI[Clothes Kit])</f>
        <v>0</v>
      </c>
      <c r="AE703" s="436">
        <f>IF(NFI_Expiration=1,IF($A703&lt;VLOOKUP(P$5,NFI,5,0),1,0)*Table_NFI[[#This Row],[Plastic Bucket]],Table_NFI[Plastic Bucket])</f>
        <v>0</v>
      </c>
      <c r="AF703" s="436">
        <f>IF(NFI_Expiration=1,IF($A703&lt;VLOOKUP(Q$5,NFI,5,0),1,0)*Table_NFI[[#This Row],[Plastic Mat]],Table_NFI[Plastic Mat])*IF(Table_NFI[[#This Row],[Distribution Date]]&gt;"2014-04-01",1,2.5)</f>
        <v>0</v>
      </c>
      <c r="AG703" s="436">
        <f>IF(NFI_Expiration=1,IF($A703&lt;VLOOKUP(R$5,NFI,5,0),1,0)*Table_NFI[[#This Row],[Winter Clothes Adult]],Table_NFI[Winter Clothes Adult])</f>
        <v>0</v>
      </c>
      <c r="AH703" s="436">
        <f>IF(NFI_Expiration=1,IF($A703&lt;VLOOKUP(S$5,NFI,5,0),1,0)*Table_NFI[[#This Row],[Winter Clothes Children]],Table_NFI[Winter Clothes Children])</f>
        <v>0</v>
      </c>
      <c r="AI703" s="436">
        <f>IF(NFI_Expiration=1,IF($A703&lt;VLOOKUP(T$5,NFI,5,0),1,0)*Table_NFI[[#This Row],[Winter Items Other]],Table_NFI[Winter Items Other])</f>
        <v>0</v>
      </c>
      <c r="AJ703" s="436">
        <f>IF(NFI_Expiration=1,IF($A703&lt;VLOOKUP(M$5,NFI,5,0),1,0)*Table_NFI[[#This Row],[Winter Blanket]],Table_NFI[[#This Row],[Winter Blanket]])</f>
        <v>0</v>
      </c>
      <c r="AK703" s="436">
        <f>IF(Table_NFI[[#This Row],[Winter Clothes Adult]]+Table_NFI[[#This Row],[Winter Clothes Children]]+Table_NFI[[#This Row],[Winter Items Other]]+Table_NFI[[#This Row],[Winter Blanket]]&gt;0,1,0)</f>
        <v>0</v>
      </c>
      <c r="AL703" s="439">
        <f>IF(NFI_Expiration=1,IF($A703&lt;VLOOKUP(V$5,NFI,5,0),1,0)*Table_NFI[[#This Row],[Jerry Can]],Table_NFI[Jerry Can])</f>
        <v>0</v>
      </c>
      <c r="AM703" s="781" t="str">
        <f>IFERROR(VLOOKUP(Table_NFI[[#This Row],[Camp Name]],CL,2,0),"")</f>
        <v>MMR001CMP162</v>
      </c>
      <c r="AN703" s="782">
        <f ca="1">IF(Table_NFI[[#This Row],[Pcode]]="","",IF(OFFSET(CampList[Opening Date],MATCH(Table_NFI[[#This Row],[Pcode]],CampList[CP_Pcode],0)-1,0,1,1)&gt;=NFI_Monitor_Date,1,0))</f>
        <v>0</v>
      </c>
      <c r="AO703" s="781" t="str">
        <f>IFERROR(VLOOKUP(Table_NFI[[#This Row],[Camp Name]],CL,3,0),"")</f>
        <v>Open</v>
      </c>
      <c r="AP703" s="436" t="str">
        <f ca="1">IF(Table_NFI[[#This Row],[Pcode]]="","",OFFSET(CampList[Priority],MATCH(Table_NFI[[#This Row],[Pcode]],CampList[CP_Pcode],0)-1,0,1,1))</f>
        <v>P4</v>
      </c>
      <c r="AQ703" s="438">
        <f>IFERROR(Table_NFI[[#This Row],[Kitchen Set]]/VLOOKUP(Table_NFI[[#This Row],[Camp Name]],CL,4,0),"")</f>
        <v>0.17543859649122806</v>
      </c>
      <c r="AR703" s="779" t="s">
        <v>1099</v>
      </c>
      <c r="AS703" s="783"/>
    </row>
    <row r="704" spans="1:45" x14ac:dyDescent="0.25">
      <c r="A704" s="455">
        <f t="shared" si="10"/>
        <v>34.93333333333333</v>
      </c>
      <c r="B704" s="778">
        <v>41261</v>
      </c>
      <c r="C704" s="779" t="s">
        <v>454</v>
      </c>
      <c r="D704" s="780" t="s">
        <v>454</v>
      </c>
      <c r="E704" s="779" t="s">
        <v>380</v>
      </c>
      <c r="F704" s="435" t="s">
        <v>237</v>
      </c>
      <c r="G704" s="435" t="s">
        <v>281</v>
      </c>
      <c r="H704" s="436"/>
      <c r="I704" s="436"/>
      <c r="J704" s="436"/>
      <c r="K704" s="436">
        <v>30</v>
      </c>
      <c r="L704" s="437">
        <v>20</v>
      </c>
      <c r="M704" s="437">
        <v>30</v>
      </c>
      <c r="N704" s="437">
        <v>20</v>
      </c>
      <c r="O704" s="437">
        <v>20</v>
      </c>
      <c r="P704" s="437">
        <v>20</v>
      </c>
      <c r="Q704" s="437">
        <v>20</v>
      </c>
      <c r="R704" s="436"/>
      <c r="S704" s="436"/>
      <c r="T704" s="436"/>
      <c r="U704" s="436"/>
      <c r="V704" s="436"/>
      <c r="W704" s="436">
        <f>IF(NFI_Expiration=1,IF($A704&lt;VLOOKUP(H$5,NFI,5,0),1,0)*Table_NFI[[#This Row],[Hygiene Kit]],Table_NFI[Hygiene Kit])</f>
        <v>0</v>
      </c>
      <c r="X704" s="436">
        <f>IF(NFI_Expiration=1,IF($A704&lt;VLOOKUP(I$5,NFI,5,0),1,0)*Table_NFI[[#This Row],[NFI Core Kit]],Table_NFI[NFI Core Kit])</f>
        <v>0</v>
      </c>
      <c r="Y704" s="436">
        <f>IF(NFI_Expiration=1,IF($A704&lt;VLOOKUP(J$5,NFI,5,0),1,0)*Table_NFI[[#This Row],[Sanitary Kit]],Table_NFI[Sanitary Kit])</f>
        <v>0</v>
      </c>
      <c r="Z704" s="436">
        <f>IF(NFI_Expiration=1,IF($A704&lt;VLOOKUP(K$5,NFI,5,0),1,0)*Table_NFI[[#This Row],[Mosquito net]],Table_NFI[Mosquito net])</f>
        <v>0</v>
      </c>
      <c r="AA704" s="436">
        <f>IF(NFI_Expiration=1,IF($A704&lt;VLOOKUP(L$5,NFI,5,0),1,0)*Table_NFI[[#This Row],[Tarpaulin]],Table_NFI[[#This Row],[Tarpaulin]])</f>
        <v>0</v>
      </c>
      <c r="AB704" s="436">
        <f>IF(NFI_Expiration=1,IF($A704&lt;VLOOKUP(M$5,NFI,5,0),1,0)*Table_NFI[[#This Row],[Blanket]],Table_NFI[[#This Row],[Blanket]])</f>
        <v>0</v>
      </c>
      <c r="AC704" s="436">
        <f>IF(NFI_Expiration=1,IF($A704&lt;VLOOKUP(N$5,NFI,5,0),1,0)*Table_NFI[[#This Row],[Kitchen Set]],Table_NFI[Kitchen Set])</f>
        <v>0</v>
      </c>
      <c r="AD704" s="436">
        <f>IF(NFI_Expiration=1,IF($A704&lt;VLOOKUP(O$5,NFI,5,0),1,0)*Table_NFI[[#This Row],[Clothes Kit]],Table_NFI[Clothes Kit])</f>
        <v>0</v>
      </c>
      <c r="AE704" s="436">
        <f>IF(NFI_Expiration=1,IF($A704&lt;VLOOKUP(P$5,NFI,5,0),1,0)*Table_NFI[[#This Row],[Plastic Bucket]],Table_NFI[Plastic Bucket])</f>
        <v>0</v>
      </c>
      <c r="AF704" s="436">
        <f>IF(NFI_Expiration=1,IF($A704&lt;VLOOKUP(Q$5,NFI,5,0),1,0)*Table_NFI[[#This Row],[Plastic Mat]],Table_NFI[Plastic Mat])*IF(Table_NFI[[#This Row],[Distribution Date]]&gt;"2014-04-01",1,2.5)</f>
        <v>0</v>
      </c>
      <c r="AG704" s="436">
        <f>IF(NFI_Expiration=1,IF($A704&lt;VLOOKUP(R$5,NFI,5,0),1,0)*Table_NFI[[#This Row],[Winter Clothes Adult]],Table_NFI[Winter Clothes Adult])</f>
        <v>0</v>
      </c>
      <c r="AH704" s="436">
        <f>IF(NFI_Expiration=1,IF($A704&lt;VLOOKUP(S$5,NFI,5,0),1,0)*Table_NFI[[#This Row],[Winter Clothes Children]],Table_NFI[Winter Clothes Children])</f>
        <v>0</v>
      </c>
      <c r="AI704" s="436">
        <f>IF(NFI_Expiration=1,IF($A704&lt;VLOOKUP(T$5,NFI,5,0),1,0)*Table_NFI[[#This Row],[Winter Items Other]],Table_NFI[Winter Items Other])</f>
        <v>0</v>
      </c>
      <c r="AJ704" s="436">
        <f>IF(NFI_Expiration=1,IF($A704&lt;VLOOKUP(M$5,NFI,5,0),1,0)*Table_NFI[[#This Row],[Winter Blanket]],Table_NFI[[#This Row],[Winter Blanket]])</f>
        <v>0</v>
      </c>
      <c r="AK704" s="436">
        <f>IF(Table_NFI[[#This Row],[Winter Clothes Adult]]+Table_NFI[[#This Row],[Winter Clothes Children]]+Table_NFI[[#This Row],[Winter Items Other]]+Table_NFI[[#This Row],[Winter Blanket]]&gt;0,1,0)</f>
        <v>0</v>
      </c>
      <c r="AL704" s="439">
        <f>IF(NFI_Expiration=1,IF($A704&lt;VLOOKUP(V$5,NFI,5,0),1,0)*Table_NFI[[#This Row],[Jerry Can]],Table_NFI[Jerry Can])</f>
        <v>0</v>
      </c>
      <c r="AM704" s="781" t="str">
        <f>IFERROR(VLOOKUP(Table_NFI[[#This Row],[Camp Name]],CL,2,0),"")</f>
        <v>MMR001CMP009</v>
      </c>
      <c r="AN704" s="782">
        <f ca="1">IF(Table_NFI[[#This Row],[Pcode]]="","",IF(OFFSET(CampList[Opening Date],MATCH(Table_NFI[[#This Row],[Pcode]],CampList[CP_Pcode],0)-1,0,1,1)&gt;=NFI_Monitor_Date,1,0))</f>
        <v>0</v>
      </c>
      <c r="AO704" s="781" t="str">
        <f>IFERROR(VLOOKUP(Table_NFI[[#This Row],[Camp Name]],CL,3,0),"")</f>
        <v>Open</v>
      </c>
      <c r="AP704" s="436" t="str">
        <f ca="1">IF(Table_NFI[[#This Row],[Pcode]]="","",OFFSET(CampList[Priority],MATCH(Table_NFI[[#This Row],[Pcode]],CampList[CP_Pcode],0)-1,0,1,1))</f>
        <v>P4</v>
      </c>
      <c r="AQ704" s="438">
        <f>IFERROR(Table_NFI[[#This Row],[Kitchen Set]]/VLOOKUP(Table_NFI[[#This Row],[Camp Name]],CL,4,0),"")</f>
        <v>0.22222222222222221</v>
      </c>
      <c r="AR704" s="779" t="s">
        <v>1099</v>
      </c>
      <c r="AS704" s="783"/>
    </row>
    <row r="705" spans="1:45" x14ac:dyDescent="0.25">
      <c r="A705" s="455">
        <f t="shared" si="10"/>
        <v>35.033333333333331</v>
      </c>
      <c r="B705" s="778">
        <v>41258</v>
      </c>
      <c r="C705" s="779" t="s">
        <v>912</v>
      </c>
      <c r="D705" s="780" t="s">
        <v>912</v>
      </c>
      <c r="E705" s="779" t="s">
        <v>380</v>
      </c>
      <c r="F705" s="435" t="s">
        <v>151</v>
      </c>
      <c r="G705" s="435" t="s">
        <v>188</v>
      </c>
      <c r="H705" s="436">
        <v>587</v>
      </c>
      <c r="I705" s="436"/>
      <c r="J705" s="436">
        <v>855</v>
      </c>
      <c r="K705" s="436"/>
      <c r="L705" s="437"/>
      <c r="M705" s="437"/>
      <c r="N705" s="437"/>
      <c r="O705" s="437"/>
      <c r="P705" s="437">
        <v>0</v>
      </c>
      <c r="Q705" s="437">
        <v>0</v>
      </c>
      <c r="R705" s="436"/>
      <c r="S705" s="436"/>
      <c r="T705" s="436"/>
      <c r="U705" s="436"/>
      <c r="V705" s="436"/>
      <c r="W705" s="436">
        <f>IF(NFI_Expiration=1,IF($A705&lt;VLOOKUP(H$5,NFI,5,0),1,0)*Table_NFI[[#This Row],[Hygiene Kit]],Table_NFI[Hygiene Kit])</f>
        <v>0</v>
      </c>
      <c r="X705" s="436">
        <f>IF(NFI_Expiration=1,IF($A705&lt;VLOOKUP(I$5,NFI,5,0),1,0)*Table_NFI[[#This Row],[NFI Core Kit]],Table_NFI[NFI Core Kit])</f>
        <v>0</v>
      </c>
      <c r="Y705" s="436">
        <f>IF(NFI_Expiration=1,IF($A705&lt;VLOOKUP(J$5,NFI,5,0),1,0)*Table_NFI[[#This Row],[Sanitary Kit]],Table_NFI[Sanitary Kit])</f>
        <v>0</v>
      </c>
      <c r="Z705" s="436">
        <f>IF(NFI_Expiration=1,IF($A705&lt;VLOOKUP(K$5,NFI,5,0),1,0)*Table_NFI[[#This Row],[Mosquito net]],Table_NFI[Mosquito net])</f>
        <v>0</v>
      </c>
      <c r="AA705" s="436">
        <f>IF(NFI_Expiration=1,IF($A705&lt;VLOOKUP(L$5,NFI,5,0),1,0)*Table_NFI[[#This Row],[Tarpaulin]],Table_NFI[[#This Row],[Tarpaulin]])</f>
        <v>0</v>
      </c>
      <c r="AB705" s="436">
        <f>IF(NFI_Expiration=1,IF($A705&lt;VLOOKUP(M$5,NFI,5,0),1,0)*Table_NFI[[#This Row],[Blanket]],Table_NFI[[#This Row],[Blanket]])</f>
        <v>0</v>
      </c>
      <c r="AC705" s="436">
        <f>IF(NFI_Expiration=1,IF($A705&lt;VLOOKUP(N$5,NFI,5,0),1,0)*Table_NFI[[#This Row],[Kitchen Set]],Table_NFI[Kitchen Set])</f>
        <v>0</v>
      </c>
      <c r="AD705" s="436">
        <f>IF(NFI_Expiration=1,IF($A705&lt;VLOOKUP(O$5,NFI,5,0),1,0)*Table_NFI[[#This Row],[Clothes Kit]],Table_NFI[Clothes Kit])</f>
        <v>0</v>
      </c>
      <c r="AE705" s="436">
        <f>IF(NFI_Expiration=1,IF($A705&lt;VLOOKUP(P$5,NFI,5,0),1,0)*Table_NFI[[#This Row],[Plastic Bucket]],Table_NFI[Plastic Bucket])</f>
        <v>0</v>
      </c>
      <c r="AF705" s="436">
        <f>IF(NFI_Expiration=1,IF($A705&lt;VLOOKUP(Q$5,NFI,5,0),1,0)*Table_NFI[[#This Row],[Plastic Mat]],Table_NFI[Plastic Mat])*IF(Table_NFI[[#This Row],[Distribution Date]]&gt;"2014-04-01",1,2.5)</f>
        <v>0</v>
      </c>
      <c r="AG705" s="436">
        <f>IF(NFI_Expiration=1,IF($A705&lt;VLOOKUP(R$5,NFI,5,0),1,0)*Table_NFI[[#This Row],[Winter Clothes Adult]],Table_NFI[Winter Clothes Adult])</f>
        <v>0</v>
      </c>
      <c r="AH705" s="436">
        <f>IF(NFI_Expiration=1,IF($A705&lt;VLOOKUP(S$5,NFI,5,0),1,0)*Table_NFI[[#This Row],[Winter Clothes Children]],Table_NFI[Winter Clothes Children])</f>
        <v>0</v>
      </c>
      <c r="AI705" s="436">
        <f>IF(NFI_Expiration=1,IF($A705&lt;VLOOKUP(T$5,NFI,5,0),1,0)*Table_NFI[[#This Row],[Winter Items Other]],Table_NFI[Winter Items Other])</f>
        <v>0</v>
      </c>
      <c r="AJ705" s="436">
        <f>IF(NFI_Expiration=1,IF($A705&lt;VLOOKUP(M$5,NFI,5,0),1,0)*Table_NFI[[#This Row],[Winter Blanket]],Table_NFI[[#This Row],[Winter Blanket]])</f>
        <v>0</v>
      </c>
      <c r="AK705" s="436">
        <f>IF(Table_NFI[[#This Row],[Winter Clothes Adult]]+Table_NFI[[#This Row],[Winter Clothes Children]]+Table_NFI[[#This Row],[Winter Items Other]]+Table_NFI[[#This Row],[Winter Blanket]]&gt;0,1,0)</f>
        <v>0</v>
      </c>
      <c r="AL705" s="439">
        <f>IF(NFI_Expiration=1,IF($A705&lt;VLOOKUP(V$5,NFI,5,0),1,0)*Table_NFI[[#This Row],[Jerry Can]],Table_NFI[Jerry Can])</f>
        <v>0</v>
      </c>
      <c r="AM705" s="781" t="str">
        <f>IFERROR(VLOOKUP(Table_NFI[[#This Row],[Camp Name]],CL,2,0),"")</f>
        <v>MMR001CMP129</v>
      </c>
      <c r="AN705" s="782">
        <f ca="1">IF(Table_NFI[[#This Row],[Pcode]]="","",IF(OFFSET(CampList[Opening Date],MATCH(Table_NFI[[#This Row],[Pcode]],CampList[CP_Pcode],0)-1,0,1,1)&gt;=NFI_Monitor_Date,1,0))</f>
        <v>0</v>
      </c>
      <c r="AO705" s="781" t="str">
        <f>IFERROR(VLOOKUP(Table_NFI[[#This Row],[Camp Name]],CL,3,0),"")</f>
        <v>Open</v>
      </c>
      <c r="AP705" s="436" t="str">
        <f ca="1">IF(Table_NFI[[#This Row],[Pcode]]="","",OFFSET(CampList[Priority],MATCH(Table_NFI[[#This Row],[Pcode]],CampList[CP_Pcode],0)-1,0,1,1))</f>
        <v>P2</v>
      </c>
      <c r="AQ705" s="438">
        <f>IFERROR(Table_NFI[[#This Row],[Kitchen Set]]/VLOOKUP(Table_NFI[[#This Row],[Camp Name]],CL,4,0),"")</f>
        <v>0</v>
      </c>
      <c r="AR705" s="779" t="s">
        <v>1099</v>
      </c>
      <c r="AS705" s="783"/>
    </row>
    <row r="706" spans="1:45" x14ac:dyDescent="0.25">
      <c r="A706" s="455">
        <f t="shared" si="10"/>
        <v>35.1</v>
      </c>
      <c r="B706" s="778">
        <v>41256</v>
      </c>
      <c r="C706" s="779" t="s">
        <v>454</v>
      </c>
      <c r="D706" s="780" t="s">
        <v>454</v>
      </c>
      <c r="E706" s="779" t="s">
        <v>380</v>
      </c>
      <c r="F706" s="435" t="s">
        <v>237</v>
      </c>
      <c r="G706" s="435" t="s">
        <v>271</v>
      </c>
      <c r="H706" s="436"/>
      <c r="I706" s="436"/>
      <c r="J706" s="436"/>
      <c r="K706" s="436">
        <v>16</v>
      </c>
      <c r="L706" s="437">
        <v>7</v>
      </c>
      <c r="M706" s="437">
        <v>16</v>
      </c>
      <c r="N706" s="437">
        <v>7</v>
      </c>
      <c r="O706" s="437">
        <v>7</v>
      </c>
      <c r="P706" s="437">
        <v>7</v>
      </c>
      <c r="Q706" s="437">
        <v>7</v>
      </c>
      <c r="R706" s="436"/>
      <c r="S706" s="436"/>
      <c r="T706" s="436"/>
      <c r="U706" s="436"/>
      <c r="V706" s="436"/>
      <c r="W706" s="436">
        <f>IF(NFI_Expiration=1,IF($A706&lt;VLOOKUP(H$5,NFI,5,0),1,0)*Table_NFI[[#This Row],[Hygiene Kit]],Table_NFI[Hygiene Kit])</f>
        <v>0</v>
      </c>
      <c r="X706" s="436">
        <f>IF(NFI_Expiration=1,IF($A706&lt;VLOOKUP(I$5,NFI,5,0),1,0)*Table_NFI[[#This Row],[NFI Core Kit]],Table_NFI[NFI Core Kit])</f>
        <v>0</v>
      </c>
      <c r="Y706" s="436">
        <f>IF(NFI_Expiration=1,IF($A706&lt;VLOOKUP(J$5,NFI,5,0),1,0)*Table_NFI[[#This Row],[Sanitary Kit]],Table_NFI[Sanitary Kit])</f>
        <v>0</v>
      </c>
      <c r="Z706" s="436">
        <f>IF(NFI_Expiration=1,IF($A706&lt;VLOOKUP(K$5,NFI,5,0),1,0)*Table_NFI[[#This Row],[Mosquito net]],Table_NFI[Mosquito net])</f>
        <v>0</v>
      </c>
      <c r="AA706" s="436">
        <f>IF(NFI_Expiration=1,IF($A706&lt;VLOOKUP(L$5,NFI,5,0),1,0)*Table_NFI[[#This Row],[Tarpaulin]],Table_NFI[[#This Row],[Tarpaulin]])</f>
        <v>0</v>
      </c>
      <c r="AB706" s="436">
        <f>IF(NFI_Expiration=1,IF($A706&lt;VLOOKUP(M$5,NFI,5,0),1,0)*Table_NFI[[#This Row],[Blanket]],Table_NFI[[#This Row],[Blanket]])</f>
        <v>0</v>
      </c>
      <c r="AC706" s="436">
        <f>IF(NFI_Expiration=1,IF($A706&lt;VLOOKUP(N$5,NFI,5,0),1,0)*Table_NFI[[#This Row],[Kitchen Set]],Table_NFI[Kitchen Set])</f>
        <v>0</v>
      </c>
      <c r="AD706" s="436">
        <f>IF(NFI_Expiration=1,IF($A706&lt;VLOOKUP(O$5,NFI,5,0),1,0)*Table_NFI[[#This Row],[Clothes Kit]],Table_NFI[Clothes Kit])</f>
        <v>0</v>
      </c>
      <c r="AE706" s="436">
        <f>IF(NFI_Expiration=1,IF($A706&lt;VLOOKUP(P$5,NFI,5,0),1,0)*Table_NFI[[#This Row],[Plastic Bucket]],Table_NFI[Plastic Bucket])</f>
        <v>0</v>
      </c>
      <c r="AF706" s="436">
        <f>IF(NFI_Expiration=1,IF($A706&lt;VLOOKUP(Q$5,NFI,5,0),1,0)*Table_NFI[[#This Row],[Plastic Mat]],Table_NFI[Plastic Mat])*IF(Table_NFI[[#This Row],[Distribution Date]]&gt;"2014-04-01",1,2.5)</f>
        <v>0</v>
      </c>
      <c r="AG706" s="436">
        <f>IF(NFI_Expiration=1,IF($A706&lt;VLOOKUP(R$5,NFI,5,0),1,0)*Table_NFI[[#This Row],[Winter Clothes Adult]],Table_NFI[Winter Clothes Adult])</f>
        <v>0</v>
      </c>
      <c r="AH706" s="436">
        <f>IF(NFI_Expiration=1,IF($A706&lt;VLOOKUP(S$5,NFI,5,0),1,0)*Table_NFI[[#This Row],[Winter Clothes Children]],Table_NFI[Winter Clothes Children])</f>
        <v>0</v>
      </c>
      <c r="AI706" s="436">
        <f>IF(NFI_Expiration=1,IF($A706&lt;VLOOKUP(T$5,NFI,5,0),1,0)*Table_NFI[[#This Row],[Winter Items Other]],Table_NFI[Winter Items Other])</f>
        <v>0</v>
      </c>
      <c r="AJ706" s="436">
        <f>IF(NFI_Expiration=1,IF($A706&lt;VLOOKUP(M$5,NFI,5,0),1,0)*Table_NFI[[#This Row],[Winter Blanket]],Table_NFI[[#This Row],[Winter Blanket]])</f>
        <v>0</v>
      </c>
      <c r="AK706" s="436">
        <f>IF(Table_NFI[[#This Row],[Winter Clothes Adult]]+Table_NFI[[#This Row],[Winter Clothes Children]]+Table_NFI[[#This Row],[Winter Items Other]]+Table_NFI[[#This Row],[Winter Blanket]]&gt;0,1,0)</f>
        <v>0</v>
      </c>
      <c r="AL706" s="439">
        <f>IF(NFI_Expiration=1,IF($A706&lt;VLOOKUP(V$5,NFI,5,0),1,0)*Table_NFI[[#This Row],[Jerry Can]],Table_NFI[Jerry Can])</f>
        <v>0</v>
      </c>
      <c r="AM706" s="781" t="str">
        <f>IFERROR(VLOOKUP(Table_NFI[[#This Row],[Camp Name]],CL,2,0),"")</f>
        <v>MMR001CMP024</v>
      </c>
      <c r="AN706" s="782">
        <f ca="1">IF(Table_NFI[[#This Row],[Pcode]]="","",IF(OFFSET(CampList[Opening Date],MATCH(Table_NFI[[#This Row],[Pcode]],CampList[CP_Pcode],0)-1,0,1,1)&gt;=NFI_Monitor_Date,1,0))</f>
        <v>0</v>
      </c>
      <c r="AO706" s="781" t="str">
        <f>IFERROR(VLOOKUP(Table_NFI[[#This Row],[Camp Name]],CL,3,0),"")</f>
        <v>Open</v>
      </c>
      <c r="AP706" s="436" t="str">
        <f ca="1">IF(Table_NFI[[#This Row],[Pcode]]="","",OFFSET(CampList[Priority],MATCH(Table_NFI[[#This Row],[Pcode]],CampList[CP_Pcode],0)-1,0,1,1))</f>
        <v>P4</v>
      </c>
      <c r="AQ706" s="438">
        <f>IFERROR(Table_NFI[[#This Row],[Kitchen Set]]/VLOOKUP(Table_NFI[[#This Row],[Camp Name]],CL,4,0),"")</f>
        <v>0.1</v>
      </c>
      <c r="AR706" s="779" t="s">
        <v>1099</v>
      </c>
      <c r="AS706" s="783"/>
    </row>
    <row r="707" spans="1:45" x14ac:dyDescent="0.25">
      <c r="A707" s="455">
        <f t="shared" si="10"/>
        <v>35.133333333333333</v>
      </c>
      <c r="B707" s="778">
        <v>41255</v>
      </c>
      <c r="C707" s="779" t="s">
        <v>912</v>
      </c>
      <c r="D707" s="779" t="s">
        <v>912</v>
      </c>
      <c r="E707" s="779" t="s">
        <v>380</v>
      </c>
      <c r="F707" s="779" t="s">
        <v>185</v>
      </c>
      <c r="G707" s="435" t="s">
        <v>196</v>
      </c>
      <c r="H707" s="436">
        <v>5228</v>
      </c>
      <c r="I707" s="436"/>
      <c r="J707" s="436">
        <v>6005</v>
      </c>
      <c r="K707" s="436"/>
      <c r="L707" s="437"/>
      <c r="M707" s="437"/>
      <c r="N707" s="437"/>
      <c r="O707" s="437"/>
      <c r="P707" s="437">
        <v>0</v>
      </c>
      <c r="Q707" s="437">
        <v>0</v>
      </c>
      <c r="R707" s="436"/>
      <c r="S707" s="436"/>
      <c r="T707" s="436"/>
      <c r="U707" s="436"/>
      <c r="V707" s="436"/>
      <c r="W707" s="436">
        <f>IF(NFI_Expiration=1,IF($A707&lt;VLOOKUP(H$5,NFI,5,0),1,0)*Table_NFI[[#This Row],[Hygiene Kit]],Table_NFI[Hygiene Kit])</f>
        <v>0</v>
      </c>
      <c r="X707" s="436">
        <f>IF(NFI_Expiration=1,IF($A707&lt;VLOOKUP(I$5,NFI,5,0),1,0)*Table_NFI[[#This Row],[NFI Core Kit]],Table_NFI[NFI Core Kit])</f>
        <v>0</v>
      </c>
      <c r="Y707" s="436">
        <f>IF(NFI_Expiration=1,IF($A707&lt;VLOOKUP(J$5,NFI,5,0),1,0)*Table_NFI[[#This Row],[Sanitary Kit]],Table_NFI[Sanitary Kit])</f>
        <v>0</v>
      </c>
      <c r="Z707" s="436">
        <f>IF(NFI_Expiration=1,IF($A707&lt;VLOOKUP(K$5,NFI,5,0),1,0)*Table_NFI[[#This Row],[Mosquito net]],Table_NFI[Mosquito net])</f>
        <v>0</v>
      </c>
      <c r="AA707" s="436">
        <f>IF(NFI_Expiration=1,IF($A707&lt;VLOOKUP(L$5,NFI,5,0),1,0)*Table_NFI[[#This Row],[Tarpaulin]],Table_NFI[[#This Row],[Tarpaulin]])</f>
        <v>0</v>
      </c>
      <c r="AB707" s="436">
        <f>IF(NFI_Expiration=1,IF($A707&lt;VLOOKUP(M$5,NFI,5,0),1,0)*Table_NFI[[#This Row],[Blanket]],Table_NFI[[#This Row],[Blanket]])</f>
        <v>0</v>
      </c>
      <c r="AC707" s="436">
        <f>IF(NFI_Expiration=1,IF($A707&lt;VLOOKUP(N$5,NFI,5,0),1,0)*Table_NFI[[#This Row],[Kitchen Set]],Table_NFI[Kitchen Set])</f>
        <v>0</v>
      </c>
      <c r="AD707" s="436">
        <f>IF(NFI_Expiration=1,IF($A707&lt;VLOOKUP(O$5,NFI,5,0),1,0)*Table_NFI[[#This Row],[Clothes Kit]],Table_NFI[Clothes Kit])</f>
        <v>0</v>
      </c>
      <c r="AE707" s="436">
        <f>IF(NFI_Expiration=1,IF($A707&lt;VLOOKUP(P$5,NFI,5,0),1,0)*Table_NFI[[#This Row],[Plastic Bucket]],Table_NFI[Plastic Bucket])</f>
        <v>0</v>
      </c>
      <c r="AF707" s="436">
        <f>IF(NFI_Expiration=1,IF($A707&lt;VLOOKUP(Q$5,NFI,5,0),1,0)*Table_NFI[[#This Row],[Plastic Mat]],Table_NFI[Plastic Mat])*IF(Table_NFI[[#This Row],[Distribution Date]]&gt;"2014-04-01",1,2.5)</f>
        <v>0</v>
      </c>
      <c r="AG707" s="436">
        <f>IF(NFI_Expiration=1,IF($A707&lt;VLOOKUP(R$5,NFI,5,0),1,0)*Table_NFI[[#This Row],[Winter Clothes Adult]],Table_NFI[Winter Clothes Adult])</f>
        <v>0</v>
      </c>
      <c r="AH707" s="436">
        <f>IF(NFI_Expiration=1,IF($A707&lt;VLOOKUP(S$5,NFI,5,0),1,0)*Table_NFI[[#This Row],[Winter Clothes Children]],Table_NFI[Winter Clothes Children])</f>
        <v>0</v>
      </c>
      <c r="AI707" s="436">
        <f>IF(NFI_Expiration=1,IF($A707&lt;VLOOKUP(T$5,NFI,5,0),1,0)*Table_NFI[[#This Row],[Winter Items Other]],Table_NFI[Winter Items Other])</f>
        <v>0</v>
      </c>
      <c r="AJ707" s="436">
        <f>IF(NFI_Expiration=1,IF($A707&lt;VLOOKUP(M$5,NFI,5,0),1,0)*Table_NFI[[#This Row],[Winter Blanket]],Table_NFI[[#This Row],[Winter Blanket]])</f>
        <v>0</v>
      </c>
      <c r="AK707" s="436">
        <f>IF(Table_NFI[[#This Row],[Winter Clothes Adult]]+Table_NFI[[#This Row],[Winter Clothes Children]]+Table_NFI[[#This Row],[Winter Items Other]]+Table_NFI[[#This Row],[Winter Blanket]]&gt;0,1,0)</f>
        <v>0</v>
      </c>
      <c r="AL707" s="439">
        <f>IF(NFI_Expiration=1,IF($A707&lt;VLOOKUP(V$5,NFI,5,0),1,0)*Table_NFI[[#This Row],[Jerry Can]],Table_NFI[Jerry Can])</f>
        <v>0</v>
      </c>
      <c r="AM707" s="781" t="str">
        <f>IFERROR(VLOOKUP(Table_NFI[[#This Row],[Camp Name]],CL,2,0),"")</f>
        <v>MMR001CMP121</v>
      </c>
      <c r="AN707" s="782">
        <f ca="1">IF(Table_NFI[[#This Row],[Pcode]]="","",IF(OFFSET(CampList[Opening Date],MATCH(Table_NFI[[#This Row],[Pcode]],CampList[CP_Pcode],0)-1,0,1,1)&gt;=NFI_Monitor_Date,1,0))</f>
        <v>0</v>
      </c>
      <c r="AO707" s="781" t="str">
        <f>IFERROR(VLOOKUP(Table_NFI[[#This Row],[Camp Name]],CL,3,0),"")</f>
        <v>Open</v>
      </c>
      <c r="AP707" s="436" t="str">
        <f ca="1">IF(Table_NFI[[#This Row],[Pcode]]="","",OFFSET(CampList[Priority],MATCH(Table_NFI[[#This Row],[Pcode]],CampList[CP_Pcode],0)-1,0,1,1))</f>
        <v>P2</v>
      </c>
      <c r="AQ707" s="438">
        <f>IFERROR(Table_NFI[[#This Row],[Kitchen Set]]/VLOOKUP(Table_NFI[[#This Row],[Camp Name]],CL,4,0),"")</f>
        <v>0</v>
      </c>
      <c r="AR707" s="779" t="s">
        <v>1099</v>
      </c>
      <c r="AS707" s="783"/>
    </row>
    <row r="708" spans="1:45" x14ac:dyDescent="0.25">
      <c r="A708" s="455">
        <f t="shared" si="10"/>
        <v>35.166666666666664</v>
      </c>
      <c r="B708" s="778">
        <v>41254</v>
      </c>
      <c r="C708" s="779" t="s">
        <v>912</v>
      </c>
      <c r="D708" s="780" t="s">
        <v>912</v>
      </c>
      <c r="E708" s="779" t="s">
        <v>380</v>
      </c>
      <c r="F708" s="435" t="s">
        <v>185</v>
      </c>
      <c r="G708" s="435" t="s">
        <v>194</v>
      </c>
      <c r="H708" s="436">
        <v>1658</v>
      </c>
      <c r="I708" s="441"/>
      <c r="J708" s="434">
        <v>2085</v>
      </c>
      <c r="K708" s="434"/>
      <c r="L708" s="434"/>
      <c r="M708" s="434"/>
      <c r="N708" s="434"/>
      <c r="O708" s="434"/>
      <c r="P708" s="437">
        <v>0</v>
      </c>
      <c r="Q708" s="437">
        <v>0</v>
      </c>
      <c r="R708" s="436"/>
      <c r="S708" s="436"/>
      <c r="T708" s="436"/>
      <c r="U708" s="436"/>
      <c r="V708" s="436"/>
      <c r="W708" s="436">
        <f>IF(NFI_Expiration=1,IF($A708&lt;VLOOKUP(H$5,NFI,5,0),1,0)*Table_NFI[[#This Row],[Hygiene Kit]],Table_NFI[Hygiene Kit])</f>
        <v>0</v>
      </c>
      <c r="X708" s="436">
        <f>IF(NFI_Expiration=1,IF($A708&lt;VLOOKUP(I$5,NFI,5,0),1,0)*Table_NFI[[#This Row],[NFI Core Kit]],Table_NFI[NFI Core Kit])</f>
        <v>0</v>
      </c>
      <c r="Y708" s="436">
        <f>IF(NFI_Expiration=1,IF($A708&lt;VLOOKUP(J$5,NFI,5,0),1,0)*Table_NFI[[#This Row],[Sanitary Kit]],Table_NFI[Sanitary Kit])</f>
        <v>0</v>
      </c>
      <c r="Z708" s="436">
        <f>IF(NFI_Expiration=1,IF($A708&lt;VLOOKUP(K$5,NFI,5,0),1,0)*Table_NFI[[#This Row],[Mosquito net]],Table_NFI[Mosquito net])</f>
        <v>0</v>
      </c>
      <c r="AA708" s="436">
        <f>IF(NFI_Expiration=1,IF($A708&lt;VLOOKUP(L$5,NFI,5,0),1,0)*Table_NFI[[#This Row],[Tarpaulin]],Table_NFI[[#This Row],[Tarpaulin]])</f>
        <v>0</v>
      </c>
      <c r="AB708" s="436">
        <f>IF(NFI_Expiration=1,IF($A708&lt;VLOOKUP(M$5,NFI,5,0),1,0)*Table_NFI[[#This Row],[Blanket]],Table_NFI[[#This Row],[Blanket]])</f>
        <v>0</v>
      </c>
      <c r="AC708" s="436">
        <f>IF(NFI_Expiration=1,IF($A708&lt;VLOOKUP(N$5,NFI,5,0),1,0)*Table_NFI[[#This Row],[Kitchen Set]],Table_NFI[Kitchen Set])</f>
        <v>0</v>
      </c>
      <c r="AD708" s="436">
        <f>IF(NFI_Expiration=1,IF($A708&lt;VLOOKUP(O$5,NFI,5,0),1,0)*Table_NFI[[#This Row],[Clothes Kit]],Table_NFI[Clothes Kit])</f>
        <v>0</v>
      </c>
      <c r="AE708" s="436">
        <f>IF(NFI_Expiration=1,IF($A708&lt;VLOOKUP(P$5,NFI,5,0),1,0)*Table_NFI[[#This Row],[Plastic Bucket]],Table_NFI[Plastic Bucket])</f>
        <v>0</v>
      </c>
      <c r="AF708" s="436">
        <f>IF(NFI_Expiration=1,IF($A708&lt;VLOOKUP(Q$5,NFI,5,0),1,0)*Table_NFI[[#This Row],[Plastic Mat]],Table_NFI[Plastic Mat])*IF(Table_NFI[[#This Row],[Distribution Date]]&gt;"2014-04-01",1,2.5)</f>
        <v>0</v>
      </c>
      <c r="AG708" s="436">
        <f>IF(NFI_Expiration=1,IF($A708&lt;VLOOKUP(R$5,NFI,5,0),1,0)*Table_NFI[[#This Row],[Winter Clothes Adult]],Table_NFI[Winter Clothes Adult])</f>
        <v>0</v>
      </c>
      <c r="AH708" s="436">
        <f>IF(NFI_Expiration=1,IF($A708&lt;VLOOKUP(S$5,NFI,5,0),1,0)*Table_NFI[[#This Row],[Winter Clothes Children]],Table_NFI[Winter Clothes Children])</f>
        <v>0</v>
      </c>
      <c r="AI708" s="436">
        <f>IF(NFI_Expiration=1,IF($A708&lt;VLOOKUP(T$5,NFI,5,0),1,0)*Table_NFI[[#This Row],[Winter Items Other]],Table_NFI[Winter Items Other])</f>
        <v>0</v>
      </c>
      <c r="AJ708" s="436">
        <f>IF(NFI_Expiration=1,IF($A708&lt;VLOOKUP(M$5,NFI,5,0),1,0)*Table_NFI[[#This Row],[Winter Blanket]],Table_NFI[[#This Row],[Winter Blanket]])</f>
        <v>0</v>
      </c>
      <c r="AK708" s="436">
        <f>IF(Table_NFI[[#This Row],[Winter Clothes Adult]]+Table_NFI[[#This Row],[Winter Clothes Children]]+Table_NFI[[#This Row],[Winter Items Other]]+Table_NFI[[#This Row],[Winter Blanket]]&gt;0,1,0)</f>
        <v>0</v>
      </c>
      <c r="AL708" s="439">
        <f>IF(NFI_Expiration=1,IF($A708&lt;VLOOKUP(V$5,NFI,5,0),1,0)*Table_NFI[[#This Row],[Jerry Can]],Table_NFI[Jerry Can])</f>
        <v>0</v>
      </c>
      <c r="AM708" s="781" t="str">
        <f>IFERROR(VLOOKUP(Table_NFI[[#This Row],[Camp Name]],CL,2,0),"")</f>
        <v>MMR001CMP122</v>
      </c>
      <c r="AN708" s="782">
        <f ca="1">IF(Table_NFI[[#This Row],[Pcode]]="","",IF(OFFSET(CampList[Opening Date],MATCH(Table_NFI[[#This Row],[Pcode]],CampList[CP_Pcode],0)-1,0,1,1)&gt;=NFI_Monitor_Date,1,0))</f>
        <v>0</v>
      </c>
      <c r="AO708" s="781" t="str">
        <f>IFERROR(VLOOKUP(Table_NFI[[#This Row],[Camp Name]],CL,3,0),"")</f>
        <v>Open</v>
      </c>
      <c r="AP708" s="436" t="str">
        <f ca="1">IF(Table_NFI[[#This Row],[Pcode]]="","",OFFSET(CampList[Priority],MATCH(Table_NFI[[#This Row],[Pcode]],CampList[CP_Pcode],0)-1,0,1,1))</f>
        <v>P2</v>
      </c>
      <c r="AQ708" s="438">
        <f>IFERROR(Table_NFI[[#This Row],[Kitchen Set]]/VLOOKUP(Table_NFI[[#This Row],[Camp Name]],CL,4,0),"")</f>
        <v>0</v>
      </c>
      <c r="AR708" s="779" t="s">
        <v>1099</v>
      </c>
      <c r="AS708" s="783"/>
    </row>
    <row r="709" spans="1:45" x14ac:dyDescent="0.25">
      <c r="A709" s="455">
        <f t="shared" si="10"/>
        <v>35.200000000000003</v>
      </c>
      <c r="B709" s="778">
        <v>41253</v>
      </c>
      <c r="C709" s="779" t="s">
        <v>912</v>
      </c>
      <c r="D709" s="780" t="s">
        <v>912</v>
      </c>
      <c r="E709" s="779" t="s">
        <v>380</v>
      </c>
      <c r="F709" s="435" t="s">
        <v>310</v>
      </c>
      <c r="G709" s="435" t="s">
        <v>353</v>
      </c>
      <c r="H709" s="436">
        <v>4285</v>
      </c>
      <c r="I709" s="441"/>
      <c r="J709" s="434">
        <v>4055</v>
      </c>
      <c r="K709" s="434"/>
      <c r="L709" s="434"/>
      <c r="M709" s="434"/>
      <c r="N709" s="434"/>
      <c r="O709" s="434"/>
      <c r="P709" s="437">
        <v>0</v>
      </c>
      <c r="Q709" s="437">
        <v>0</v>
      </c>
      <c r="R709" s="436"/>
      <c r="S709" s="436"/>
      <c r="T709" s="436"/>
      <c r="U709" s="436"/>
      <c r="V709" s="436"/>
      <c r="W709" s="436">
        <f>IF(NFI_Expiration=1,IF($A709&lt;VLOOKUP(H$5,NFI,5,0),1,0)*Table_NFI[[#This Row],[Hygiene Kit]],Table_NFI[Hygiene Kit])</f>
        <v>0</v>
      </c>
      <c r="X709" s="436">
        <f>IF(NFI_Expiration=1,IF($A709&lt;VLOOKUP(I$5,NFI,5,0),1,0)*Table_NFI[[#This Row],[NFI Core Kit]],Table_NFI[NFI Core Kit])</f>
        <v>0</v>
      </c>
      <c r="Y709" s="436">
        <f>IF(NFI_Expiration=1,IF($A709&lt;VLOOKUP(J$5,NFI,5,0),1,0)*Table_NFI[[#This Row],[Sanitary Kit]],Table_NFI[Sanitary Kit])</f>
        <v>0</v>
      </c>
      <c r="Z709" s="436">
        <f>IF(NFI_Expiration=1,IF($A709&lt;VLOOKUP(K$5,NFI,5,0),1,0)*Table_NFI[[#This Row],[Mosquito net]],Table_NFI[Mosquito net])</f>
        <v>0</v>
      </c>
      <c r="AA709" s="436">
        <f>IF(NFI_Expiration=1,IF($A709&lt;VLOOKUP(L$5,NFI,5,0),1,0)*Table_NFI[[#This Row],[Tarpaulin]],Table_NFI[[#This Row],[Tarpaulin]])</f>
        <v>0</v>
      </c>
      <c r="AB709" s="436">
        <f>IF(NFI_Expiration=1,IF($A709&lt;VLOOKUP(M$5,NFI,5,0),1,0)*Table_NFI[[#This Row],[Blanket]],Table_NFI[[#This Row],[Blanket]])</f>
        <v>0</v>
      </c>
      <c r="AC709" s="436">
        <f>IF(NFI_Expiration=1,IF($A709&lt;VLOOKUP(N$5,NFI,5,0),1,0)*Table_NFI[[#This Row],[Kitchen Set]],Table_NFI[Kitchen Set])</f>
        <v>0</v>
      </c>
      <c r="AD709" s="436">
        <f>IF(NFI_Expiration=1,IF($A709&lt;VLOOKUP(O$5,NFI,5,0),1,0)*Table_NFI[[#This Row],[Clothes Kit]],Table_NFI[Clothes Kit])</f>
        <v>0</v>
      </c>
      <c r="AE709" s="436">
        <f>IF(NFI_Expiration=1,IF($A709&lt;VLOOKUP(P$5,NFI,5,0),1,0)*Table_NFI[[#This Row],[Plastic Bucket]],Table_NFI[Plastic Bucket])</f>
        <v>0</v>
      </c>
      <c r="AF709" s="436">
        <f>IF(NFI_Expiration=1,IF($A709&lt;VLOOKUP(Q$5,NFI,5,0),1,0)*Table_NFI[[#This Row],[Plastic Mat]],Table_NFI[Plastic Mat])*IF(Table_NFI[[#This Row],[Distribution Date]]&gt;"2014-04-01",1,2.5)</f>
        <v>0</v>
      </c>
      <c r="AG709" s="436">
        <f>IF(NFI_Expiration=1,IF($A709&lt;VLOOKUP(R$5,NFI,5,0),1,0)*Table_NFI[[#This Row],[Winter Clothes Adult]],Table_NFI[Winter Clothes Adult])</f>
        <v>0</v>
      </c>
      <c r="AH709" s="436">
        <f>IF(NFI_Expiration=1,IF($A709&lt;VLOOKUP(S$5,NFI,5,0),1,0)*Table_NFI[[#This Row],[Winter Clothes Children]],Table_NFI[Winter Clothes Children])</f>
        <v>0</v>
      </c>
      <c r="AI709" s="436">
        <f>IF(NFI_Expiration=1,IF($A709&lt;VLOOKUP(T$5,NFI,5,0),1,0)*Table_NFI[[#This Row],[Winter Items Other]],Table_NFI[Winter Items Other])</f>
        <v>0</v>
      </c>
      <c r="AJ709" s="436">
        <f>IF(NFI_Expiration=1,IF($A709&lt;VLOOKUP(M$5,NFI,5,0),1,0)*Table_NFI[[#This Row],[Winter Blanket]],Table_NFI[[#This Row],[Winter Blanket]])</f>
        <v>0</v>
      </c>
      <c r="AK709" s="436">
        <f>IF(Table_NFI[[#This Row],[Winter Clothes Adult]]+Table_NFI[[#This Row],[Winter Clothes Children]]+Table_NFI[[#This Row],[Winter Items Other]]+Table_NFI[[#This Row],[Winter Blanket]]&gt;0,1,0)</f>
        <v>0</v>
      </c>
      <c r="AL709" s="439">
        <f>IF(NFI_Expiration=1,IF($A709&lt;VLOOKUP(V$5,NFI,5,0),1,0)*Table_NFI[[#This Row],[Jerry Can]],Table_NFI[Jerry Can])</f>
        <v>0</v>
      </c>
      <c r="AM709" s="781" t="str">
        <f>IFERROR(VLOOKUP(Table_NFI[[#This Row],[Camp Name]],CL,2,0),"")</f>
        <v>MMR001CMP116</v>
      </c>
      <c r="AN709" s="782">
        <f ca="1">IF(Table_NFI[[#This Row],[Pcode]]="","",IF(OFFSET(CampList[Opening Date],MATCH(Table_NFI[[#This Row],[Pcode]],CampList[CP_Pcode],0)-1,0,1,1)&gt;=NFI_Monitor_Date,1,0))</f>
        <v>0</v>
      </c>
      <c r="AO709" s="781" t="str">
        <f>IFERROR(VLOOKUP(Table_NFI[[#This Row],[Camp Name]],CL,3,0),"")</f>
        <v>Open</v>
      </c>
      <c r="AP709" s="436" t="str">
        <f ca="1">IF(Table_NFI[[#This Row],[Pcode]]="","",OFFSET(CampList[Priority],MATCH(Table_NFI[[#This Row],[Pcode]],CampList[CP_Pcode],0)-1,0,1,1))</f>
        <v>P4</v>
      </c>
      <c r="AQ709" s="438">
        <f>IFERROR(Table_NFI[[#This Row],[Kitchen Set]]/VLOOKUP(Table_NFI[[#This Row],[Camp Name]],CL,4,0),"")</f>
        <v>0</v>
      </c>
      <c r="AR709" s="779" t="s">
        <v>1099</v>
      </c>
      <c r="AS709" s="783"/>
    </row>
    <row r="710" spans="1:45" x14ac:dyDescent="0.25">
      <c r="A710" s="455">
        <f t="shared" ref="A710:A773" si="11">IF(ISBLANK(B710),"",(Report_Date-B710)/30)</f>
        <v>35.266666666666666</v>
      </c>
      <c r="B710" s="778">
        <v>41251</v>
      </c>
      <c r="C710" s="779" t="s">
        <v>912</v>
      </c>
      <c r="D710" s="780" t="s">
        <v>912</v>
      </c>
      <c r="E710" s="779" t="s">
        <v>380</v>
      </c>
      <c r="F710" s="435" t="s">
        <v>310</v>
      </c>
      <c r="G710" s="435" t="s">
        <v>1271</v>
      </c>
      <c r="H710" s="436">
        <v>1690</v>
      </c>
      <c r="I710" s="436"/>
      <c r="J710" s="436">
        <v>2245</v>
      </c>
      <c r="K710" s="436"/>
      <c r="L710" s="437"/>
      <c r="M710" s="437"/>
      <c r="N710" s="437"/>
      <c r="O710" s="437"/>
      <c r="P710" s="437">
        <v>0</v>
      </c>
      <c r="Q710" s="437">
        <v>0</v>
      </c>
      <c r="R710" s="436"/>
      <c r="S710" s="436"/>
      <c r="T710" s="436"/>
      <c r="U710" s="436"/>
      <c r="V710" s="436"/>
      <c r="W710" s="436">
        <f>IF(NFI_Expiration=1,IF($A710&lt;VLOOKUP(H$5,NFI,5,0),1,0)*Table_NFI[[#This Row],[Hygiene Kit]],Table_NFI[Hygiene Kit])</f>
        <v>0</v>
      </c>
      <c r="X710" s="436">
        <f>IF(NFI_Expiration=1,IF($A710&lt;VLOOKUP(I$5,NFI,5,0),1,0)*Table_NFI[[#This Row],[NFI Core Kit]],Table_NFI[NFI Core Kit])</f>
        <v>0</v>
      </c>
      <c r="Y710" s="436">
        <f>IF(NFI_Expiration=1,IF($A710&lt;VLOOKUP(J$5,NFI,5,0),1,0)*Table_NFI[[#This Row],[Sanitary Kit]],Table_NFI[Sanitary Kit])</f>
        <v>0</v>
      </c>
      <c r="Z710" s="436">
        <f>IF(NFI_Expiration=1,IF($A710&lt;VLOOKUP(K$5,NFI,5,0),1,0)*Table_NFI[[#This Row],[Mosquito net]],Table_NFI[Mosquito net])</f>
        <v>0</v>
      </c>
      <c r="AA710" s="436">
        <f>IF(NFI_Expiration=1,IF($A710&lt;VLOOKUP(L$5,NFI,5,0),1,0)*Table_NFI[[#This Row],[Tarpaulin]],Table_NFI[[#This Row],[Tarpaulin]])</f>
        <v>0</v>
      </c>
      <c r="AB710" s="436">
        <f>IF(NFI_Expiration=1,IF($A710&lt;VLOOKUP(M$5,NFI,5,0),1,0)*Table_NFI[[#This Row],[Blanket]],Table_NFI[[#This Row],[Blanket]])</f>
        <v>0</v>
      </c>
      <c r="AC710" s="436">
        <f>IF(NFI_Expiration=1,IF($A710&lt;VLOOKUP(N$5,NFI,5,0),1,0)*Table_NFI[[#This Row],[Kitchen Set]],Table_NFI[Kitchen Set])</f>
        <v>0</v>
      </c>
      <c r="AD710" s="436">
        <f>IF(NFI_Expiration=1,IF($A710&lt;VLOOKUP(O$5,NFI,5,0),1,0)*Table_NFI[[#This Row],[Clothes Kit]],Table_NFI[Clothes Kit])</f>
        <v>0</v>
      </c>
      <c r="AE710" s="436">
        <f>IF(NFI_Expiration=1,IF($A710&lt;VLOOKUP(P$5,NFI,5,0),1,0)*Table_NFI[[#This Row],[Plastic Bucket]],Table_NFI[Plastic Bucket])</f>
        <v>0</v>
      </c>
      <c r="AF710" s="436">
        <f>IF(NFI_Expiration=1,IF($A710&lt;VLOOKUP(Q$5,NFI,5,0),1,0)*Table_NFI[[#This Row],[Plastic Mat]],Table_NFI[Plastic Mat])*IF(Table_NFI[[#This Row],[Distribution Date]]&gt;"2014-04-01",1,2.5)</f>
        <v>0</v>
      </c>
      <c r="AG710" s="436">
        <f>IF(NFI_Expiration=1,IF($A710&lt;VLOOKUP(R$5,NFI,5,0),1,0)*Table_NFI[[#This Row],[Winter Clothes Adult]],Table_NFI[Winter Clothes Adult])</f>
        <v>0</v>
      </c>
      <c r="AH710" s="436">
        <f>IF(NFI_Expiration=1,IF($A710&lt;VLOOKUP(S$5,NFI,5,0),1,0)*Table_NFI[[#This Row],[Winter Clothes Children]],Table_NFI[Winter Clothes Children])</f>
        <v>0</v>
      </c>
      <c r="AI710" s="436">
        <f>IF(NFI_Expiration=1,IF($A710&lt;VLOOKUP(T$5,NFI,5,0),1,0)*Table_NFI[[#This Row],[Winter Items Other]],Table_NFI[Winter Items Other])</f>
        <v>0</v>
      </c>
      <c r="AJ710" s="436">
        <f>IF(NFI_Expiration=1,IF($A710&lt;VLOOKUP(M$5,NFI,5,0),1,0)*Table_NFI[[#This Row],[Winter Blanket]],Table_NFI[[#This Row],[Winter Blanket]])</f>
        <v>0</v>
      </c>
      <c r="AK710" s="436">
        <f>IF(Table_NFI[[#This Row],[Winter Clothes Adult]]+Table_NFI[[#This Row],[Winter Clothes Children]]+Table_NFI[[#This Row],[Winter Items Other]]+Table_NFI[[#This Row],[Winter Blanket]]&gt;0,1,0)</f>
        <v>0</v>
      </c>
      <c r="AL710" s="439">
        <f>IF(NFI_Expiration=1,IF($A710&lt;VLOOKUP(V$5,NFI,5,0),1,0)*Table_NFI[[#This Row],[Jerry Can]],Table_NFI[Jerry Can])</f>
        <v>0</v>
      </c>
      <c r="AM710" s="781" t="str">
        <f>IFERROR(VLOOKUP(Table_NFI[[#This Row],[Camp Name]],CL,2,0),"")</f>
        <v>MMR001CMP117</v>
      </c>
      <c r="AN710" s="782">
        <f ca="1">IF(Table_NFI[[#This Row],[Pcode]]="","",IF(OFFSET(CampList[Opening Date],MATCH(Table_NFI[[#This Row],[Pcode]],CampList[CP_Pcode],0)-1,0,1,1)&gt;=NFI_Monitor_Date,1,0))</f>
        <v>0</v>
      </c>
      <c r="AO710" s="781" t="str">
        <f>IFERROR(VLOOKUP(Table_NFI[[#This Row],[Camp Name]],CL,3,0),"")</f>
        <v>Closed</v>
      </c>
      <c r="AP710" s="436" t="str">
        <f ca="1">IF(Table_NFI[[#This Row],[Pcode]]="","",OFFSET(CampList[Priority],MATCH(Table_NFI[[#This Row],[Pcode]],CampList[CP_Pcode],0)-1,0,1,1))</f>
        <v>P2</v>
      </c>
      <c r="AQ710" s="438" t="str">
        <f>IFERROR(Table_NFI[[#This Row],[Kitchen Set]]/VLOOKUP(Table_NFI[[#This Row],[Camp Name]],CL,4,0),"")</f>
        <v/>
      </c>
      <c r="AR710" s="779" t="s">
        <v>1099</v>
      </c>
      <c r="AS710" s="783"/>
    </row>
    <row r="711" spans="1:45" x14ac:dyDescent="0.25">
      <c r="A711" s="455">
        <f t="shared" si="11"/>
        <v>36.133333333333333</v>
      </c>
      <c r="B711" s="778">
        <v>41225</v>
      </c>
      <c r="C711" s="779" t="s">
        <v>454</v>
      </c>
      <c r="D711" s="780" t="s">
        <v>454</v>
      </c>
      <c r="E711" s="779" t="s">
        <v>380</v>
      </c>
      <c r="F711" s="435" t="s">
        <v>310</v>
      </c>
      <c r="G711" s="435" t="s">
        <v>318</v>
      </c>
      <c r="H711" s="436"/>
      <c r="I711" s="436"/>
      <c r="J711" s="436"/>
      <c r="K711" s="436">
        <v>12</v>
      </c>
      <c r="L711" s="437">
        <v>12</v>
      </c>
      <c r="M711" s="437">
        <v>12</v>
      </c>
      <c r="N711" s="437">
        <v>5</v>
      </c>
      <c r="O711" s="437">
        <v>5</v>
      </c>
      <c r="P711" s="437">
        <v>5</v>
      </c>
      <c r="Q711" s="437">
        <v>5</v>
      </c>
      <c r="R711" s="436"/>
      <c r="S711" s="436"/>
      <c r="T711" s="436"/>
      <c r="U711" s="436"/>
      <c r="V711" s="436"/>
      <c r="W711" s="436">
        <f>IF(NFI_Expiration=1,IF($A711&lt;VLOOKUP(H$5,NFI,5,0),1,0)*Table_NFI[[#This Row],[Hygiene Kit]],Table_NFI[Hygiene Kit])</f>
        <v>0</v>
      </c>
      <c r="X711" s="436">
        <f>IF(NFI_Expiration=1,IF($A711&lt;VLOOKUP(I$5,NFI,5,0),1,0)*Table_NFI[[#This Row],[NFI Core Kit]],Table_NFI[NFI Core Kit])</f>
        <v>0</v>
      </c>
      <c r="Y711" s="436">
        <f>IF(NFI_Expiration=1,IF($A711&lt;VLOOKUP(J$5,NFI,5,0),1,0)*Table_NFI[[#This Row],[Sanitary Kit]],Table_NFI[Sanitary Kit])</f>
        <v>0</v>
      </c>
      <c r="Z711" s="436">
        <f>IF(NFI_Expiration=1,IF($A711&lt;VLOOKUP(K$5,NFI,5,0),1,0)*Table_NFI[[#This Row],[Mosquito net]],Table_NFI[Mosquito net])</f>
        <v>0</v>
      </c>
      <c r="AA711" s="436">
        <f>IF(NFI_Expiration=1,IF($A711&lt;VLOOKUP(L$5,NFI,5,0),1,0)*Table_NFI[[#This Row],[Tarpaulin]],Table_NFI[[#This Row],[Tarpaulin]])</f>
        <v>0</v>
      </c>
      <c r="AB711" s="436">
        <f>IF(NFI_Expiration=1,IF($A711&lt;VLOOKUP(M$5,NFI,5,0),1,0)*Table_NFI[[#This Row],[Blanket]],Table_NFI[[#This Row],[Blanket]])</f>
        <v>0</v>
      </c>
      <c r="AC711" s="436">
        <f>IF(NFI_Expiration=1,IF($A711&lt;VLOOKUP(N$5,NFI,5,0),1,0)*Table_NFI[[#This Row],[Kitchen Set]],Table_NFI[Kitchen Set])</f>
        <v>0</v>
      </c>
      <c r="AD711" s="436">
        <f>IF(NFI_Expiration=1,IF($A711&lt;VLOOKUP(O$5,NFI,5,0),1,0)*Table_NFI[[#This Row],[Clothes Kit]],Table_NFI[Clothes Kit])</f>
        <v>0</v>
      </c>
      <c r="AE711" s="436">
        <f>IF(NFI_Expiration=1,IF($A711&lt;VLOOKUP(P$5,NFI,5,0),1,0)*Table_NFI[[#This Row],[Plastic Bucket]],Table_NFI[Plastic Bucket])</f>
        <v>0</v>
      </c>
      <c r="AF711" s="436">
        <f>IF(NFI_Expiration=1,IF($A711&lt;VLOOKUP(Q$5,NFI,5,0),1,0)*Table_NFI[[#This Row],[Plastic Mat]],Table_NFI[Plastic Mat])*IF(Table_NFI[[#This Row],[Distribution Date]]&gt;"2014-04-01",1,2.5)</f>
        <v>0</v>
      </c>
      <c r="AG711" s="436">
        <f>IF(NFI_Expiration=1,IF($A711&lt;VLOOKUP(R$5,NFI,5,0),1,0)*Table_NFI[[#This Row],[Winter Clothes Adult]],Table_NFI[Winter Clothes Adult])</f>
        <v>0</v>
      </c>
      <c r="AH711" s="436">
        <f>IF(NFI_Expiration=1,IF($A711&lt;VLOOKUP(S$5,NFI,5,0),1,0)*Table_NFI[[#This Row],[Winter Clothes Children]],Table_NFI[Winter Clothes Children])</f>
        <v>0</v>
      </c>
      <c r="AI711" s="436">
        <f>IF(NFI_Expiration=1,IF($A711&lt;VLOOKUP(T$5,NFI,5,0),1,0)*Table_NFI[[#This Row],[Winter Items Other]],Table_NFI[Winter Items Other])</f>
        <v>0</v>
      </c>
      <c r="AJ711" s="436">
        <f>IF(NFI_Expiration=1,IF($A711&lt;VLOOKUP(M$5,NFI,5,0),1,0)*Table_NFI[[#This Row],[Winter Blanket]],Table_NFI[[#This Row],[Winter Blanket]])</f>
        <v>0</v>
      </c>
      <c r="AK711" s="436">
        <f>IF(Table_NFI[[#This Row],[Winter Clothes Adult]]+Table_NFI[[#This Row],[Winter Clothes Children]]+Table_NFI[[#This Row],[Winter Items Other]]+Table_NFI[[#This Row],[Winter Blanket]]&gt;0,1,0)</f>
        <v>0</v>
      </c>
      <c r="AL711" s="439">
        <f>IF(NFI_Expiration=1,IF($A711&lt;VLOOKUP(V$5,NFI,5,0),1,0)*Table_NFI[[#This Row],[Jerry Can]],Table_NFI[Jerry Can])</f>
        <v>0</v>
      </c>
      <c r="AM711" s="781" t="str">
        <f>IFERROR(VLOOKUP(Table_NFI[[#This Row],[Camp Name]],CL,2,0),"")</f>
        <v>MMR001CMP032</v>
      </c>
      <c r="AN711" s="782">
        <f ca="1">IF(Table_NFI[[#This Row],[Pcode]]="","",IF(OFFSET(CampList[Opening Date],MATCH(Table_NFI[[#This Row],[Pcode]],CampList[CP_Pcode],0)-1,0,1,1)&gt;=NFI_Monitor_Date,1,0))</f>
        <v>0</v>
      </c>
      <c r="AO711" s="781" t="str">
        <f>IFERROR(VLOOKUP(Table_NFI[[#This Row],[Camp Name]],CL,3,0),"")</f>
        <v>Open</v>
      </c>
      <c r="AP711" s="436" t="str">
        <f ca="1">IF(Table_NFI[[#This Row],[Pcode]]="","",OFFSET(CampList[Priority],MATCH(Table_NFI[[#This Row],[Pcode]],CampList[CP_Pcode],0)-1,0,1,1))</f>
        <v>P4</v>
      </c>
      <c r="AQ711" s="438">
        <f>IFERROR(Table_NFI[[#This Row],[Kitchen Set]]/VLOOKUP(Table_NFI[[#This Row],[Camp Name]],CL,4,0),"")</f>
        <v>5.3191489361702128E-2</v>
      </c>
      <c r="AR711" s="779" t="s">
        <v>1099</v>
      </c>
      <c r="AS711" s="783"/>
    </row>
    <row r="712" spans="1:45" x14ac:dyDescent="0.25">
      <c r="A712" s="455">
        <f t="shared" si="11"/>
        <v>36.200000000000003</v>
      </c>
      <c r="B712" s="778">
        <v>41223</v>
      </c>
      <c r="C712" s="779" t="s">
        <v>454</v>
      </c>
      <c r="D712" s="779" t="s">
        <v>454</v>
      </c>
      <c r="E712" s="779" t="s">
        <v>380</v>
      </c>
      <c r="F712" s="779" t="s">
        <v>529</v>
      </c>
      <c r="G712" s="435" t="s">
        <v>88</v>
      </c>
      <c r="H712" s="436"/>
      <c r="I712" s="436"/>
      <c r="J712" s="436"/>
      <c r="K712" s="436">
        <v>12</v>
      </c>
      <c r="L712" s="437">
        <v>0</v>
      </c>
      <c r="M712" s="437">
        <v>12</v>
      </c>
      <c r="N712" s="437">
        <v>0</v>
      </c>
      <c r="O712" s="437">
        <v>0</v>
      </c>
      <c r="P712" s="437"/>
      <c r="Q712" s="437"/>
      <c r="R712" s="436"/>
      <c r="S712" s="436"/>
      <c r="T712" s="436"/>
      <c r="U712" s="436"/>
      <c r="V712" s="436"/>
      <c r="W712" s="436">
        <f>IF(NFI_Expiration=1,IF($A712&lt;VLOOKUP(H$5,NFI,5,0),1,0)*Table_NFI[[#This Row],[Hygiene Kit]],Table_NFI[Hygiene Kit])</f>
        <v>0</v>
      </c>
      <c r="X712" s="436">
        <f>IF(NFI_Expiration=1,IF($A712&lt;VLOOKUP(I$5,NFI,5,0),1,0)*Table_NFI[[#This Row],[NFI Core Kit]],Table_NFI[NFI Core Kit])</f>
        <v>0</v>
      </c>
      <c r="Y712" s="436">
        <f>IF(NFI_Expiration=1,IF($A712&lt;VLOOKUP(J$5,NFI,5,0),1,0)*Table_NFI[[#This Row],[Sanitary Kit]],Table_NFI[Sanitary Kit])</f>
        <v>0</v>
      </c>
      <c r="Z712" s="436">
        <f>IF(NFI_Expiration=1,IF($A712&lt;VLOOKUP(K$5,NFI,5,0),1,0)*Table_NFI[[#This Row],[Mosquito net]],Table_NFI[Mosquito net])</f>
        <v>0</v>
      </c>
      <c r="AA712" s="436">
        <f>IF(NFI_Expiration=1,IF($A712&lt;VLOOKUP(L$5,NFI,5,0),1,0)*Table_NFI[[#This Row],[Tarpaulin]],Table_NFI[[#This Row],[Tarpaulin]])</f>
        <v>0</v>
      </c>
      <c r="AB712" s="436">
        <f>IF(NFI_Expiration=1,IF($A712&lt;VLOOKUP(M$5,NFI,5,0),1,0)*Table_NFI[[#This Row],[Blanket]],Table_NFI[[#This Row],[Blanket]])</f>
        <v>0</v>
      </c>
      <c r="AC712" s="436">
        <f>IF(NFI_Expiration=1,IF($A712&lt;VLOOKUP(N$5,NFI,5,0),1,0)*Table_NFI[[#This Row],[Kitchen Set]],Table_NFI[Kitchen Set])</f>
        <v>0</v>
      </c>
      <c r="AD712" s="436">
        <f>IF(NFI_Expiration=1,IF($A712&lt;VLOOKUP(O$5,NFI,5,0),1,0)*Table_NFI[[#This Row],[Clothes Kit]],Table_NFI[Clothes Kit])</f>
        <v>0</v>
      </c>
      <c r="AE712" s="436">
        <f>IF(NFI_Expiration=1,IF($A712&lt;VLOOKUP(P$5,NFI,5,0),1,0)*Table_NFI[[#This Row],[Plastic Bucket]],Table_NFI[Plastic Bucket])</f>
        <v>0</v>
      </c>
      <c r="AF712" s="436">
        <f>IF(NFI_Expiration=1,IF($A712&lt;VLOOKUP(Q$5,NFI,5,0),1,0)*Table_NFI[[#This Row],[Plastic Mat]],Table_NFI[Plastic Mat])*IF(Table_NFI[[#This Row],[Distribution Date]]&gt;"2014-04-01",1,2.5)</f>
        <v>0</v>
      </c>
      <c r="AG712" s="436">
        <f>IF(NFI_Expiration=1,IF($A712&lt;VLOOKUP(R$5,NFI,5,0),1,0)*Table_NFI[[#This Row],[Winter Clothes Adult]],Table_NFI[Winter Clothes Adult])</f>
        <v>0</v>
      </c>
      <c r="AH712" s="436">
        <f>IF(NFI_Expiration=1,IF($A712&lt;VLOOKUP(S$5,NFI,5,0),1,0)*Table_NFI[[#This Row],[Winter Clothes Children]],Table_NFI[Winter Clothes Children])</f>
        <v>0</v>
      </c>
      <c r="AI712" s="436">
        <f>IF(NFI_Expiration=1,IF($A712&lt;VLOOKUP(T$5,NFI,5,0),1,0)*Table_NFI[[#This Row],[Winter Items Other]],Table_NFI[Winter Items Other])</f>
        <v>0</v>
      </c>
      <c r="AJ712" s="436">
        <f>IF(NFI_Expiration=1,IF($A712&lt;VLOOKUP(M$5,NFI,5,0),1,0)*Table_NFI[[#This Row],[Winter Blanket]],Table_NFI[[#This Row],[Winter Blanket]])</f>
        <v>0</v>
      </c>
      <c r="AK712" s="436">
        <f>IF(Table_NFI[[#This Row],[Winter Clothes Adult]]+Table_NFI[[#This Row],[Winter Clothes Children]]+Table_NFI[[#This Row],[Winter Items Other]]+Table_NFI[[#This Row],[Winter Blanket]]&gt;0,1,0)</f>
        <v>0</v>
      </c>
      <c r="AL712" s="439">
        <f>IF(NFI_Expiration=1,IF($A712&lt;VLOOKUP(V$5,NFI,5,0),1,0)*Table_NFI[[#This Row],[Jerry Can]],Table_NFI[Jerry Can])</f>
        <v>0</v>
      </c>
      <c r="AM712" s="781" t="str">
        <f>IFERROR(VLOOKUP(Table_NFI[[#This Row],[Camp Name]],CL,2,0),"")</f>
        <v>MMR001CMP148</v>
      </c>
      <c r="AN712" s="782">
        <f ca="1">IF(Table_NFI[[#This Row],[Pcode]]="","",IF(OFFSET(CampList[Opening Date],MATCH(Table_NFI[[#This Row],[Pcode]],CampList[CP_Pcode],0)-1,0,1,1)&gt;=NFI_Monitor_Date,1,0))</f>
        <v>0</v>
      </c>
      <c r="AO712" s="781" t="str">
        <f>IFERROR(VLOOKUP(Table_NFI[[#This Row],[Camp Name]],CL,3,0),"")</f>
        <v>Open</v>
      </c>
      <c r="AP712" s="436" t="str">
        <f ca="1">IF(Table_NFI[[#This Row],[Pcode]]="","",OFFSET(CampList[Priority],MATCH(Table_NFI[[#This Row],[Pcode]],CampList[CP_Pcode],0)-1,0,1,1))</f>
        <v>P4</v>
      </c>
      <c r="AQ712" s="438">
        <f>IFERROR(Table_NFI[[#This Row],[Kitchen Set]]/VLOOKUP(Table_NFI[[#This Row],[Camp Name]],CL,4,0),"")</f>
        <v>0</v>
      </c>
      <c r="AR712" s="779" t="s">
        <v>1099</v>
      </c>
      <c r="AS712" s="783"/>
    </row>
    <row r="713" spans="1:45" x14ac:dyDescent="0.25">
      <c r="A713" s="455">
        <f t="shared" si="11"/>
        <v>36.366666666666667</v>
      </c>
      <c r="B713" s="778">
        <v>41218</v>
      </c>
      <c r="C713" s="779" t="s">
        <v>454</v>
      </c>
      <c r="D713" s="780" t="s">
        <v>454</v>
      </c>
      <c r="E713" s="779" t="s">
        <v>380</v>
      </c>
      <c r="F713" s="435" t="s">
        <v>529</v>
      </c>
      <c r="G713" s="435" t="s">
        <v>88</v>
      </c>
      <c r="H713" s="436"/>
      <c r="I713" s="436"/>
      <c r="J713" s="436"/>
      <c r="K713" s="436">
        <v>70</v>
      </c>
      <c r="L713" s="437">
        <v>40</v>
      </c>
      <c r="M713" s="437">
        <v>70</v>
      </c>
      <c r="N713" s="437">
        <v>40</v>
      </c>
      <c r="O713" s="437">
        <v>40</v>
      </c>
      <c r="P713" s="437">
        <v>40</v>
      </c>
      <c r="Q713" s="437">
        <v>40</v>
      </c>
      <c r="R713" s="436"/>
      <c r="S713" s="436"/>
      <c r="T713" s="436"/>
      <c r="U713" s="436"/>
      <c r="V713" s="436"/>
      <c r="W713" s="436">
        <f>IF(NFI_Expiration=1,IF($A713&lt;VLOOKUP(H$5,NFI,5,0),1,0)*Table_NFI[[#This Row],[Hygiene Kit]],Table_NFI[Hygiene Kit])</f>
        <v>0</v>
      </c>
      <c r="X713" s="436">
        <f>IF(NFI_Expiration=1,IF($A713&lt;VLOOKUP(I$5,NFI,5,0),1,0)*Table_NFI[[#This Row],[NFI Core Kit]],Table_NFI[NFI Core Kit])</f>
        <v>0</v>
      </c>
      <c r="Y713" s="436">
        <f>IF(NFI_Expiration=1,IF($A713&lt;VLOOKUP(J$5,NFI,5,0),1,0)*Table_NFI[[#This Row],[Sanitary Kit]],Table_NFI[Sanitary Kit])</f>
        <v>0</v>
      </c>
      <c r="Z713" s="436">
        <f>IF(NFI_Expiration=1,IF($A713&lt;VLOOKUP(K$5,NFI,5,0),1,0)*Table_NFI[[#This Row],[Mosquito net]],Table_NFI[Mosquito net])</f>
        <v>0</v>
      </c>
      <c r="AA713" s="436">
        <f>IF(NFI_Expiration=1,IF($A713&lt;VLOOKUP(L$5,NFI,5,0),1,0)*Table_NFI[[#This Row],[Tarpaulin]],Table_NFI[[#This Row],[Tarpaulin]])</f>
        <v>0</v>
      </c>
      <c r="AB713" s="436">
        <f>IF(NFI_Expiration=1,IF($A713&lt;VLOOKUP(M$5,NFI,5,0),1,0)*Table_NFI[[#This Row],[Blanket]],Table_NFI[[#This Row],[Blanket]])</f>
        <v>0</v>
      </c>
      <c r="AC713" s="436">
        <f>IF(NFI_Expiration=1,IF($A713&lt;VLOOKUP(N$5,NFI,5,0),1,0)*Table_NFI[[#This Row],[Kitchen Set]],Table_NFI[Kitchen Set])</f>
        <v>0</v>
      </c>
      <c r="AD713" s="436">
        <f>IF(NFI_Expiration=1,IF($A713&lt;VLOOKUP(O$5,NFI,5,0),1,0)*Table_NFI[[#This Row],[Clothes Kit]],Table_NFI[Clothes Kit])</f>
        <v>0</v>
      </c>
      <c r="AE713" s="436">
        <f>IF(NFI_Expiration=1,IF($A713&lt;VLOOKUP(P$5,NFI,5,0),1,0)*Table_NFI[[#This Row],[Plastic Bucket]],Table_NFI[Plastic Bucket])</f>
        <v>0</v>
      </c>
      <c r="AF713" s="436">
        <f>IF(NFI_Expiration=1,IF($A713&lt;VLOOKUP(Q$5,NFI,5,0),1,0)*Table_NFI[[#This Row],[Plastic Mat]],Table_NFI[Plastic Mat])*IF(Table_NFI[[#This Row],[Distribution Date]]&gt;"2014-04-01",1,2.5)</f>
        <v>0</v>
      </c>
      <c r="AG713" s="436">
        <f>IF(NFI_Expiration=1,IF($A713&lt;VLOOKUP(R$5,NFI,5,0),1,0)*Table_NFI[[#This Row],[Winter Clothes Adult]],Table_NFI[Winter Clothes Adult])</f>
        <v>0</v>
      </c>
      <c r="AH713" s="436">
        <f>IF(NFI_Expiration=1,IF($A713&lt;VLOOKUP(S$5,NFI,5,0),1,0)*Table_NFI[[#This Row],[Winter Clothes Children]],Table_NFI[Winter Clothes Children])</f>
        <v>0</v>
      </c>
      <c r="AI713" s="436">
        <f>IF(NFI_Expiration=1,IF($A713&lt;VLOOKUP(T$5,NFI,5,0),1,0)*Table_NFI[[#This Row],[Winter Items Other]],Table_NFI[Winter Items Other])</f>
        <v>0</v>
      </c>
      <c r="AJ713" s="436">
        <f>IF(NFI_Expiration=1,IF($A713&lt;VLOOKUP(M$5,NFI,5,0),1,0)*Table_NFI[[#This Row],[Winter Blanket]],Table_NFI[[#This Row],[Winter Blanket]])</f>
        <v>0</v>
      </c>
      <c r="AK713" s="436">
        <f>IF(Table_NFI[[#This Row],[Winter Clothes Adult]]+Table_NFI[[#This Row],[Winter Clothes Children]]+Table_NFI[[#This Row],[Winter Items Other]]+Table_NFI[[#This Row],[Winter Blanket]]&gt;0,1,0)</f>
        <v>0</v>
      </c>
      <c r="AL713" s="439">
        <f>IF(NFI_Expiration=1,IF($A713&lt;VLOOKUP(V$5,NFI,5,0),1,0)*Table_NFI[[#This Row],[Jerry Can]],Table_NFI[Jerry Can])</f>
        <v>0</v>
      </c>
      <c r="AM713" s="781" t="str">
        <f>IFERROR(VLOOKUP(Table_NFI[[#This Row],[Camp Name]],CL,2,0),"")</f>
        <v>MMR001CMP148</v>
      </c>
      <c r="AN713" s="782">
        <f ca="1">IF(Table_NFI[[#This Row],[Pcode]]="","",IF(OFFSET(CampList[Opening Date],MATCH(Table_NFI[[#This Row],[Pcode]],CampList[CP_Pcode],0)-1,0,1,1)&gt;=NFI_Monitor_Date,1,0))</f>
        <v>0</v>
      </c>
      <c r="AO713" s="781" t="str">
        <f>IFERROR(VLOOKUP(Table_NFI[[#This Row],[Camp Name]],CL,3,0),"")</f>
        <v>Open</v>
      </c>
      <c r="AP713" s="436" t="str">
        <f ca="1">IF(Table_NFI[[#This Row],[Pcode]]="","",OFFSET(CampList[Priority],MATCH(Table_NFI[[#This Row],[Pcode]],CampList[CP_Pcode],0)-1,0,1,1))</f>
        <v>P4</v>
      </c>
      <c r="AQ713" s="438">
        <f>IFERROR(Table_NFI[[#This Row],[Kitchen Set]]/VLOOKUP(Table_NFI[[#This Row],[Camp Name]],CL,4,0),"")</f>
        <v>3.3333333333333335</v>
      </c>
      <c r="AR713" s="779" t="s">
        <v>1099</v>
      </c>
      <c r="AS713" s="783"/>
    </row>
    <row r="714" spans="1:45" x14ac:dyDescent="0.25">
      <c r="A714" s="455">
        <f t="shared" si="11"/>
        <v>37.200000000000003</v>
      </c>
      <c r="B714" s="778">
        <v>41193</v>
      </c>
      <c r="C714" s="779" t="s">
        <v>454</v>
      </c>
      <c r="D714" s="780" t="s">
        <v>454</v>
      </c>
      <c r="E714" s="779" t="s">
        <v>380</v>
      </c>
      <c r="F714" s="435" t="s">
        <v>185</v>
      </c>
      <c r="G714" s="435" t="s">
        <v>225</v>
      </c>
      <c r="H714" s="436"/>
      <c r="I714" s="436"/>
      <c r="J714" s="436"/>
      <c r="K714" s="436">
        <v>28</v>
      </c>
      <c r="L714" s="437">
        <v>17</v>
      </c>
      <c r="M714" s="437">
        <v>28</v>
      </c>
      <c r="N714" s="437">
        <v>17</v>
      </c>
      <c r="O714" s="437">
        <v>17</v>
      </c>
      <c r="P714" s="437">
        <v>17</v>
      </c>
      <c r="Q714" s="437">
        <v>17</v>
      </c>
      <c r="R714" s="436"/>
      <c r="S714" s="436"/>
      <c r="T714" s="436"/>
      <c r="U714" s="436"/>
      <c r="V714" s="436"/>
      <c r="W714" s="436">
        <f>IF(NFI_Expiration=1,IF($A714&lt;VLOOKUP(H$5,NFI,5,0),1,0)*Table_NFI[[#This Row],[Hygiene Kit]],Table_NFI[Hygiene Kit])</f>
        <v>0</v>
      </c>
      <c r="X714" s="436">
        <f>IF(NFI_Expiration=1,IF($A714&lt;VLOOKUP(I$5,NFI,5,0),1,0)*Table_NFI[[#This Row],[NFI Core Kit]],Table_NFI[NFI Core Kit])</f>
        <v>0</v>
      </c>
      <c r="Y714" s="436">
        <f>IF(NFI_Expiration=1,IF($A714&lt;VLOOKUP(J$5,NFI,5,0),1,0)*Table_NFI[[#This Row],[Sanitary Kit]],Table_NFI[Sanitary Kit])</f>
        <v>0</v>
      </c>
      <c r="Z714" s="436">
        <f>IF(NFI_Expiration=1,IF($A714&lt;VLOOKUP(K$5,NFI,5,0),1,0)*Table_NFI[[#This Row],[Mosquito net]],Table_NFI[Mosquito net])</f>
        <v>0</v>
      </c>
      <c r="AA714" s="436">
        <f>IF(NFI_Expiration=1,IF($A714&lt;VLOOKUP(L$5,NFI,5,0),1,0)*Table_NFI[[#This Row],[Tarpaulin]],Table_NFI[[#This Row],[Tarpaulin]])</f>
        <v>0</v>
      </c>
      <c r="AB714" s="436">
        <f>IF(NFI_Expiration=1,IF($A714&lt;VLOOKUP(M$5,NFI,5,0),1,0)*Table_NFI[[#This Row],[Blanket]],Table_NFI[[#This Row],[Blanket]])</f>
        <v>0</v>
      </c>
      <c r="AC714" s="436">
        <f>IF(NFI_Expiration=1,IF($A714&lt;VLOOKUP(N$5,NFI,5,0),1,0)*Table_NFI[[#This Row],[Kitchen Set]],Table_NFI[Kitchen Set])</f>
        <v>0</v>
      </c>
      <c r="AD714" s="436">
        <f>IF(NFI_Expiration=1,IF($A714&lt;VLOOKUP(O$5,NFI,5,0),1,0)*Table_NFI[[#This Row],[Clothes Kit]],Table_NFI[Clothes Kit])</f>
        <v>0</v>
      </c>
      <c r="AE714" s="436">
        <f>IF(NFI_Expiration=1,IF($A714&lt;VLOOKUP(P$5,NFI,5,0),1,0)*Table_NFI[[#This Row],[Plastic Bucket]],Table_NFI[Plastic Bucket])</f>
        <v>0</v>
      </c>
      <c r="AF714" s="436">
        <f>IF(NFI_Expiration=1,IF($A714&lt;VLOOKUP(Q$5,NFI,5,0),1,0)*Table_NFI[[#This Row],[Plastic Mat]],Table_NFI[Plastic Mat])*IF(Table_NFI[[#This Row],[Distribution Date]]&gt;"2014-04-01",1,2.5)</f>
        <v>0</v>
      </c>
      <c r="AG714" s="436">
        <f>IF(NFI_Expiration=1,IF($A714&lt;VLOOKUP(R$5,NFI,5,0),1,0)*Table_NFI[[#This Row],[Winter Clothes Adult]],Table_NFI[Winter Clothes Adult])</f>
        <v>0</v>
      </c>
      <c r="AH714" s="436">
        <f>IF(NFI_Expiration=1,IF($A714&lt;VLOOKUP(S$5,NFI,5,0),1,0)*Table_NFI[[#This Row],[Winter Clothes Children]],Table_NFI[Winter Clothes Children])</f>
        <v>0</v>
      </c>
      <c r="AI714" s="436">
        <f>IF(NFI_Expiration=1,IF($A714&lt;VLOOKUP(T$5,NFI,5,0),1,0)*Table_NFI[[#This Row],[Winter Items Other]],Table_NFI[Winter Items Other])</f>
        <v>0</v>
      </c>
      <c r="AJ714" s="436">
        <f>IF(NFI_Expiration=1,IF($A714&lt;VLOOKUP(M$5,NFI,5,0),1,0)*Table_NFI[[#This Row],[Winter Blanket]],Table_NFI[[#This Row],[Winter Blanket]])</f>
        <v>0</v>
      </c>
      <c r="AK714" s="436">
        <f>IF(Table_NFI[[#This Row],[Winter Clothes Adult]]+Table_NFI[[#This Row],[Winter Clothes Children]]+Table_NFI[[#This Row],[Winter Items Other]]+Table_NFI[[#This Row],[Winter Blanket]]&gt;0,1,0)</f>
        <v>0</v>
      </c>
      <c r="AL714" s="439">
        <f>IF(NFI_Expiration=1,IF($A714&lt;VLOOKUP(V$5,NFI,5,0),1,0)*Table_NFI[[#This Row],[Jerry Can]],Table_NFI[Jerry Can])</f>
        <v>0</v>
      </c>
      <c r="AM714" s="781" t="str">
        <f>IFERROR(VLOOKUP(Table_NFI[[#This Row],[Camp Name]],CL,2,0),"")</f>
        <v>MMR001CMP073</v>
      </c>
      <c r="AN714" s="782">
        <f ca="1">IF(Table_NFI[[#This Row],[Pcode]]="","",IF(OFFSET(CampList[Opening Date],MATCH(Table_NFI[[#This Row],[Pcode]],CampList[CP_Pcode],0)-1,0,1,1)&gt;=NFI_Monitor_Date,1,0))</f>
        <v>0</v>
      </c>
      <c r="AO714" s="781" t="str">
        <f>IFERROR(VLOOKUP(Table_NFI[[#This Row],[Camp Name]],CL,3,0),"")</f>
        <v>Open</v>
      </c>
      <c r="AP714" s="436" t="str">
        <f ca="1">IF(Table_NFI[[#This Row],[Pcode]]="","",OFFSET(CampList[Priority],MATCH(Table_NFI[[#This Row],[Pcode]],CampList[CP_Pcode],0)-1,0,1,1))</f>
        <v>P3</v>
      </c>
      <c r="AQ714" s="438">
        <f>IFERROR(Table_NFI[[#This Row],[Kitchen Set]]/VLOOKUP(Table_NFI[[#This Row],[Camp Name]],CL,4,0),"")</f>
        <v>0.37777777777777777</v>
      </c>
      <c r="AR714" s="779" t="s">
        <v>1099</v>
      </c>
      <c r="AS714" s="783"/>
    </row>
    <row r="715" spans="1:45" x14ac:dyDescent="0.25">
      <c r="A715" s="455">
        <f t="shared" si="11"/>
        <v>37.56666666666667</v>
      </c>
      <c r="B715" s="778">
        <v>41182</v>
      </c>
      <c r="C715" s="779" t="s">
        <v>454</v>
      </c>
      <c r="D715" s="779" t="s">
        <v>911</v>
      </c>
      <c r="E715" s="779" t="s">
        <v>380</v>
      </c>
      <c r="F715" s="779" t="s">
        <v>27</v>
      </c>
      <c r="G715" s="435" t="s">
        <v>37</v>
      </c>
      <c r="H715" s="436"/>
      <c r="I715" s="436"/>
      <c r="J715" s="436"/>
      <c r="K715" s="436">
        <v>34</v>
      </c>
      <c r="L715" s="437">
        <v>12</v>
      </c>
      <c r="M715" s="437">
        <v>34</v>
      </c>
      <c r="N715" s="437">
        <v>12</v>
      </c>
      <c r="O715" s="437">
        <v>12</v>
      </c>
      <c r="P715" s="437">
        <v>12</v>
      </c>
      <c r="Q715" s="437">
        <v>12</v>
      </c>
      <c r="R715" s="436"/>
      <c r="S715" s="436"/>
      <c r="T715" s="436"/>
      <c r="U715" s="436"/>
      <c r="V715" s="436"/>
      <c r="W715" s="436">
        <f>IF(NFI_Expiration=1,IF($A715&lt;VLOOKUP(H$5,NFI,5,0),1,0)*Table_NFI[[#This Row],[Hygiene Kit]],Table_NFI[Hygiene Kit])</f>
        <v>0</v>
      </c>
      <c r="X715" s="436">
        <f>IF(NFI_Expiration=1,IF($A715&lt;VLOOKUP(I$5,NFI,5,0),1,0)*Table_NFI[[#This Row],[NFI Core Kit]],Table_NFI[NFI Core Kit])</f>
        <v>0</v>
      </c>
      <c r="Y715" s="436">
        <f>IF(NFI_Expiration=1,IF($A715&lt;VLOOKUP(J$5,NFI,5,0),1,0)*Table_NFI[[#This Row],[Sanitary Kit]],Table_NFI[Sanitary Kit])</f>
        <v>0</v>
      </c>
      <c r="Z715" s="436">
        <f>IF(NFI_Expiration=1,IF($A715&lt;VLOOKUP(K$5,NFI,5,0),1,0)*Table_NFI[[#This Row],[Mosquito net]],Table_NFI[Mosquito net])</f>
        <v>0</v>
      </c>
      <c r="AA715" s="436">
        <f>IF(NFI_Expiration=1,IF($A715&lt;VLOOKUP(L$5,NFI,5,0),1,0)*Table_NFI[[#This Row],[Tarpaulin]],Table_NFI[[#This Row],[Tarpaulin]])</f>
        <v>0</v>
      </c>
      <c r="AB715" s="436">
        <f>IF(NFI_Expiration=1,IF($A715&lt;VLOOKUP(M$5,NFI,5,0),1,0)*Table_NFI[[#This Row],[Blanket]],Table_NFI[[#This Row],[Blanket]])</f>
        <v>0</v>
      </c>
      <c r="AC715" s="436">
        <f>IF(NFI_Expiration=1,IF($A715&lt;VLOOKUP(N$5,NFI,5,0),1,0)*Table_NFI[[#This Row],[Kitchen Set]],Table_NFI[Kitchen Set])</f>
        <v>0</v>
      </c>
      <c r="AD715" s="436">
        <f>IF(NFI_Expiration=1,IF($A715&lt;VLOOKUP(O$5,NFI,5,0),1,0)*Table_NFI[[#This Row],[Clothes Kit]],Table_NFI[Clothes Kit])</f>
        <v>0</v>
      </c>
      <c r="AE715" s="436">
        <f>IF(NFI_Expiration=1,IF($A715&lt;VLOOKUP(P$5,NFI,5,0),1,0)*Table_NFI[[#This Row],[Plastic Bucket]],Table_NFI[Plastic Bucket])</f>
        <v>0</v>
      </c>
      <c r="AF715" s="436">
        <f>IF(NFI_Expiration=1,IF($A715&lt;VLOOKUP(Q$5,NFI,5,0),1,0)*Table_NFI[[#This Row],[Plastic Mat]],Table_NFI[Plastic Mat])*IF(Table_NFI[[#This Row],[Distribution Date]]&gt;"2014-04-01",1,2.5)</f>
        <v>0</v>
      </c>
      <c r="AG715" s="436">
        <f>IF(NFI_Expiration=1,IF($A715&lt;VLOOKUP(R$5,NFI,5,0),1,0)*Table_NFI[[#This Row],[Winter Clothes Adult]],Table_NFI[Winter Clothes Adult])</f>
        <v>0</v>
      </c>
      <c r="AH715" s="436">
        <f>IF(NFI_Expiration=1,IF($A715&lt;VLOOKUP(S$5,NFI,5,0),1,0)*Table_NFI[[#This Row],[Winter Clothes Children]],Table_NFI[Winter Clothes Children])</f>
        <v>0</v>
      </c>
      <c r="AI715" s="436">
        <f>IF(NFI_Expiration=1,IF($A715&lt;VLOOKUP(T$5,NFI,5,0),1,0)*Table_NFI[[#This Row],[Winter Items Other]],Table_NFI[Winter Items Other])</f>
        <v>0</v>
      </c>
      <c r="AJ715" s="436">
        <f>IF(NFI_Expiration=1,IF($A715&lt;VLOOKUP(M$5,NFI,5,0),1,0)*Table_NFI[[#This Row],[Winter Blanket]],Table_NFI[[#This Row],[Winter Blanket]])</f>
        <v>0</v>
      </c>
      <c r="AK715" s="436">
        <f>IF(Table_NFI[[#This Row],[Winter Clothes Adult]]+Table_NFI[[#This Row],[Winter Clothes Children]]+Table_NFI[[#This Row],[Winter Items Other]]+Table_NFI[[#This Row],[Winter Blanket]]&gt;0,1,0)</f>
        <v>0</v>
      </c>
      <c r="AL715" s="439">
        <f>IF(NFI_Expiration=1,IF($A715&lt;VLOOKUP(V$5,NFI,5,0),1,0)*Table_NFI[[#This Row],[Jerry Can]],Table_NFI[Jerry Can])</f>
        <v>0</v>
      </c>
      <c r="AM715" s="781" t="str">
        <f>IFERROR(VLOOKUP(Table_NFI[[#This Row],[Camp Name]],CL,2,0),"")</f>
        <v>MMR001CMP044</v>
      </c>
      <c r="AN715" s="782">
        <f ca="1">IF(Table_NFI[[#This Row],[Pcode]]="","",IF(OFFSET(CampList[Opening Date],MATCH(Table_NFI[[#This Row],[Pcode]],CampList[CP_Pcode],0)-1,0,1,1)&gt;=NFI_Monitor_Date,1,0))</f>
        <v>0</v>
      </c>
      <c r="AO715" s="781" t="str">
        <f>IFERROR(VLOOKUP(Table_NFI[[#This Row],[Camp Name]],CL,3,0),"")</f>
        <v>Closed</v>
      </c>
      <c r="AP715" s="436" t="str">
        <f ca="1">IF(Table_NFI[[#This Row],[Pcode]]="","",OFFSET(CampList[Priority],MATCH(Table_NFI[[#This Row],[Pcode]],CampList[CP_Pcode],0)-1,0,1,1))</f>
        <v/>
      </c>
      <c r="AQ715" s="438" t="str">
        <f>IFERROR(Table_NFI[[#This Row],[Kitchen Set]]/VLOOKUP(Table_NFI[[#This Row],[Camp Name]],CL,4,0),"")</f>
        <v/>
      </c>
      <c r="AR715" s="779" t="s">
        <v>1099</v>
      </c>
      <c r="AS715" s="783"/>
    </row>
    <row r="716" spans="1:45" x14ac:dyDescent="0.25">
      <c r="A716" s="455">
        <f t="shared" si="11"/>
        <v>37.6</v>
      </c>
      <c r="B716" s="778">
        <v>41181</v>
      </c>
      <c r="C716" s="779" t="s">
        <v>454</v>
      </c>
      <c r="D716" s="779" t="s">
        <v>911</v>
      </c>
      <c r="E716" s="779" t="s">
        <v>380</v>
      </c>
      <c r="F716" s="779" t="s">
        <v>27</v>
      </c>
      <c r="G716" s="435" t="s">
        <v>365</v>
      </c>
      <c r="H716" s="436"/>
      <c r="I716" s="436"/>
      <c r="J716" s="436"/>
      <c r="K716" s="436">
        <v>34</v>
      </c>
      <c r="L716" s="437">
        <v>12</v>
      </c>
      <c r="M716" s="437">
        <v>34</v>
      </c>
      <c r="N716" s="437">
        <v>12</v>
      </c>
      <c r="O716" s="437">
        <v>12</v>
      </c>
      <c r="P716" s="437">
        <v>12</v>
      </c>
      <c r="Q716" s="437">
        <v>12</v>
      </c>
      <c r="R716" s="436"/>
      <c r="S716" s="436"/>
      <c r="T716" s="436"/>
      <c r="U716" s="436"/>
      <c r="V716" s="436"/>
      <c r="W716" s="436">
        <f>IF(NFI_Expiration=1,IF($A716&lt;VLOOKUP(H$5,NFI,5,0),1,0)*Table_NFI[[#This Row],[Hygiene Kit]],Table_NFI[Hygiene Kit])</f>
        <v>0</v>
      </c>
      <c r="X716" s="436">
        <f>IF(NFI_Expiration=1,IF($A716&lt;VLOOKUP(I$5,NFI,5,0),1,0)*Table_NFI[[#This Row],[NFI Core Kit]],Table_NFI[NFI Core Kit])</f>
        <v>0</v>
      </c>
      <c r="Y716" s="436">
        <f>IF(NFI_Expiration=1,IF($A716&lt;VLOOKUP(J$5,NFI,5,0),1,0)*Table_NFI[[#This Row],[Sanitary Kit]],Table_NFI[Sanitary Kit])</f>
        <v>0</v>
      </c>
      <c r="Z716" s="436">
        <f>IF(NFI_Expiration=1,IF($A716&lt;VLOOKUP(K$5,NFI,5,0),1,0)*Table_NFI[[#This Row],[Mosquito net]],Table_NFI[Mosquito net])</f>
        <v>0</v>
      </c>
      <c r="AA716" s="436">
        <f>IF(NFI_Expiration=1,IF($A716&lt;VLOOKUP(L$5,NFI,5,0),1,0)*Table_NFI[[#This Row],[Tarpaulin]],Table_NFI[[#This Row],[Tarpaulin]])</f>
        <v>0</v>
      </c>
      <c r="AB716" s="436">
        <f>IF(NFI_Expiration=1,IF($A716&lt;VLOOKUP(M$5,NFI,5,0),1,0)*Table_NFI[[#This Row],[Blanket]],Table_NFI[[#This Row],[Blanket]])</f>
        <v>0</v>
      </c>
      <c r="AC716" s="436">
        <f>IF(NFI_Expiration=1,IF($A716&lt;VLOOKUP(N$5,NFI,5,0),1,0)*Table_NFI[[#This Row],[Kitchen Set]],Table_NFI[Kitchen Set])</f>
        <v>0</v>
      </c>
      <c r="AD716" s="436">
        <f>IF(NFI_Expiration=1,IF($A716&lt;VLOOKUP(O$5,NFI,5,0),1,0)*Table_NFI[[#This Row],[Clothes Kit]],Table_NFI[Clothes Kit])</f>
        <v>0</v>
      </c>
      <c r="AE716" s="436">
        <f>IF(NFI_Expiration=1,IF($A716&lt;VLOOKUP(P$5,NFI,5,0),1,0)*Table_NFI[[#This Row],[Plastic Bucket]],Table_NFI[Plastic Bucket])</f>
        <v>0</v>
      </c>
      <c r="AF716" s="436">
        <f>IF(NFI_Expiration=1,IF($A716&lt;VLOOKUP(Q$5,NFI,5,0),1,0)*Table_NFI[[#This Row],[Plastic Mat]],Table_NFI[Plastic Mat])*IF(Table_NFI[[#This Row],[Distribution Date]]&gt;"2014-04-01",1,2.5)</f>
        <v>0</v>
      </c>
      <c r="AG716" s="436">
        <f>IF(NFI_Expiration=1,IF($A716&lt;VLOOKUP(R$5,NFI,5,0),1,0)*Table_NFI[[#This Row],[Winter Clothes Adult]],Table_NFI[Winter Clothes Adult])</f>
        <v>0</v>
      </c>
      <c r="AH716" s="436">
        <f>IF(NFI_Expiration=1,IF($A716&lt;VLOOKUP(S$5,NFI,5,0),1,0)*Table_NFI[[#This Row],[Winter Clothes Children]],Table_NFI[Winter Clothes Children])</f>
        <v>0</v>
      </c>
      <c r="AI716" s="436">
        <f>IF(NFI_Expiration=1,IF($A716&lt;VLOOKUP(T$5,NFI,5,0),1,0)*Table_NFI[[#This Row],[Winter Items Other]],Table_NFI[Winter Items Other])</f>
        <v>0</v>
      </c>
      <c r="AJ716" s="436">
        <f>IF(NFI_Expiration=1,IF($A716&lt;VLOOKUP(M$5,NFI,5,0),1,0)*Table_NFI[[#This Row],[Winter Blanket]],Table_NFI[[#This Row],[Winter Blanket]])</f>
        <v>0</v>
      </c>
      <c r="AK716" s="436">
        <f>IF(Table_NFI[[#This Row],[Winter Clothes Adult]]+Table_NFI[[#This Row],[Winter Clothes Children]]+Table_NFI[[#This Row],[Winter Items Other]]+Table_NFI[[#This Row],[Winter Blanket]]&gt;0,1,0)</f>
        <v>0</v>
      </c>
      <c r="AL716" s="439">
        <f>IF(NFI_Expiration=1,IF($A716&lt;VLOOKUP(V$5,NFI,5,0),1,0)*Table_NFI[[#This Row],[Jerry Can]],Table_NFI[Jerry Can])</f>
        <v>0</v>
      </c>
      <c r="AM716" s="781" t="str">
        <f>IFERROR(VLOOKUP(Table_NFI[[#This Row],[Camp Name]],CL,2,0),"")</f>
        <v>MMR001CMP195</v>
      </c>
      <c r="AN716" s="782">
        <f ca="1">IF(Table_NFI[[#This Row],[Pcode]]="","",IF(OFFSET(CampList[Opening Date],MATCH(Table_NFI[[#This Row],[Pcode]],CampList[CP_Pcode],0)-1,0,1,1)&gt;=NFI_Monitor_Date,1,0))</f>
        <v>0</v>
      </c>
      <c r="AO716" s="781" t="str">
        <f>IFERROR(VLOOKUP(Table_NFI[[#This Row],[Camp Name]],CL,3,0),"")</f>
        <v>Open</v>
      </c>
      <c r="AP716" s="436" t="str">
        <f ca="1">IF(Table_NFI[[#This Row],[Pcode]]="","",OFFSET(CampList[Priority],MATCH(Table_NFI[[#This Row],[Pcode]],CampList[CP_Pcode],0)-1,0,1,1))</f>
        <v>P1</v>
      </c>
      <c r="AQ716" s="438">
        <f>IFERROR(Table_NFI[[#This Row],[Kitchen Set]]/VLOOKUP(Table_NFI[[#This Row],[Camp Name]],CL,4,0),"")</f>
        <v>8.3333333333333329E-2</v>
      </c>
      <c r="AR716" s="779" t="s">
        <v>1099</v>
      </c>
      <c r="AS716" s="783"/>
    </row>
    <row r="717" spans="1:45" x14ac:dyDescent="0.25">
      <c r="A717" s="455">
        <f t="shared" si="11"/>
        <v>37.6</v>
      </c>
      <c r="B717" s="778">
        <v>41181</v>
      </c>
      <c r="C717" s="779" t="s">
        <v>454</v>
      </c>
      <c r="D717" s="779" t="s">
        <v>454</v>
      </c>
      <c r="E717" s="779" t="s">
        <v>380</v>
      </c>
      <c r="F717" s="435" t="s">
        <v>185</v>
      </c>
      <c r="G717" s="435" t="s">
        <v>190</v>
      </c>
      <c r="H717" s="436"/>
      <c r="I717" s="436"/>
      <c r="J717" s="436"/>
      <c r="K717" s="436">
        <v>151</v>
      </c>
      <c r="L717" s="439">
        <v>59</v>
      </c>
      <c r="M717" s="439">
        <v>151</v>
      </c>
      <c r="N717" s="439">
        <v>59</v>
      </c>
      <c r="O717" s="439">
        <v>59</v>
      </c>
      <c r="P717" s="439">
        <v>59</v>
      </c>
      <c r="Q717" s="439">
        <v>59</v>
      </c>
      <c r="R717" s="436"/>
      <c r="S717" s="436"/>
      <c r="T717" s="436"/>
      <c r="U717" s="436"/>
      <c r="V717" s="436"/>
      <c r="W717" s="436">
        <f>IF(NFI_Expiration=1,IF($A717&lt;VLOOKUP(H$5,NFI,5,0),1,0)*Table_NFI[[#This Row],[Hygiene Kit]],Table_NFI[Hygiene Kit])</f>
        <v>0</v>
      </c>
      <c r="X717" s="436">
        <f>IF(NFI_Expiration=1,IF($A717&lt;VLOOKUP(I$5,NFI,5,0),1,0)*Table_NFI[[#This Row],[NFI Core Kit]],Table_NFI[NFI Core Kit])</f>
        <v>0</v>
      </c>
      <c r="Y717" s="436">
        <f>IF(NFI_Expiration=1,IF($A717&lt;VLOOKUP(J$5,NFI,5,0),1,0)*Table_NFI[[#This Row],[Sanitary Kit]],Table_NFI[Sanitary Kit])</f>
        <v>0</v>
      </c>
      <c r="Z717" s="436">
        <f>IF(NFI_Expiration=1,IF($A717&lt;VLOOKUP(K$5,NFI,5,0),1,0)*Table_NFI[[#This Row],[Mosquito net]],Table_NFI[Mosquito net])</f>
        <v>0</v>
      </c>
      <c r="AA717" s="436">
        <f>IF(NFI_Expiration=1,IF($A717&lt;VLOOKUP(L$5,NFI,5,0),1,0)*Table_NFI[[#This Row],[Tarpaulin]],Table_NFI[[#This Row],[Tarpaulin]])</f>
        <v>0</v>
      </c>
      <c r="AB717" s="436">
        <f>IF(NFI_Expiration=1,IF($A717&lt;VLOOKUP(M$5,NFI,5,0),1,0)*Table_NFI[[#This Row],[Blanket]],Table_NFI[[#This Row],[Blanket]])</f>
        <v>0</v>
      </c>
      <c r="AC717" s="436">
        <f>IF(NFI_Expiration=1,IF($A717&lt;VLOOKUP(N$5,NFI,5,0),1,0)*Table_NFI[[#This Row],[Kitchen Set]],Table_NFI[Kitchen Set])</f>
        <v>0</v>
      </c>
      <c r="AD717" s="436">
        <f>IF(NFI_Expiration=1,IF($A717&lt;VLOOKUP(O$5,NFI,5,0),1,0)*Table_NFI[[#This Row],[Clothes Kit]],Table_NFI[Clothes Kit])</f>
        <v>0</v>
      </c>
      <c r="AE717" s="436">
        <f>IF(NFI_Expiration=1,IF($A717&lt;VLOOKUP(P$5,NFI,5,0),1,0)*Table_NFI[[#This Row],[Plastic Bucket]],Table_NFI[Plastic Bucket])</f>
        <v>0</v>
      </c>
      <c r="AF717" s="436">
        <f>IF(NFI_Expiration=1,IF($A717&lt;VLOOKUP(Q$5,NFI,5,0),1,0)*Table_NFI[[#This Row],[Plastic Mat]],Table_NFI[Plastic Mat])*IF(Table_NFI[[#This Row],[Distribution Date]]&gt;"2014-04-01",1,2.5)</f>
        <v>0</v>
      </c>
      <c r="AG717" s="436">
        <f>IF(NFI_Expiration=1,IF($A717&lt;VLOOKUP(R$5,NFI,5,0),1,0)*Table_NFI[[#This Row],[Winter Clothes Adult]],Table_NFI[Winter Clothes Adult])</f>
        <v>0</v>
      </c>
      <c r="AH717" s="436">
        <f>IF(NFI_Expiration=1,IF($A717&lt;VLOOKUP(S$5,NFI,5,0),1,0)*Table_NFI[[#This Row],[Winter Clothes Children]],Table_NFI[Winter Clothes Children])</f>
        <v>0</v>
      </c>
      <c r="AI717" s="436">
        <f>IF(NFI_Expiration=1,IF($A717&lt;VLOOKUP(T$5,NFI,5,0),1,0)*Table_NFI[[#This Row],[Winter Items Other]],Table_NFI[Winter Items Other])</f>
        <v>0</v>
      </c>
      <c r="AJ717" s="436">
        <f>IF(NFI_Expiration=1,IF($A717&lt;VLOOKUP(M$5,NFI,5,0),1,0)*Table_NFI[[#This Row],[Winter Blanket]],Table_NFI[[#This Row],[Winter Blanket]])</f>
        <v>0</v>
      </c>
      <c r="AK717" s="436">
        <f>IF(Table_NFI[[#This Row],[Winter Clothes Adult]]+Table_NFI[[#This Row],[Winter Clothes Children]]+Table_NFI[[#This Row],[Winter Items Other]]+Table_NFI[[#This Row],[Winter Blanket]]&gt;0,1,0)</f>
        <v>0</v>
      </c>
      <c r="AL717" s="439">
        <f>IF(NFI_Expiration=1,IF($A717&lt;VLOOKUP(V$5,NFI,5,0),1,0)*Table_NFI[[#This Row],[Jerry Can]],Table_NFI[Jerry Can])</f>
        <v>0</v>
      </c>
      <c r="AM717" s="781" t="str">
        <f>IFERROR(VLOOKUP(Table_NFI[[#This Row],[Camp Name]],CL,2,0),"")</f>
        <v>MMR001CMP070</v>
      </c>
      <c r="AN717" s="782">
        <f ca="1">IF(Table_NFI[[#This Row],[Pcode]]="","",IF(OFFSET(CampList[Opening Date],MATCH(Table_NFI[[#This Row],[Pcode]],CampList[CP_Pcode],0)-1,0,1,1)&gt;=NFI_Monitor_Date,1,0))</f>
        <v>0</v>
      </c>
      <c r="AO717" s="781" t="str">
        <f>IFERROR(VLOOKUP(Table_NFI[[#This Row],[Camp Name]],CL,3,0),"")</f>
        <v>Open</v>
      </c>
      <c r="AP717" s="436" t="str">
        <f ca="1">IF(Table_NFI[[#This Row],[Pcode]]="","",OFFSET(CampList[Priority],MATCH(Table_NFI[[#This Row],[Pcode]],CampList[CP_Pcode],0)-1,0,1,1))</f>
        <v>P3</v>
      </c>
      <c r="AQ717" s="438">
        <f>IFERROR(Table_NFI[[#This Row],[Kitchen Set]]/VLOOKUP(Table_NFI[[#This Row],[Camp Name]],CL,4,0),"")</f>
        <v>0.31382978723404253</v>
      </c>
      <c r="AR717" s="779" t="s">
        <v>1099</v>
      </c>
      <c r="AS717" s="783"/>
    </row>
    <row r="718" spans="1:45" x14ac:dyDescent="0.25">
      <c r="A718" s="455">
        <f t="shared" si="11"/>
        <v>37.633333333333333</v>
      </c>
      <c r="B718" s="778">
        <v>41180</v>
      </c>
      <c r="C718" s="779" t="s">
        <v>454</v>
      </c>
      <c r="D718" s="780" t="s">
        <v>911</v>
      </c>
      <c r="E718" s="779" t="s">
        <v>380</v>
      </c>
      <c r="F718" s="435" t="s">
        <v>27</v>
      </c>
      <c r="G718" s="435" t="s">
        <v>34</v>
      </c>
      <c r="H718" s="436"/>
      <c r="I718" s="436"/>
      <c r="J718" s="436"/>
      <c r="K718" s="436">
        <v>33</v>
      </c>
      <c r="L718" s="437">
        <v>11</v>
      </c>
      <c r="M718" s="437">
        <v>33</v>
      </c>
      <c r="N718" s="437">
        <v>11</v>
      </c>
      <c r="O718" s="437">
        <v>11</v>
      </c>
      <c r="P718" s="437">
        <v>11</v>
      </c>
      <c r="Q718" s="437">
        <v>11</v>
      </c>
      <c r="R718" s="436"/>
      <c r="S718" s="436"/>
      <c r="T718" s="436"/>
      <c r="U718" s="436"/>
      <c r="V718" s="436"/>
      <c r="W718" s="436">
        <f>IF(NFI_Expiration=1,IF($A718&lt;VLOOKUP(H$5,NFI,5,0),1,0)*Table_NFI[[#This Row],[Hygiene Kit]],Table_NFI[Hygiene Kit])</f>
        <v>0</v>
      </c>
      <c r="X718" s="436">
        <f>IF(NFI_Expiration=1,IF($A718&lt;VLOOKUP(I$5,NFI,5,0),1,0)*Table_NFI[[#This Row],[NFI Core Kit]],Table_NFI[NFI Core Kit])</f>
        <v>0</v>
      </c>
      <c r="Y718" s="436">
        <f>IF(NFI_Expiration=1,IF($A718&lt;VLOOKUP(J$5,NFI,5,0),1,0)*Table_NFI[[#This Row],[Sanitary Kit]],Table_NFI[Sanitary Kit])</f>
        <v>0</v>
      </c>
      <c r="Z718" s="436">
        <f>IF(NFI_Expiration=1,IF($A718&lt;VLOOKUP(K$5,NFI,5,0),1,0)*Table_NFI[[#This Row],[Mosquito net]],Table_NFI[Mosquito net])</f>
        <v>0</v>
      </c>
      <c r="AA718" s="436">
        <f>IF(NFI_Expiration=1,IF($A718&lt;VLOOKUP(L$5,NFI,5,0),1,0)*Table_NFI[[#This Row],[Tarpaulin]],Table_NFI[[#This Row],[Tarpaulin]])</f>
        <v>0</v>
      </c>
      <c r="AB718" s="436">
        <f>IF(NFI_Expiration=1,IF($A718&lt;VLOOKUP(M$5,NFI,5,0),1,0)*Table_NFI[[#This Row],[Blanket]],Table_NFI[[#This Row],[Blanket]])</f>
        <v>0</v>
      </c>
      <c r="AC718" s="436">
        <f>IF(NFI_Expiration=1,IF($A718&lt;VLOOKUP(N$5,NFI,5,0),1,0)*Table_NFI[[#This Row],[Kitchen Set]],Table_NFI[Kitchen Set])</f>
        <v>0</v>
      </c>
      <c r="AD718" s="436">
        <f>IF(NFI_Expiration=1,IF($A718&lt;VLOOKUP(O$5,NFI,5,0),1,0)*Table_NFI[[#This Row],[Clothes Kit]],Table_NFI[Clothes Kit])</f>
        <v>0</v>
      </c>
      <c r="AE718" s="436">
        <f>IF(NFI_Expiration=1,IF($A718&lt;VLOOKUP(P$5,NFI,5,0),1,0)*Table_NFI[[#This Row],[Plastic Bucket]],Table_NFI[Plastic Bucket])</f>
        <v>0</v>
      </c>
      <c r="AF718" s="436">
        <f>IF(NFI_Expiration=1,IF($A718&lt;VLOOKUP(Q$5,NFI,5,0),1,0)*Table_NFI[[#This Row],[Plastic Mat]],Table_NFI[Plastic Mat])*IF(Table_NFI[[#This Row],[Distribution Date]]&gt;"2014-04-01",1,2.5)</f>
        <v>0</v>
      </c>
      <c r="AG718" s="436">
        <f>IF(NFI_Expiration=1,IF($A718&lt;VLOOKUP(R$5,NFI,5,0),1,0)*Table_NFI[[#This Row],[Winter Clothes Adult]],Table_NFI[Winter Clothes Adult])</f>
        <v>0</v>
      </c>
      <c r="AH718" s="436">
        <f>IF(NFI_Expiration=1,IF($A718&lt;VLOOKUP(S$5,NFI,5,0),1,0)*Table_NFI[[#This Row],[Winter Clothes Children]],Table_NFI[Winter Clothes Children])</f>
        <v>0</v>
      </c>
      <c r="AI718" s="436">
        <f>IF(NFI_Expiration=1,IF($A718&lt;VLOOKUP(T$5,NFI,5,0),1,0)*Table_NFI[[#This Row],[Winter Items Other]],Table_NFI[Winter Items Other])</f>
        <v>0</v>
      </c>
      <c r="AJ718" s="436">
        <f>IF(NFI_Expiration=1,IF($A718&lt;VLOOKUP(M$5,NFI,5,0),1,0)*Table_NFI[[#This Row],[Winter Blanket]],Table_NFI[[#This Row],[Winter Blanket]])</f>
        <v>0</v>
      </c>
      <c r="AK718" s="436">
        <f>IF(Table_NFI[[#This Row],[Winter Clothes Adult]]+Table_NFI[[#This Row],[Winter Clothes Children]]+Table_NFI[[#This Row],[Winter Items Other]]+Table_NFI[[#This Row],[Winter Blanket]]&gt;0,1,0)</f>
        <v>0</v>
      </c>
      <c r="AL718" s="439">
        <f>IF(NFI_Expiration=1,IF($A718&lt;VLOOKUP(V$5,NFI,5,0),1,0)*Table_NFI[[#This Row],[Jerry Can]],Table_NFI[Jerry Can])</f>
        <v>0</v>
      </c>
      <c r="AM718" s="781" t="str">
        <f>IFERROR(VLOOKUP(Table_NFI[[#This Row],[Camp Name]],CL,2,0),"")</f>
        <v>MMR001CMP045</v>
      </c>
      <c r="AN718" s="782">
        <f ca="1">IF(Table_NFI[[#This Row],[Pcode]]="","",IF(OFFSET(CampList[Opening Date],MATCH(Table_NFI[[#This Row],[Pcode]],CampList[CP_Pcode],0)-1,0,1,1)&gt;=NFI_Monitor_Date,1,0))</f>
        <v>0</v>
      </c>
      <c r="AO718" s="781" t="str">
        <f>IFERROR(VLOOKUP(Table_NFI[[#This Row],[Camp Name]],CL,3,0),"")</f>
        <v>Open</v>
      </c>
      <c r="AP718" s="436" t="str">
        <f ca="1">IF(Table_NFI[[#This Row],[Pcode]]="","",OFFSET(CampList[Priority],MATCH(Table_NFI[[#This Row],[Pcode]],CampList[CP_Pcode],0)-1,0,1,1))</f>
        <v>P1</v>
      </c>
      <c r="AQ718" s="438" t="str">
        <f>IFERROR(Table_NFI[[#This Row],[Kitchen Set]]/VLOOKUP(Table_NFI[[#This Row],[Camp Name]],CL,4,0),"")</f>
        <v/>
      </c>
      <c r="AR718" s="779" t="s">
        <v>1099</v>
      </c>
      <c r="AS718" s="783"/>
    </row>
    <row r="719" spans="1:45" x14ac:dyDescent="0.25">
      <c r="A719" s="455">
        <f t="shared" si="11"/>
        <v>37.666666666666664</v>
      </c>
      <c r="B719" s="778">
        <v>41179</v>
      </c>
      <c r="C719" s="779" t="s">
        <v>454</v>
      </c>
      <c r="D719" s="779" t="s">
        <v>911</v>
      </c>
      <c r="E719" s="779" t="s">
        <v>380</v>
      </c>
      <c r="F719" s="435" t="s">
        <v>27</v>
      </c>
      <c r="G719" s="435" t="s">
        <v>364</v>
      </c>
      <c r="H719" s="436"/>
      <c r="I719" s="436"/>
      <c r="J719" s="436"/>
      <c r="K719" s="436">
        <v>33</v>
      </c>
      <c r="L719" s="439">
        <v>11</v>
      </c>
      <c r="M719" s="439">
        <v>33</v>
      </c>
      <c r="N719" s="439">
        <v>11</v>
      </c>
      <c r="O719" s="437">
        <v>11</v>
      </c>
      <c r="P719" s="439">
        <v>11</v>
      </c>
      <c r="Q719" s="439">
        <v>11</v>
      </c>
      <c r="R719" s="436"/>
      <c r="S719" s="436"/>
      <c r="T719" s="436"/>
      <c r="U719" s="436"/>
      <c r="V719" s="436"/>
      <c r="W719" s="436">
        <f>IF(NFI_Expiration=1,IF($A719&lt;VLOOKUP(H$5,NFI,5,0),1,0)*Table_NFI[[#This Row],[Hygiene Kit]],Table_NFI[Hygiene Kit])</f>
        <v>0</v>
      </c>
      <c r="X719" s="436">
        <f>IF(NFI_Expiration=1,IF($A719&lt;VLOOKUP(I$5,NFI,5,0),1,0)*Table_NFI[[#This Row],[NFI Core Kit]],Table_NFI[NFI Core Kit])</f>
        <v>0</v>
      </c>
      <c r="Y719" s="436">
        <f>IF(NFI_Expiration=1,IF($A719&lt;VLOOKUP(J$5,NFI,5,0),1,0)*Table_NFI[[#This Row],[Sanitary Kit]],Table_NFI[Sanitary Kit])</f>
        <v>0</v>
      </c>
      <c r="Z719" s="436">
        <f>IF(NFI_Expiration=1,IF($A719&lt;VLOOKUP(K$5,NFI,5,0),1,0)*Table_NFI[[#This Row],[Mosquito net]],Table_NFI[Mosquito net])</f>
        <v>0</v>
      </c>
      <c r="AA719" s="436">
        <f>IF(NFI_Expiration=1,IF($A719&lt;VLOOKUP(L$5,NFI,5,0),1,0)*Table_NFI[[#This Row],[Tarpaulin]],Table_NFI[[#This Row],[Tarpaulin]])</f>
        <v>0</v>
      </c>
      <c r="AB719" s="436">
        <f>IF(NFI_Expiration=1,IF($A719&lt;VLOOKUP(M$5,NFI,5,0),1,0)*Table_NFI[[#This Row],[Blanket]],Table_NFI[[#This Row],[Blanket]])</f>
        <v>0</v>
      </c>
      <c r="AC719" s="436">
        <f>IF(NFI_Expiration=1,IF($A719&lt;VLOOKUP(N$5,NFI,5,0),1,0)*Table_NFI[[#This Row],[Kitchen Set]],Table_NFI[Kitchen Set])</f>
        <v>0</v>
      </c>
      <c r="AD719" s="436">
        <f>IF(NFI_Expiration=1,IF($A719&lt;VLOOKUP(O$5,NFI,5,0),1,0)*Table_NFI[[#This Row],[Clothes Kit]],Table_NFI[Clothes Kit])</f>
        <v>0</v>
      </c>
      <c r="AE719" s="436">
        <f>IF(NFI_Expiration=1,IF($A719&lt;VLOOKUP(P$5,NFI,5,0),1,0)*Table_NFI[[#This Row],[Plastic Bucket]],Table_NFI[Plastic Bucket])</f>
        <v>0</v>
      </c>
      <c r="AF719" s="436">
        <f>IF(NFI_Expiration=1,IF($A719&lt;VLOOKUP(Q$5,NFI,5,0),1,0)*Table_NFI[[#This Row],[Plastic Mat]],Table_NFI[Plastic Mat])*IF(Table_NFI[[#This Row],[Distribution Date]]&gt;"2014-04-01",1,2.5)</f>
        <v>0</v>
      </c>
      <c r="AG719" s="436">
        <f>IF(NFI_Expiration=1,IF($A719&lt;VLOOKUP(R$5,NFI,5,0),1,0)*Table_NFI[[#This Row],[Winter Clothes Adult]],Table_NFI[Winter Clothes Adult])</f>
        <v>0</v>
      </c>
      <c r="AH719" s="436">
        <f>IF(NFI_Expiration=1,IF($A719&lt;VLOOKUP(S$5,NFI,5,0),1,0)*Table_NFI[[#This Row],[Winter Clothes Children]],Table_NFI[Winter Clothes Children])</f>
        <v>0</v>
      </c>
      <c r="AI719" s="436">
        <f>IF(NFI_Expiration=1,IF($A719&lt;VLOOKUP(T$5,NFI,5,0),1,0)*Table_NFI[[#This Row],[Winter Items Other]],Table_NFI[Winter Items Other])</f>
        <v>0</v>
      </c>
      <c r="AJ719" s="436">
        <f>IF(NFI_Expiration=1,IF($A719&lt;VLOOKUP(M$5,NFI,5,0),1,0)*Table_NFI[[#This Row],[Winter Blanket]],Table_NFI[[#This Row],[Winter Blanket]])</f>
        <v>0</v>
      </c>
      <c r="AK719" s="436">
        <f>IF(Table_NFI[[#This Row],[Winter Clothes Adult]]+Table_NFI[[#This Row],[Winter Clothes Children]]+Table_NFI[[#This Row],[Winter Items Other]]+Table_NFI[[#This Row],[Winter Blanket]]&gt;0,1,0)</f>
        <v>0</v>
      </c>
      <c r="AL719" s="439">
        <f>IF(NFI_Expiration=1,IF($A719&lt;VLOOKUP(V$5,NFI,5,0),1,0)*Table_NFI[[#This Row],[Jerry Can]],Table_NFI[Jerry Can])</f>
        <v>0</v>
      </c>
      <c r="AM719" s="781" t="str">
        <f>IFERROR(VLOOKUP(Table_NFI[[#This Row],[Camp Name]],CL,2,0),"")</f>
        <v>MMR001CMP043</v>
      </c>
      <c r="AN719" s="782">
        <f ca="1">IF(Table_NFI[[#This Row],[Pcode]]="","",IF(OFFSET(CampList[Opening Date],MATCH(Table_NFI[[#This Row],[Pcode]],CampList[CP_Pcode],0)-1,0,1,1)&gt;=NFI_Monitor_Date,1,0))</f>
        <v>0</v>
      </c>
      <c r="AO719" s="781" t="str">
        <f>IFERROR(VLOOKUP(Table_NFI[[#This Row],[Camp Name]],CL,3,0),"")</f>
        <v>Open</v>
      </c>
      <c r="AP719" s="436" t="str">
        <f ca="1">IF(Table_NFI[[#This Row],[Pcode]]="","",OFFSET(CampList[Priority],MATCH(Table_NFI[[#This Row],[Pcode]],CampList[CP_Pcode],0)-1,0,1,1))</f>
        <v>P1</v>
      </c>
      <c r="AQ719" s="438">
        <f>IFERROR(Table_NFI[[#This Row],[Kitchen Set]]/VLOOKUP(Table_NFI[[#This Row],[Camp Name]],CL,4,0),"")</f>
        <v>7.1428571428571425E-2</v>
      </c>
      <c r="AR719" s="779" t="s">
        <v>1099</v>
      </c>
      <c r="AS719" s="783"/>
    </row>
    <row r="720" spans="1:45" x14ac:dyDescent="0.25">
      <c r="A720" s="455">
        <f t="shared" si="11"/>
        <v>37.700000000000003</v>
      </c>
      <c r="B720" s="778">
        <v>41178</v>
      </c>
      <c r="C720" s="779" t="s">
        <v>454</v>
      </c>
      <c r="D720" s="779" t="s">
        <v>911</v>
      </c>
      <c r="E720" s="779" t="s">
        <v>380</v>
      </c>
      <c r="F720" s="435" t="s">
        <v>27</v>
      </c>
      <c r="G720" s="435" t="s">
        <v>32</v>
      </c>
      <c r="H720" s="436"/>
      <c r="I720" s="436"/>
      <c r="J720" s="436"/>
      <c r="K720" s="436">
        <v>33</v>
      </c>
      <c r="L720" s="439">
        <v>11</v>
      </c>
      <c r="M720" s="439">
        <v>33</v>
      </c>
      <c r="N720" s="439">
        <v>11</v>
      </c>
      <c r="O720" s="439">
        <v>11</v>
      </c>
      <c r="P720" s="439">
        <v>11</v>
      </c>
      <c r="Q720" s="439">
        <v>11</v>
      </c>
      <c r="R720" s="436"/>
      <c r="S720" s="436"/>
      <c r="T720" s="436"/>
      <c r="U720" s="436"/>
      <c r="V720" s="436"/>
      <c r="W720" s="436">
        <f>IF(NFI_Expiration=1,IF($A720&lt;VLOOKUP(H$5,NFI,5,0),1,0)*Table_NFI[[#This Row],[Hygiene Kit]],Table_NFI[Hygiene Kit])</f>
        <v>0</v>
      </c>
      <c r="X720" s="436">
        <f>IF(NFI_Expiration=1,IF($A720&lt;VLOOKUP(I$5,NFI,5,0),1,0)*Table_NFI[[#This Row],[NFI Core Kit]],Table_NFI[NFI Core Kit])</f>
        <v>0</v>
      </c>
      <c r="Y720" s="436">
        <f>IF(NFI_Expiration=1,IF($A720&lt;VLOOKUP(J$5,NFI,5,0),1,0)*Table_NFI[[#This Row],[Sanitary Kit]],Table_NFI[Sanitary Kit])</f>
        <v>0</v>
      </c>
      <c r="Z720" s="436">
        <f>IF(NFI_Expiration=1,IF($A720&lt;VLOOKUP(K$5,NFI,5,0),1,0)*Table_NFI[[#This Row],[Mosquito net]],Table_NFI[Mosquito net])</f>
        <v>0</v>
      </c>
      <c r="AA720" s="436">
        <f>IF(NFI_Expiration=1,IF($A720&lt;VLOOKUP(L$5,NFI,5,0),1,0)*Table_NFI[[#This Row],[Tarpaulin]],Table_NFI[[#This Row],[Tarpaulin]])</f>
        <v>0</v>
      </c>
      <c r="AB720" s="436">
        <f>IF(NFI_Expiration=1,IF($A720&lt;VLOOKUP(M$5,NFI,5,0),1,0)*Table_NFI[[#This Row],[Blanket]],Table_NFI[[#This Row],[Blanket]])</f>
        <v>0</v>
      </c>
      <c r="AC720" s="436">
        <f>IF(NFI_Expiration=1,IF($A720&lt;VLOOKUP(N$5,NFI,5,0),1,0)*Table_NFI[[#This Row],[Kitchen Set]],Table_NFI[Kitchen Set])</f>
        <v>0</v>
      </c>
      <c r="AD720" s="436">
        <f>IF(NFI_Expiration=1,IF($A720&lt;VLOOKUP(O$5,NFI,5,0),1,0)*Table_NFI[[#This Row],[Clothes Kit]],Table_NFI[Clothes Kit])</f>
        <v>0</v>
      </c>
      <c r="AE720" s="436">
        <f>IF(NFI_Expiration=1,IF($A720&lt;VLOOKUP(P$5,NFI,5,0),1,0)*Table_NFI[[#This Row],[Plastic Bucket]],Table_NFI[Plastic Bucket])</f>
        <v>0</v>
      </c>
      <c r="AF720" s="436">
        <f>IF(NFI_Expiration=1,IF($A720&lt;VLOOKUP(Q$5,NFI,5,0),1,0)*Table_NFI[[#This Row],[Plastic Mat]],Table_NFI[Plastic Mat])*IF(Table_NFI[[#This Row],[Distribution Date]]&gt;"2014-04-01",1,2.5)</f>
        <v>0</v>
      </c>
      <c r="AG720" s="436">
        <f>IF(NFI_Expiration=1,IF($A720&lt;VLOOKUP(R$5,NFI,5,0),1,0)*Table_NFI[[#This Row],[Winter Clothes Adult]],Table_NFI[Winter Clothes Adult])</f>
        <v>0</v>
      </c>
      <c r="AH720" s="436">
        <f>IF(NFI_Expiration=1,IF($A720&lt;VLOOKUP(S$5,NFI,5,0),1,0)*Table_NFI[[#This Row],[Winter Clothes Children]],Table_NFI[Winter Clothes Children])</f>
        <v>0</v>
      </c>
      <c r="AI720" s="436">
        <f>IF(NFI_Expiration=1,IF($A720&lt;VLOOKUP(T$5,NFI,5,0),1,0)*Table_NFI[[#This Row],[Winter Items Other]],Table_NFI[Winter Items Other])</f>
        <v>0</v>
      </c>
      <c r="AJ720" s="436">
        <f>IF(NFI_Expiration=1,IF($A720&lt;VLOOKUP(M$5,NFI,5,0),1,0)*Table_NFI[[#This Row],[Winter Blanket]],Table_NFI[[#This Row],[Winter Blanket]])</f>
        <v>0</v>
      </c>
      <c r="AK720" s="436">
        <f>IF(Table_NFI[[#This Row],[Winter Clothes Adult]]+Table_NFI[[#This Row],[Winter Clothes Children]]+Table_NFI[[#This Row],[Winter Items Other]]+Table_NFI[[#This Row],[Winter Blanket]]&gt;0,1,0)</f>
        <v>0</v>
      </c>
      <c r="AL720" s="439">
        <f>IF(NFI_Expiration=1,IF($A720&lt;VLOOKUP(V$5,NFI,5,0),1,0)*Table_NFI[[#This Row],[Jerry Can]],Table_NFI[Jerry Can])</f>
        <v>0</v>
      </c>
      <c r="AM720" s="781" t="str">
        <f>IFERROR(VLOOKUP(Table_NFI[[#This Row],[Camp Name]],CL,2,0),"")</f>
        <v>MMR001CMP046</v>
      </c>
      <c r="AN720" s="782">
        <f ca="1">IF(Table_NFI[[#This Row],[Pcode]]="","",IF(OFFSET(CampList[Opening Date],MATCH(Table_NFI[[#This Row],[Pcode]],CampList[CP_Pcode],0)-1,0,1,1)&gt;=NFI_Monitor_Date,1,0))</f>
        <v>0</v>
      </c>
      <c r="AO720" s="781" t="str">
        <f>IFERROR(VLOOKUP(Table_NFI[[#This Row],[Camp Name]],CL,3,0),"")</f>
        <v>Closed</v>
      </c>
      <c r="AP720" s="436" t="str">
        <f ca="1">IF(Table_NFI[[#This Row],[Pcode]]="","",OFFSET(CampList[Priority],MATCH(Table_NFI[[#This Row],[Pcode]],CampList[CP_Pcode],0)-1,0,1,1))</f>
        <v>P1</v>
      </c>
      <c r="AQ720" s="438" t="str">
        <f>IFERROR(Table_NFI[[#This Row],[Kitchen Set]]/VLOOKUP(Table_NFI[[#This Row],[Camp Name]],CL,4,0),"")</f>
        <v/>
      </c>
      <c r="AR720" s="779" t="s">
        <v>1099</v>
      </c>
      <c r="AS720" s="783"/>
    </row>
    <row r="721" spans="1:45" x14ac:dyDescent="0.25">
      <c r="A721" s="455">
        <f t="shared" si="11"/>
        <v>37.733333333333334</v>
      </c>
      <c r="B721" s="778">
        <v>41177</v>
      </c>
      <c r="C721" s="779" t="s">
        <v>454</v>
      </c>
      <c r="D721" s="779" t="s">
        <v>911</v>
      </c>
      <c r="E721" s="779" t="s">
        <v>380</v>
      </c>
      <c r="F721" s="435" t="s">
        <v>27</v>
      </c>
      <c r="G721" s="435" t="s">
        <v>28</v>
      </c>
      <c r="H721" s="436"/>
      <c r="I721" s="436"/>
      <c r="J721" s="436"/>
      <c r="K721" s="436">
        <v>33</v>
      </c>
      <c r="L721" s="439">
        <v>11</v>
      </c>
      <c r="M721" s="439">
        <v>33</v>
      </c>
      <c r="N721" s="439">
        <v>11</v>
      </c>
      <c r="O721" s="439">
        <v>11</v>
      </c>
      <c r="P721" s="439">
        <v>11</v>
      </c>
      <c r="Q721" s="439">
        <v>11</v>
      </c>
      <c r="R721" s="436"/>
      <c r="S721" s="436"/>
      <c r="T721" s="436"/>
      <c r="U721" s="436"/>
      <c r="V721" s="436"/>
      <c r="W721" s="436">
        <f>IF(NFI_Expiration=1,IF($A721&lt;VLOOKUP(H$5,NFI,5,0),1,0)*Table_NFI[[#This Row],[Hygiene Kit]],Table_NFI[Hygiene Kit])</f>
        <v>0</v>
      </c>
      <c r="X721" s="436">
        <f>IF(NFI_Expiration=1,IF($A721&lt;VLOOKUP(I$5,NFI,5,0),1,0)*Table_NFI[[#This Row],[NFI Core Kit]],Table_NFI[NFI Core Kit])</f>
        <v>0</v>
      </c>
      <c r="Y721" s="436">
        <f>IF(NFI_Expiration=1,IF($A721&lt;VLOOKUP(J$5,NFI,5,0),1,0)*Table_NFI[[#This Row],[Sanitary Kit]],Table_NFI[Sanitary Kit])</f>
        <v>0</v>
      </c>
      <c r="Z721" s="436">
        <f>IF(NFI_Expiration=1,IF($A721&lt;VLOOKUP(K$5,NFI,5,0),1,0)*Table_NFI[[#This Row],[Mosquito net]],Table_NFI[Mosquito net])</f>
        <v>0</v>
      </c>
      <c r="AA721" s="436">
        <f>IF(NFI_Expiration=1,IF($A721&lt;VLOOKUP(L$5,NFI,5,0),1,0)*Table_NFI[[#This Row],[Tarpaulin]],Table_NFI[[#This Row],[Tarpaulin]])</f>
        <v>0</v>
      </c>
      <c r="AB721" s="436">
        <f>IF(NFI_Expiration=1,IF($A721&lt;VLOOKUP(M$5,NFI,5,0),1,0)*Table_NFI[[#This Row],[Blanket]],Table_NFI[[#This Row],[Blanket]])</f>
        <v>0</v>
      </c>
      <c r="AC721" s="436">
        <f>IF(NFI_Expiration=1,IF($A721&lt;VLOOKUP(N$5,NFI,5,0),1,0)*Table_NFI[[#This Row],[Kitchen Set]],Table_NFI[Kitchen Set])</f>
        <v>0</v>
      </c>
      <c r="AD721" s="436">
        <f>IF(NFI_Expiration=1,IF($A721&lt;VLOOKUP(O$5,NFI,5,0),1,0)*Table_NFI[[#This Row],[Clothes Kit]],Table_NFI[Clothes Kit])</f>
        <v>0</v>
      </c>
      <c r="AE721" s="436">
        <f>IF(NFI_Expiration=1,IF($A721&lt;VLOOKUP(P$5,NFI,5,0),1,0)*Table_NFI[[#This Row],[Plastic Bucket]],Table_NFI[Plastic Bucket])</f>
        <v>0</v>
      </c>
      <c r="AF721" s="436">
        <f>IF(NFI_Expiration=1,IF($A721&lt;VLOOKUP(Q$5,NFI,5,0),1,0)*Table_NFI[[#This Row],[Plastic Mat]],Table_NFI[Plastic Mat])*IF(Table_NFI[[#This Row],[Distribution Date]]&gt;"2014-04-01",1,2.5)</f>
        <v>0</v>
      </c>
      <c r="AG721" s="436">
        <f>IF(NFI_Expiration=1,IF($A721&lt;VLOOKUP(R$5,NFI,5,0),1,0)*Table_NFI[[#This Row],[Winter Clothes Adult]],Table_NFI[Winter Clothes Adult])</f>
        <v>0</v>
      </c>
      <c r="AH721" s="436">
        <f>IF(NFI_Expiration=1,IF($A721&lt;VLOOKUP(S$5,NFI,5,0),1,0)*Table_NFI[[#This Row],[Winter Clothes Children]],Table_NFI[Winter Clothes Children])</f>
        <v>0</v>
      </c>
      <c r="AI721" s="436">
        <f>IF(NFI_Expiration=1,IF($A721&lt;VLOOKUP(T$5,NFI,5,0),1,0)*Table_NFI[[#This Row],[Winter Items Other]],Table_NFI[Winter Items Other])</f>
        <v>0</v>
      </c>
      <c r="AJ721" s="436">
        <f>IF(NFI_Expiration=1,IF($A721&lt;VLOOKUP(M$5,NFI,5,0),1,0)*Table_NFI[[#This Row],[Winter Blanket]],Table_NFI[[#This Row],[Winter Blanket]])</f>
        <v>0</v>
      </c>
      <c r="AK721" s="436">
        <f>IF(Table_NFI[[#This Row],[Winter Clothes Adult]]+Table_NFI[[#This Row],[Winter Clothes Children]]+Table_NFI[[#This Row],[Winter Items Other]]+Table_NFI[[#This Row],[Winter Blanket]]&gt;0,1,0)</f>
        <v>0</v>
      </c>
      <c r="AL721" s="439">
        <f>IF(NFI_Expiration=1,IF($A721&lt;VLOOKUP(V$5,NFI,5,0),1,0)*Table_NFI[[#This Row],[Jerry Can]],Table_NFI[Jerry Can])</f>
        <v>0</v>
      </c>
      <c r="AM721" s="781" t="str">
        <f>IFERROR(VLOOKUP(Table_NFI[[#This Row],[Camp Name]],CL,2,0),"")</f>
        <v>MMR001CMP042</v>
      </c>
      <c r="AN721" s="782">
        <f ca="1">IF(Table_NFI[[#This Row],[Pcode]]="","",IF(OFFSET(CampList[Opening Date],MATCH(Table_NFI[[#This Row],[Pcode]],CampList[CP_Pcode],0)-1,0,1,1)&gt;=NFI_Monitor_Date,1,0))</f>
        <v>0</v>
      </c>
      <c r="AO721" s="781" t="str">
        <f>IFERROR(VLOOKUP(Table_NFI[[#This Row],[Camp Name]],CL,3,0),"")</f>
        <v>Open</v>
      </c>
      <c r="AP721" s="436" t="str">
        <f ca="1">IF(Table_NFI[[#This Row],[Pcode]]="","",OFFSET(CampList[Priority],MATCH(Table_NFI[[#This Row],[Pcode]],CampList[CP_Pcode],0)-1,0,1,1))</f>
        <v>P1</v>
      </c>
      <c r="AQ721" s="438">
        <f>IFERROR(Table_NFI[[#This Row],[Kitchen Set]]/VLOOKUP(Table_NFI[[#This Row],[Camp Name]],CL,4,0),"")</f>
        <v>9.3220338983050849E-2</v>
      </c>
      <c r="AR721" s="779" t="s">
        <v>1099</v>
      </c>
      <c r="AS721" s="783"/>
    </row>
    <row r="722" spans="1:45" x14ac:dyDescent="0.25">
      <c r="A722" s="455">
        <f t="shared" si="11"/>
        <v>38</v>
      </c>
      <c r="B722" s="778">
        <v>41169</v>
      </c>
      <c r="C722" s="779" t="s">
        <v>454</v>
      </c>
      <c r="D722" s="779" t="s">
        <v>454</v>
      </c>
      <c r="E722" s="779" t="s">
        <v>380</v>
      </c>
      <c r="F722" s="435" t="s">
        <v>185</v>
      </c>
      <c r="G722" s="435" t="s">
        <v>202</v>
      </c>
      <c r="H722" s="436"/>
      <c r="I722" s="436"/>
      <c r="J722" s="436"/>
      <c r="K722" s="436">
        <v>86</v>
      </c>
      <c r="L722" s="437">
        <v>43</v>
      </c>
      <c r="M722" s="437">
        <v>86</v>
      </c>
      <c r="N722" s="437">
        <v>43</v>
      </c>
      <c r="O722" s="437">
        <v>43</v>
      </c>
      <c r="P722" s="439">
        <v>43</v>
      </c>
      <c r="Q722" s="439">
        <v>43</v>
      </c>
      <c r="R722" s="436"/>
      <c r="S722" s="436"/>
      <c r="T722" s="436"/>
      <c r="U722" s="436"/>
      <c r="V722" s="436"/>
      <c r="W722" s="436">
        <f>IF(NFI_Expiration=1,IF($A722&lt;VLOOKUP(H$5,NFI,5,0),1,0)*Table_NFI[[#This Row],[Hygiene Kit]],Table_NFI[Hygiene Kit])</f>
        <v>0</v>
      </c>
      <c r="X722" s="436">
        <f>IF(NFI_Expiration=1,IF($A722&lt;VLOOKUP(I$5,NFI,5,0),1,0)*Table_NFI[[#This Row],[NFI Core Kit]],Table_NFI[NFI Core Kit])</f>
        <v>0</v>
      </c>
      <c r="Y722" s="436">
        <f>IF(NFI_Expiration=1,IF($A722&lt;VLOOKUP(J$5,NFI,5,0),1,0)*Table_NFI[[#This Row],[Sanitary Kit]],Table_NFI[Sanitary Kit])</f>
        <v>0</v>
      </c>
      <c r="Z722" s="436">
        <f>IF(NFI_Expiration=1,IF($A722&lt;VLOOKUP(K$5,NFI,5,0),1,0)*Table_NFI[[#This Row],[Mosquito net]],Table_NFI[Mosquito net])</f>
        <v>0</v>
      </c>
      <c r="AA722" s="436">
        <f>IF(NFI_Expiration=1,IF($A722&lt;VLOOKUP(L$5,NFI,5,0),1,0)*Table_NFI[[#This Row],[Tarpaulin]],Table_NFI[[#This Row],[Tarpaulin]])</f>
        <v>0</v>
      </c>
      <c r="AB722" s="436">
        <f>IF(NFI_Expiration=1,IF($A722&lt;VLOOKUP(M$5,NFI,5,0),1,0)*Table_NFI[[#This Row],[Blanket]],Table_NFI[[#This Row],[Blanket]])</f>
        <v>0</v>
      </c>
      <c r="AC722" s="436">
        <f>IF(NFI_Expiration=1,IF($A722&lt;VLOOKUP(N$5,NFI,5,0),1,0)*Table_NFI[[#This Row],[Kitchen Set]],Table_NFI[Kitchen Set])</f>
        <v>0</v>
      </c>
      <c r="AD722" s="436">
        <f>IF(NFI_Expiration=1,IF($A722&lt;VLOOKUP(O$5,NFI,5,0),1,0)*Table_NFI[[#This Row],[Clothes Kit]],Table_NFI[Clothes Kit])</f>
        <v>0</v>
      </c>
      <c r="AE722" s="436">
        <f>IF(NFI_Expiration=1,IF($A722&lt;VLOOKUP(P$5,NFI,5,0),1,0)*Table_NFI[[#This Row],[Plastic Bucket]],Table_NFI[Plastic Bucket])</f>
        <v>0</v>
      </c>
      <c r="AF722" s="436">
        <f>IF(NFI_Expiration=1,IF($A722&lt;VLOOKUP(Q$5,NFI,5,0),1,0)*Table_NFI[[#This Row],[Plastic Mat]],Table_NFI[Plastic Mat])*IF(Table_NFI[[#This Row],[Distribution Date]]&gt;"2014-04-01",1,2.5)</f>
        <v>0</v>
      </c>
      <c r="AG722" s="436">
        <f>IF(NFI_Expiration=1,IF($A722&lt;VLOOKUP(R$5,NFI,5,0),1,0)*Table_NFI[[#This Row],[Winter Clothes Adult]],Table_NFI[Winter Clothes Adult])</f>
        <v>0</v>
      </c>
      <c r="AH722" s="436">
        <f>IF(NFI_Expiration=1,IF($A722&lt;VLOOKUP(S$5,NFI,5,0),1,0)*Table_NFI[[#This Row],[Winter Clothes Children]],Table_NFI[Winter Clothes Children])</f>
        <v>0</v>
      </c>
      <c r="AI722" s="436">
        <f>IF(NFI_Expiration=1,IF($A722&lt;VLOOKUP(T$5,NFI,5,0),1,0)*Table_NFI[[#This Row],[Winter Items Other]],Table_NFI[Winter Items Other])</f>
        <v>0</v>
      </c>
      <c r="AJ722" s="436">
        <f>IF(NFI_Expiration=1,IF($A722&lt;VLOOKUP(M$5,NFI,5,0),1,0)*Table_NFI[[#This Row],[Winter Blanket]],Table_NFI[[#This Row],[Winter Blanket]])</f>
        <v>0</v>
      </c>
      <c r="AK722" s="436">
        <f>IF(Table_NFI[[#This Row],[Winter Clothes Adult]]+Table_NFI[[#This Row],[Winter Clothes Children]]+Table_NFI[[#This Row],[Winter Items Other]]+Table_NFI[[#This Row],[Winter Blanket]]&gt;0,1,0)</f>
        <v>0</v>
      </c>
      <c r="AL722" s="439">
        <f>IF(NFI_Expiration=1,IF($A722&lt;VLOOKUP(V$5,NFI,5,0),1,0)*Table_NFI[[#This Row],[Jerry Can]],Table_NFI[Jerry Can])</f>
        <v>0</v>
      </c>
      <c r="AM722" s="781" t="str">
        <f>IFERROR(VLOOKUP(Table_NFI[[#This Row],[Camp Name]],CL,2,0),"")</f>
        <v>MMR001CMP062</v>
      </c>
      <c r="AN722" s="782">
        <f ca="1">IF(Table_NFI[[#This Row],[Pcode]]="","",IF(OFFSET(CampList[Opening Date],MATCH(Table_NFI[[#This Row],[Pcode]],CampList[CP_Pcode],0)-1,0,1,1)&gt;=NFI_Monitor_Date,1,0))</f>
        <v>0</v>
      </c>
      <c r="AO722" s="781" t="str">
        <f>IFERROR(VLOOKUP(Table_NFI[[#This Row],[Camp Name]],CL,3,0),"")</f>
        <v>Open</v>
      </c>
      <c r="AP722" s="436" t="str">
        <f ca="1">IF(Table_NFI[[#This Row],[Pcode]]="","",OFFSET(CampList[Priority],MATCH(Table_NFI[[#This Row],[Pcode]],CampList[CP_Pcode],0)-1,0,1,1))</f>
        <v>P4</v>
      </c>
      <c r="AQ722" s="438">
        <f>IFERROR(Table_NFI[[#This Row],[Kitchen Set]]/VLOOKUP(Table_NFI[[#This Row],[Camp Name]],CL,4,0),"")</f>
        <v>0.16226415094339622</v>
      </c>
      <c r="AR722" s="779" t="s">
        <v>1099</v>
      </c>
      <c r="AS722" s="783"/>
    </row>
    <row r="723" spans="1:45" x14ac:dyDescent="0.25">
      <c r="A723" s="455">
        <f t="shared" si="11"/>
        <v>38</v>
      </c>
      <c r="B723" s="778">
        <v>41169</v>
      </c>
      <c r="C723" s="779" t="s">
        <v>454</v>
      </c>
      <c r="D723" s="779" t="s">
        <v>454</v>
      </c>
      <c r="E723" s="779" t="s">
        <v>380</v>
      </c>
      <c r="F723" s="435" t="s">
        <v>185</v>
      </c>
      <c r="G723" s="435" t="s">
        <v>211</v>
      </c>
      <c r="H723" s="436"/>
      <c r="I723" s="436"/>
      <c r="J723" s="436"/>
      <c r="K723" s="436">
        <v>86</v>
      </c>
      <c r="L723" s="439">
        <v>43</v>
      </c>
      <c r="M723" s="439">
        <v>86</v>
      </c>
      <c r="N723" s="439">
        <v>43</v>
      </c>
      <c r="O723" s="439">
        <v>43</v>
      </c>
      <c r="P723" s="439">
        <v>43</v>
      </c>
      <c r="Q723" s="439">
        <v>43</v>
      </c>
      <c r="R723" s="436"/>
      <c r="S723" s="436"/>
      <c r="T723" s="436"/>
      <c r="U723" s="436"/>
      <c r="V723" s="436"/>
      <c r="W723" s="436">
        <f>IF(NFI_Expiration=1,IF($A723&lt;VLOOKUP(H$5,NFI,5,0),1,0)*Table_NFI[[#This Row],[Hygiene Kit]],Table_NFI[Hygiene Kit])</f>
        <v>0</v>
      </c>
      <c r="X723" s="436">
        <f>IF(NFI_Expiration=1,IF($A723&lt;VLOOKUP(I$5,NFI,5,0),1,0)*Table_NFI[[#This Row],[NFI Core Kit]],Table_NFI[NFI Core Kit])</f>
        <v>0</v>
      </c>
      <c r="Y723" s="436">
        <f>IF(NFI_Expiration=1,IF($A723&lt;VLOOKUP(J$5,NFI,5,0),1,0)*Table_NFI[[#This Row],[Sanitary Kit]],Table_NFI[Sanitary Kit])</f>
        <v>0</v>
      </c>
      <c r="Z723" s="436">
        <f>IF(NFI_Expiration=1,IF($A723&lt;VLOOKUP(K$5,NFI,5,0),1,0)*Table_NFI[[#This Row],[Mosquito net]],Table_NFI[Mosquito net])</f>
        <v>0</v>
      </c>
      <c r="AA723" s="436">
        <f>IF(NFI_Expiration=1,IF($A723&lt;VLOOKUP(L$5,NFI,5,0),1,0)*Table_NFI[[#This Row],[Tarpaulin]],Table_NFI[[#This Row],[Tarpaulin]])</f>
        <v>0</v>
      </c>
      <c r="AB723" s="436">
        <f>IF(NFI_Expiration=1,IF($A723&lt;VLOOKUP(M$5,NFI,5,0),1,0)*Table_NFI[[#This Row],[Blanket]],Table_NFI[[#This Row],[Blanket]])</f>
        <v>0</v>
      </c>
      <c r="AC723" s="436">
        <f>IF(NFI_Expiration=1,IF($A723&lt;VLOOKUP(N$5,NFI,5,0),1,0)*Table_NFI[[#This Row],[Kitchen Set]],Table_NFI[Kitchen Set])</f>
        <v>0</v>
      </c>
      <c r="AD723" s="436">
        <f>IF(NFI_Expiration=1,IF($A723&lt;VLOOKUP(O$5,NFI,5,0),1,0)*Table_NFI[[#This Row],[Clothes Kit]],Table_NFI[Clothes Kit])</f>
        <v>0</v>
      </c>
      <c r="AE723" s="436">
        <f>IF(NFI_Expiration=1,IF($A723&lt;VLOOKUP(P$5,NFI,5,0),1,0)*Table_NFI[[#This Row],[Plastic Bucket]],Table_NFI[Plastic Bucket])</f>
        <v>0</v>
      </c>
      <c r="AF723" s="436">
        <f>IF(NFI_Expiration=1,IF($A723&lt;VLOOKUP(Q$5,NFI,5,0),1,0)*Table_NFI[[#This Row],[Plastic Mat]],Table_NFI[Plastic Mat])*IF(Table_NFI[[#This Row],[Distribution Date]]&gt;"2014-04-01",1,2.5)</f>
        <v>0</v>
      </c>
      <c r="AG723" s="436">
        <f>IF(NFI_Expiration=1,IF($A723&lt;VLOOKUP(R$5,NFI,5,0),1,0)*Table_NFI[[#This Row],[Winter Clothes Adult]],Table_NFI[Winter Clothes Adult])</f>
        <v>0</v>
      </c>
      <c r="AH723" s="436">
        <f>IF(NFI_Expiration=1,IF($A723&lt;VLOOKUP(S$5,NFI,5,0),1,0)*Table_NFI[[#This Row],[Winter Clothes Children]],Table_NFI[Winter Clothes Children])</f>
        <v>0</v>
      </c>
      <c r="AI723" s="436">
        <f>IF(NFI_Expiration=1,IF($A723&lt;VLOOKUP(T$5,NFI,5,0),1,0)*Table_NFI[[#This Row],[Winter Items Other]],Table_NFI[Winter Items Other])</f>
        <v>0</v>
      </c>
      <c r="AJ723" s="436">
        <f>IF(NFI_Expiration=1,IF($A723&lt;VLOOKUP(M$5,NFI,5,0),1,0)*Table_NFI[[#This Row],[Winter Blanket]],Table_NFI[[#This Row],[Winter Blanket]])</f>
        <v>0</v>
      </c>
      <c r="AK723" s="436">
        <f>IF(Table_NFI[[#This Row],[Winter Clothes Adult]]+Table_NFI[[#This Row],[Winter Clothes Children]]+Table_NFI[[#This Row],[Winter Items Other]]+Table_NFI[[#This Row],[Winter Blanket]]&gt;0,1,0)</f>
        <v>0</v>
      </c>
      <c r="AL723" s="439">
        <f>IF(NFI_Expiration=1,IF($A723&lt;VLOOKUP(V$5,NFI,5,0),1,0)*Table_NFI[[#This Row],[Jerry Can]],Table_NFI[Jerry Can])</f>
        <v>0</v>
      </c>
      <c r="AM723" s="781" t="str">
        <f>IFERROR(VLOOKUP(Table_NFI[[#This Row],[Camp Name]],CL,2,0),"")</f>
        <v>MMR001CMP057</v>
      </c>
      <c r="AN723" s="782">
        <f ca="1">IF(Table_NFI[[#This Row],[Pcode]]="","",IF(OFFSET(CampList[Opening Date],MATCH(Table_NFI[[#This Row],[Pcode]],CampList[CP_Pcode],0)-1,0,1,1)&gt;=NFI_Monitor_Date,1,0))</f>
        <v>0</v>
      </c>
      <c r="AO723" s="781" t="str">
        <f>IFERROR(VLOOKUP(Table_NFI[[#This Row],[Camp Name]],CL,3,0),"")</f>
        <v>Closed</v>
      </c>
      <c r="AP723" s="436" t="str">
        <f ca="1">IF(Table_NFI[[#This Row],[Pcode]]="","",OFFSET(CampList[Priority],MATCH(Table_NFI[[#This Row],[Pcode]],CampList[CP_Pcode],0)-1,0,1,1))</f>
        <v>P4</v>
      </c>
      <c r="AQ723" s="438" t="str">
        <f>IFERROR(Table_NFI[[#This Row],[Kitchen Set]]/VLOOKUP(Table_NFI[[#This Row],[Camp Name]],CL,4,0),"")</f>
        <v/>
      </c>
      <c r="AR723" s="779" t="s">
        <v>1099</v>
      </c>
      <c r="AS723" s="783"/>
    </row>
    <row r="724" spans="1:45" x14ac:dyDescent="0.25">
      <c r="A724" s="455">
        <f t="shared" si="11"/>
        <v>38.1</v>
      </c>
      <c r="B724" s="778">
        <v>41166</v>
      </c>
      <c r="C724" s="779" t="s">
        <v>454</v>
      </c>
      <c r="D724" s="779" t="s">
        <v>454</v>
      </c>
      <c r="E724" s="779" t="s">
        <v>380</v>
      </c>
      <c r="F724" s="435" t="s">
        <v>310</v>
      </c>
      <c r="G724" s="435" t="s">
        <v>330</v>
      </c>
      <c r="H724" s="436"/>
      <c r="I724" s="436"/>
      <c r="J724" s="436"/>
      <c r="K724" s="436">
        <v>94</v>
      </c>
      <c r="L724" s="437">
        <v>48</v>
      </c>
      <c r="M724" s="437">
        <v>94</v>
      </c>
      <c r="N724" s="437">
        <v>48</v>
      </c>
      <c r="O724" s="437">
        <v>48</v>
      </c>
      <c r="P724" s="439">
        <v>48</v>
      </c>
      <c r="Q724" s="439">
        <v>48</v>
      </c>
      <c r="R724" s="436"/>
      <c r="S724" s="436"/>
      <c r="T724" s="436"/>
      <c r="U724" s="436"/>
      <c r="V724" s="436"/>
      <c r="W724" s="436">
        <f>IF(NFI_Expiration=1,IF($A724&lt;VLOOKUP(H$5,NFI,5,0),1,0)*Table_NFI[[#This Row],[Hygiene Kit]],Table_NFI[Hygiene Kit])</f>
        <v>0</v>
      </c>
      <c r="X724" s="436">
        <f>IF(NFI_Expiration=1,IF($A724&lt;VLOOKUP(I$5,NFI,5,0),1,0)*Table_NFI[[#This Row],[NFI Core Kit]],Table_NFI[NFI Core Kit])</f>
        <v>0</v>
      </c>
      <c r="Y724" s="436">
        <f>IF(NFI_Expiration=1,IF($A724&lt;VLOOKUP(J$5,NFI,5,0),1,0)*Table_NFI[[#This Row],[Sanitary Kit]],Table_NFI[Sanitary Kit])</f>
        <v>0</v>
      </c>
      <c r="Z724" s="436">
        <f>IF(NFI_Expiration=1,IF($A724&lt;VLOOKUP(K$5,NFI,5,0),1,0)*Table_NFI[[#This Row],[Mosquito net]],Table_NFI[Mosquito net])</f>
        <v>0</v>
      </c>
      <c r="AA724" s="436">
        <f>IF(NFI_Expiration=1,IF($A724&lt;VLOOKUP(L$5,NFI,5,0),1,0)*Table_NFI[[#This Row],[Tarpaulin]],Table_NFI[[#This Row],[Tarpaulin]])</f>
        <v>0</v>
      </c>
      <c r="AB724" s="436">
        <f>IF(NFI_Expiration=1,IF($A724&lt;VLOOKUP(M$5,NFI,5,0),1,0)*Table_NFI[[#This Row],[Blanket]],Table_NFI[[#This Row],[Blanket]])</f>
        <v>0</v>
      </c>
      <c r="AC724" s="436">
        <f>IF(NFI_Expiration=1,IF($A724&lt;VLOOKUP(N$5,NFI,5,0),1,0)*Table_NFI[[#This Row],[Kitchen Set]],Table_NFI[Kitchen Set])</f>
        <v>0</v>
      </c>
      <c r="AD724" s="436">
        <f>IF(NFI_Expiration=1,IF($A724&lt;VLOOKUP(O$5,NFI,5,0),1,0)*Table_NFI[[#This Row],[Clothes Kit]],Table_NFI[Clothes Kit])</f>
        <v>0</v>
      </c>
      <c r="AE724" s="436">
        <f>IF(NFI_Expiration=1,IF($A724&lt;VLOOKUP(P$5,NFI,5,0),1,0)*Table_NFI[[#This Row],[Plastic Bucket]],Table_NFI[Plastic Bucket])</f>
        <v>0</v>
      </c>
      <c r="AF724" s="436">
        <f>IF(NFI_Expiration=1,IF($A724&lt;VLOOKUP(Q$5,NFI,5,0),1,0)*Table_NFI[[#This Row],[Plastic Mat]],Table_NFI[Plastic Mat])*IF(Table_NFI[[#This Row],[Distribution Date]]&gt;"2014-04-01",1,2.5)</f>
        <v>0</v>
      </c>
      <c r="AG724" s="436">
        <f>IF(NFI_Expiration=1,IF($A724&lt;VLOOKUP(R$5,NFI,5,0),1,0)*Table_NFI[[#This Row],[Winter Clothes Adult]],Table_NFI[Winter Clothes Adult])</f>
        <v>0</v>
      </c>
      <c r="AH724" s="436">
        <f>IF(NFI_Expiration=1,IF($A724&lt;VLOOKUP(S$5,NFI,5,0),1,0)*Table_NFI[[#This Row],[Winter Clothes Children]],Table_NFI[Winter Clothes Children])</f>
        <v>0</v>
      </c>
      <c r="AI724" s="436">
        <f>IF(NFI_Expiration=1,IF($A724&lt;VLOOKUP(T$5,NFI,5,0),1,0)*Table_NFI[[#This Row],[Winter Items Other]],Table_NFI[Winter Items Other])</f>
        <v>0</v>
      </c>
      <c r="AJ724" s="436">
        <f>IF(NFI_Expiration=1,IF($A724&lt;VLOOKUP(M$5,NFI,5,0),1,0)*Table_NFI[[#This Row],[Winter Blanket]],Table_NFI[[#This Row],[Winter Blanket]])</f>
        <v>0</v>
      </c>
      <c r="AK724" s="436">
        <f>IF(Table_NFI[[#This Row],[Winter Clothes Adult]]+Table_NFI[[#This Row],[Winter Clothes Children]]+Table_NFI[[#This Row],[Winter Items Other]]+Table_NFI[[#This Row],[Winter Blanket]]&gt;0,1,0)</f>
        <v>0</v>
      </c>
      <c r="AL724" s="439">
        <f>IF(NFI_Expiration=1,IF($A724&lt;VLOOKUP(V$5,NFI,5,0),1,0)*Table_NFI[[#This Row],[Jerry Can]],Table_NFI[Jerry Can])</f>
        <v>0</v>
      </c>
      <c r="AM724" s="781" t="str">
        <f>IFERROR(VLOOKUP(Table_NFI[[#This Row],[Camp Name]],CL,2,0),"")</f>
        <v>MMR001CMP029</v>
      </c>
      <c r="AN724" s="782">
        <f ca="1">IF(Table_NFI[[#This Row],[Pcode]]="","",IF(OFFSET(CampList[Opening Date],MATCH(Table_NFI[[#This Row],[Pcode]],CampList[CP_Pcode],0)-1,0,1,1)&gt;=NFI_Monitor_Date,1,0))</f>
        <v>0</v>
      </c>
      <c r="AO724" s="781" t="str">
        <f>IFERROR(VLOOKUP(Table_NFI[[#This Row],[Camp Name]],CL,3,0),"")</f>
        <v>Open</v>
      </c>
      <c r="AP724" s="436" t="str">
        <f ca="1">IF(Table_NFI[[#This Row],[Pcode]]="","",OFFSET(CampList[Priority],MATCH(Table_NFI[[#This Row],[Pcode]],CampList[CP_Pcode],0)-1,0,1,1))</f>
        <v>P4</v>
      </c>
      <c r="AQ724" s="438">
        <f>IFERROR(Table_NFI[[#This Row],[Kitchen Set]]/VLOOKUP(Table_NFI[[#This Row],[Camp Name]],CL,4,0),"")</f>
        <v>0.21145374449339208</v>
      </c>
      <c r="AR724" s="779" t="s">
        <v>1099</v>
      </c>
      <c r="AS724" s="783"/>
    </row>
    <row r="725" spans="1:45" x14ac:dyDescent="0.25">
      <c r="A725" s="455">
        <f t="shared" si="11"/>
        <v>38.1</v>
      </c>
      <c r="B725" s="778">
        <v>41166</v>
      </c>
      <c r="C725" s="779" t="s">
        <v>454</v>
      </c>
      <c r="D725" s="779" t="s">
        <v>454</v>
      </c>
      <c r="E725" s="779" t="s">
        <v>380</v>
      </c>
      <c r="F725" s="779" t="s">
        <v>310</v>
      </c>
      <c r="G725" s="435" t="s">
        <v>316</v>
      </c>
      <c r="H725" s="436"/>
      <c r="I725" s="436"/>
      <c r="J725" s="436"/>
      <c r="K725" s="436">
        <v>14</v>
      </c>
      <c r="L725" s="437">
        <v>8</v>
      </c>
      <c r="M725" s="437">
        <v>14</v>
      </c>
      <c r="N725" s="437">
        <v>8</v>
      </c>
      <c r="O725" s="437">
        <v>8</v>
      </c>
      <c r="P725" s="437">
        <v>8</v>
      </c>
      <c r="Q725" s="437">
        <v>8</v>
      </c>
      <c r="R725" s="436"/>
      <c r="S725" s="436"/>
      <c r="T725" s="436"/>
      <c r="U725" s="436"/>
      <c r="V725" s="436"/>
      <c r="W725" s="436">
        <f>IF(NFI_Expiration=1,IF($A725&lt;VLOOKUP(H$5,NFI,5,0),1,0)*Table_NFI[[#This Row],[Hygiene Kit]],Table_NFI[Hygiene Kit])</f>
        <v>0</v>
      </c>
      <c r="X725" s="436">
        <f>IF(NFI_Expiration=1,IF($A725&lt;VLOOKUP(I$5,NFI,5,0),1,0)*Table_NFI[[#This Row],[NFI Core Kit]],Table_NFI[NFI Core Kit])</f>
        <v>0</v>
      </c>
      <c r="Y725" s="436">
        <f>IF(NFI_Expiration=1,IF($A725&lt;VLOOKUP(J$5,NFI,5,0),1,0)*Table_NFI[[#This Row],[Sanitary Kit]],Table_NFI[Sanitary Kit])</f>
        <v>0</v>
      </c>
      <c r="Z725" s="436">
        <f>IF(NFI_Expiration=1,IF($A725&lt;VLOOKUP(K$5,NFI,5,0),1,0)*Table_NFI[[#This Row],[Mosquito net]],Table_NFI[Mosquito net])</f>
        <v>0</v>
      </c>
      <c r="AA725" s="436">
        <f>IF(NFI_Expiration=1,IF($A725&lt;VLOOKUP(L$5,NFI,5,0),1,0)*Table_NFI[[#This Row],[Tarpaulin]],Table_NFI[[#This Row],[Tarpaulin]])</f>
        <v>0</v>
      </c>
      <c r="AB725" s="436">
        <f>IF(NFI_Expiration=1,IF($A725&lt;VLOOKUP(M$5,NFI,5,0),1,0)*Table_NFI[[#This Row],[Blanket]],Table_NFI[[#This Row],[Blanket]])</f>
        <v>0</v>
      </c>
      <c r="AC725" s="436">
        <f>IF(NFI_Expiration=1,IF($A725&lt;VLOOKUP(N$5,NFI,5,0),1,0)*Table_NFI[[#This Row],[Kitchen Set]],Table_NFI[Kitchen Set])</f>
        <v>0</v>
      </c>
      <c r="AD725" s="436">
        <f>IF(NFI_Expiration=1,IF($A725&lt;VLOOKUP(O$5,NFI,5,0),1,0)*Table_NFI[[#This Row],[Clothes Kit]],Table_NFI[Clothes Kit])</f>
        <v>0</v>
      </c>
      <c r="AE725" s="436">
        <f>IF(NFI_Expiration=1,IF($A725&lt;VLOOKUP(P$5,NFI,5,0),1,0)*Table_NFI[[#This Row],[Plastic Bucket]],Table_NFI[Plastic Bucket])</f>
        <v>0</v>
      </c>
      <c r="AF725" s="436">
        <f>IF(NFI_Expiration=1,IF($A725&lt;VLOOKUP(Q$5,NFI,5,0),1,0)*Table_NFI[[#This Row],[Plastic Mat]],Table_NFI[Plastic Mat])*IF(Table_NFI[[#This Row],[Distribution Date]]&gt;"2014-04-01",1,2.5)</f>
        <v>0</v>
      </c>
      <c r="AG725" s="436">
        <f>IF(NFI_Expiration=1,IF($A725&lt;VLOOKUP(R$5,NFI,5,0),1,0)*Table_NFI[[#This Row],[Winter Clothes Adult]],Table_NFI[Winter Clothes Adult])</f>
        <v>0</v>
      </c>
      <c r="AH725" s="436">
        <f>IF(NFI_Expiration=1,IF($A725&lt;VLOOKUP(S$5,NFI,5,0),1,0)*Table_NFI[[#This Row],[Winter Clothes Children]],Table_NFI[Winter Clothes Children])</f>
        <v>0</v>
      </c>
      <c r="AI725" s="436">
        <f>IF(NFI_Expiration=1,IF($A725&lt;VLOOKUP(T$5,NFI,5,0),1,0)*Table_NFI[[#This Row],[Winter Items Other]],Table_NFI[Winter Items Other])</f>
        <v>0</v>
      </c>
      <c r="AJ725" s="436">
        <f>IF(NFI_Expiration=1,IF($A725&lt;VLOOKUP(M$5,NFI,5,0),1,0)*Table_NFI[[#This Row],[Winter Blanket]],Table_NFI[[#This Row],[Winter Blanket]])</f>
        <v>0</v>
      </c>
      <c r="AK725" s="436">
        <f>IF(Table_NFI[[#This Row],[Winter Clothes Adult]]+Table_NFI[[#This Row],[Winter Clothes Children]]+Table_NFI[[#This Row],[Winter Items Other]]+Table_NFI[[#This Row],[Winter Blanket]]&gt;0,1,0)</f>
        <v>0</v>
      </c>
      <c r="AL725" s="439">
        <f>IF(NFI_Expiration=1,IF($A725&lt;VLOOKUP(V$5,NFI,5,0),1,0)*Table_NFI[[#This Row],[Jerry Can]],Table_NFI[Jerry Can])</f>
        <v>0</v>
      </c>
      <c r="AM725" s="781" t="str">
        <f>IFERROR(VLOOKUP(Table_NFI[[#This Row],[Camp Name]],CL,2,0),"")</f>
        <v>MMR001CMP038</v>
      </c>
      <c r="AN725" s="782">
        <f ca="1">IF(Table_NFI[[#This Row],[Pcode]]="","",IF(OFFSET(CampList[Opening Date],MATCH(Table_NFI[[#This Row],[Pcode]],CampList[CP_Pcode],0)-1,0,1,1)&gt;=NFI_Monitor_Date,1,0))</f>
        <v>0</v>
      </c>
      <c r="AO725" s="781" t="str">
        <f>IFERROR(VLOOKUP(Table_NFI[[#This Row],[Camp Name]],CL,3,0),"")</f>
        <v>Open</v>
      </c>
      <c r="AP725" s="436" t="str">
        <f ca="1">IF(Table_NFI[[#This Row],[Pcode]]="","",OFFSET(CampList[Priority],MATCH(Table_NFI[[#This Row],[Pcode]],CampList[CP_Pcode],0)-1,0,1,1))</f>
        <v>P4</v>
      </c>
      <c r="AQ725" s="438">
        <f>IFERROR(Table_NFI[[#This Row],[Kitchen Set]]/VLOOKUP(Table_NFI[[#This Row],[Camp Name]],CL,4,0),"")</f>
        <v>8.7912087912087919E-2</v>
      </c>
      <c r="AR725" s="779" t="s">
        <v>1099</v>
      </c>
      <c r="AS725" s="783"/>
    </row>
    <row r="726" spans="1:45" x14ac:dyDescent="0.25">
      <c r="A726" s="455">
        <f t="shared" si="11"/>
        <v>38.233333333333334</v>
      </c>
      <c r="B726" s="778">
        <v>41162</v>
      </c>
      <c r="C726" s="779" t="s">
        <v>454</v>
      </c>
      <c r="D726" s="780" t="s">
        <v>454</v>
      </c>
      <c r="E726" s="779" t="s">
        <v>380</v>
      </c>
      <c r="F726" s="435" t="s">
        <v>237</v>
      </c>
      <c r="G726" s="435" t="s">
        <v>267</v>
      </c>
      <c r="H726" s="436"/>
      <c r="I726" s="436"/>
      <c r="J726" s="436"/>
      <c r="K726" s="436">
        <v>10</v>
      </c>
      <c r="L726" s="437">
        <v>6</v>
      </c>
      <c r="M726" s="437">
        <v>10</v>
      </c>
      <c r="N726" s="437">
        <v>6</v>
      </c>
      <c r="O726" s="437">
        <v>6</v>
      </c>
      <c r="P726" s="437">
        <v>6</v>
      </c>
      <c r="Q726" s="437">
        <v>6</v>
      </c>
      <c r="R726" s="436"/>
      <c r="S726" s="436"/>
      <c r="T726" s="436"/>
      <c r="U726" s="436"/>
      <c r="V726" s="436"/>
      <c r="W726" s="436">
        <f>IF(NFI_Expiration=1,IF($A726&lt;VLOOKUP(H$5,NFI,5,0),1,0)*Table_NFI[[#This Row],[Hygiene Kit]],Table_NFI[Hygiene Kit])</f>
        <v>0</v>
      </c>
      <c r="X726" s="436">
        <f>IF(NFI_Expiration=1,IF($A726&lt;VLOOKUP(I$5,NFI,5,0),1,0)*Table_NFI[[#This Row],[NFI Core Kit]],Table_NFI[NFI Core Kit])</f>
        <v>0</v>
      </c>
      <c r="Y726" s="436">
        <f>IF(NFI_Expiration=1,IF($A726&lt;VLOOKUP(J$5,NFI,5,0),1,0)*Table_NFI[[#This Row],[Sanitary Kit]],Table_NFI[Sanitary Kit])</f>
        <v>0</v>
      </c>
      <c r="Z726" s="436">
        <f>IF(NFI_Expiration=1,IF($A726&lt;VLOOKUP(K$5,NFI,5,0),1,0)*Table_NFI[[#This Row],[Mosquito net]],Table_NFI[Mosquito net])</f>
        <v>0</v>
      </c>
      <c r="AA726" s="436">
        <f>IF(NFI_Expiration=1,IF($A726&lt;VLOOKUP(L$5,NFI,5,0),1,0)*Table_NFI[[#This Row],[Tarpaulin]],Table_NFI[[#This Row],[Tarpaulin]])</f>
        <v>0</v>
      </c>
      <c r="AB726" s="436">
        <f>IF(NFI_Expiration=1,IF($A726&lt;VLOOKUP(M$5,NFI,5,0),1,0)*Table_NFI[[#This Row],[Blanket]],Table_NFI[[#This Row],[Blanket]])</f>
        <v>0</v>
      </c>
      <c r="AC726" s="436">
        <f>IF(NFI_Expiration=1,IF($A726&lt;VLOOKUP(N$5,NFI,5,0),1,0)*Table_NFI[[#This Row],[Kitchen Set]],Table_NFI[Kitchen Set])</f>
        <v>0</v>
      </c>
      <c r="AD726" s="436">
        <f>IF(NFI_Expiration=1,IF($A726&lt;VLOOKUP(O$5,NFI,5,0),1,0)*Table_NFI[[#This Row],[Clothes Kit]],Table_NFI[Clothes Kit])</f>
        <v>0</v>
      </c>
      <c r="AE726" s="436">
        <f>IF(NFI_Expiration=1,IF($A726&lt;VLOOKUP(P$5,NFI,5,0),1,0)*Table_NFI[[#This Row],[Plastic Bucket]],Table_NFI[Plastic Bucket])</f>
        <v>0</v>
      </c>
      <c r="AF726" s="436">
        <f>IF(NFI_Expiration=1,IF($A726&lt;VLOOKUP(Q$5,NFI,5,0),1,0)*Table_NFI[[#This Row],[Plastic Mat]],Table_NFI[Plastic Mat])*IF(Table_NFI[[#This Row],[Distribution Date]]&gt;"2014-04-01",1,2.5)</f>
        <v>0</v>
      </c>
      <c r="AG726" s="436">
        <f>IF(NFI_Expiration=1,IF($A726&lt;VLOOKUP(R$5,NFI,5,0),1,0)*Table_NFI[[#This Row],[Winter Clothes Adult]],Table_NFI[Winter Clothes Adult])</f>
        <v>0</v>
      </c>
      <c r="AH726" s="436">
        <f>IF(NFI_Expiration=1,IF($A726&lt;VLOOKUP(S$5,NFI,5,0),1,0)*Table_NFI[[#This Row],[Winter Clothes Children]],Table_NFI[Winter Clothes Children])</f>
        <v>0</v>
      </c>
      <c r="AI726" s="436">
        <f>IF(NFI_Expiration=1,IF($A726&lt;VLOOKUP(T$5,NFI,5,0),1,0)*Table_NFI[[#This Row],[Winter Items Other]],Table_NFI[Winter Items Other])</f>
        <v>0</v>
      </c>
      <c r="AJ726" s="436">
        <f>IF(NFI_Expiration=1,IF($A726&lt;VLOOKUP(M$5,NFI,5,0),1,0)*Table_NFI[[#This Row],[Winter Blanket]],Table_NFI[[#This Row],[Winter Blanket]])</f>
        <v>0</v>
      </c>
      <c r="AK726" s="436">
        <f>IF(Table_NFI[[#This Row],[Winter Clothes Adult]]+Table_NFI[[#This Row],[Winter Clothes Children]]+Table_NFI[[#This Row],[Winter Items Other]]+Table_NFI[[#This Row],[Winter Blanket]]&gt;0,1,0)</f>
        <v>0</v>
      </c>
      <c r="AL726" s="439">
        <f>IF(NFI_Expiration=1,IF($A726&lt;VLOOKUP(V$5,NFI,5,0),1,0)*Table_NFI[[#This Row],[Jerry Can]],Table_NFI[Jerry Can])</f>
        <v>0</v>
      </c>
      <c r="AM726" s="781" t="str">
        <f>IFERROR(VLOOKUP(Table_NFI[[#This Row],[Camp Name]],CL,2,0),"")</f>
        <v>MMR001CMP017</v>
      </c>
      <c r="AN726" s="782">
        <f ca="1">IF(Table_NFI[[#This Row],[Pcode]]="","",IF(OFFSET(CampList[Opening Date],MATCH(Table_NFI[[#This Row],[Pcode]],CampList[CP_Pcode],0)-1,0,1,1)&gt;=NFI_Monitor_Date,1,0))</f>
        <v>0</v>
      </c>
      <c r="AO726" s="781" t="str">
        <f>IFERROR(VLOOKUP(Table_NFI[[#This Row],[Camp Name]],CL,3,0),"")</f>
        <v>Closed</v>
      </c>
      <c r="AP726" s="436" t="str">
        <f ca="1">IF(Table_NFI[[#This Row],[Pcode]]="","",OFFSET(CampList[Priority],MATCH(Table_NFI[[#This Row],[Pcode]],CampList[CP_Pcode],0)-1,0,1,1))</f>
        <v>P4</v>
      </c>
      <c r="AQ726" s="438" t="str">
        <f>IFERROR(Table_NFI[[#This Row],[Kitchen Set]]/VLOOKUP(Table_NFI[[#This Row],[Camp Name]],CL,4,0),"")</f>
        <v/>
      </c>
      <c r="AR726" s="779" t="s">
        <v>1099</v>
      </c>
      <c r="AS726" s="783"/>
    </row>
    <row r="727" spans="1:45" x14ac:dyDescent="0.25">
      <c r="A727" s="455">
        <f t="shared" si="11"/>
        <v>38.4</v>
      </c>
      <c r="B727" s="778">
        <v>41157</v>
      </c>
      <c r="C727" s="779" t="s">
        <v>454</v>
      </c>
      <c r="D727" s="779" t="s">
        <v>454</v>
      </c>
      <c r="E727" s="779" t="s">
        <v>380</v>
      </c>
      <c r="F727" s="435" t="s">
        <v>185</v>
      </c>
      <c r="G727" s="435" t="s">
        <v>186</v>
      </c>
      <c r="H727" s="436"/>
      <c r="I727" s="436"/>
      <c r="J727" s="436"/>
      <c r="K727" s="436">
        <v>40</v>
      </c>
      <c r="L727" s="437">
        <v>17</v>
      </c>
      <c r="M727" s="437">
        <v>40</v>
      </c>
      <c r="N727" s="437">
        <v>17</v>
      </c>
      <c r="O727" s="437">
        <v>17</v>
      </c>
      <c r="P727" s="439">
        <v>17</v>
      </c>
      <c r="Q727" s="439">
        <v>17</v>
      </c>
      <c r="R727" s="436"/>
      <c r="S727" s="436"/>
      <c r="T727" s="436"/>
      <c r="U727" s="436"/>
      <c r="V727" s="436"/>
      <c r="W727" s="436">
        <f>IF(NFI_Expiration=1,IF($A727&lt;VLOOKUP(H$5,NFI,5,0),1,0)*Table_NFI[[#This Row],[Hygiene Kit]],Table_NFI[Hygiene Kit])</f>
        <v>0</v>
      </c>
      <c r="X727" s="436">
        <f>IF(NFI_Expiration=1,IF($A727&lt;VLOOKUP(I$5,NFI,5,0),1,0)*Table_NFI[[#This Row],[NFI Core Kit]],Table_NFI[NFI Core Kit])</f>
        <v>0</v>
      </c>
      <c r="Y727" s="436">
        <f>IF(NFI_Expiration=1,IF($A727&lt;VLOOKUP(J$5,NFI,5,0),1,0)*Table_NFI[[#This Row],[Sanitary Kit]],Table_NFI[Sanitary Kit])</f>
        <v>0</v>
      </c>
      <c r="Z727" s="436">
        <f>IF(NFI_Expiration=1,IF($A727&lt;VLOOKUP(K$5,NFI,5,0),1,0)*Table_NFI[[#This Row],[Mosquito net]],Table_NFI[Mosquito net])</f>
        <v>0</v>
      </c>
      <c r="AA727" s="436">
        <f>IF(NFI_Expiration=1,IF($A727&lt;VLOOKUP(L$5,NFI,5,0),1,0)*Table_NFI[[#This Row],[Tarpaulin]],Table_NFI[[#This Row],[Tarpaulin]])</f>
        <v>0</v>
      </c>
      <c r="AB727" s="436">
        <f>IF(NFI_Expiration=1,IF($A727&lt;VLOOKUP(M$5,NFI,5,0),1,0)*Table_NFI[[#This Row],[Blanket]],Table_NFI[[#This Row],[Blanket]])</f>
        <v>0</v>
      </c>
      <c r="AC727" s="436">
        <f>IF(NFI_Expiration=1,IF($A727&lt;VLOOKUP(N$5,NFI,5,0),1,0)*Table_NFI[[#This Row],[Kitchen Set]],Table_NFI[Kitchen Set])</f>
        <v>0</v>
      </c>
      <c r="AD727" s="436">
        <f>IF(NFI_Expiration=1,IF($A727&lt;VLOOKUP(O$5,NFI,5,0),1,0)*Table_NFI[[#This Row],[Clothes Kit]],Table_NFI[Clothes Kit])</f>
        <v>0</v>
      </c>
      <c r="AE727" s="436">
        <f>IF(NFI_Expiration=1,IF($A727&lt;VLOOKUP(P$5,NFI,5,0),1,0)*Table_NFI[[#This Row],[Plastic Bucket]],Table_NFI[Plastic Bucket])</f>
        <v>0</v>
      </c>
      <c r="AF727" s="436">
        <f>IF(NFI_Expiration=1,IF($A727&lt;VLOOKUP(Q$5,NFI,5,0),1,0)*Table_NFI[[#This Row],[Plastic Mat]],Table_NFI[Plastic Mat])*IF(Table_NFI[[#This Row],[Distribution Date]]&gt;"2014-04-01",1,2.5)</f>
        <v>0</v>
      </c>
      <c r="AG727" s="436">
        <f>IF(NFI_Expiration=1,IF($A727&lt;VLOOKUP(R$5,NFI,5,0),1,0)*Table_NFI[[#This Row],[Winter Clothes Adult]],Table_NFI[Winter Clothes Adult])</f>
        <v>0</v>
      </c>
      <c r="AH727" s="436">
        <f>IF(NFI_Expiration=1,IF($A727&lt;VLOOKUP(S$5,NFI,5,0),1,0)*Table_NFI[[#This Row],[Winter Clothes Children]],Table_NFI[Winter Clothes Children])</f>
        <v>0</v>
      </c>
      <c r="AI727" s="436">
        <f>IF(NFI_Expiration=1,IF($A727&lt;VLOOKUP(T$5,NFI,5,0),1,0)*Table_NFI[[#This Row],[Winter Items Other]],Table_NFI[Winter Items Other])</f>
        <v>0</v>
      </c>
      <c r="AJ727" s="436">
        <f>IF(NFI_Expiration=1,IF($A727&lt;VLOOKUP(M$5,NFI,5,0),1,0)*Table_NFI[[#This Row],[Winter Blanket]],Table_NFI[[#This Row],[Winter Blanket]])</f>
        <v>0</v>
      </c>
      <c r="AK727" s="436">
        <f>IF(Table_NFI[[#This Row],[Winter Clothes Adult]]+Table_NFI[[#This Row],[Winter Clothes Children]]+Table_NFI[[#This Row],[Winter Items Other]]+Table_NFI[[#This Row],[Winter Blanket]]&gt;0,1,0)</f>
        <v>0</v>
      </c>
      <c r="AL727" s="439">
        <f>IF(NFI_Expiration=1,IF($A727&lt;VLOOKUP(V$5,NFI,5,0),1,0)*Table_NFI[[#This Row],[Jerry Can]],Table_NFI[Jerry Can])</f>
        <v>0</v>
      </c>
      <c r="AM727" s="781" t="str">
        <f>IFERROR(VLOOKUP(Table_NFI[[#This Row],[Camp Name]],CL,2,0),"")</f>
        <v>MMR001CMP071</v>
      </c>
      <c r="AN727" s="782">
        <f ca="1">IF(Table_NFI[[#This Row],[Pcode]]="","",IF(OFFSET(CampList[Opening Date],MATCH(Table_NFI[[#This Row],[Pcode]],CampList[CP_Pcode],0)-1,0,1,1)&gt;=NFI_Monitor_Date,1,0))</f>
        <v>0</v>
      </c>
      <c r="AO727" s="781" t="str">
        <f>IFERROR(VLOOKUP(Table_NFI[[#This Row],[Camp Name]],CL,3,0),"")</f>
        <v>Open</v>
      </c>
      <c r="AP727" s="436" t="str">
        <f ca="1">IF(Table_NFI[[#This Row],[Pcode]]="","",OFFSET(CampList[Priority],MATCH(Table_NFI[[#This Row],[Pcode]],CampList[CP_Pcode],0)-1,0,1,1))</f>
        <v>P3</v>
      </c>
      <c r="AQ727" s="438">
        <f>IFERROR(Table_NFI[[#This Row],[Kitchen Set]]/VLOOKUP(Table_NFI[[#This Row],[Camp Name]],CL,4,0),"")</f>
        <v>0.58620689655172409</v>
      </c>
      <c r="AR727" s="779" t="s">
        <v>1099</v>
      </c>
      <c r="AS727" s="783"/>
    </row>
    <row r="728" spans="1:45" x14ac:dyDescent="0.25">
      <c r="A728" s="455">
        <f t="shared" si="11"/>
        <v>38.4</v>
      </c>
      <c r="B728" s="778">
        <v>41157</v>
      </c>
      <c r="C728" s="779" t="s">
        <v>454</v>
      </c>
      <c r="D728" s="780" t="s">
        <v>454</v>
      </c>
      <c r="E728" s="779" t="s">
        <v>380</v>
      </c>
      <c r="F728" s="435" t="s">
        <v>185</v>
      </c>
      <c r="G728" s="435" t="s">
        <v>223</v>
      </c>
      <c r="H728" s="436"/>
      <c r="I728" s="436"/>
      <c r="J728" s="436"/>
      <c r="K728" s="436">
        <v>21</v>
      </c>
      <c r="L728" s="437">
        <v>10</v>
      </c>
      <c r="M728" s="437">
        <v>21</v>
      </c>
      <c r="N728" s="437">
        <v>10</v>
      </c>
      <c r="O728" s="437">
        <v>10</v>
      </c>
      <c r="P728" s="437">
        <v>10</v>
      </c>
      <c r="Q728" s="437">
        <v>10</v>
      </c>
      <c r="R728" s="436"/>
      <c r="S728" s="436"/>
      <c r="T728" s="436"/>
      <c r="U728" s="436"/>
      <c r="V728" s="436"/>
      <c r="W728" s="436">
        <f>IF(NFI_Expiration=1,IF($A728&lt;VLOOKUP(H$5,NFI,5,0),1,0)*Table_NFI[[#This Row],[Hygiene Kit]],Table_NFI[Hygiene Kit])</f>
        <v>0</v>
      </c>
      <c r="X728" s="436">
        <f>IF(NFI_Expiration=1,IF($A728&lt;VLOOKUP(I$5,NFI,5,0),1,0)*Table_NFI[[#This Row],[NFI Core Kit]],Table_NFI[NFI Core Kit])</f>
        <v>0</v>
      </c>
      <c r="Y728" s="436">
        <f>IF(NFI_Expiration=1,IF($A728&lt;VLOOKUP(J$5,NFI,5,0),1,0)*Table_NFI[[#This Row],[Sanitary Kit]],Table_NFI[Sanitary Kit])</f>
        <v>0</v>
      </c>
      <c r="Z728" s="436">
        <f>IF(NFI_Expiration=1,IF($A728&lt;VLOOKUP(K$5,NFI,5,0),1,0)*Table_NFI[[#This Row],[Mosquito net]],Table_NFI[Mosquito net])</f>
        <v>0</v>
      </c>
      <c r="AA728" s="436">
        <f>IF(NFI_Expiration=1,IF($A728&lt;VLOOKUP(L$5,NFI,5,0),1,0)*Table_NFI[[#This Row],[Tarpaulin]],Table_NFI[[#This Row],[Tarpaulin]])</f>
        <v>0</v>
      </c>
      <c r="AB728" s="436">
        <f>IF(NFI_Expiration=1,IF($A728&lt;VLOOKUP(M$5,NFI,5,0),1,0)*Table_NFI[[#This Row],[Blanket]],Table_NFI[[#This Row],[Blanket]])</f>
        <v>0</v>
      </c>
      <c r="AC728" s="436">
        <f>IF(NFI_Expiration=1,IF($A728&lt;VLOOKUP(N$5,NFI,5,0),1,0)*Table_NFI[[#This Row],[Kitchen Set]],Table_NFI[Kitchen Set])</f>
        <v>0</v>
      </c>
      <c r="AD728" s="436">
        <f>IF(NFI_Expiration=1,IF($A728&lt;VLOOKUP(O$5,NFI,5,0),1,0)*Table_NFI[[#This Row],[Clothes Kit]],Table_NFI[Clothes Kit])</f>
        <v>0</v>
      </c>
      <c r="AE728" s="436">
        <f>IF(NFI_Expiration=1,IF($A728&lt;VLOOKUP(P$5,NFI,5,0),1,0)*Table_NFI[[#This Row],[Plastic Bucket]],Table_NFI[Plastic Bucket])</f>
        <v>0</v>
      </c>
      <c r="AF728" s="436">
        <f>IF(NFI_Expiration=1,IF($A728&lt;VLOOKUP(Q$5,NFI,5,0),1,0)*Table_NFI[[#This Row],[Plastic Mat]],Table_NFI[Plastic Mat])*IF(Table_NFI[[#This Row],[Distribution Date]]&gt;"2014-04-01",1,2.5)</f>
        <v>0</v>
      </c>
      <c r="AG728" s="436">
        <f>IF(NFI_Expiration=1,IF($A728&lt;VLOOKUP(R$5,NFI,5,0),1,0)*Table_NFI[[#This Row],[Winter Clothes Adult]],Table_NFI[Winter Clothes Adult])</f>
        <v>0</v>
      </c>
      <c r="AH728" s="436">
        <f>IF(NFI_Expiration=1,IF($A728&lt;VLOOKUP(S$5,NFI,5,0),1,0)*Table_NFI[[#This Row],[Winter Clothes Children]],Table_NFI[Winter Clothes Children])</f>
        <v>0</v>
      </c>
      <c r="AI728" s="436">
        <f>IF(NFI_Expiration=1,IF($A728&lt;VLOOKUP(T$5,NFI,5,0),1,0)*Table_NFI[[#This Row],[Winter Items Other]],Table_NFI[Winter Items Other])</f>
        <v>0</v>
      </c>
      <c r="AJ728" s="436">
        <f>IF(NFI_Expiration=1,IF($A728&lt;VLOOKUP(M$5,NFI,5,0),1,0)*Table_NFI[[#This Row],[Winter Blanket]],Table_NFI[[#This Row],[Winter Blanket]])</f>
        <v>0</v>
      </c>
      <c r="AK728" s="436">
        <f>IF(Table_NFI[[#This Row],[Winter Clothes Adult]]+Table_NFI[[#This Row],[Winter Clothes Children]]+Table_NFI[[#This Row],[Winter Items Other]]+Table_NFI[[#This Row],[Winter Blanket]]&gt;0,1,0)</f>
        <v>0</v>
      </c>
      <c r="AL728" s="439">
        <f>IF(NFI_Expiration=1,IF($A728&lt;VLOOKUP(V$5,NFI,5,0),1,0)*Table_NFI[[#This Row],[Jerry Can]],Table_NFI[Jerry Can])</f>
        <v>0</v>
      </c>
      <c r="AM728" s="781" t="str">
        <f>IFERROR(VLOOKUP(Table_NFI[[#This Row],[Camp Name]],CL,2,0),"")</f>
        <v>MMR001CMP069</v>
      </c>
      <c r="AN728" s="782">
        <f ca="1">IF(Table_NFI[[#This Row],[Pcode]]="","",IF(OFFSET(CampList[Opening Date],MATCH(Table_NFI[[#This Row],[Pcode]],CampList[CP_Pcode],0)-1,0,1,1)&gt;=NFI_Monitor_Date,1,0))</f>
        <v>0</v>
      </c>
      <c r="AO728" s="781" t="str">
        <f>IFERROR(VLOOKUP(Table_NFI[[#This Row],[Camp Name]],CL,3,0),"")</f>
        <v>Open</v>
      </c>
      <c r="AP728" s="436" t="str">
        <f ca="1">IF(Table_NFI[[#This Row],[Pcode]]="","",OFFSET(CampList[Priority],MATCH(Table_NFI[[#This Row],[Pcode]],CampList[CP_Pcode],0)-1,0,1,1))</f>
        <v>P3</v>
      </c>
      <c r="AQ728" s="438">
        <f>IFERROR(Table_NFI[[#This Row],[Kitchen Set]]/VLOOKUP(Table_NFI[[#This Row],[Camp Name]],CL,4,0),"")</f>
        <v>0.14285714285714285</v>
      </c>
      <c r="AR728" s="779" t="s">
        <v>1099</v>
      </c>
      <c r="AS728" s="783"/>
    </row>
    <row r="729" spans="1:45" x14ac:dyDescent="0.25">
      <c r="A729" s="455">
        <f t="shared" si="11"/>
        <v>38.4</v>
      </c>
      <c r="B729" s="778">
        <v>41157</v>
      </c>
      <c r="C729" s="779" t="s">
        <v>454</v>
      </c>
      <c r="D729" s="779" t="s">
        <v>454</v>
      </c>
      <c r="E729" s="779" t="s">
        <v>380</v>
      </c>
      <c r="F729" s="779" t="s">
        <v>185</v>
      </c>
      <c r="G729" s="435" t="s">
        <v>190</v>
      </c>
      <c r="H729" s="436"/>
      <c r="I729" s="436"/>
      <c r="J729" s="436"/>
      <c r="K729" s="436">
        <v>133</v>
      </c>
      <c r="L729" s="437">
        <v>62</v>
      </c>
      <c r="M729" s="437">
        <v>133</v>
      </c>
      <c r="N729" s="437">
        <v>62</v>
      </c>
      <c r="O729" s="437">
        <v>62</v>
      </c>
      <c r="P729" s="439">
        <v>62</v>
      </c>
      <c r="Q729" s="439">
        <v>62</v>
      </c>
      <c r="R729" s="436"/>
      <c r="S729" s="436"/>
      <c r="T729" s="436"/>
      <c r="U729" s="436"/>
      <c r="V729" s="436"/>
      <c r="W729" s="436">
        <f>IF(NFI_Expiration=1,IF($A729&lt;VLOOKUP(H$5,NFI,5,0),1,0)*Table_NFI[[#This Row],[Hygiene Kit]],Table_NFI[Hygiene Kit])</f>
        <v>0</v>
      </c>
      <c r="X729" s="436">
        <f>IF(NFI_Expiration=1,IF($A729&lt;VLOOKUP(I$5,NFI,5,0),1,0)*Table_NFI[[#This Row],[NFI Core Kit]],Table_NFI[NFI Core Kit])</f>
        <v>0</v>
      </c>
      <c r="Y729" s="436">
        <f>IF(NFI_Expiration=1,IF($A729&lt;VLOOKUP(J$5,NFI,5,0),1,0)*Table_NFI[[#This Row],[Sanitary Kit]],Table_NFI[Sanitary Kit])</f>
        <v>0</v>
      </c>
      <c r="Z729" s="436">
        <f>IF(NFI_Expiration=1,IF($A729&lt;VLOOKUP(K$5,NFI,5,0),1,0)*Table_NFI[[#This Row],[Mosquito net]],Table_NFI[Mosquito net])</f>
        <v>0</v>
      </c>
      <c r="AA729" s="436">
        <f>IF(NFI_Expiration=1,IF($A729&lt;VLOOKUP(L$5,NFI,5,0),1,0)*Table_NFI[[#This Row],[Tarpaulin]],Table_NFI[[#This Row],[Tarpaulin]])</f>
        <v>0</v>
      </c>
      <c r="AB729" s="436">
        <f>IF(NFI_Expiration=1,IF($A729&lt;VLOOKUP(M$5,NFI,5,0),1,0)*Table_NFI[[#This Row],[Blanket]],Table_NFI[[#This Row],[Blanket]])</f>
        <v>0</v>
      </c>
      <c r="AC729" s="436">
        <f>IF(NFI_Expiration=1,IF($A729&lt;VLOOKUP(N$5,NFI,5,0),1,0)*Table_NFI[[#This Row],[Kitchen Set]],Table_NFI[Kitchen Set])</f>
        <v>0</v>
      </c>
      <c r="AD729" s="436">
        <f>IF(NFI_Expiration=1,IF($A729&lt;VLOOKUP(O$5,NFI,5,0),1,0)*Table_NFI[[#This Row],[Clothes Kit]],Table_NFI[Clothes Kit])</f>
        <v>0</v>
      </c>
      <c r="AE729" s="436">
        <f>IF(NFI_Expiration=1,IF($A729&lt;VLOOKUP(P$5,NFI,5,0),1,0)*Table_NFI[[#This Row],[Plastic Bucket]],Table_NFI[Plastic Bucket])</f>
        <v>0</v>
      </c>
      <c r="AF729" s="436">
        <f>IF(NFI_Expiration=1,IF($A729&lt;VLOOKUP(Q$5,NFI,5,0),1,0)*Table_NFI[[#This Row],[Plastic Mat]],Table_NFI[Plastic Mat])*IF(Table_NFI[[#This Row],[Distribution Date]]&gt;"2014-04-01",1,2.5)</f>
        <v>0</v>
      </c>
      <c r="AG729" s="436">
        <f>IF(NFI_Expiration=1,IF($A729&lt;VLOOKUP(R$5,NFI,5,0),1,0)*Table_NFI[[#This Row],[Winter Clothes Adult]],Table_NFI[Winter Clothes Adult])</f>
        <v>0</v>
      </c>
      <c r="AH729" s="436">
        <f>IF(NFI_Expiration=1,IF($A729&lt;VLOOKUP(S$5,NFI,5,0),1,0)*Table_NFI[[#This Row],[Winter Clothes Children]],Table_NFI[Winter Clothes Children])</f>
        <v>0</v>
      </c>
      <c r="AI729" s="436">
        <f>IF(NFI_Expiration=1,IF($A729&lt;VLOOKUP(T$5,NFI,5,0),1,0)*Table_NFI[[#This Row],[Winter Items Other]],Table_NFI[Winter Items Other])</f>
        <v>0</v>
      </c>
      <c r="AJ729" s="436">
        <f>IF(NFI_Expiration=1,IF($A729&lt;VLOOKUP(M$5,NFI,5,0),1,0)*Table_NFI[[#This Row],[Winter Blanket]],Table_NFI[[#This Row],[Winter Blanket]])</f>
        <v>0</v>
      </c>
      <c r="AK729" s="436">
        <f>IF(Table_NFI[[#This Row],[Winter Clothes Adult]]+Table_NFI[[#This Row],[Winter Clothes Children]]+Table_NFI[[#This Row],[Winter Items Other]]+Table_NFI[[#This Row],[Winter Blanket]]&gt;0,1,0)</f>
        <v>0</v>
      </c>
      <c r="AL729" s="439">
        <f>IF(NFI_Expiration=1,IF($A729&lt;VLOOKUP(V$5,NFI,5,0),1,0)*Table_NFI[[#This Row],[Jerry Can]],Table_NFI[Jerry Can])</f>
        <v>0</v>
      </c>
      <c r="AM729" s="781" t="str">
        <f>IFERROR(VLOOKUP(Table_NFI[[#This Row],[Camp Name]],CL,2,0),"")</f>
        <v>MMR001CMP070</v>
      </c>
      <c r="AN729" s="782">
        <f ca="1">IF(Table_NFI[[#This Row],[Pcode]]="","",IF(OFFSET(CampList[Opening Date],MATCH(Table_NFI[[#This Row],[Pcode]],CampList[CP_Pcode],0)-1,0,1,1)&gt;=NFI_Monitor_Date,1,0))</f>
        <v>0</v>
      </c>
      <c r="AO729" s="781" t="str">
        <f>IFERROR(VLOOKUP(Table_NFI[[#This Row],[Camp Name]],CL,3,0),"")</f>
        <v>Open</v>
      </c>
      <c r="AP729" s="436" t="str">
        <f ca="1">IF(Table_NFI[[#This Row],[Pcode]]="","",OFFSET(CampList[Priority],MATCH(Table_NFI[[#This Row],[Pcode]],CampList[CP_Pcode],0)-1,0,1,1))</f>
        <v>P3</v>
      </c>
      <c r="AQ729" s="438">
        <f>IFERROR(Table_NFI[[#This Row],[Kitchen Set]]/VLOOKUP(Table_NFI[[#This Row],[Camp Name]],CL,4,0),"")</f>
        <v>0.32978723404255317</v>
      </c>
      <c r="AR729" s="779" t="s">
        <v>1099</v>
      </c>
      <c r="AS729" s="783"/>
    </row>
    <row r="730" spans="1:45" x14ac:dyDescent="0.25">
      <c r="A730" s="455">
        <f t="shared" si="11"/>
        <v>38.4</v>
      </c>
      <c r="B730" s="778">
        <v>41157</v>
      </c>
      <c r="C730" s="779" t="s">
        <v>454</v>
      </c>
      <c r="D730" s="780" t="s">
        <v>454</v>
      </c>
      <c r="E730" s="779" t="s">
        <v>380</v>
      </c>
      <c r="F730" s="435" t="s">
        <v>185</v>
      </c>
      <c r="G730" s="435" t="s">
        <v>225</v>
      </c>
      <c r="H730" s="436"/>
      <c r="I730" s="436"/>
      <c r="J730" s="436"/>
      <c r="K730" s="436">
        <v>26</v>
      </c>
      <c r="L730" s="437">
        <v>11</v>
      </c>
      <c r="M730" s="437">
        <v>26</v>
      </c>
      <c r="N730" s="437">
        <v>11</v>
      </c>
      <c r="O730" s="437">
        <v>11</v>
      </c>
      <c r="P730" s="437">
        <v>11</v>
      </c>
      <c r="Q730" s="437">
        <v>11</v>
      </c>
      <c r="R730" s="436"/>
      <c r="S730" s="436"/>
      <c r="T730" s="436"/>
      <c r="U730" s="436"/>
      <c r="V730" s="436"/>
      <c r="W730" s="436">
        <f>IF(NFI_Expiration=1,IF($A730&lt;VLOOKUP(H$5,NFI,5,0),1,0)*Table_NFI[[#This Row],[Hygiene Kit]],Table_NFI[Hygiene Kit])</f>
        <v>0</v>
      </c>
      <c r="X730" s="436">
        <f>IF(NFI_Expiration=1,IF($A730&lt;VLOOKUP(I$5,NFI,5,0),1,0)*Table_NFI[[#This Row],[NFI Core Kit]],Table_NFI[NFI Core Kit])</f>
        <v>0</v>
      </c>
      <c r="Y730" s="436">
        <f>IF(NFI_Expiration=1,IF($A730&lt;VLOOKUP(J$5,NFI,5,0),1,0)*Table_NFI[[#This Row],[Sanitary Kit]],Table_NFI[Sanitary Kit])</f>
        <v>0</v>
      </c>
      <c r="Z730" s="436">
        <f>IF(NFI_Expiration=1,IF($A730&lt;VLOOKUP(K$5,NFI,5,0),1,0)*Table_NFI[[#This Row],[Mosquito net]],Table_NFI[Mosquito net])</f>
        <v>0</v>
      </c>
      <c r="AA730" s="436">
        <f>IF(NFI_Expiration=1,IF($A730&lt;VLOOKUP(L$5,NFI,5,0),1,0)*Table_NFI[[#This Row],[Tarpaulin]],Table_NFI[[#This Row],[Tarpaulin]])</f>
        <v>0</v>
      </c>
      <c r="AB730" s="436">
        <f>IF(NFI_Expiration=1,IF($A730&lt;VLOOKUP(M$5,NFI,5,0),1,0)*Table_NFI[[#This Row],[Blanket]],Table_NFI[[#This Row],[Blanket]])</f>
        <v>0</v>
      </c>
      <c r="AC730" s="436">
        <f>IF(NFI_Expiration=1,IF($A730&lt;VLOOKUP(N$5,NFI,5,0),1,0)*Table_NFI[[#This Row],[Kitchen Set]],Table_NFI[Kitchen Set])</f>
        <v>0</v>
      </c>
      <c r="AD730" s="436">
        <f>IF(NFI_Expiration=1,IF($A730&lt;VLOOKUP(O$5,NFI,5,0),1,0)*Table_NFI[[#This Row],[Clothes Kit]],Table_NFI[Clothes Kit])</f>
        <v>0</v>
      </c>
      <c r="AE730" s="436">
        <f>IF(NFI_Expiration=1,IF($A730&lt;VLOOKUP(P$5,NFI,5,0),1,0)*Table_NFI[[#This Row],[Plastic Bucket]],Table_NFI[Plastic Bucket])</f>
        <v>0</v>
      </c>
      <c r="AF730" s="436">
        <f>IF(NFI_Expiration=1,IF($A730&lt;VLOOKUP(Q$5,NFI,5,0),1,0)*Table_NFI[[#This Row],[Plastic Mat]],Table_NFI[Plastic Mat])*IF(Table_NFI[[#This Row],[Distribution Date]]&gt;"2014-04-01",1,2.5)</f>
        <v>0</v>
      </c>
      <c r="AG730" s="436">
        <f>IF(NFI_Expiration=1,IF($A730&lt;VLOOKUP(R$5,NFI,5,0),1,0)*Table_NFI[[#This Row],[Winter Clothes Adult]],Table_NFI[Winter Clothes Adult])</f>
        <v>0</v>
      </c>
      <c r="AH730" s="436">
        <f>IF(NFI_Expiration=1,IF($A730&lt;VLOOKUP(S$5,NFI,5,0),1,0)*Table_NFI[[#This Row],[Winter Clothes Children]],Table_NFI[Winter Clothes Children])</f>
        <v>0</v>
      </c>
      <c r="AI730" s="436">
        <f>IF(NFI_Expiration=1,IF($A730&lt;VLOOKUP(T$5,NFI,5,0),1,0)*Table_NFI[[#This Row],[Winter Items Other]],Table_NFI[Winter Items Other])</f>
        <v>0</v>
      </c>
      <c r="AJ730" s="436">
        <f>IF(NFI_Expiration=1,IF($A730&lt;VLOOKUP(M$5,NFI,5,0),1,0)*Table_NFI[[#This Row],[Winter Blanket]],Table_NFI[[#This Row],[Winter Blanket]])</f>
        <v>0</v>
      </c>
      <c r="AK730" s="436">
        <f>IF(Table_NFI[[#This Row],[Winter Clothes Adult]]+Table_NFI[[#This Row],[Winter Clothes Children]]+Table_NFI[[#This Row],[Winter Items Other]]+Table_NFI[[#This Row],[Winter Blanket]]&gt;0,1,0)</f>
        <v>0</v>
      </c>
      <c r="AL730" s="439">
        <f>IF(NFI_Expiration=1,IF($A730&lt;VLOOKUP(V$5,NFI,5,0),1,0)*Table_NFI[[#This Row],[Jerry Can]],Table_NFI[Jerry Can])</f>
        <v>0</v>
      </c>
      <c r="AM730" s="781" t="str">
        <f>IFERROR(VLOOKUP(Table_NFI[[#This Row],[Camp Name]],CL,2,0),"")</f>
        <v>MMR001CMP073</v>
      </c>
      <c r="AN730" s="782">
        <f ca="1">IF(Table_NFI[[#This Row],[Pcode]]="","",IF(OFFSET(CampList[Opening Date],MATCH(Table_NFI[[#This Row],[Pcode]],CampList[CP_Pcode],0)-1,0,1,1)&gt;=NFI_Monitor_Date,1,0))</f>
        <v>0</v>
      </c>
      <c r="AO730" s="781" t="str">
        <f>IFERROR(VLOOKUP(Table_NFI[[#This Row],[Camp Name]],CL,3,0),"")</f>
        <v>Open</v>
      </c>
      <c r="AP730" s="436" t="str">
        <f ca="1">IF(Table_NFI[[#This Row],[Pcode]]="","",OFFSET(CampList[Priority],MATCH(Table_NFI[[#This Row],[Pcode]],CampList[CP_Pcode],0)-1,0,1,1))</f>
        <v>P3</v>
      </c>
      <c r="AQ730" s="438">
        <f>IFERROR(Table_NFI[[#This Row],[Kitchen Set]]/VLOOKUP(Table_NFI[[#This Row],[Camp Name]],CL,4,0),"")</f>
        <v>0.24444444444444444</v>
      </c>
      <c r="AR730" s="779" t="s">
        <v>1099</v>
      </c>
      <c r="AS730" s="783"/>
    </row>
    <row r="731" spans="1:45" x14ac:dyDescent="0.25">
      <c r="A731" s="455">
        <f t="shared" si="11"/>
        <v>38.633333333333333</v>
      </c>
      <c r="B731" s="778">
        <v>41150</v>
      </c>
      <c r="C731" s="779" t="s">
        <v>454</v>
      </c>
      <c r="D731" s="780" t="s">
        <v>454</v>
      </c>
      <c r="E731" s="779" t="s">
        <v>380</v>
      </c>
      <c r="F731" s="435" t="s">
        <v>185</v>
      </c>
      <c r="G731" s="435" t="s">
        <v>229</v>
      </c>
      <c r="H731" s="436"/>
      <c r="I731" s="436"/>
      <c r="J731" s="436"/>
      <c r="K731" s="436">
        <v>112</v>
      </c>
      <c r="L731" s="437">
        <v>41</v>
      </c>
      <c r="M731" s="437">
        <v>112</v>
      </c>
      <c r="N731" s="437">
        <v>41</v>
      </c>
      <c r="O731" s="437">
        <v>41</v>
      </c>
      <c r="P731" s="437">
        <v>41</v>
      </c>
      <c r="Q731" s="437">
        <v>41</v>
      </c>
      <c r="R731" s="436"/>
      <c r="S731" s="436"/>
      <c r="T731" s="436"/>
      <c r="U731" s="436"/>
      <c r="V731" s="436"/>
      <c r="W731" s="436">
        <f>IF(NFI_Expiration=1,IF($A731&lt;VLOOKUP(H$5,NFI,5,0),1,0)*Table_NFI[[#This Row],[Hygiene Kit]],Table_NFI[Hygiene Kit])</f>
        <v>0</v>
      </c>
      <c r="X731" s="436">
        <f>IF(NFI_Expiration=1,IF($A731&lt;VLOOKUP(I$5,NFI,5,0),1,0)*Table_NFI[[#This Row],[NFI Core Kit]],Table_NFI[NFI Core Kit])</f>
        <v>0</v>
      </c>
      <c r="Y731" s="436">
        <f>IF(NFI_Expiration=1,IF($A731&lt;VLOOKUP(J$5,NFI,5,0),1,0)*Table_NFI[[#This Row],[Sanitary Kit]],Table_NFI[Sanitary Kit])</f>
        <v>0</v>
      </c>
      <c r="Z731" s="436">
        <f>IF(NFI_Expiration=1,IF($A731&lt;VLOOKUP(K$5,NFI,5,0),1,0)*Table_NFI[[#This Row],[Mosquito net]],Table_NFI[Mosquito net])</f>
        <v>0</v>
      </c>
      <c r="AA731" s="436">
        <f>IF(NFI_Expiration=1,IF($A731&lt;VLOOKUP(L$5,NFI,5,0),1,0)*Table_NFI[[#This Row],[Tarpaulin]],Table_NFI[[#This Row],[Tarpaulin]])</f>
        <v>0</v>
      </c>
      <c r="AB731" s="436">
        <f>IF(NFI_Expiration=1,IF($A731&lt;VLOOKUP(M$5,NFI,5,0),1,0)*Table_NFI[[#This Row],[Blanket]],Table_NFI[[#This Row],[Blanket]])</f>
        <v>0</v>
      </c>
      <c r="AC731" s="436">
        <f>IF(NFI_Expiration=1,IF($A731&lt;VLOOKUP(N$5,NFI,5,0),1,0)*Table_NFI[[#This Row],[Kitchen Set]],Table_NFI[Kitchen Set])</f>
        <v>0</v>
      </c>
      <c r="AD731" s="436">
        <f>IF(NFI_Expiration=1,IF($A731&lt;VLOOKUP(O$5,NFI,5,0),1,0)*Table_NFI[[#This Row],[Clothes Kit]],Table_NFI[Clothes Kit])</f>
        <v>0</v>
      </c>
      <c r="AE731" s="436">
        <f>IF(NFI_Expiration=1,IF($A731&lt;VLOOKUP(P$5,NFI,5,0),1,0)*Table_NFI[[#This Row],[Plastic Bucket]],Table_NFI[Plastic Bucket])</f>
        <v>0</v>
      </c>
      <c r="AF731" s="436">
        <f>IF(NFI_Expiration=1,IF($A731&lt;VLOOKUP(Q$5,NFI,5,0),1,0)*Table_NFI[[#This Row],[Plastic Mat]],Table_NFI[Plastic Mat])*IF(Table_NFI[[#This Row],[Distribution Date]]&gt;"2014-04-01",1,2.5)</f>
        <v>0</v>
      </c>
      <c r="AG731" s="436">
        <f>IF(NFI_Expiration=1,IF($A731&lt;VLOOKUP(R$5,NFI,5,0),1,0)*Table_NFI[[#This Row],[Winter Clothes Adult]],Table_NFI[Winter Clothes Adult])</f>
        <v>0</v>
      </c>
      <c r="AH731" s="436">
        <f>IF(NFI_Expiration=1,IF($A731&lt;VLOOKUP(S$5,NFI,5,0),1,0)*Table_NFI[[#This Row],[Winter Clothes Children]],Table_NFI[Winter Clothes Children])</f>
        <v>0</v>
      </c>
      <c r="AI731" s="436">
        <f>IF(NFI_Expiration=1,IF($A731&lt;VLOOKUP(T$5,NFI,5,0),1,0)*Table_NFI[[#This Row],[Winter Items Other]],Table_NFI[Winter Items Other])</f>
        <v>0</v>
      </c>
      <c r="AJ731" s="436">
        <f>IF(NFI_Expiration=1,IF($A731&lt;VLOOKUP(M$5,NFI,5,0),1,0)*Table_NFI[[#This Row],[Winter Blanket]],Table_NFI[[#This Row],[Winter Blanket]])</f>
        <v>0</v>
      </c>
      <c r="AK731" s="436">
        <f>IF(Table_NFI[[#This Row],[Winter Clothes Adult]]+Table_NFI[[#This Row],[Winter Clothes Children]]+Table_NFI[[#This Row],[Winter Items Other]]+Table_NFI[[#This Row],[Winter Blanket]]&gt;0,1,0)</f>
        <v>0</v>
      </c>
      <c r="AL731" s="439">
        <f>IF(NFI_Expiration=1,IF($A731&lt;VLOOKUP(V$5,NFI,5,0),1,0)*Table_NFI[[#This Row],[Jerry Can]],Table_NFI[Jerry Can])</f>
        <v>0</v>
      </c>
      <c r="AM731" s="781" t="str">
        <f>IFERROR(VLOOKUP(Table_NFI[[#This Row],[Camp Name]],CL,2,0),"")</f>
        <v>MMR001CMP072</v>
      </c>
      <c r="AN731" s="782">
        <f ca="1">IF(Table_NFI[[#This Row],[Pcode]]="","",IF(OFFSET(CampList[Opening Date],MATCH(Table_NFI[[#This Row],[Pcode]],CampList[CP_Pcode],0)-1,0,1,1)&gt;=NFI_Monitor_Date,1,0))</f>
        <v>0</v>
      </c>
      <c r="AO731" s="781" t="str">
        <f>IFERROR(VLOOKUP(Table_NFI[[#This Row],[Camp Name]],CL,3,0),"")</f>
        <v>Open</v>
      </c>
      <c r="AP731" s="436" t="str">
        <f ca="1">IF(Table_NFI[[#This Row],[Pcode]]="","",OFFSET(CampList[Priority],MATCH(Table_NFI[[#This Row],[Pcode]],CampList[CP_Pcode],0)-1,0,1,1))</f>
        <v>P3</v>
      </c>
      <c r="AQ731" s="438">
        <f>IFERROR(Table_NFI[[#This Row],[Kitchen Set]]/VLOOKUP(Table_NFI[[#This Row],[Camp Name]],CL,4,0),"")</f>
        <v>0.82</v>
      </c>
      <c r="AR731" s="779" t="s">
        <v>1099</v>
      </c>
      <c r="AS731" s="783"/>
    </row>
    <row r="732" spans="1:45" x14ac:dyDescent="0.25">
      <c r="A732" s="455">
        <f t="shared" si="11"/>
        <v>38.700000000000003</v>
      </c>
      <c r="B732" s="778">
        <v>41148</v>
      </c>
      <c r="C732" s="779" t="s">
        <v>454</v>
      </c>
      <c r="D732" s="780" t="s">
        <v>454</v>
      </c>
      <c r="E732" s="779" t="s">
        <v>380</v>
      </c>
      <c r="F732" s="435" t="s">
        <v>237</v>
      </c>
      <c r="G732" s="435" t="s">
        <v>253</v>
      </c>
      <c r="H732" s="436"/>
      <c r="I732" s="436"/>
      <c r="J732" s="436"/>
      <c r="K732" s="436">
        <v>7</v>
      </c>
      <c r="L732" s="437">
        <v>4</v>
      </c>
      <c r="M732" s="437">
        <v>7</v>
      </c>
      <c r="N732" s="437">
        <v>3</v>
      </c>
      <c r="O732" s="437">
        <v>3</v>
      </c>
      <c r="P732" s="437">
        <v>3</v>
      </c>
      <c r="Q732" s="437">
        <v>3</v>
      </c>
      <c r="R732" s="436"/>
      <c r="S732" s="436"/>
      <c r="T732" s="436"/>
      <c r="U732" s="436"/>
      <c r="V732" s="436"/>
      <c r="W732" s="436">
        <f>IF(NFI_Expiration=1,IF($A732&lt;VLOOKUP(H$5,NFI,5,0),1,0)*Table_NFI[[#This Row],[Hygiene Kit]],Table_NFI[Hygiene Kit])</f>
        <v>0</v>
      </c>
      <c r="X732" s="436">
        <f>IF(NFI_Expiration=1,IF($A732&lt;VLOOKUP(I$5,NFI,5,0),1,0)*Table_NFI[[#This Row],[NFI Core Kit]],Table_NFI[NFI Core Kit])</f>
        <v>0</v>
      </c>
      <c r="Y732" s="436">
        <f>IF(NFI_Expiration=1,IF($A732&lt;VLOOKUP(J$5,NFI,5,0),1,0)*Table_NFI[[#This Row],[Sanitary Kit]],Table_NFI[Sanitary Kit])</f>
        <v>0</v>
      </c>
      <c r="Z732" s="436">
        <f>IF(NFI_Expiration=1,IF($A732&lt;VLOOKUP(K$5,NFI,5,0),1,0)*Table_NFI[[#This Row],[Mosquito net]],Table_NFI[Mosquito net])</f>
        <v>0</v>
      </c>
      <c r="AA732" s="436">
        <f>IF(NFI_Expiration=1,IF($A732&lt;VLOOKUP(L$5,NFI,5,0),1,0)*Table_NFI[[#This Row],[Tarpaulin]],Table_NFI[[#This Row],[Tarpaulin]])</f>
        <v>0</v>
      </c>
      <c r="AB732" s="436">
        <f>IF(NFI_Expiration=1,IF($A732&lt;VLOOKUP(M$5,NFI,5,0),1,0)*Table_NFI[[#This Row],[Blanket]],Table_NFI[[#This Row],[Blanket]])</f>
        <v>0</v>
      </c>
      <c r="AC732" s="436">
        <f>IF(NFI_Expiration=1,IF($A732&lt;VLOOKUP(N$5,NFI,5,0),1,0)*Table_NFI[[#This Row],[Kitchen Set]],Table_NFI[Kitchen Set])</f>
        <v>0</v>
      </c>
      <c r="AD732" s="436">
        <f>IF(NFI_Expiration=1,IF($A732&lt;VLOOKUP(O$5,NFI,5,0),1,0)*Table_NFI[[#This Row],[Clothes Kit]],Table_NFI[Clothes Kit])</f>
        <v>0</v>
      </c>
      <c r="AE732" s="436">
        <f>IF(NFI_Expiration=1,IF($A732&lt;VLOOKUP(P$5,NFI,5,0),1,0)*Table_NFI[[#This Row],[Plastic Bucket]],Table_NFI[Plastic Bucket])</f>
        <v>0</v>
      </c>
      <c r="AF732" s="436">
        <f>IF(NFI_Expiration=1,IF($A732&lt;VLOOKUP(Q$5,NFI,5,0),1,0)*Table_NFI[[#This Row],[Plastic Mat]],Table_NFI[Plastic Mat])*IF(Table_NFI[[#This Row],[Distribution Date]]&gt;"2014-04-01",1,2.5)</f>
        <v>0</v>
      </c>
      <c r="AG732" s="436">
        <f>IF(NFI_Expiration=1,IF($A732&lt;VLOOKUP(R$5,NFI,5,0),1,0)*Table_NFI[[#This Row],[Winter Clothes Adult]],Table_NFI[Winter Clothes Adult])</f>
        <v>0</v>
      </c>
      <c r="AH732" s="436">
        <f>IF(NFI_Expiration=1,IF($A732&lt;VLOOKUP(S$5,NFI,5,0),1,0)*Table_NFI[[#This Row],[Winter Clothes Children]],Table_NFI[Winter Clothes Children])</f>
        <v>0</v>
      </c>
      <c r="AI732" s="436">
        <f>IF(NFI_Expiration=1,IF($A732&lt;VLOOKUP(T$5,NFI,5,0),1,0)*Table_NFI[[#This Row],[Winter Items Other]],Table_NFI[Winter Items Other])</f>
        <v>0</v>
      </c>
      <c r="AJ732" s="436">
        <f>IF(NFI_Expiration=1,IF($A732&lt;VLOOKUP(M$5,NFI,5,0),1,0)*Table_NFI[[#This Row],[Winter Blanket]],Table_NFI[[#This Row],[Winter Blanket]])</f>
        <v>0</v>
      </c>
      <c r="AK732" s="436">
        <f>IF(Table_NFI[[#This Row],[Winter Clothes Adult]]+Table_NFI[[#This Row],[Winter Clothes Children]]+Table_NFI[[#This Row],[Winter Items Other]]+Table_NFI[[#This Row],[Winter Blanket]]&gt;0,1,0)</f>
        <v>0</v>
      </c>
      <c r="AL732" s="439">
        <f>IF(NFI_Expiration=1,IF($A732&lt;VLOOKUP(V$5,NFI,5,0),1,0)*Table_NFI[[#This Row],[Jerry Can]],Table_NFI[Jerry Can])</f>
        <v>0</v>
      </c>
      <c r="AM732" s="781" t="str">
        <f>IFERROR(VLOOKUP(Table_NFI[[#This Row],[Camp Name]],CL,2,0),"")</f>
        <v>MMR001CMP018</v>
      </c>
      <c r="AN732" s="782">
        <f ca="1">IF(Table_NFI[[#This Row],[Pcode]]="","",IF(OFFSET(CampList[Opening Date],MATCH(Table_NFI[[#This Row],[Pcode]],CampList[CP_Pcode],0)-1,0,1,1)&gt;=NFI_Monitor_Date,1,0))</f>
        <v>0</v>
      </c>
      <c r="AO732" s="781" t="str">
        <f>IFERROR(VLOOKUP(Table_NFI[[#This Row],[Camp Name]],CL,3,0),"")</f>
        <v>Open</v>
      </c>
      <c r="AP732" s="436" t="str">
        <f ca="1">IF(Table_NFI[[#This Row],[Pcode]]="","",OFFSET(CampList[Priority],MATCH(Table_NFI[[#This Row],[Pcode]],CampList[CP_Pcode],0)-1,0,1,1))</f>
        <v>P4</v>
      </c>
      <c r="AQ732" s="438">
        <f>IFERROR(Table_NFI[[#This Row],[Kitchen Set]]/VLOOKUP(Table_NFI[[#This Row],[Camp Name]],CL,4,0),"")</f>
        <v>1.4778325123152709E-2</v>
      </c>
      <c r="AR732" s="779" t="s">
        <v>1099</v>
      </c>
      <c r="AS732" s="783"/>
    </row>
    <row r="733" spans="1:45" x14ac:dyDescent="0.25">
      <c r="A733" s="455">
        <f t="shared" si="11"/>
        <v>38.700000000000003</v>
      </c>
      <c r="B733" s="778">
        <v>41148</v>
      </c>
      <c r="C733" s="779" t="s">
        <v>454</v>
      </c>
      <c r="D733" s="779" t="s">
        <v>454</v>
      </c>
      <c r="E733" s="779" t="s">
        <v>380</v>
      </c>
      <c r="F733" s="435" t="s">
        <v>237</v>
      </c>
      <c r="G733" s="435" t="s">
        <v>259</v>
      </c>
      <c r="H733" s="436"/>
      <c r="I733" s="436"/>
      <c r="J733" s="436"/>
      <c r="K733" s="436">
        <v>2</v>
      </c>
      <c r="L733" s="437">
        <v>1</v>
      </c>
      <c r="M733" s="437">
        <v>2</v>
      </c>
      <c r="N733" s="437">
        <v>1</v>
      </c>
      <c r="O733" s="437">
        <v>1</v>
      </c>
      <c r="P733" s="439">
        <v>1</v>
      </c>
      <c r="Q733" s="439">
        <v>1</v>
      </c>
      <c r="R733" s="436"/>
      <c r="S733" s="436"/>
      <c r="T733" s="436"/>
      <c r="U733" s="436"/>
      <c r="V733" s="436"/>
      <c r="W733" s="436">
        <f>IF(NFI_Expiration=1,IF($A733&lt;VLOOKUP(H$5,NFI,5,0),1,0)*Table_NFI[[#This Row],[Hygiene Kit]],Table_NFI[Hygiene Kit])</f>
        <v>0</v>
      </c>
      <c r="X733" s="436">
        <f>IF(NFI_Expiration=1,IF($A733&lt;VLOOKUP(I$5,NFI,5,0),1,0)*Table_NFI[[#This Row],[NFI Core Kit]],Table_NFI[NFI Core Kit])</f>
        <v>0</v>
      </c>
      <c r="Y733" s="436">
        <f>IF(NFI_Expiration=1,IF($A733&lt;VLOOKUP(J$5,NFI,5,0),1,0)*Table_NFI[[#This Row],[Sanitary Kit]],Table_NFI[Sanitary Kit])</f>
        <v>0</v>
      </c>
      <c r="Z733" s="436">
        <f>IF(NFI_Expiration=1,IF($A733&lt;VLOOKUP(K$5,NFI,5,0),1,0)*Table_NFI[[#This Row],[Mosquito net]],Table_NFI[Mosquito net])</f>
        <v>0</v>
      </c>
      <c r="AA733" s="436">
        <f>IF(NFI_Expiration=1,IF($A733&lt;VLOOKUP(L$5,NFI,5,0),1,0)*Table_NFI[[#This Row],[Tarpaulin]],Table_NFI[[#This Row],[Tarpaulin]])</f>
        <v>0</v>
      </c>
      <c r="AB733" s="436">
        <f>IF(NFI_Expiration=1,IF($A733&lt;VLOOKUP(M$5,NFI,5,0),1,0)*Table_NFI[[#This Row],[Blanket]],Table_NFI[[#This Row],[Blanket]])</f>
        <v>0</v>
      </c>
      <c r="AC733" s="436">
        <f>IF(NFI_Expiration=1,IF($A733&lt;VLOOKUP(N$5,NFI,5,0),1,0)*Table_NFI[[#This Row],[Kitchen Set]],Table_NFI[Kitchen Set])</f>
        <v>0</v>
      </c>
      <c r="AD733" s="436">
        <f>IF(NFI_Expiration=1,IF($A733&lt;VLOOKUP(O$5,NFI,5,0),1,0)*Table_NFI[[#This Row],[Clothes Kit]],Table_NFI[Clothes Kit])</f>
        <v>0</v>
      </c>
      <c r="AE733" s="436">
        <f>IF(NFI_Expiration=1,IF($A733&lt;VLOOKUP(P$5,NFI,5,0),1,0)*Table_NFI[[#This Row],[Plastic Bucket]],Table_NFI[Plastic Bucket])</f>
        <v>0</v>
      </c>
      <c r="AF733" s="436">
        <f>IF(NFI_Expiration=1,IF($A733&lt;VLOOKUP(Q$5,NFI,5,0),1,0)*Table_NFI[[#This Row],[Plastic Mat]],Table_NFI[Plastic Mat])*IF(Table_NFI[[#This Row],[Distribution Date]]&gt;"2014-04-01",1,2.5)</f>
        <v>0</v>
      </c>
      <c r="AG733" s="436">
        <f>IF(NFI_Expiration=1,IF($A733&lt;VLOOKUP(R$5,NFI,5,0),1,0)*Table_NFI[[#This Row],[Winter Clothes Adult]],Table_NFI[Winter Clothes Adult])</f>
        <v>0</v>
      </c>
      <c r="AH733" s="436">
        <f>IF(NFI_Expiration=1,IF($A733&lt;VLOOKUP(S$5,NFI,5,0),1,0)*Table_NFI[[#This Row],[Winter Clothes Children]],Table_NFI[Winter Clothes Children])</f>
        <v>0</v>
      </c>
      <c r="AI733" s="436">
        <f>IF(NFI_Expiration=1,IF($A733&lt;VLOOKUP(T$5,NFI,5,0),1,0)*Table_NFI[[#This Row],[Winter Items Other]],Table_NFI[Winter Items Other])</f>
        <v>0</v>
      </c>
      <c r="AJ733" s="436">
        <f>IF(NFI_Expiration=1,IF($A733&lt;VLOOKUP(M$5,NFI,5,0),1,0)*Table_NFI[[#This Row],[Winter Blanket]],Table_NFI[[#This Row],[Winter Blanket]])</f>
        <v>0</v>
      </c>
      <c r="AK733" s="436">
        <f>IF(Table_NFI[[#This Row],[Winter Clothes Adult]]+Table_NFI[[#This Row],[Winter Clothes Children]]+Table_NFI[[#This Row],[Winter Items Other]]+Table_NFI[[#This Row],[Winter Blanket]]&gt;0,1,0)</f>
        <v>0</v>
      </c>
      <c r="AL733" s="439">
        <f>IF(NFI_Expiration=1,IF($A733&lt;VLOOKUP(V$5,NFI,5,0),1,0)*Table_NFI[[#This Row],[Jerry Can]],Table_NFI[Jerry Can])</f>
        <v>0</v>
      </c>
      <c r="AM733" s="781" t="str">
        <f>IFERROR(VLOOKUP(Table_NFI[[#This Row],[Camp Name]],CL,2,0),"")</f>
        <v>MMR001CMP016</v>
      </c>
      <c r="AN733" s="782">
        <f ca="1">IF(Table_NFI[[#This Row],[Pcode]]="","",IF(OFFSET(CampList[Opening Date],MATCH(Table_NFI[[#This Row],[Pcode]],CampList[CP_Pcode],0)-1,0,1,1)&gt;=NFI_Monitor_Date,1,0))</f>
        <v>0</v>
      </c>
      <c r="AO733" s="781" t="str">
        <f>IFERROR(VLOOKUP(Table_NFI[[#This Row],[Camp Name]],CL,3,0),"")</f>
        <v>Open</v>
      </c>
      <c r="AP733" s="436" t="str">
        <f ca="1">IF(Table_NFI[[#This Row],[Pcode]]="","",OFFSET(CampList[Priority],MATCH(Table_NFI[[#This Row],[Pcode]],CampList[CP_Pcode],0)-1,0,1,1))</f>
        <v>P4</v>
      </c>
      <c r="AQ733" s="438">
        <f>IFERROR(Table_NFI[[#This Row],[Kitchen Set]]/VLOOKUP(Table_NFI[[#This Row],[Camp Name]],CL,4,0),"")</f>
        <v>1.3888888888888888E-2</v>
      </c>
      <c r="AR733" s="779" t="s">
        <v>1099</v>
      </c>
      <c r="AS733" s="783"/>
    </row>
    <row r="734" spans="1:45" x14ac:dyDescent="0.25">
      <c r="A734" s="455">
        <f t="shared" si="11"/>
        <v>38.700000000000003</v>
      </c>
      <c r="B734" s="778">
        <v>41148</v>
      </c>
      <c r="C734" s="779" t="s">
        <v>454</v>
      </c>
      <c r="D734" s="780" t="s">
        <v>454</v>
      </c>
      <c r="E734" s="779" t="s">
        <v>380</v>
      </c>
      <c r="F734" s="435" t="s">
        <v>237</v>
      </c>
      <c r="G734" s="435" t="s">
        <v>263</v>
      </c>
      <c r="H734" s="436"/>
      <c r="I734" s="436"/>
      <c r="J734" s="436"/>
      <c r="K734" s="436">
        <v>2</v>
      </c>
      <c r="L734" s="437">
        <v>1</v>
      </c>
      <c r="M734" s="437">
        <v>2</v>
      </c>
      <c r="N734" s="437">
        <v>1</v>
      </c>
      <c r="O734" s="437">
        <v>1</v>
      </c>
      <c r="P734" s="437">
        <v>1</v>
      </c>
      <c r="Q734" s="437">
        <v>1</v>
      </c>
      <c r="R734" s="436"/>
      <c r="S734" s="436"/>
      <c r="T734" s="436"/>
      <c r="U734" s="436"/>
      <c r="V734" s="436"/>
      <c r="W734" s="436">
        <f>IF(NFI_Expiration=1,IF($A734&lt;VLOOKUP(H$5,NFI,5,0),1,0)*Table_NFI[[#This Row],[Hygiene Kit]],Table_NFI[Hygiene Kit])</f>
        <v>0</v>
      </c>
      <c r="X734" s="436">
        <f>IF(NFI_Expiration=1,IF($A734&lt;VLOOKUP(I$5,NFI,5,0),1,0)*Table_NFI[[#This Row],[NFI Core Kit]],Table_NFI[NFI Core Kit])</f>
        <v>0</v>
      </c>
      <c r="Y734" s="436">
        <f>IF(NFI_Expiration=1,IF($A734&lt;VLOOKUP(J$5,NFI,5,0),1,0)*Table_NFI[[#This Row],[Sanitary Kit]],Table_NFI[Sanitary Kit])</f>
        <v>0</v>
      </c>
      <c r="Z734" s="436">
        <f>IF(NFI_Expiration=1,IF($A734&lt;VLOOKUP(K$5,NFI,5,0),1,0)*Table_NFI[[#This Row],[Mosquito net]],Table_NFI[Mosquito net])</f>
        <v>0</v>
      </c>
      <c r="AA734" s="436">
        <f>IF(NFI_Expiration=1,IF($A734&lt;VLOOKUP(L$5,NFI,5,0),1,0)*Table_NFI[[#This Row],[Tarpaulin]],Table_NFI[[#This Row],[Tarpaulin]])</f>
        <v>0</v>
      </c>
      <c r="AB734" s="436">
        <f>IF(NFI_Expiration=1,IF($A734&lt;VLOOKUP(M$5,NFI,5,0),1,0)*Table_NFI[[#This Row],[Blanket]],Table_NFI[[#This Row],[Blanket]])</f>
        <v>0</v>
      </c>
      <c r="AC734" s="436">
        <f>IF(NFI_Expiration=1,IF($A734&lt;VLOOKUP(N$5,NFI,5,0),1,0)*Table_NFI[[#This Row],[Kitchen Set]],Table_NFI[Kitchen Set])</f>
        <v>0</v>
      </c>
      <c r="AD734" s="436">
        <f>IF(NFI_Expiration=1,IF($A734&lt;VLOOKUP(O$5,NFI,5,0),1,0)*Table_NFI[[#This Row],[Clothes Kit]],Table_NFI[Clothes Kit])</f>
        <v>0</v>
      </c>
      <c r="AE734" s="436">
        <f>IF(NFI_Expiration=1,IF($A734&lt;VLOOKUP(P$5,NFI,5,0),1,0)*Table_NFI[[#This Row],[Plastic Bucket]],Table_NFI[Plastic Bucket])</f>
        <v>0</v>
      </c>
      <c r="AF734" s="436">
        <f>IF(NFI_Expiration=1,IF($A734&lt;VLOOKUP(Q$5,NFI,5,0),1,0)*Table_NFI[[#This Row],[Plastic Mat]],Table_NFI[Plastic Mat])*IF(Table_NFI[[#This Row],[Distribution Date]]&gt;"2014-04-01",1,2.5)</f>
        <v>0</v>
      </c>
      <c r="AG734" s="436">
        <f>IF(NFI_Expiration=1,IF($A734&lt;VLOOKUP(R$5,NFI,5,0),1,0)*Table_NFI[[#This Row],[Winter Clothes Adult]],Table_NFI[Winter Clothes Adult])</f>
        <v>0</v>
      </c>
      <c r="AH734" s="436">
        <f>IF(NFI_Expiration=1,IF($A734&lt;VLOOKUP(S$5,NFI,5,0),1,0)*Table_NFI[[#This Row],[Winter Clothes Children]],Table_NFI[Winter Clothes Children])</f>
        <v>0</v>
      </c>
      <c r="AI734" s="436">
        <f>IF(NFI_Expiration=1,IF($A734&lt;VLOOKUP(T$5,NFI,5,0),1,0)*Table_NFI[[#This Row],[Winter Items Other]],Table_NFI[Winter Items Other])</f>
        <v>0</v>
      </c>
      <c r="AJ734" s="436">
        <f>IF(NFI_Expiration=1,IF($A734&lt;VLOOKUP(M$5,NFI,5,0),1,0)*Table_NFI[[#This Row],[Winter Blanket]],Table_NFI[[#This Row],[Winter Blanket]])</f>
        <v>0</v>
      </c>
      <c r="AK734" s="436">
        <f>IF(Table_NFI[[#This Row],[Winter Clothes Adult]]+Table_NFI[[#This Row],[Winter Clothes Children]]+Table_NFI[[#This Row],[Winter Items Other]]+Table_NFI[[#This Row],[Winter Blanket]]&gt;0,1,0)</f>
        <v>0</v>
      </c>
      <c r="AL734" s="439">
        <f>IF(NFI_Expiration=1,IF($A734&lt;VLOOKUP(V$5,NFI,5,0),1,0)*Table_NFI[[#This Row],[Jerry Can]],Table_NFI[Jerry Can])</f>
        <v>0</v>
      </c>
      <c r="AM734" s="781" t="str">
        <f>IFERROR(VLOOKUP(Table_NFI[[#This Row],[Camp Name]],CL,2,0),"")</f>
        <v>MMR001CMP020</v>
      </c>
      <c r="AN734" s="782">
        <f ca="1">IF(Table_NFI[[#This Row],[Pcode]]="","",IF(OFFSET(CampList[Opening Date],MATCH(Table_NFI[[#This Row],[Pcode]],CampList[CP_Pcode],0)-1,0,1,1)&gt;=NFI_Monitor_Date,1,0))</f>
        <v>0</v>
      </c>
      <c r="AO734" s="781" t="str">
        <f>IFERROR(VLOOKUP(Table_NFI[[#This Row],[Camp Name]],CL,3,0),"")</f>
        <v>Open</v>
      </c>
      <c r="AP734" s="436" t="str">
        <f ca="1">IF(Table_NFI[[#This Row],[Pcode]]="","",OFFSET(CampList[Priority],MATCH(Table_NFI[[#This Row],[Pcode]],CampList[CP_Pcode],0)-1,0,1,1))</f>
        <v>P4</v>
      </c>
      <c r="AQ734" s="438">
        <f>IFERROR(Table_NFI[[#This Row],[Kitchen Set]]/VLOOKUP(Table_NFI[[#This Row],[Camp Name]],CL,4,0),"")</f>
        <v>4.5454545454545456E-2</v>
      </c>
      <c r="AR734" s="779" t="s">
        <v>1099</v>
      </c>
      <c r="AS734" s="783"/>
    </row>
    <row r="735" spans="1:45" x14ac:dyDescent="0.25">
      <c r="A735" s="455">
        <f t="shared" si="11"/>
        <v>38.700000000000003</v>
      </c>
      <c r="B735" s="778">
        <v>41148</v>
      </c>
      <c r="C735" s="779" t="s">
        <v>454</v>
      </c>
      <c r="D735" s="780" t="s">
        <v>454</v>
      </c>
      <c r="E735" s="779" t="s">
        <v>380</v>
      </c>
      <c r="F735" s="435" t="s">
        <v>237</v>
      </c>
      <c r="G735" s="435" t="s">
        <v>265</v>
      </c>
      <c r="H735" s="436"/>
      <c r="I735" s="436"/>
      <c r="J735" s="436"/>
      <c r="K735" s="436">
        <v>10</v>
      </c>
      <c r="L735" s="437">
        <v>5</v>
      </c>
      <c r="M735" s="437">
        <v>10</v>
      </c>
      <c r="N735" s="437">
        <v>5</v>
      </c>
      <c r="O735" s="437">
        <v>5</v>
      </c>
      <c r="P735" s="437">
        <v>5</v>
      </c>
      <c r="Q735" s="437">
        <v>5</v>
      </c>
      <c r="R735" s="436"/>
      <c r="S735" s="436"/>
      <c r="T735" s="436"/>
      <c r="U735" s="436"/>
      <c r="V735" s="436"/>
      <c r="W735" s="436">
        <f>IF(NFI_Expiration=1,IF($A735&lt;VLOOKUP(H$5,NFI,5,0),1,0)*Table_NFI[[#This Row],[Hygiene Kit]],Table_NFI[Hygiene Kit])</f>
        <v>0</v>
      </c>
      <c r="X735" s="436">
        <f>IF(NFI_Expiration=1,IF($A735&lt;VLOOKUP(I$5,NFI,5,0),1,0)*Table_NFI[[#This Row],[NFI Core Kit]],Table_NFI[NFI Core Kit])</f>
        <v>0</v>
      </c>
      <c r="Y735" s="436">
        <f>IF(NFI_Expiration=1,IF($A735&lt;VLOOKUP(J$5,NFI,5,0),1,0)*Table_NFI[[#This Row],[Sanitary Kit]],Table_NFI[Sanitary Kit])</f>
        <v>0</v>
      </c>
      <c r="Z735" s="436">
        <f>IF(NFI_Expiration=1,IF($A735&lt;VLOOKUP(K$5,NFI,5,0),1,0)*Table_NFI[[#This Row],[Mosquito net]],Table_NFI[Mosquito net])</f>
        <v>0</v>
      </c>
      <c r="AA735" s="436">
        <f>IF(NFI_Expiration=1,IF($A735&lt;VLOOKUP(L$5,NFI,5,0),1,0)*Table_NFI[[#This Row],[Tarpaulin]],Table_NFI[[#This Row],[Tarpaulin]])</f>
        <v>0</v>
      </c>
      <c r="AB735" s="436">
        <f>IF(NFI_Expiration=1,IF($A735&lt;VLOOKUP(M$5,NFI,5,0),1,0)*Table_NFI[[#This Row],[Blanket]],Table_NFI[[#This Row],[Blanket]])</f>
        <v>0</v>
      </c>
      <c r="AC735" s="436">
        <f>IF(NFI_Expiration=1,IF($A735&lt;VLOOKUP(N$5,NFI,5,0),1,0)*Table_NFI[[#This Row],[Kitchen Set]],Table_NFI[Kitchen Set])</f>
        <v>0</v>
      </c>
      <c r="AD735" s="436">
        <f>IF(NFI_Expiration=1,IF($A735&lt;VLOOKUP(O$5,NFI,5,0),1,0)*Table_NFI[[#This Row],[Clothes Kit]],Table_NFI[Clothes Kit])</f>
        <v>0</v>
      </c>
      <c r="AE735" s="436">
        <f>IF(NFI_Expiration=1,IF($A735&lt;VLOOKUP(P$5,NFI,5,0),1,0)*Table_NFI[[#This Row],[Plastic Bucket]],Table_NFI[Plastic Bucket])</f>
        <v>0</v>
      </c>
      <c r="AF735" s="436">
        <f>IF(NFI_Expiration=1,IF($A735&lt;VLOOKUP(Q$5,NFI,5,0),1,0)*Table_NFI[[#This Row],[Plastic Mat]],Table_NFI[Plastic Mat])*IF(Table_NFI[[#This Row],[Distribution Date]]&gt;"2014-04-01",1,2.5)</f>
        <v>0</v>
      </c>
      <c r="AG735" s="436">
        <f>IF(NFI_Expiration=1,IF($A735&lt;VLOOKUP(R$5,NFI,5,0),1,0)*Table_NFI[[#This Row],[Winter Clothes Adult]],Table_NFI[Winter Clothes Adult])</f>
        <v>0</v>
      </c>
      <c r="AH735" s="436">
        <f>IF(NFI_Expiration=1,IF($A735&lt;VLOOKUP(S$5,NFI,5,0),1,0)*Table_NFI[[#This Row],[Winter Clothes Children]],Table_NFI[Winter Clothes Children])</f>
        <v>0</v>
      </c>
      <c r="AI735" s="436">
        <f>IF(NFI_Expiration=1,IF($A735&lt;VLOOKUP(T$5,NFI,5,0),1,0)*Table_NFI[[#This Row],[Winter Items Other]],Table_NFI[Winter Items Other])</f>
        <v>0</v>
      </c>
      <c r="AJ735" s="436">
        <f>IF(NFI_Expiration=1,IF($A735&lt;VLOOKUP(M$5,NFI,5,0),1,0)*Table_NFI[[#This Row],[Winter Blanket]],Table_NFI[[#This Row],[Winter Blanket]])</f>
        <v>0</v>
      </c>
      <c r="AK735" s="436">
        <f>IF(Table_NFI[[#This Row],[Winter Clothes Adult]]+Table_NFI[[#This Row],[Winter Clothes Children]]+Table_NFI[[#This Row],[Winter Items Other]]+Table_NFI[[#This Row],[Winter Blanket]]&gt;0,1,0)</f>
        <v>0</v>
      </c>
      <c r="AL735" s="439">
        <f>IF(NFI_Expiration=1,IF($A735&lt;VLOOKUP(V$5,NFI,5,0),1,0)*Table_NFI[[#This Row],[Jerry Can]],Table_NFI[Jerry Can])</f>
        <v>0</v>
      </c>
      <c r="AM735" s="781" t="str">
        <f>IFERROR(VLOOKUP(Table_NFI[[#This Row],[Camp Name]],CL,2,0),"")</f>
        <v>MMR001CMP021</v>
      </c>
      <c r="AN735" s="782">
        <f ca="1">IF(Table_NFI[[#This Row],[Pcode]]="","",IF(OFFSET(CampList[Opening Date],MATCH(Table_NFI[[#This Row],[Pcode]],CampList[CP_Pcode],0)-1,0,1,1)&gt;=NFI_Monitor_Date,1,0))</f>
        <v>0</v>
      </c>
      <c r="AO735" s="781" t="str">
        <f>IFERROR(VLOOKUP(Table_NFI[[#This Row],[Camp Name]],CL,3,0),"")</f>
        <v>Open</v>
      </c>
      <c r="AP735" s="436" t="str">
        <f ca="1">IF(Table_NFI[[#This Row],[Pcode]]="","",OFFSET(CampList[Priority],MATCH(Table_NFI[[#This Row],[Pcode]],CampList[CP_Pcode],0)-1,0,1,1))</f>
        <v>P4</v>
      </c>
      <c r="AQ735" s="438">
        <f>IFERROR(Table_NFI[[#This Row],[Kitchen Set]]/VLOOKUP(Table_NFI[[#This Row],[Camp Name]],CL,4,0),"")</f>
        <v>0.35714285714285715</v>
      </c>
      <c r="AR735" s="779" t="s">
        <v>1099</v>
      </c>
      <c r="AS735" s="783"/>
    </row>
    <row r="736" spans="1:45" x14ac:dyDescent="0.25">
      <c r="A736" s="455">
        <f t="shared" si="11"/>
        <v>38.700000000000003</v>
      </c>
      <c r="B736" s="778">
        <v>41148</v>
      </c>
      <c r="C736" s="779" t="s">
        <v>454</v>
      </c>
      <c r="D736" s="780" t="s">
        <v>454</v>
      </c>
      <c r="E736" s="779" t="s">
        <v>380</v>
      </c>
      <c r="F736" s="435" t="s">
        <v>237</v>
      </c>
      <c r="G736" s="435" t="s">
        <v>283</v>
      </c>
      <c r="H736" s="436"/>
      <c r="I736" s="436"/>
      <c r="J736" s="436"/>
      <c r="K736" s="436">
        <v>10</v>
      </c>
      <c r="L736" s="437">
        <v>5</v>
      </c>
      <c r="M736" s="437">
        <v>10</v>
      </c>
      <c r="N736" s="437">
        <v>5</v>
      </c>
      <c r="O736" s="437">
        <v>5</v>
      </c>
      <c r="P736" s="437">
        <v>5</v>
      </c>
      <c r="Q736" s="437">
        <v>5</v>
      </c>
      <c r="R736" s="436"/>
      <c r="S736" s="436"/>
      <c r="T736" s="436"/>
      <c r="U736" s="436"/>
      <c r="V736" s="436"/>
      <c r="W736" s="436">
        <f>IF(NFI_Expiration=1,IF($A736&lt;VLOOKUP(H$5,NFI,5,0),1,0)*Table_NFI[[#This Row],[Hygiene Kit]],Table_NFI[Hygiene Kit])</f>
        <v>0</v>
      </c>
      <c r="X736" s="436">
        <f>IF(NFI_Expiration=1,IF($A736&lt;VLOOKUP(I$5,NFI,5,0),1,0)*Table_NFI[[#This Row],[NFI Core Kit]],Table_NFI[NFI Core Kit])</f>
        <v>0</v>
      </c>
      <c r="Y736" s="436">
        <f>IF(NFI_Expiration=1,IF($A736&lt;VLOOKUP(J$5,NFI,5,0),1,0)*Table_NFI[[#This Row],[Sanitary Kit]],Table_NFI[Sanitary Kit])</f>
        <v>0</v>
      </c>
      <c r="Z736" s="436">
        <f>IF(NFI_Expiration=1,IF($A736&lt;VLOOKUP(K$5,NFI,5,0),1,0)*Table_NFI[[#This Row],[Mosquito net]],Table_NFI[Mosquito net])</f>
        <v>0</v>
      </c>
      <c r="AA736" s="436">
        <f>IF(NFI_Expiration=1,IF($A736&lt;VLOOKUP(L$5,NFI,5,0),1,0)*Table_NFI[[#This Row],[Tarpaulin]],Table_NFI[[#This Row],[Tarpaulin]])</f>
        <v>0</v>
      </c>
      <c r="AB736" s="436">
        <f>IF(NFI_Expiration=1,IF($A736&lt;VLOOKUP(M$5,NFI,5,0),1,0)*Table_NFI[[#This Row],[Blanket]],Table_NFI[[#This Row],[Blanket]])</f>
        <v>0</v>
      </c>
      <c r="AC736" s="436">
        <f>IF(NFI_Expiration=1,IF($A736&lt;VLOOKUP(N$5,NFI,5,0),1,0)*Table_NFI[[#This Row],[Kitchen Set]],Table_NFI[Kitchen Set])</f>
        <v>0</v>
      </c>
      <c r="AD736" s="436">
        <f>IF(NFI_Expiration=1,IF($A736&lt;VLOOKUP(O$5,NFI,5,0),1,0)*Table_NFI[[#This Row],[Clothes Kit]],Table_NFI[Clothes Kit])</f>
        <v>0</v>
      </c>
      <c r="AE736" s="436">
        <f>IF(NFI_Expiration=1,IF($A736&lt;VLOOKUP(P$5,NFI,5,0),1,0)*Table_NFI[[#This Row],[Plastic Bucket]],Table_NFI[Plastic Bucket])</f>
        <v>0</v>
      </c>
      <c r="AF736" s="436">
        <f>IF(NFI_Expiration=1,IF($A736&lt;VLOOKUP(Q$5,NFI,5,0),1,0)*Table_NFI[[#This Row],[Plastic Mat]],Table_NFI[Plastic Mat])*IF(Table_NFI[[#This Row],[Distribution Date]]&gt;"2014-04-01",1,2.5)</f>
        <v>0</v>
      </c>
      <c r="AG736" s="436">
        <f>IF(NFI_Expiration=1,IF($A736&lt;VLOOKUP(R$5,NFI,5,0),1,0)*Table_NFI[[#This Row],[Winter Clothes Adult]],Table_NFI[Winter Clothes Adult])</f>
        <v>0</v>
      </c>
      <c r="AH736" s="436">
        <f>IF(NFI_Expiration=1,IF($A736&lt;VLOOKUP(S$5,NFI,5,0),1,0)*Table_NFI[[#This Row],[Winter Clothes Children]],Table_NFI[Winter Clothes Children])</f>
        <v>0</v>
      </c>
      <c r="AI736" s="436">
        <f>IF(NFI_Expiration=1,IF($A736&lt;VLOOKUP(T$5,NFI,5,0),1,0)*Table_NFI[[#This Row],[Winter Items Other]],Table_NFI[Winter Items Other])</f>
        <v>0</v>
      </c>
      <c r="AJ736" s="436">
        <f>IF(NFI_Expiration=1,IF($A736&lt;VLOOKUP(M$5,NFI,5,0),1,0)*Table_NFI[[#This Row],[Winter Blanket]],Table_NFI[[#This Row],[Winter Blanket]])</f>
        <v>0</v>
      </c>
      <c r="AK736" s="436">
        <f>IF(Table_NFI[[#This Row],[Winter Clothes Adult]]+Table_NFI[[#This Row],[Winter Clothes Children]]+Table_NFI[[#This Row],[Winter Items Other]]+Table_NFI[[#This Row],[Winter Blanket]]&gt;0,1,0)</f>
        <v>0</v>
      </c>
      <c r="AL736" s="439">
        <f>IF(NFI_Expiration=1,IF($A736&lt;VLOOKUP(V$5,NFI,5,0),1,0)*Table_NFI[[#This Row],[Jerry Can]],Table_NFI[Jerry Can])</f>
        <v>0</v>
      </c>
      <c r="AM736" s="781" t="str">
        <f>IFERROR(VLOOKUP(Table_NFI[[#This Row],[Camp Name]],CL,2,0),"")</f>
        <v>MMR001CMP022</v>
      </c>
      <c r="AN736" s="782">
        <f ca="1">IF(Table_NFI[[#This Row],[Pcode]]="","",IF(OFFSET(CampList[Opening Date],MATCH(Table_NFI[[#This Row],[Pcode]],CampList[CP_Pcode],0)-1,0,1,1)&gt;=NFI_Monitor_Date,1,0))</f>
        <v>0</v>
      </c>
      <c r="AO736" s="781" t="str">
        <f>IFERROR(VLOOKUP(Table_NFI[[#This Row],[Camp Name]],CL,3,0),"")</f>
        <v>Open</v>
      </c>
      <c r="AP736" s="436" t="str">
        <f ca="1">IF(Table_NFI[[#This Row],[Pcode]]="","",OFFSET(CampList[Priority],MATCH(Table_NFI[[#This Row],[Pcode]],CampList[CP_Pcode],0)-1,0,1,1))</f>
        <v>P4</v>
      </c>
      <c r="AQ736" s="438">
        <f>IFERROR(Table_NFI[[#This Row],[Kitchen Set]]/VLOOKUP(Table_NFI[[#This Row],[Camp Name]],CL,4,0),"")</f>
        <v>0.7142857142857143</v>
      </c>
      <c r="AR736" s="779" t="s">
        <v>1099</v>
      </c>
      <c r="AS736" s="783"/>
    </row>
    <row r="737" spans="1:45" x14ac:dyDescent="0.25">
      <c r="A737" s="455">
        <f t="shared" si="11"/>
        <v>39.166666666666664</v>
      </c>
      <c r="B737" s="778">
        <v>41134</v>
      </c>
      <c r="C737" s="779" t="s">
        <v>454</v>
      </c>
      <c r="D737" s="780" t="s">
        <v>575</v>
      </c>
      <c r="E737" s="779" t="s">
        <v>380</v>
      </c>
      <c r="F737" s="435" t="s">
        <v>5</v>
      </c>
      <c r="G737" s="435" t="s">
        <v>22</v>
      </c>
      <c r="H737" s="436"/>
      <c r="I737" s="436"/>
      <c r="J737" s="436"/>
      <c r="K737" s="436">
        <v>310</v>
      </c>
      <c r="L737" s="437">
        <v>151</v>
      </c>
      <c r="M737" s="437">
        <v>310</v>
      </c>
      <c r="N737" s="437">
        <v>151</v>
      </c>
      <c r="O737" s="437">
        <v>151</v>
      </c>
      <c r="P737" s="437">
        <v>151</v>
      </c>
      <c r="Q737" s="437">
        <v>151</v>
      </c>
      <c r="R737" s="436"/>
      <c r="S737" s="436"/>
      <c r="T737" s="436"/>
      <c r="U737" s="436"/>
      <c r="V737" s="436"/>
      <c r="W737" s="436">
        <f>IF(NFI_Expiration=1,IF($A737&lt;VLOOKUP(H$5,NFI,5,0),1,0)*Table_NFI[[#This Row],[Hygiene Kit]],Table_NFI[Hygiene Kit])</f>
        <v>0</v>
      </c>
      <c r="X737" s="436">
        <f>IF(NFI_Expiration=1,IF($A737&lt;VLOOKUP(I$5,NFI,5,0),1,0)*Table_NFI[[#This Row],[NFI Core Kit]],Table_NFI[NFI Core Kit])</f>
        <v>0</v>
      </c>
      <c r="Y737" s="436">
        <f>IF(NFI_Expiration=1,IF($A737&lt;VLOOKUP(J$5,NFI,5,0),1,0)*Table_NFI[[#This Row],[Sanitary Kit]],Table_NFI[Sanitary Kit])</f>
        <v>0</v>
      </c>
      <c r="Z737" s="436">
        <f>IF(NFI_Expiration=1,IF($A737&lt;VLOOKUP(K$5,NFI,5,0),1,0)*Table_NFI[[#This Row],[Mosquito net]],Table_NFI[Mosquito net])</f>
        <v>0</v>
      </c>
      <c r="AA737" s="436">
        <f>IF(NFI_Expiration=1,IF($A737&lt;VLOOKUP(L$5,NFI,5,0),1,0)*Table_NFI[[#This Row],[Tarpaulin]],Table_NFI[[#This Row],[Tarpaulin]])</f>
        <v>0</v>
      </c>
      <c r="AB737" s="436">
        <f>IF(NFI_Expiration=1,IF($A737&lt;VLOOKUP(M$5,NFI,5,0),1,0)*Table_NFI[[#This Row],[Blanket]],Table_NFI[[#This Row],[Blanket]])</f>
        <v>0</v>
      </c>
      <c r="AC737" s="436">
        <f>IF(NFI_Expiration=1,IF($A737&lt;VLOOKUP(N$5,NFI,5,0),1,0)*Table_NFI[[#This Row],[Kitchen Set]],Table_NFI[Kitchen Set])</f>
        <v>0</v>
      </c>
      <c r="AD737" s="436">
        <f>IF(NFI_Expiration=1,IF($A737&lt;VLOOKUP(O$5,NFI,5,0),1,0)*Table_NFI[[#This Row],[Clothes Kit]],Table_NFI[Clothes Kit])</f>
        <v>0</v>
      </c>
      <c r="AE737" s="436">
        <f>IF(NFI_Expiration=1,IF($A737&lt;VLOOKUP(P$5,NFI,5,0),1,0)*Table_NFI[[#This Row],[Plastic Bucket]],Table_NFI[Plastic Bucket])</f>
        <v>0</v>
      </c>
      <c r="AF737" s="436">
        <f>IF(NFI_Expiration=1,IF($A737&lt;VLOOKUP(Q$5,NFI,5,0),1,0)*Table_NFI[[#This Row],[Plastic Mat]],Table_NFI[Plastic Mat])*IF(Table_NFI[[#This Row],[Distribution Date]]&gt;"2014-04-01",1,2.5)</f>
        <v>0</v>
      </c>
      <c r="AG737" s="436">
        <f>IF(NFI_Expiration=1,IF($A737&lt;VLOOKUP(R$5,NFI,5,0),1,0)*Table_NFI[[#This Row],[Winter Clothes Adult]],Table_NFI[Winter Clothes Adult])</f>
        <v>0</v>
      </c>
      <c r="AH737" s="436">
        <f>IF(NFI_Expiration=1,IF($A737&lt;VLOOKUP(S$5,NFI,5,0),1,0)*Table_NFI[[#This Row],[Winter Clothes Children]],Table_NFI[Winter Clothes Children])</f>
        <v>0</v>
      </c>
      <c r="AI737" s="436">
        <f>IF(NFI_Expiration=1,IF($A737&lt;VLOOKUP(T$5,NFI,5,0),1,0)*Table_NFI[[#This Row],[Winter Items Other]],Table_NFI[Winter Items Other])</f>
        <v>0</v>
      </c>
      <c r="AJ737" s="436">
        <f>IF(NFI_Expiration=1,IF($A737&lt;VLOOKUP(M$5,NFI,5,0),1,0)*Table_NFI[[#This Row],[Winter Blanket]],Table_NFI[[#This Row],[Winter Blanket]])</f>
        <v>0</v>
      </c>
      <c r="AK737" s="436">
        <f>IF(Table_NFI[[#This Row],[Winter Clothes Adult]]+Table_NFI[[#This Row],[Winter Clothes Children]]+Table_NFI[[#This Row],[Winter Items Other]]+Table_NFI[[#This Row],[Winter Blanket]]&gt;0,1,0)</f>
        <v>0</v>
      </c>
      <c r="AL737" s="439">
        <f>IF(NFI_Expiration=1,IF($A737&lt;VLOOKUP(V$5,NFI,5,0),1,0)*Table_NFI[[#This Row],[Jerry Can]],Table_NFI[Jerry Can])</f>
        <v>0</v>
      </c>
      <c r="AM737" s="781" t="str">
        <f>IFERROR(VLOOKUP(Table_NFI[[#This Row],[Camp Name]],CL,2,0),"")</f>
        <v>MMR001CMP047</v>
      </c>
      <c r="AN737" s="782">
        <f ca="1">IF(Table_NFI[[#This Row],[Pcode]]="","",IF(OFFSET(CampList[Opening Date],MATCH(Table_NFI[[#This Row],[Pcode]],CampList[CP_Pcode],0)-1,0,1,1)&gt;=NFI_Monitor_Date,1,0))</f>
        <v>0</v>
      </c>
      <c r="AO737" s="781" t="str">
        <f>IFERROR(VLOOKUP(Table_NFI[[#This Row],[Camp Name]],CL,3,0),"")</f>
        <v>Open</v>
      </c>
      <c r="AP737" s="436" t="str">
        <f ca="1">IF(Table_NFI[[#This Row],[Pcode]]="","",OFFSET(CampList[Priority],MATCH(Table_NFI[[#This Row],[Pcode]],CampList[CP_Pcode],0)-1,0,1,1))</f>
        <v>P4</v>
      </c>
      <c r="AQ737" s="438">
        <f>IFERROR(Table_NFI[[#This Row],[Kitchen Set]]/VLOOKUP(Table_NFI[[#This Row],[Camp Name]],CL,4,0),"")</f>
        <v>0.23159509202453987</v>
      </c>
      <c r="AR737" s="779" t="s">
        <v>1099</v>
      </c>
      <c r="AS737" s="783"/>
    </row>
    <row r="738" spans="1:45" x14ac:dyDescent="0.25">
      <c r="A738" s="455">
        <f t="shared" si="11"/>
        <v>39.299999999999997</v>
      </c>
      <c r="B738" s="778">
        <v>41130</v>
      </c>
      <c r="C738" s="779" t="s">
        <v>454</v>
      </c>
      <c r="D738" s="780" t="s">
        <v>454</v>
      </c>
      <c r="E738" s="779" t="s">
        <v>380</v>
      </c>
      <c r="F738" s="435" t="s">
        <v>237</v>
      </c>
      <c r="G738" s="435" t="s">
        <v>253</v>
      </c>
      <c r="H738" s="436"/>
      <c r="I738" s="441"/>
      <c r="J738" s="434"/>
      <c r="K738" s="434">
        <v>7</v>
      </c>
      <c r="L738" s="434">
        <v>3</v>
      </c>
      <c r="M738" s="434">
        <v>7</v>
      </c>
      <c r="N738" s="434">
        <v>3</v>
      </c>
      <c r="O738" s="434">
        <v>3</v>
      </c>
      <c r="P738" s="437">
        <v>3</v>
      </c>
      <c r="Q738" s="437">
        <v>3</v>
      </c>
      <c r="R738" s="436"/>
      <c r="S738" s="436"/>
      <c r="T738" s="436"/>
      <c r="U738" s="436"/>
      <c r="V738" s="436"/>
      <c r="W738" s="436">
        <f>IF(NFI_Expiration=1,IF($A738&lt;VLOOKUP(H$5,NFI,5,0),1,0)*Table_NFI[[#This Row],[Hygiene Kit]],Table_NFI[Hygiene Kit])</f>
        <v>0</v>
      </c>
      <c r="X738" s="436">
        <f>IF(NFI_Expiration=1,IF($A738&lt;VLOOKUP(I$5,NFI,5,0),1,0)*Table_NFI[[#This Row],[NFI Core Kit]],Table_NFI[NFI Core Kit])</f>
        <v>0</v>
      </c>
      <c r="Y738" s="436">
        <f>IF(NFI_Expiration=1,IF($A738&lt;VLOOKUP(J$5,NFI,5,0),1,0)*Table_NFI[[#This Row],[Sanitary Kit]],Table_NFI[Sanitary Kit])</f>
        <v>0</v>
      </c>
      <c r="Z738" s="436">
        <f>IF(NFI_Expiration=1,IF($A738&lt;VLOOKUP(K$5,NFI,5,0),1,0)*Table_NFI[[#This Row],[Mosquito net]],Table_NFI[Mosquito net])</f>
        <v>0</v>
      </c>
      <c r="AA738" s="436">
        <f>IF(NFI_Expiration=1,IF($A738&lt;VLOOKUP(L$5,NFI,5,0),1,0)*Table_NFI[[#This Row],[Tarpaulin]],Table_NFI[[#This Row],[Tarpaulin]])</f>
        <v>0</v>
      </c>
      <c r="AB738" s="436">
        <f>IF(NFI_Expiration=1,IF($A738&lt;VLOOKUP(M$5,NFI,5,0),1,0)*Table_NFI[[#This Row],[Blanket]],Table_NFI[[#This Row],[Blanket]])</f>
        <v>0</v>
      </c>
      <c r="AC738" s="436">
        <f>IF(NFI_Expiration=1,IF($A738&lt;VLOOKUP(N$5,NFI,5,0),1,0)*Table_NFI[[#This Row],[Kitchen Set]],Table_NFI[Kitchen Set])</f>
        <v>0</v>
      </c>
      <c r="AD738" s="436">
        <f>IF(NFI_Expiration=1,IF($A738&lt;VLOOKUP(O$5,NFI,5,0),1,0)*Table_NFI[[#This Row],[Clothes Kit]],Table_NFI[Clothes Kit])</f>
        <v>0</v>
      </c>
      <c r="AE738" s="436">
        <f>IF(NFI_Expiration=1,IF($A738&lt;VLOOKUP(P$5,NFI,5,0),1,0)*Table_NFI[[#This Row],[Plastic Bucket]],Table_NFI[Plastic Bucket])</f>
        <v>0</v>
      </c>
      <c r="AF738" s="436">
        <f>IF(NFI_Expiration=1,IF($A738&lt;VLOOKUP(Q$5,NFI,5,0),1,0)*Table_NFI[[#This Row],[Plastic Mat]],Table_NFI[Plastic Mat])*IF(Table_NFI[[#This Row],[Distribution Date]]&gt;"2014-04-01",1,2.5)</f>
        <v>0</v>
      </c>
      <c r="AG738" s="436">
        <f>IF(NFI_Expiration=1,IF($A738&lt;VLOOKUP(R$5,NFI,5,0),1,0)*Table_NFI[[#This Row],[Winter Clothes Adult]],Table_NFI[Winter Clothes Adult])</f>
        <v>0</v>
      </c>
      <c r="AH738" s="436">
        <f>IF(NFI_Expiration=1,IF($A738&lt;VLOOKUP(S$5,NFI,5,0),1,0)*Table_NFI[[#This Row],[Winter Clothes Children]],Table_NFI[Winter Clothes Children])</f>
        <v>0</v>
      </c>
      <c r="AI738" s="436">
        <f>IF(NFI_Expiration=1,IF($A738&lt;VLOOKUP(T$5,NFI,5,0),1,0)*Table_NFI[[#This Row],[Winter Items Other]],Table_NFI[Winter Items Other])</f>
        <v>0</v>
      </c>
      <c r="AJ738" s="436">
        <f>IF(NFI_Expiration=1,IF($A738&lt;VLOOKUP(M$5,NFI,5,0),1,0)*Table_NFI[[#This Row],[Winter Blanket]],Table_NFI[[#This Row],[Winter Blanket]])</f>
        <v>0</v>
      </c>
      <c r="AK738" s="436">
        <f>IF(Table_NFI[[#This Row],[Winter Clothes Adult]]+Table_NFI[[#This Row],[Winter Clothes Children]]+Table_NFI[[#This Row],[Winter Items Other]]+Table_NFI[[#This Row],[Winter Blanket]]&gt;0,1,0)</f>
        <v>0</v>
      </c>
      <c r="AL738" s="439">
        <f>IF(NFI_Expiration=1,IF($A738&lt;VLOOKUP(V$5,NFI,5,0),1,0)*Table_NFI[[#This Row],[Jerry Can]],Table_NFI[Jerry Can])</f>
        <v>0</v>
      </c>
      <c r="AM738" s="781" t="str">
        <f>IFERROR(VLOOKUP(Table_NFI[[#This Row],[Camp Name]],CL,2,0),"")</f>
        <v>MMR001CMP018</v>
      </c>
      <c r="AN738" s="782">
        <f ca="1">IF(Table_NFI[[#This Row],[Pcode]]="","",IF(OFFSET(CampList[Opening Date],MATCH(Table_NFI[[#This Row],[Pcode]],CampList[CP_Pcode],0)-1,0,1,1)&gt;=NFI_Monitor_Date,1,0))</f>
        <v>0</v>
      </c>
      <c r="AO738" s="781" t="str">
        <f>IFERROR(VLOOKUP(Table_NFI[[#This Row],[Camp Name]],CL,3,0),"")</f>
        <v>Open</v>
      </c>
      <c r="AP738" s="436" t="str">
        <f ca="1">IF(Table_NFI[[#This Row],[Pcode]]="","",OFFSET(CampList[Priority],MATCH(Table_NFI[[#This Row],[Pcode]],CampList[CP_Pcode],0)-1,0,1,1))</f>
        <v>P4</v>
      </c>
      <c r="AQ738" s="438">
        <f>IFERROR(Table_NFI[[#This Row],[Kitchen Set]]/VLOOKUP(Table_NFI[[#This Row],[Camp Name]],CL,4,0),"")</f>
        <v>1.4778325123152709E-2</v>
      </c>
      <c r="AR738" s="779" t="s">
        <v>1099</v>
      </c>
      <c r="AS738" s="783"/>
    </row>
    <row r="739" spans="1:45" x14ac:dyDescent="0.25">
      <c r="A739" s="455">
        <f t="shared" si="11"/>
        <v>39.299999999999997</v>
      </c>
      <c r="B739" s="778">
        <v>41130</v>
      </c>
      <c r="C739" s="779" t="s">
        <v>454</v>
      </c>
      <c r="D739" s="780" t="s">
        <v>454</v>
      </c>
      <c r="E739" s="779" t="s">
        <v>380</v>
      </c>
      <c r="F739" s="435" t="s">
        <v>237</v>
      </c>
      <c r="G739" s="435" t="s">
        <v>259</v>
      </c>
      <c r="H739" s="436"/>
      <c r="I739" s="436"/>
      <c r="J739" s="436"/>
      <c r="K739" s="436">
        <v>2</v>
      </c>
      <c r="L739" s="437">
        <v>1</v>
      </c>
      <c r="M739" s="437">
        <v>2</v>
      </c>
      <c r="N739" s="437">
        <v>1</v>
      </c>
      <c r="O739" s="437">
        <v>1</v>
      </c>
      <c r="P739" s="437">
        <v>1</v>
      </c>
      <c r="Q739" s="437">
        <v>1</v>
      </c>
      <c r="R739" s="436"/>
      <c r="S739" s="436"/>
      <c r="T739" s="436"/>
      <c r="U739" s="436"/>
      <c r="V739" s="436"/>
      <c r="W739" s="436">
        <f>IF(NFI_Expiration=1,IF($A739&lt;VLOOKUP(H$5,NFI,5,0),1,0)*Table_NFI[[#This Row],[Hygiene Kit]],Table_NFI[Hygiene Kit])</f>
        <v>0</v>
      </c>
      <c r="X739" s="436">
        <f>IF(NFI_Expiration=1,IF($A739&lt;VLOOKUP(I$5,NFI,5,0),1,0)*Table_NFI[[#This Row],[NFI Core Kit]],Table_NFI[NFI Core Kit])</f>
        <v>0</v>
      </c>
      <c r="Y739" s="436">
        <f>IF(NFI_Expiration=1,IF($A739&lt;VLOOKUP(J$5,NFI,5,0),1,0)*Table_NFI[[#This Row],[Sanitary Kit]],Table_NFI[Sanitary Kit])</f>
        <v>0</v>
      </c>
      <c r="Z739" s="436">
        <f>IF(NFI_Expiration=1,IF($A739&lt;VLOOKUP(K$5,NFI,5,0),1,0)*Table_NFI[[#This Row],[Mosquito net]],Table_NFI[Mosquito net])</f>
        <v>0</v>
      </c>
      <c r="AA739" s="436">
        <f>IF(NFI_Expiration=1,IF($A739&lt;VLOOKUP(L$5,NFI,5,0),1,0)*Table_NFI[[#This Row],[Tarpaulin]],Table_NFI[[#This Row],[Tarpaulin]])</f>
        <v>0</v>
      </c>
      <c r="AB739" s="436">
        <f>IF(NFI_Expiration=1,IF($A739&lt;VLOOKUP(M$5,NFI,5,0),1,0)*Table_NFI[[#This Row],[Blanket]],Table_NFI[[#This Row],[Blanket]])</f>
        <v>0</v>
      </c>
      <c r="AC739" s="436">
        <f>IF(NFI_Expiration=1,IF($A739&lt;VLOOKUP(N$5,NFI,5,0),1,0)*Table_NFI[[#This Row],[Kitchen Set]],Table_NFI[Kitchen Set])</f>
        <v>0</v>
      </c>
      <c r="AD739" s="436">
        <f>IF(NFI_Expiration=1,IF($A739&lt;VLOOKUP(O$5,NFI,5,0),1,0)*Table_NFI[[#This Row],[Clothes Kit]],Table_NFI[Clothes Kit])</f>
        <v>0</v>
      </c>
      <c r="AE739" s="436">
        <f>IF(NFI_Expiration=1,IF($A739&lt;VLOOKUP(P$5,NFI,5,0),1,0)*Table_NFI[[#This Row],[Plastic Bucket]],Table_NFI[Plastic Bucket])</f>
        <v>0</v>
      </c>
      <c r="AF739" s="436">
        <f>IF(NFI_Expiration=1,IF($A739&lt;VLOOKUP(Q$5,NFI,5,0),1,0)*Table_NFI[[#This Row],[Plastic Mat]],Table_NFI[Plastic Mat])*IF(Table_NFI[[#This Row],[Distribution Date]]&gt;"2014-04-01",1,2.5)</f>
        <v>0</v>
      </c>
      <c r="AG739" s="436">
        <f>IF(NFI_Expiration=1,IF($A739&lt;VLOOKUP(R$5,NFI,5,0),1,0)*Table_NFI[[#This Row],[Winter Clothes Adult]],Table_NFI[Winter Clothes Adult])</f>
        <v>0</v>
      </c>
      <c r="AH739" s="436">
        <f>IF(NFI_Expiration=1,IF($A739&lt;VLOOKUP(S$5,NFI,5,0),1,0)*Table_NFI[[#This Row],[Winter Clothes Children]],Table_NFI[Winter Clothes Children])</f>
        <v>0</v>
      </c>
      <c r="AI739" s="436">
        <f>IF(NFI_Expiration=1,IF($A739&lt;VLOOKUP(T$5,NFI,5,0),1,0)*Table_NFI[[#This Row],[Winter Items Other]],Table_NFI[Winter Items Other])</f>
        <v>0</v>
      </c>
      <c r="AJ739" s="436">
        <f>IF(NFI_Expiration=1,IF($A739&lt;VLOOKUP(M$5,NFI,5,0),1,0)*Table_NFI[[#This Row],[Winter Blanket]],Table_NFI[[#This Row],[Winter Blanket]])</f>
        <v>0</v>
      </c>
      <c r="AK739" s="436">
        <f>IF(Table_NFI[[#This Row],[Winter Clothes Adult]]+Table_NFI[[#This Row],[Winter Clothes Children]]+Table_NFI[[#This Row],[Winter Items Other]]+Table_NFI[[#This Row],[Winter Blanket]]&gt;0,1,0)</f>
        <v>0</v>
      </c>
      <c r="AL739" s="439">
        <f>IF(NFI_Expiration=1,IF($A739&lt;VLOOKUP(V$5,NFI,5,0),1,0)*Table_NFI[[#This Row],[Jerry Can]],Table_NFI[Jerry Can])</f>
        <v>0</v>
      </c>
      <c r="AM739" s="781" t="str">
        <f>IFERROR(VLOOKUP(Table_NFI[[#This Row],[Camp Name]],CL,2,0),"")</f>
        <v>MMR001CMP016</v>
      </c>
      <c r="AN739" s="782">
        <f ca="1">IF(Table_NFI[[#This Row],[Pcode]]="","",IF(OFFSET(CampList[Opening Date],MATCH(Table_NFI[[#This Row],[Pcode]],CampList[CP_Pcode],0)-1,0,1,1)&gt;=NFI_Monitor_Date,1,0))</f>
        <v>0</v>
      </c>
      <c r="AO739" s="781" t="str">
        <f>IFERROR(VLOOKUP(Table_NFI[[#This Row],[Camp Name]],CL,3,0),"")</f>
        <v>Open</v>
      </c>
      <c r="AP739" s="436" t="str">
        <f ca="1">IF(Table_NFI[[#This Row],[Pcode]]="","",OFFSET(CampList[Priority],MATCH(Table_NFI[[#This Row],[Pcode]],CampList[CP_Pcode],0)-1,0,1,1))</f>
        <v>P4</v>
      </c>
      <c r="AQ739" s="438">
        <f>IFERROR(Table_NFI[[#This Row],[Kitchen Set]]/VLOOKUP(Table_NFI[[#This Row],[Camp Name]],CL,4,0),"")</f>
        <v>1.3888888888888888E-2</v>
      </c>
      <c r="AR739" s="779" t="s">
        <v>1099</v>
      </c>
      <c r="AS739" s="783"/>
    </row>
    <row r="740" spans="1:45" x14ac:dyDescent="0.25">
      <c r="A740" s="455">
        <f t="shared" si="11"/>
        <v>39.299999999999997</v>
      </c>
      <c r="B740" s="778">
        <v>41130</v>
      </c>
      <c r="C740" s="779" t="s">
        <v>454</v>
      </c>
      <c r="D740" s="779" t="s">
        <v>454</v>
      </c>
      <c r="E740" s="779" t="s">
        <v>380</v>
      </c>
      <c r="F740" s="435" t="s">
        <v>237</v>
      </c>
      <c r="G740" s="435" t="s">
        <v>263</v>
      </c>
      <c r="H740" s="436"/>
      <c r="I740" s="436"/>
      <c r="J740" s="436"/>
      <c r="K740" s="436">
        <v>2</v>
      </c>
      <c r="L740" s="437">
        <v>1</v>
      </c>
      <c r="M740" s="437">
        <v>2</v>
      </c>
      <c r="N740" s="437">
        <v>1</v>
      </c>
      <c r="O740" s="437">
        <v>1</v>
      </c>
      <c r="P740" s="439">
        <v>1</v>
      </c>
      <c r="Q740" s="439">
        <v>1</v>
      </c>
      <c r="R740" s="436"/>
      <c r="S740" s="436"/>
      <c r="T740" s="436"/>
      <c r="U740" s="436"/>
      <c r="V740" s="436"/>
      <c r="W740" s="436">
        <f>IF(NFI_Expiration=1,IF($A740&lt;VLOOKUP(H$5,NFI,5,0),1,0)*Table_NFI[[#This Row],[Hygiene Kit]],Table_NFI[Hygiene Kit])</f>
        <v>0</v>
      </c>
      <c r="X740" s="436">
        <f>IF(NFI_Expiration=1,IF($A740&lt;VLOOKUP(I$5,NFI,5,0),1,0)*Table_NFI[[#This Row],[NFI Core Kit]],Table_NFI[NFI Core Kit])</f>
        <v>0</v>
      </c>
      <c r="Y740" s="436">
        <f>IF(NFI_Expiration=1,IF($A740&lt;VLOOKUP(J$5,NFI,5,0),1,0)*Table_NFI[[#This Row],[Sanitary Kit]],Table_NFI[Sanitary Kit])</f>
        <v>0</v>
      </c>
      <c r="Z740" s="436">
        <f>IF(NFI_Expiration=1,IF($A740&lt;VLOOKUP(K$5,NFI,5,0),1,0)*Table_NFI[[#This Row],[Mosquito net]],Table_NFI[Mosquito net])</f>
        <v>0</v>
      </c>
      <c r="AA740" s="436">
        <f>IF(NFI_Expiration=1,IF($A740&lt;VLOOKUP(L$5,NFI,5,0),1,0)*Table_NFI[[#This Row],[Tarpaulin]],Table_NFI[[#This Row],[Tarpaulin]])</f>
        <v>0</v>
      </c>
      <c r="AB740" s="436">
        <f>IF(NFI_Expiration=1,IF($A740&lt;VLOOKUP(M$5,NFI,5,0),1,0)*Table_NFI[[#This Row],[Blanket]],Table_NFI[[#This Row],[Blanket]])</f>
        <v>0</v>
      </c>
      <c r="AC740" s="436">
        <f>IF(NFI_Expiration=1,IF($A740&lt;VLOOKUP(N$5,NFI,5,0),1,0)*Table_NFI[[#This Row],[Kitchen Set]],Table_NFI[Kitchen Set])</f>
        <v>0</v>
      </c>
      <c r="AD740" s="436">
        <f>IF(NFI_Expiration=1,IF($A740&lt;VLOOKUP(O$5,NFI,5,0),1,0)*Table_NFI[[#This Row],[Clothes Kit]],Table_NFI[Clothes Kit])</f>
        <v>0</v>
      </c>
      <c r="AE740" s="436">
        <f>IF(NFI_Expiration=1,IF($A740&lt;VLOOKUP(P$5,NFI,5,0),1,0)*Table_NFI[[#This Row],[Plastic Bucket]],Table_NFI[Plastic Bucket])</f>
        <v>0</v>
      </c>
      <c r="AF740" s="436">
        <f>IF(NFI_Expiration=1,IF($A740&lt;VLOOKUP(Q$5,NFI,5,0),1,0)*Table_NFI[[#This Row],[Plastic Mat]],Table_NFI[Plastic Mat])*IF(Table_NFI[[#This Row],[Distribution Date]]&gt;"2014-04-01",1,2.5)</f>
        <v>0</v>
      </c>
      <c r="AG740" s="436">
        <f>IF(NFI_Expiration=1,IF($A740&lt;VLOOKUP(R$5,NFI,5,0),1,0)*Table_NFI[[#This Row],[Winter Clothes Adult]],Table_NFI[Winter Clothes Adult])</f>
        <v>0</v>
      </c>
      <c r="AH740" s="436">
        <f>IF(NFI_Expiration=1,IF($A740&lt;VLOOKUP(S$5,NFI,5,0),1,0)*Table_NFI[[#This Row],[Winter Clothes Children]],Table_NFI[Winter Clothes Children])</f>
        <v>0</v>
      </c>
      <c r="AI740" s="436">
        <f>IF(NFI_Expiration=1,IF($A740&lt;VLOOKUP(T$5,NFI,5,0),1,0)*Table_NFI[[#This Row],[Winter Items Other]],Table_NFI[Winter Items Other])</f>
        <v>0</v>
      </c>
      <c r="AJ740" s="436">
        <f>IF(NFI_Expiration=1,IF($A740&lt;VLOOKUP(M$5,NFI,5,0),1,0)*Table_NFI[[#This Row],[Winter Blanket]],Table_NFI[[#This Row],[Winter Blanket]])</f>
        <v>0</v>
      </c>
      <c r="AK740" s="436">
        <f>IF(Table_NFI[[#This Row],[Winter Clothes Adult]]+Table_NFI[[#This Row],[Winter Clothes Children]]+Table_NFI[[#This Row],[Winter Items Other]]+Table_NFI[[#This Row],[Winter Blanket]]&gt;0,1,0)</f>
        <v>0</v>
      </c>
      <c r="AL740" s="439">
        <f>IF(NFI_Expiration=1,IF($A740&lt;VLOOKUP(V$5,NFI,5,0),1,0)*Table_NFI[[#This Row],[Jerry Can]],Table_NFI[Jerry Can])</f>
        <v>0</v>
      </c>
      <c r="AM740" s="781" t="str">
        <f>IFERROR(VLOOKUP(Table_NFI[[#This Row],[Camp Name]],CL,2,0),"")</f>
        <v>MMR001CMP020</v>
      </c>
      <c r="AN740" s="782">
        <f ca="1">IF(Table_NFI[[#This Row],[Pcode]]="","",IF(OFFSET(CampList[Opening Date],MATCH(Table_NFI[[#This Row],[Pcode]],CampList[CP_Pcode],0)-1,0,1,1)&gt;=NFI_Monitor_Date,1,0))</f>
        <v>0</v>
      </c>
      <c r="AO740" s="781" t="str">
        <f>IFERROR(VLOOKUP(Table_NFI[[#This Row],[Camp Name]],CL,3,0),"")</f>
        <v>Open</v>
      </c>
      <c r="AP740" s="436" t="str">
        <f ca="1">IF(Table_NFI[[#This Row],[Pcode]]="","",OFFSET(CampList[Priority],MATCH(Table_NFI[[#This Row],[Pcode]],CampList[CP_Pcode],0)-1,0,1,1))</f>
        <v>P4</v>
      </c>
      <c r="AQ740" s="438">
        <f>IFERROR(Table_NFI[[#This Row],[Kitchen Set]]/VLOOKUP(Table_NFI[[#This Row],[Camp Name]],CL,4,0),"")</f>
        <v>4.5454545454545456E-2</v>
      </c>
      <c r="AR740" s="779" t="s">
        <v>1099</v>
      </c>
      <c r="AS740" s="783"/>
    </row>
    <row r="741" spans="1:45" x14ac:dyDescent="0.25">
      <c r="A741" s="455">
        <f t="shared" si="11"/>
        <v>39.299999999999997</v>
      </c>
      <c r="B741" s="778">
        <v>41130</v>
      </c>
      <c r="C741" s="779" t="s">
        <v>454</v>
      </c>
      <c r="D741" s="779" t="s">
        <v>454</v>
      </c>
      <c r="E741" s="779" t="s">
        <v>380</v>
      </c>
      <c r="F741" s="435" t="s">
        <v>237</v>
      </c>
      <c r="G741" s="435" t="s">
        <v>265</v>
      </c>
      <c r="H741" s="436"/>
      <c r="I741" s="436"/>
      <c r="J741" s="436"/>
      <c r="K741" s="436">
        <v>10</v>
      </c>
      <c r="L741" s="437">
        <v>5</v>
      </c>
      <c r="M741" s="437">
        <v>10</v>
      </c>
      <c r="N741" s="437">
        <v>5</v>
      </c>
      <c r="O741" s="437">
        <v>5</v>
      </c>
      <c r="P741" s="439">
        <v>5</v>
      </c>
      <c r="Q741" s="439">
        <v>5</v>
      </c>
      <c r="R741" s="436"/>
      <c r="S741" s="436"/>
      <c r="T741" s="436"/>
      <c r="U741" s="436"/>
      <c r="V741" s="436"/>
      <c r="W741" s="436">
        <f>IF(NFI_Expiration=1,IF($A741&lt;VLOOKUP(H$5,NFI,5,0),1,0)*Table_NFI[[#This Row],[Hygiene Kit]],Table_NFI[Hygiene Kit])</f>
        <v>0</v>
      </c>
      <c r="X741" s="436">
        <f>IF(NFI_Expiration=1,IF($A741&lt;VLOOKUP(I$5,NFI,5,0),1,0)*Table_NFI[[#This Row],[NFI Core Kit]],Table_NFI[NFI Core Kit])</f>
        <v>0</v>
      </c>
      <c r="Y741" s="436">
        <f>IF(NFI_Expiration=1,IF($A741&lt;VLOOKUP(J$5,NFI,5,0),1,0)*Table_NFI[[#This Row],[Sanitary Kit]],Table_NFI[Sanitary Kit])</f>
        <v>0</v>
      </c>
      <c r="Z741" s="436">
        <f>IF(NFI_Expiration=1,IF($A741&lt;VLOOKUP(K$5,NFI,5,0),1,0)*Table_NFI[[#This Row],[Mosquito net]],Table_NFI[Mosquito net])</f>
        <v>0</v>
      </c>
      <c r="AA741" s="436">
        <f>IF(NFI_Expiration=1,IF($A741&lt;VLOOKUP(L$5,NFI,5,0),1,0)*Table_NFI[[#This Row],[Tarpaulin]],Table_NFI[[#This Row],[Tarpaulin]])</f>
        <v>0</v>
      </c>
      <c r="AB741" s="436">
        <f>IF(NFI_Expiration=1,IF($A741&lt;VLOOKUP(M$5,NFI,5,0),1,0)*Table_NFI[[#This Row],[Blanket]],Table_NFI[[#This Row],[Blanket]])</f>
        <v>0</v>
      </c>
      <c r="AC741" s="436">
        <f>IF(NFI_Expiration=1,IF($A741&lt;VLOOKUP(N$5,NFI,5,0),1,0)*Table_NFI[[#This Row],[Kitchen Set]],Table_NFI[Kitchen Set])</f>
        <v>0</v>
      </c>
      <c r="AD741" s="436">
        <f>IF(NFI_Expiration=1,IF($A741&lt;VLOOKUP(O$5,NFI,5,0),1,0)*Table_NFI[[#This Row],[Clothes Kit]],Table_NFI[Clothes Kit])</f>
        <v>0</v>
      </c>
      <c r="AE741" s="436">
        <f>IF(NFI_Expiration=1,IF($A741&lt;VLOOKUP(P$5,NFI,5,0),1,0)*Table_NFI[[#This Row],[Plastic Bucket]],Table_NFI[Plastic Bucket])</f>
        <v>0</v>
      </c>
      <c r="AF741" s="436">
        <f>IF(NFI_Expiration=1,IF($A741&lt;VLOOKUP(Q$5,NFI,5,0),1,0)*Table_NFI[[#This Row],[Plastic Mat]],Table_NFI[Plastic Mat])*IF(Table_NFI[[#This Row],[Distribution Date]]&gt;"2014-04-01",1,2.5)</f>
        <v>0</v>
      </c>
      <c r="AG741" s="436">
        <f>IF(NFI_Expiration=1,IF($A741&lt;VLOOKUP(R$5,NFI,5,0),1,0)*Table_NFI[[#This Row],[Winter Clothes Adult]],Table_NFI[Winter Clothes Adult])</f>
        <v>0</v>
      </c>
      <c r="AH741" s="436">
        <f>IF(NFI_Expiration=1,IF($A741&lt;VLOOKUP(S$5,NFI,5,0),1,0)*Table_NFI[[#This Row],[Winter Clothes Children]],Table_NFI[Winter Clothes Children])</f>
        <v>0</v>
      </c>
      <c r="AI741" s="436">
        <f>IF(NFI_Expiration=1,IF($A741&lt;VLOOKUP(T$5,NFI,5,0),1,0)*Table_NFI[[#This Row],[Winter Items Other]],Table_NFI[Winter Items Other])</f>
        <v>0</v>
      </c>
      <c r="AJ741" s="436">
        <f>IF(NFI_Expiration=1,IF($A741&lt;VLOOKUP(M$5,NFI,5,0),1,0)*Table_NFI[[#This Row],[Winter Blanket]],Table_NFI[[#This Row],[Winter Blanket]])</f>
        <v>0</v>
      </c>
      <c r="AK741" s="436">
        <f>IF(Table_NFI[[#This Row],[Winter Clothes Adult]]+Table_NFI[[#This Row],[Winter Clothes Children]]+Table_NFI[[#This Row],[Winter Items Other]]+Table_NFI[[#This Row],[Winter Blanket]]&gt;0,1,0)</f>
        <v>0</v>
      </c>
      <c r="AL741" s="439">
        <f>IF(NFI_Expiration=1,IF($A741&lt;VLOOKUP(V$5,NFI,5,0),1,0)*Table_NFI[[#This Row],[Jerry Can]],Table_NFI[Jerry Can])</f>
        <v>0</v>
      </c>
      <c r="AM741" s="781" t="str">
        <f>IFERROR(VLOOKUP(Table_NFI[[#This Row],[Camp Name]],CL,2,0),"")</f>
        <v>MMR001CMP021</v>
      </c>
      <c r="AN741" s="782">
        <f ca="1">IF(Table_NFI[[#This Row],[Pcode]]="","",IF(OFFSET(CampList[Opening Date],MATCH(Table_NFI[[#This Row],[Pcode]],CampList[CP_Pcode],0)-1,0,1,1)&gt;=NFI_Monitor_Date,1,0))</f>
        <v>0</v>
      </c>
      <c r="AO741" s="781" t="str">
        <f>IFERROR(VLOOKUP(Table_NFI[[#This Row],[Camp Name]],CL,3,0),"")</f>
        <v>Open</v>
      </c>
      <c r="AP741" s="436" t="str">
        <f ca="1">IF(Table_NFI[[#This Row],[Pcode]]="","",OFFSET(CampList[Priority],MATCH(Table_NFI[[#This Row],[Pcode]],CampList[CP_Pcode],0)-1,0,1,1))</f>
        <v>P4</v>
      </c>
      <c r="AQ741" s="438">
        <f>IFERROR(Table_NFI[[#This Row],[Kitchen Set]]/VLOOKUP(Table_NFI[[#This Row],[Camp Name]],CL,4,0),"")</f>
        <v>0.35714285714285715</v>
      </c>
      <c r="AR741" s="779" t="s">
        <v>1099</v>
      </c>
      <c r="AS741" s="783"/>
    </row>
    <row r="742" spans="1:45" x14ac:dyDescent="0.25">
      <c r="A742" s="455">
        <f t="shared" si="11"/>
        <v>39.299999999999997</v>
      </c>
      <c r="B742" s="778">
        <v>41130</v>
      </c>
      <c r="C742" s="779" t="s">
        <v>454</v>
      </c>
      <c r="D742" s="780" t="s">
        <v>454</v>
      </c>
      <c r="E742" s="779" t="s">
        <v>380</v>
      </c>
      <c r="F742" s="435" t="s">
        <v>237</v>
      </c>
      <c r="G742" s="435" t="s">
        <v>271</v>
      </c>
      <c r="H742" s="436"/>
      <c r="I742" s="436"/>
      <c r="J742" s="436"/>
      <c r="K742" s="436">
        <v>42</v>
      </c>
      <c r="L742" s="437">
        <v>20</v>
      </c>
      <c r="M742" s="437">
        <v>42</v>
      </c>
      <c r="N742" s="437">
        <v>20</v>
      </c>
      <c r="O742" s="437">
        <v>20</v>
      </c>
      <c r="P742" s="437">
        <v>20</v>
      </c>
      <c r="Q742" s="437">
        <v>20</v>
      </c>
      <c r="R742" s="436"/>
      <c r="S742" s="436"/>
      <c r="T742" s="436"/>
      <c r="U742" s="436"/>
      <c r="V742" s="436"/>
      <c r="W742" s="436">
        <f>IF(NFI_Expiration=1,IF($A742&lt;VLOOKUP(H$5,NFI,5,0),1,0)*Table_NFI[[#This Row],[Hygiene Kit]],Table_NFI[Hygiene Kit])</f>
        <v>0</v>
      </c>
      <c r="X742" s="436">
        <f>IF(NFI_Expiration=1,IF($A742&lt;VLOOKUP(I$5,NFI,5,0),1,0)*Table_NFI[[#This Row],[NFI Core Kit]],Table_NFI[NFI Core Kit])</f>
        <v>0</v>
      </c>
      <c r="Y742" s="436">
        <f>IF(NFI_Expiration=1,IF($A742&lt;VLOOKUP(J$5,NFI,5,0),1,0)*Table_NFI[[#This Row],[Sanitary Kit]],Table_NFI[Sanitary Kit])</f>
        <v>0</v>
      </c>
      <c r="Z742" s="436">
        <f>IF(NFI_Expiration=1,IF($A742&lt;VLOOKUP(K$5,NFI,5,0),1,0)*Table_NFI[[#This Row],[Mosquito net]],Table_NFI[Mosquito net])</f>
        <v>0</v>
      </c>
      <c r="AA742" s="436">
        <f>IF(NFI_Expiration=1,IF($A742&lt;VLOOKUP(L$5,NFI,5,0),1,0)*Table_NFI[[#This Row],[Tarpaulin]],Table_NFI[[#This Row],[Tarpaulin]])</f>
        <v>0</v>
      </c>
      <c r="AB742" s="436">
        <f>IF(NFI_Expiration=1,IF($A742&lt;VLOOKUP(M$5,NFI,5,0),1,0)*Table_NFI[[#This Row],[Blanket]],Table_NFI[[#This Row],[Blanket]])</f>
        <v>0</v>
      </c>
      <c r="AC742" s="436">
        <f>IF(NFI_Expiration=1,IF($A742&lt;VLOOKUP(N$5,NFI,5,0),1,0)*Table_NFI[[#This Row],[Kitchen Set]],Table_NFI[Kitchen Set])</f>
        <v>0</v>
      </c>
      <c r="AD742" s="436">
        <f>IF(NFI_Expiration=1,IF($A742&lt;VLOOKUP(O$5,NFI,5,0),1,0)*Table_NFI[[#This Row],[Clothes Kit]],Table_NFI[Clothes Kit])</f>
        <v>0</v>
      </c>
      <c r="AE742" s="436">
        <f>IF(NFI_Expiration=1,IF($A742&lt;VLOOKUP(P$5,NFI,5,0),1,0)*Table_NFI[[#This Row],[Plastic Bucket]],Table_NFI[Plastic Bucket])</f>
        <v>0</v>
      </c>
      <c r="AF742" s="436">
        <f>IF(NFI_Expiration=1,IF($A742&lt;VLOOKUP(Q$5,NFI,5,0),1,0)*Table_NFI[[#This Row],[Plastic Mat]],Table_NFI[Plastic Mat])*IF(Table_NFI[[#This Row],[Distribution Date]]&gt;"2014-04-01",1,2.5)</f>
        <v>0</v>
      </c>
      <c r="AG742" s="436">
        <f>IF(NFI_Expiration=1,IF($A742&lt;VLOOKUP(R$5,NFI,5,0),1,0)*Table_NFI[[#This Row],[Winter Clothes Adult]],Table_NFI[Winter Clothes Adult])</f>
        <v>0</v>
      </c>
      <c r="AH742" s="436">
        <f>IF(NFI_Expiration=1,IF($A742&lt;VLOOKUP(S$5,NFI,5,0),1,0)*Table_NFI[[#This Row],[Winter Clothes Children]],Table_NFI[Winter Clothes Children])</f>
        <v>0</v>
      </c>
      <c r="AI742" s="436">
        <f>IF(NFI_Expiration=1,IF($A742&lt;VLOOKUP(T$5,NFI,5,0),1,0)*Table_NFI[[#This Row],[Winter Items Other]],Table_NFI[Winter Items Other])</f>
        <v>0</v>
      </c>
      <c r="AJ742" s="436">
        <f>IF(NFI_Expiration=1,IF($A742&lt;VLOOKUP(M$5,NFI,5,0),1,0)*Table_NFI[[#This Row],[Winter Blanket]],Table_NFI[[#This Row],[Winter Blanket]])</f>
        <v>0</v>
      </c>
      <c r="AK742" s="436">
        <f>IF(Table_NFI[[#This Row],[Winter Clothes Adult]]+Table_NFI[[#This Row],[Winter Clothes Children]]+Table_NFI[[#This Row],[Winter Items Other]]+Table_NFI[[#This Row],[Winter Blanket]]&gt;0,1,0)</f>
        <v>0</v>
      </c>
      <c r="AL742" s="439">
        <f>IF(NFI_Expiration=1,IF($A742&lt;VLOOKUP(V$5,NFI,5,0),1,0)*Table_NFI[[#This Row],[Jerry Can]],Table_NFI[Jerry Can])</f>
        <v>0</v>
      </c>
      <c r="AM742" s="781" t="str">
        <f>IFERROR(VLOOKUP(Table_NFI[[#This Row],[Camp Name]],CL,2,0),"")</f>
        <v>MMR001CMP024</v>
      </c>
      <c r="AN742" s="782">
        <f ca="1">IF(Table_NFI[[#This Row],[Pcode]]="","",IF(OFFSET(CampList[Opening Date],MATCH(Table_NFI[[#This Row],[Pcode]],CampList[CP_Pcode],0)-1,0,1,1)&gt;=NFI_Monitor_Date,1,0))</f>
        <v>0</v>
      </c>
      <c r="AO742" s="781" t="str">
        <f>IFERROR(VLOOKUP(Table_NFI[[#This Row],[Camp Name]],CL,3,0),"")</f>
        <v>Open</v>
      </c>
      <c r="AP742" s="436" t="str">
        <f ca="1">IF(Table_NFI[[#This Row],[Pcode]]="","",OFFSET(CampList[Priority],MATCH(Table_NFI[[#This Row],[Pcode]],CampList[CP_Pcode],0)-1,0,1,1))</f>
        <v>P4</v>
      </c>
      <c r="AQ742" s="438">
        <f>IFERROR(Table_NFI[[#This Row],[Kitchen Set]]/VLOOKUP(Table_NFI[[#This Row],[Camp Name]],CL,4,0),"")</f>
        <v>0.2857142857142857</v>
      </c>
      <c r="AR742" s="779" t="s">
        <v>1099</v>
      </c>
      <c r="AS742" s="783"/>
    </row>
    <row r="743" spans="1:45" x14ac:dyDescent="0.25">
      <c r="A743" s="455">
        <f t="shared" si="11"/>
        <v>39.299999999999997</v>
      </c>
      <c r="B743" s="778">
        <v>41130</v>
      </c>
      <c r="C743" s="779" t="s">
        <v>454</v>
      </c>
      <c r="D743" s="779" t="s">
        <v>454</v>
      </c>
      <c r="E743" s="779" t="s">
        <v>380</v>
      </c>
      <c r="F743" s="435" t="s">
        <v>237</v>
      </c>
      <c r="G743" s="435" t="s">
        <v>283</v>
      </c>
      <c r="H743" s="436"/>
      <c r="I743" s="436"/>
      <c r="J743" s="436"/>
      <c r="K743" s="436">
        <v>10</v>
      </c>
      <c r="L743" s="437">
        <v>5</v>
      </c>
      <c r="M743" s="437">
        <v>10</v>
      </c>
      <c r="N743" s="437">
        <v>5</v>
      </c>
      <c r="O743" s="437">
        <v>5</v>
      </c>
      <c r="P743" s="439">
        <v>5</v>
      </c>
      <c r="Q743" s="439">
        <v>5</v>
      </c>
      <c r="R743" s="436"/>
      <c r="S743" s="436"/>
      <c r="T743" s="436"/>
      <c r="U743" s="436"/>
      <c r="V743" s="436"/>
      <c r="W743" s="436">
        <f>IF(NFI_Expiration=1,IF($A743&lt;VLOOKUP(H$5,NFI,5,0),1,0)*Table_NFI[[#This Row],[Hygiene Kit]],Table_NFI[Hygiene Kit])</f>
        <v>0</v>
      </c>
      <c r="X743" s="436">
        <f>IF(NFI_Expiration=1,IF($A743&lt;VLOOKUP(I$5,NFI,5,0),1,0)*Table_NFI[[#This Row],[NFI Core Kit]],Table_NFI[NFI Core Kit])</f>
        <v>0</v>
      </c>
      <c r="Y743" s="436">
        <f>IF(NFI_Expiration=1,IF($A743&lt;VLOOKUP(J$5,NFI,5,0),1,0)*Table_NFI[[#This Row],[Sanitary Kit]],Table_NFI[Sanitary Kit])</f>
        <v>0</v>
      </c>
      <c r="Z743" s="436">
        <f>IF(NFI_Expiration=1,IF($A743&lt;VLOOKUP(K$5,NFI,5,0),1,0)*Table_NFI[[#This Row],[Mosquito net]],Table_NFI[Mosquito net])</f>
        <v>0</v>
      </c>
      <c r="AA743" s="436">
        <f>IF(NFI_Expiration=1,IF($A743&lt;VLOOKUP(L$5,NFI,5,0),1,0)*Table_NFI[[#This Row],[Tarpaulin]],Table_NFI[[#This Row],[Tarpaulin]])</f>
        <v>0</v>
      </c>
      <c r="AB743" s="436">
        <f>IF(NFI_Expiration=1,IF($A743&lt;VLOOKUP(M$5,NFI,5,0),1,0)*Table_NFI[[#This Row],[Blanket]],Table_NFI[[#This Row],[Blanket]])</f>
        <v>0</v>
      </c>
      <c r="AC743" s="436">
        <f>IF(NFI_Expiration=1,IF($A743&lt;VLOOKUP(N$5,NFI,5,0),1,0)*Table_NFI[[#This Row],[Kitchen Set]],Table_NFI[Kitchen Set])</f>
        <v>0</v>
      </c>
      <c r="AD743" s="436">
        <f>IF(NFI_Expiration=1,IF($A743&lt;VLOOKUP(O$5,NFI,5,0),1,0)*Table_NFI[[#This Row],[Clothes Kit]],Table_NFI[Clothes Kit])</f>
        <v>0</v>
      </c>
      <c r="AE743" s="436">
        <f>IF(NFI_Expiration=1,IF($A743&lt;VLOOKUP(P$5,NFI,5,0),1,0)*Table_NFI[[#This Row],[Plastic Bucket]],Table_NFI[Plastic Bucket])</f>
        <v>0</v>
      </c>
      <c r="AF743" s="436">
        <f>IF(NFI_Expiration=1,IF($A743&lt;VLOOKUP(Q$5,NFI,5,0),1,0)*Table_NFI[[#This Row],[Plastic Mat]],Table_NFI[Plastic Mat])*IF(Table_NFI[[#This Row],[Distribution Date]]&gt;"2014-04-01",1,2.5)</f>
        <v>0</v>
      </c>
      <c r="AG743" s="436">
        <f>IF(NFI_Expiration=1,IF($A743&lt;VLOOKUP(R$5,NFI,5,0),1,0)*Table_NFI[[#This Row],[Winter Clothes Adult]],Table_NFI[Winter Clothes Adult])</f>
        <v>0</v>
      </c>
      <c r="AH743" s="436">
        <f>IF(NFI_Expiration=1,IF($A743&lt;VLOOKUP(S$5,NFI,5,0),1,0)*Table_NFI[[#This Row],[Winter Clothes Children]],Table_NFI[Winter Clothes Children])</f>
        <v>0</v>
      </c>
      <c r="AI743" s="436">
        <f>IF(NFI_Expiration=1,IF($A743&lt;VLOOKUP(T$5,NFI,5,0),1,0)*Table_NFI[[#This Row],[Winter Items Other]],Table_NFI[Winter Items Other])</f>
        <v>0</v>
      </c>
      <c r="AJ743" s="436">
        <f>IF(NFI_Expiration=1,IF($A743&lt;VLOOKUP(M$5,NFI,5,0),1,0)*Table_NFI[[#This Row],[Winter Blanket]],Table_NFI[[#This Row],[Winter Blanket]])</f>
        <v>0</v>
      </c>
      <c r="AK743" s="436">
        <f>IF(Table_NFI[[#This Row],[Winter Clothes Adult]]+Table_NFI[[#This Row],[Winter Clothes Children]]+Table_NFI[[#This Row],[Winter Items Other]]+Table_NFI[[#This Row],[Winter Blanket]]&gt;0,1,0)</f>
        <v>0</v>
      </c>
      <c r="AL743" s="439">
        <f>IF(NFI_Expiration=1,IF($A743&lt;VLOOKUP(V$5,NFI,5,0),1,0)*Table_NFI[[#This Row],[Jerry Can]],Table_NFI[Jerry Can])</f>
        <v>0</v>
      </c>
      <c r="AM743" s="781" t="str">
        <f>IFERROR(VLOOKUP(Table_NFI[[#This Row],[Camp Name]],CL,2,0),"")</f>
        <v>MMR001CMP022</v>
      </c>
      <c r="AN743" s="782">
        <f ca="1">IF(Table_NFI[[#This Row],[Pcode]]="","",IF(OFFSET(CampList[Opening Date],MATCH(Table_NFI[[#This Row],[Pcode]],CampList[CP_Pcode],0)-1,0,1,1)&gt;=NFI_Monitor_Date,1,0))</f>
        <v>0</v>
      </c>
      <c r="AO743" s="781" t="str">
        <f>IFERROR(VLOOKUP(Table_NFI[[#This Row],[Camp Name]],CL,3,0),"")</f>
        <v>Open</v>
      </c>
      <c r="AP743" s="436" t="str">
        <f ca="1">IF(Table_NFI[[#This Row],[Pcode]]="","",OFFSET(CampList[Priority],MATCH(Table_NFI[[#This Row],[Pcode]],CampList[CP_Pcode],0)-1,0,1,1))</f>
        <v>P4</v>
      </c>
      <c r="AQ743" s="438">
        <f>IFERROR(Table_NFI[[#This Row],[Kitchen Set]]/VLOOKUP(Table_NFI[[#This Row],[Camp Name]],CL,4,0),"")</f>
        <v>0.7142857142857143</v>
      </c>
      <c r="AR743" s="779" t="s">
        <v>1099</v>
      </c>
      <c r="AS743" s="783"/>
    </row>
    <row r="744" spans="1:45" x14ac:dyDescent="0.25">
      <c r="A744" s="455">
        <f t="shared" si="11"/>
        <v>39.366666666666667</v>
      </c>
      <c r="B744" s="778">
        <v>41128</v>
      </c>
      <c r="C744" s="779" t="s">
        <v>454</v>
      </c>
      <c r="D744" s="780" t="s">
        <v>575</v>
      </c>
      <c r="E744" s="779" t="s">
        <v>380</v>
      </c>
      <c r="F744" s="435" t="s">
        <v>151</v>
      </c>
      <c r="G744" s="435" t="s">
        <v>152</v>
      </c>
      <c r="H744" s="436"/>
      <c r="I744" s="436"/>
      <c r="J744" s="436"/>
      <c r="K744" s="436">
        <v>0</v>
      </c>
      <c r="L744" s="437">
        <v>73</v>
      </c>
      <c r="M744" s="437">
        <v>0</v>
      </c>
      <c r="N744" s="437">
        <v>73</v>
      </c>
      <c r="O744" s="437">
        <v>73</v>
      </c>
      <c r="P744" s="437">
        <v>73</v>
      </c>
      <c r="Q744" s="437">
        <v>73</v>
      </c>
      <c r="R744" s="436"/>
      <c r="S744" s="436"/>
      <c r="T744" s="436"/>
      <c r="U744" s="436"/>
      <c r="V744" s="436"/>
      <c r="W744" s="436">
        <f>IF(NFI_Expiration=1,IF($A744&lt;VLOOKUP(H$5,NFI,5,0),1,0)*Table_NFI[[#This Row],[Hygiene Kit]],Table_NFI[Hygiene Kit])</f>
        <v>0</v>
      </c>
      <c r="X744" s="436">
        <f>IF(NFI_Expiration=1,IF($A744&lt;VLOOKUP(I$5,NFI,5,0),1,0)*Table_NFI[[#This Row],[NFI Core Kit]],Table_NFI[NFI Core Kit])</f>
        <v>0</v>
      </c>
      <c r="Y744" s="436">
        <f>IF(NFI_Expiration=1,IF($A744&lt;VLOOKUP(J$5,NFI,5,0),1,0)*Table_NFI[[#This Row],[Sanitary Kit]],Table_NFI[Sanitary Kit])</f>
        <v>0</v>
      </c>
      <c r="Z744" s="436">
        <f>IF(NFI_Expiration=1,IF($A744&lt;VLOOKUP(K$5,NFI,5,0),1,0)*Table_NFI[[#This Row],[Mosquito net]],Table_NFI[Mosquito net])</f>
        <v>0</v>
      </c>
      <c r="AA744" s="436">
        <f>IF(NFI_Expiration=1,IF($A744&lt;VLOOKUP(L$5,NFI,5,0),1,0)*Table_NFI[[#This Row],[Tarpaulin]],Table_NFI[[#This Row],[Tarpaulin]])</f>
        <v>0</v>
      </c>
      <c r="AB744" s="436">
        <f>IF(NFI_Expiration=1,IF($A744&lt;VLOOKUP(M$5,NFI,5,0),1,0)*Table_NFI[[#This Row],[Blanket]],Table_NFI[[#This Row],[Blanket]])</f>
        <v>0</v>
      </c>
      <c r="AC744" s="436">
        <f>IF(NFI_Expiration=1,IF($A744&lt;VLOOKUP(N$5,NFI,5,0),1,0)*Table_NFI[[#This Row],[Kitchen Set]],Table_NFI[Kitchen Set])</f>
        <v>0</v>
      </c>
      <c r="AD744" s="436">
        <f>IF(NFI_Expiration=1,IF($A744&lt;VLOOKUP(O$5,NFI,5,0),1,0)*Table_NFI[[#This Row],[Clothes Kit]],Table_NFI[Clothes Kit])</f>
        <v>0</v>
      </c>
      <c r="AE744" s="436">
        <f>IF(NFI_Expiration=1,IF($A744&lt;VLOOKUP(P$5,NFI,5,0),1,0)*Table_NFI[[#This Row],[Plastic Bucket]],Table_NFI[Plastic Bucket])</f>
        <v>0</v>
      </c>
      <c r="AF744" s="436">
        <f>IF(NFI_Expiration=1,IF($A744&lt;VLOOKUP(Q$5,NFI,5,0),1,0)*Table_NFI[[#This Row],[Plastic Mat]],Table_NFI[Plastic Mat])*IF(Table_NFI[[#This Row],[Distribution Date]]&gt;"2014-04-01",1,2.5)</f>
        <v>0</v>
      </c>
      <c r="AG744" s="436">
        <f>IF(NFI_Expiration=1,IF($A744&lt;VLOOKUP(R$5,NFI,5,0),1,0)*Table_NFI[[#This Row],[Winter Clothes Adult]],Table_NFI[Winter Clothes Adult])</f>
        <v>0</v>
      </c>
      <c r="AH744" s="436">
        <f>IF(NFI_Expiration=1,IF($A744&lt;VLOOKUP(S$5,NFI,5,0),1,0)*Table_NFI[[#This Row],[Winter Clothes Children]],Table_NFI[Winter Clothes Children])</f>
        <v>0</v>
      </c>
      <c r="AI744" s="436">
        <f>IF(NFI_Expiration=1,IF($A744&lt;VLOOKUP(T$5,NFI,5,0),1,0)*Table_NFI[[#This Row],[Winter Items Other]],Table_NFI[Winter Items Other])</f>
        <v>0</v>
      </c>
      <c r="AJ744" s="436">
        <f>IF(NFI_Expiration=1,IF($A744&lt;VLOOKUP(M$5,NFI,5,0),1,0)*Table_NFI[[#This Row],[Winter Blanket]],Table_NFI[[#This Row],[Winter Blanket]])</f>
        <v>0</v>
      </c>
      <c r="AK744" s="436">
        <f>IF(Table_NFI[[#This Row],[Winter Clothes Adult]]+Table_NFI[[#This Row],[Winter Clothes Children]]+Table_NFI[[#This Row],[Winter Items Other]]+Table_NFI[[#This Row],[Winter Blanket]]&gt;0,1,0)</f>
        <v>0</v>
      </c>
      <c r="AL744" s="439">
        <f>IF(NFI_Expiration=1,IF($A744&lt;VLOOKUP(V$5,NFI,5,0),1,0)*Table_NFI[[#This Row],[Jerry Can]],Table_NFI[Jerry Can])</f>
        <v>0</v>
      </c>
      <c r="AM744" s="781" t="str">
        <f>IFERROR(VLOOKUP(Table_NFI[[#This Row],[Camp Name]],CL,2,0),"")</f>
        <v>MMR001CMP066</v>
      </c>
      <c r="AN744" s="782">
        <f ca="1">IF(Table_NFI[[#This Row],[Pcode]]="","",IF(OFFSET(CampList[Opening Date],MATCH(Table_NFI[[#This Row],[Pcode]],CampList[CP_Pcode],0)-1,0,1,1)&gt;=NFI_Monitor_Date,1,0))</f>
        <v>0</v>
      </c>
      <c r="AO744" s="781" t="str">
        <f>IFERROR(VLOOKUP(Table_NFI[[#This Row],[Camp Name]],CL,3,0),"")</f>
        <v>Open</v>
      </c>
      <c r="AP744" s="436" t="str">
        <f ca="1">IF(Table_NFI[[#This Row],[Pcode]]="","",OFFSET(CampList[Priority],MATCH(Table_NFI[[#This Row],[Pcode]],CampList[CP_Pcode],0)-1,0,1,1))</f>
        <v>P4</v>
      </c>
      <c r="AQ744" s="438">
        <f>IFERROR(Table_NFI[[#This Row],[Kitchen Set]]/VLOOKUP(Table_NFI[[#This Row],[Camp Name]],CL,4,0),"")</f>
        <v>0.33031674208144796</v>
      </c>
      <c r="AR744" s="779" t="s">
        <v>1099</v>
      </c>
      <c r="AS744" s="783"/>
    </row>
    <row r="745" spans="1:45" x14ac:dyDescent="0.25">
      <c r="A745" s="455">
        <f t="shared" si="11"/>
        <v>39.733333333333334</v>
      </c>
      <c r="B745" s="778">
        <v>41117</v>
      </c>
      <c r="C745" s="779" t="s">
        <v>454</v>
      </c>
      <c r="D745" s="780" t="s">
        <v>454</v>
      </c>
      <c r="E745" s="779" t="s">
        <v>380</v>
      </c>
      <c r="F745" s="435" t="s">
        <v>173</v>
      </c>
      <c r="G745" s="435" t="s">
        <v>174</v>
      </c>
      <c r="H745" s="436"/>
      <c r="I745" s="436"/>
      <c r="J745" s="436"/>
      <c r="K745" s="436">
        <v>35</v>
      </c>
      <c r="L745" s="437">
        <v>14</v>
      </c>
      <c r="M745" s="437">
        <v>35</v>
      </c>
      <c r="N745" s="437">
        <v>14</v>
      </c>
      <c r="O745" s="437">
        <v>14</v>
      </c>
      <c r="P745" s="437">
        <v>14</v>
      </c>
      <c r="Q745" s="437">
        <v>14</v>
      </c>
      <c r="R745" s="436"/>
      <c r="S745" s="436"/>
      <c r="T745" s="436"/>
      <c r="U745" s="436"/>
      <c r="V745" s="436"/>
      <c r="W745" s="436">
        <f>IF(NFI_Expiration=1,IF($A745&lt;VLOOKUP(H$5,NFI,5,0),1,0)*Table_NFI[[#This Row],[Hygiene Kit]],Table_NFI[Hygiene Kit])</f>
        <v>0</v>
      </c>
      <c r="X745" s="436">
        <f>IF(NFI_Expiration=1,IF($A745&lt;VLOOKUP(I$5,NFI,5,0),1,0)*Table_NFI[[#This Row],[NFI Core Kit]],Table_NFI[NFI Core Kit])</f>
        <v>0</v>
      </c>
      <c r="Y745" s="436">
        <f>IF(NFI_Expiration=1,IF($A745&lt;VLOOKUP(J$5,NFI,5,0),1,0)*Table_NFI[[#This Row],[Sanitary Kit]],Table_NFI[Sanitary Kit])</f>
        <v>0</v>
      </c>
      <c r="Z745" s="436">
        <f>IF(NFI_Expiration=1,IF($A745&lt;VLOOKUP(K$5,NFI,5,0),1,0)*Table_NFI[[#This Row],[Mosquito net]],Table_NFI[Mosquito net])</f>
        <v>0</v>
      </c>
      <c r="AA745" s="436">
        <f>IF(NFI_Expiration=1,IF($A745&lt;VLOOKUP(L$5,NFI,5,0),1,0)*Table_NFI[[#This Row],[Tarpaulin]],Table_NFI[[#This Row],[Tarpaulin]])</f>
        <v>0</v>
      </c>
      <c r="AB745" s="436">
        <f>IF(NFI_Expiration=1,IF($A745&lt;VLOOKUP(M$5,NFI,5,0),1,0)*Table_NFI[[#This Row],[Blanket]],Table_NFI[[#This Row],[Blanket]])</f>
        <v>0</v>
      </c>
      <c r="AC745" s="436">
        <f>IF(NFI_Expiration=1,IF($A745&lt;VLOOKUP(N$5,NFI,5,0),1,0)*Table_NFI[[#This Row],[Kitchen Set]],Table_NFI[Kitchen Set])</f>
        <v>0</v>
      </c>
      <c r="AD745" s="436">
        <f>IF(NFI_Expiration=1,IF($A745&lt;VLOOKUP(O$5,NFI,5,0),1,0)*Table_NFI[[#This Row],[Clothes Kit]],Table_NFI[Clothes Kit])</f>
        <v>0</v>
      </c>
      <c r="AE745" s="436">
        <f>IF(NFI_Expiration=1,IF($A745&lt;VLOOKUP(P$5,NFI,5,0),1,0)*Table_NFI[[#This Row],[Plastic Bucket]],Table_NFI[Plastic Bucket])</f>
        <v>0</v>
      </c>
      <c r="AF745" s="436">
        <f>IF(NFI_Expiration=1,IF($A745&lt;VLOOKUP(Q$5,NFI,5,0),1,0)*Table_NFI[[#This Row],[Plastic Mat]],Table_NFI[Plastic Mat])*IF(Table_NFI[[#This Row],[Distribution Date]]&gt;"2014-04-01",1,2.5)</f>
        <v>0</v>
      </c>
      <c r="AG745" s="436">
        <f>IF(NFI_Expiration=1,IF($A745&lt;VLOOKUP(R$5,NFI,5,0),1,0)*Table_NFI[[#This Row],[Winter Clothes Adult]],Table_NFI[Winter Clothes Adult])</f>
        <v>0</v>
      </c>
      <c r="AH745" s="436">
        <f>IF(NFI_Expiration=1,IF($A745&lt;VLOOKUP(S$5,NFI,5,0),1,0)*Table_NFI[[#This Row],[Winter Clothes Children]],Table_NFI[Winter Clothes Children])</f>
        <v>0</v>
      </c>
      <c r="AI745" s="436">
        <f>IF(NFI_Expiration=1,IF($A745&lt;VLOOKUP(T$5,NFI,5,0),1,0)*Table_NFI[[#This Row],[Winter Items Other]],Table_NFI[Winter Items Other])</f>
        <v>0</v>
      </c>
      <c r="AJ745" s="436">
        <f>IF(NFI_Expiration=1,IF($A745&lt;VLOOKUP(M$5,NFI,5,0),1,0)*Table_NFI[[#This Row],[Winter Blanket]],Table_NFI[[#This Row],[Winter Blanket]])</f>
        <v>0</v>
      </c>
      <c r="AK745" s="436">
        <f>IF(Table_NFI[[#This Row],[Winter Clothes Adult]]+Table_NFI[[#This Row],[Winter Clothes Children]]+Table_NFI[[#This Row],[Winter Items Other]]+Table_NFI[[#This Row],[Winter Blanket]]&gt;0,1,0)</f>
        <v>0</v>
      </c>
      <c r="AL745" s="439">
        <f>IF(NFI_Expiration=1,IF($A745&lt;VLOOKUP(V$5,NFI,5,0),1,0)*Table_NFI[[#This Row],[Jerry Can]],Table_NFI[Jerry Can])</f>
        <v>0</v>
      </c>
      <c r="AM745" s="781" t="str">
        <f>IFERROR(VLOOKUP(Table_NFI[[#This Row],[Camp Name]],CL,2,0),"")</f>
        <v>MMR001CMP078</v>
      </c>
      <c r="AN745" s="782">
        <f ca="1">IF(Table_NFI[[#This Row],[Pcode]]="","",IF(OFFSET(CampList[Opening Date],MATCH(Table_NFI[[#This Row],[Pcode]],CampList[CP_Pcode],0)-1,0,1,1)&gt;=NFI_Monitor_Date,1,0))</f>
        <v>0</v>
      </c>
      <c r="AO745" s="781" t="str">
        <f>IFERROR(VLOOKUP(Table_NFI[[#This Row],[Camp Name]],CL,3,0),"")</f>
        <v>Open</v>
      </c>
      <c r="AP745" s="436" t="str">
        <f ca="1">IF(Table_NFI[[#This Row],[Pcode]]="","",OFFSET(CampList[Priority],MATCH(Table_NFI[[#This Row],[Pcode]],CampList[CP_Pcode],0)-1,0,1,1))</f>
        <v>P4</v>
      </c>
      <c r="AQ745" s="438">
        <f>IFERROR(Table_NFI[[#This Row],[Kitchen Set]]/VLOOKUP(Table_NFI[[#This Row],[Camp Name]],CL,4,0),"")</f>
        <v>0.875</v>
      </c>
      <c r="AR745" s="779" t="s">
        <v>1099</v>
      </c>
      <c r="AS745" s="783"/>
    </row>
    <row r="746" spans="1:45" x14ac:dyDescent="0.25">
      <c r="A746" s="455">
        <f t="shared" si="11"/>
        <v>39.733333333333334</v>
      </c>
      <c r="B746" s="778">
        <v>41117</v>
      </c>
      <c r="C746" s="779" t="s">
        <v>454</v>
      </c>
      <c r="D746" s="780" t="s">
        <v>454</v>
      </c>
      <c r="E746" s="779" t="s">
        <v>380</v>
      </c>
      <c r="F746" s="435" t="s">
        <v>180</v>
      </c>
      <c r="G746" s="435" t="s">
        <v>181</v>
      </c>
      <c r="H746" s="436"/>
      <c r="I746" s="436"/>
      <c r="J746" s="436"/>
      <c r="K746" s="436">
        <v>0</v>
      </c>
      <c r="L746" s="437">
        <v>8</v>
      </c>
      <c r="M746" s="437">
        <v>0</v>
      </c>
      <c r="N746" s="437">
        <v>8</v>
      </c>
      <c r="O746" s="437">
        <v>8</v>
      </c>
      <c r="P746" s="437">
        <v>8</v>
      </c>
      <c r="Q746" s="437">
        <v>8</v>
      </c>
      <c r="R746" s="436"/>
      <c r="S746" s="436"/>
      <c r="T746" s="436"/>
      <c r="U746" s="436"/>
      <c r="V746" s="436"/>
      <c r="W746" s="436">
        <f>IF(NFI_Expiration=1,IF($A746&lt;VLOOKUP(H$5,NFI,5,0),1,0)*Table_NFI[[#This Row],[Hygiene Kit]],Table_NFI[Hygiene Kit])</f>
        <v>0</v>
      </c>
      <c r="X746" s="436">
        <f>IF(NFI_Expiration=1,IF($A746&lt;VLOOKUP(I$5,NFI,5,0),1,0)*Table_NFI[[#This Row],[NFI Core Kit]],Table_NFI[NFI Core Kit])</f>
        <v>0</v>
      </c>
      <c r="Y746" s="436">
        <f>IF(NFI_Expiration=1,IF($A746&lt;VLOOKUP(J$5,NFI,5,0),1,0)*Table_NFI[[#This Row],[Sanitary Kit]],Table_NFI[Sanitary Kit])</f>
        <v>0</v>
      </c>
      <c r="Z746" s="436">
        <f>IF(NFI_Expiration=1,IF($A746&lt;VLOOKUP(K$5,NFI,5,0),1,0)*Table_NFI[[#This Row],[Mosquito net]],Table_NFI[Mosquito net])</f>
        <v>0</v>
      </c>
      <c r="AA746" s="436">
        <f>IF(NFI_Expiration=1,IF($A746&lt;VLOOKUP(L$5,NFI,5,0),1,0)*Table_NFI[[#This Row],[Tarpaulin]],Table_NFI[[#This Row],[Tarpaulin]])</f>
        <v>0</v>
      </c>
      <c r="AB746" s="436">
        <f>IF(NFI_Expiration=1,IF($A746&lt;VLOOKUP(M$5,NFI,5,0),1,0)*Table_NFI[[#This Row],[Blanket]],Table_NFI[[#This Row],[Blanket]])</f>
        <v>0</v>
      </c>
      <c r="AC746" s="436">
        <f>IF(NFI_Expiration=1,IF($A746&lt;VLOOKUP(N$5,NFI,5,0),1,0)*Table_NFI[[#This Row],[Kitchen Set]],Table_NFI[Kitchen Set])</f>
        <v>0</v>
      </c>
      <c r="AD746" s="436">
        <f>IF(NFI_Expiration=1,IF($A746&lt;VLOOKUP(O$5,NFI,5,0),1,0)*Table_NFI[[#This Row],[Clothes Kit]],Table_NFI[Clothes Kit])</f>
        <v>0</v>
      </c>
      <c r="AE746" s="436">
        <f>IF(NFI_Expiration=1,IF($A746&lt;VLOOKUP(P$5,NFI,5,0),1,0)*Table_NFI[[#This Row],[Plastic Bucket]],Table_NFI[Plastic Bucket])</f>
        <v>0</v>
      </c>
      <c r="AF746" s="436">
        <f>IF(NFI_Expiration=1,IF($A746&lt;VLOOKUP(Q$5,NFI,5,0),1,0)*Table_NFI[[#This Row],[Plastic Mat]],Table_NFI[Plastic Mat])*IF(Table_NFI[[#This Row],[Distribution Date]]&gt;"2014-04-01",1,2.5)</f>
        <v>0</v>
      </c>
      <c r="AG746" s="436">
        <f>IF(NFI_Expiration=1,IF($A746&lt;VLOOKUP(R$5,NFI,5,0),1,0)*Table_NFI[[#This Row],[Winter Clothes Adult]],Table_NFI[Winter Clothes Adult])</f>
        <v>0</v>
      </c>
      <c r="AH746" s="436">
        <f>IF(NFI_Expiration=1,IF($A746&lt;VLOOKUP(S$5,NFI,5,0),1,0)*Table_NFI[[#This Row],[Winter Clothes Children]],Table_NFI[Winter Clothes Children])</f>
        <v>0</v>
      </c>
      <c r="AI746" s="436">
        <f>IF(NFI_Expiration=1,IF($A746&lt;VLOOKUP(T$5,NFI,5,0),1,0)*Table_NFI[[#This Row],[Winter Items Other]],Table_NFI[Winter Items Other])</f>
        <v>0</v>
      </c>
      <c r="AJ746" s="436">
        <f>IF(NFI_Expiration=1,IF($A746&lt;VLOOKUP(M$5,NFI,5,0),1,0)*Table_NFI[[#This Row],[Winter Blanket]],Table_NFI[[#This Row],[Winter Blanket]])</f>
        <v>0</v>
      </c>
      <c r="AK746" s="436">
        <f>IF(Table_NFI[[#This Row],[Winter Clothes Adult]]+Table_NFI[[#This Row],[Winter Clothes Children]]+Table_NFI[[#This Row],[Winter Items Other]]+Table_NFI[[#This Row],[Winter Blanket]]&gt;0,1,0)</f>
        <v>0</v>
      </c>
      <c r="AL746" s="439">
        <f>IF(NFI_Expiration=1,IF($A746&lt;VLOOKUP(V$5,NFI,5,0),1,0)*Table_NFI[[#This Row],[Jerry Can]],Table_NFI[Jerry Can])</f>
        <v>0</v>
      </c>
      <c r="AM746" s="781" t="str">
        <f>IFERROR(VLOOKUP(Table_NFI[[#This Row],[Camp Name]],CL,2,0),"")</f>
        <v>MMR001CMP080</v>
      </c>
      <c r="AN746" s="782">
        <f ca="1">IF(Table_NFI[[#This Row],[Pcode]]="","",IF(OFFSET(CampList[Opening Date],MATCH(Table_NFI[[#This Row],[Pcode]],CampList[CP_Pcode],0)-1,0,1,1)&gt;=NFI_Monitor_Date,1,0))</f>
        <v>0</v>
      </c>
      <c r="AO746" s="781" t="str">
        <f>IFERROR(VLOOKUP(Table_NFI[[#This Row],[Camp Name]],CL,3,0),"")</f>
        <v>Open</v>
      </c>
      <c r="AP746" s="436" t="str">
        <f ca="1">IF(Table_NFI[[#This Row],[Pcode]]="","",OFFSET(CampList[Priority],MATCH(Table_NFI[[#This Row],[Pcode]],CampList[CP_Pcode],0)-1,0,1,1))</f>
        <v>P4</v>
      </c>
      <c r="AQ746" s="438">
        <f>IFERROR(Table_NFI[[#This Row],[Kitchen Set]]/VLOOKUP(Table_NFI[[#This Row],[Camp Name]],CL,4,0),"")</f>
        <v>0.66666666666666663</v>
      </c>
      <c r="AR746" s="779" t="s">
        <v>1099</v>
      </c>
      <c r="AS746" s="783"/>
    </row>
    <row r="747" spans="1:45" x14ac:dyDescent="0.25">
      <c r="A747" s="455">
        <f t="shared" si="11"/>
        <v>39.766666666666666</v>
      </c>
      <c r="B747" s="778">
        <v>41116</v>
      </c>
      <c r="C747" s="779" t="s">
        <v>454</v>
      </c>
      <c r="D747" s="779" t="s">
        <v>454</v>
      </c>
      <c r="E747" s="779" t="s">
        <v>380</v>
      </c>
      <c r="F747" s="779" t="s">
        <v>173</v>
      </c>
      <c r="G747" s="435" t="s">
        <v>176</v>
      </c>
      <c r="H747" s="436"/>
      <c r="I747" s="436"/>
      <c r="J747" s="436"/>
      <c r="K747" s="436">
        <v>31</v>
      </c>
      <c r="L747" s="437">
        <v>15</v>
      </c>
      <c r="M747" s="437">
        <v>31</v>
      </c>
      <c r="N747" s="437">
        <v>15</v>
      </c>
      <c r="O747" s="437">
        <v>16</v>
      </c>
      <c r="P747" s="439">
        <v>16</v>
      </c>
      <c r="Q747" s="439">
        <v>16</v>
      </c>
      <c r="R747" s="436"/>
      <c r="S747" s="436"/>
      <c r="T747" s="436"/>
      <c r="U747" s="436"/>
      <c r="V747" s="436"/>
      <c r="W747" s="436">
        <f>IF(NFI_Expiration=1,IF($A747&lt;VLOOKUP(H$5,NFI,5,0),1,0)*Table_NFI[[#This Row],[Hygiene Kit]],Table_NFI[Hygiene Kit])</f>
        <v>0</v>
      </c>
      <c r="X747" s="436">
        <f>IF(NFI_Expiration=1,IF($A747&lt;VLOOKUP(I$5,NFI,5,0),1,0)*Table_NFI[[#This Row],[NFI Core Kit]],Table_NFI[NFI Core Kit])</f>
        <v>0</v>
      </c>
      <c r="Y747" s="436">
        <f>IF(NFI_Expiration=1,IF($A747&lt;VLOOKUP(J$5,NFI,5,0),1,0)*Table_NFI[[#This Row],[Sanitary Kit]],Table_NFI[Sanitary Kit])</f>
        <v>0</v>
      </c>
      <c r="Z747" s="436">
        <f>IF(NFI_Expiration=1,IF($A747&lt;VLOOKUP(K$5,NFI,5,0),1,0)*Table_NFI[[#This Row],[Mosquito net]],Table_NFI[Mosquito net])</f>
        <v>0</v>
      </c>
      <c r="AA747" s="436">
        <f>IF(NFI_Expiration=1,IF($A747&lt;VLOOKUP(L$5,NFI,5,0),1,0)*Table_NFI[[#This Row],[Tarpaulin]],Table_NFI[[#This Row],[Tarpaulin]])</f>
        <v>0</v>
      </c>
      <c r="AB747" s="436">
        <f>IF(NFI_Expiration=1,IF($A747&lt;VLOOKUP(M$5,NFI,5,0),1,0)*Table_NFI[[#This Row],[Blanket]],Table_NFI[[#This Row],[Blanket]])</f>
        <v>0</v>
      </c>
      <c r="AC747" s="436">
        <f>IF(NFI_Expiration=1,IF($A747&lt;VLOOKUP(N$5,NFI,5,0),1,0)*Table_NFI[[#This Row],[Kitchen Set]],Table_NFI[Kitchen Set])</f>
        <v>0</v>
      </c>
      <c r="AD747" s="436">
        <f>IF(NFI_Expiration=1,IF($A747&lt;VLOOKUP(O$5,NFI,5,0),1,0)*Table_NFI[[#This Row],[Clothes Kit]],Table_NFI[Clothes Kit])</f>
        <v>0</v>
      </c>
      <c r="AE747" s="436">
        <f>IF(NFI_Expiration=1,IF($A747&lt;VLOOKUP(P$5,NFI,5,0),1,0)*Table_NFI[[#This Row],[Plastic Bucket]],Table_NFI[Plastic Bucket])</f>
        <v>0</v>
      </c>
      <c r="AF747" s="436">
        <f>IF(NFI_Expiration=1,IF($A747&lt;VLOOKUP(Q$5,NFI,5,0),1,0)*Table_NFI[[#This Row],[Plastic Mat]],Table_NFI[Plastic Mat])*IF(Table_NFI[[#This Row],[Distribution Date]]&gt;"2014-04-01",1,2.5)</f>
        <v>0</v>
      </c>
      <c r="AG747" s="436">
        <f>IF(NFI_Expiration=1,IF($A747&lt;VLOOKUP(R$5,NFI,5,0),1,0)*Table_NFI[[#This Row],[Winter Clothes Adult]],Table_NFI[Winter Clothes Adult])</f>
        <v>0</v>
      </c>
      <c r="AH747" s="436">
        <f>IF(NFI_Expiration=1,IF($A747&lt;VLOOKUP(S$5,NFI,5,0),1,0)*Table_NFI[[#This Row],[Winter Clothes Children]],Table_NFI[Winter Clothes Children])</f>
        <v>0</v>
      </c>
      <c r="AI747" s="436">
        <f>IF(NFI_Expiration=1,IF($A747&lt;VLOOKUP(T$5,NFI,5,0),1,0)*Table_NFI[[#This Row],[Winter Items Other]],Table_NFI[Winter Items Other])</f>
        <v>0</v>
      </c>
      <c r="AJ747" s="436">
        <f>IF(NFI_Expiration=1,IF($A747&lt;VLOOKUP(M$5,NFI,5,0),1,0)*Table_NFI[[#This Row],[Winter Blanket]],Table_NFI[[#This Row],[Winter Blanket]])</f>
        <v>0</v>
      </c>
      <c r="AK747" s="436">
        <f>IF(Table_NFI[[#This Row],[Winter Clothes Adult]]+Table_NFI[[#This Row],[Winter Clothes Children]]+Table_NFI[[#This Row],[Winter Items Other]]+Table_NFI[[#This Row],[Winter Blanket]]&gt;0,1,0)</f>
        <v>0</v>
      </c>
      <c r="AL747" s="439">
        <f>IF(NFI_Expiration=1,IF($A747&lt;VLOOKUP(V$5,NFI,5,0),1,0)*Table_NFI[[#This Row],[Jerry Can]],Table_NFI[Jerry Can])</f>
        <v>0</v>
      </c>
      <c r="AM747" s="781" t="str">
        <f>IFERROR(VLOOKUP(Table_NFI[[#This Row],[Camp Name]],CL,2,0),"")</f>
        <v>MMR001CMP077</v>
      </c>
      <c r="AN747" s="782">
        <f ca="1">IF(Table_NFI[[#This Row],[Pcode]]="","",IF(OFFSET(CampList[Opening Date],MATCH(Table_NFI[[#This Row],[Pcode]],CampList[CP_Pcode],0)-1,0,1,1)&gt;=NFI_Monitor_Date,1,0))</f>
        <v>0</v>
      </c>
      <c r="AO747" s="781" t="str">
        <f>IFERROR(VLOOKUP(Table_NFI[[#This Row],[Camp Name]],CL,3,0),"")</f>
        <v>Open</v>
      </c>
      <c r="AP747" s="436" t="str">
        <f ca="1">IF(Table_NFI[[#This Row],[Pcode]]="","",OFFSET(CampList[Priority],MATCH(Table_NFI[[#This Row],[Pcode]],CampList[CP_Pcode],0)-1,0,1,1))</f>
        <v>P4</v>
      </c>
      <c r="AQ747" s="438">
        <f>IFERROR(Table_NFI[[#This Row],[Kitchen Set]]/VLOOKUP(Table_NFI[[#This Row],[Camp Name]],CL,4,0),"")</f>
        <v>0.83333333333333337</v>
      </c>
      <c r="AR747" s="779" t="s">
        <v>1099</v>
      </c>
      <c r="AS747" s="783"/>
    </row>
    <row r="748" spans="1:45" x14ac:dyDescent="0.25">
      <c r="A748" s="455">
        <f t="shared" si="11"/>
        <v>39.766666666666666</v>
      </c>
      <c r="B748" s="778">
        <v>41116</v>
      </c>
      <c r="C748" s="779" t="s">
        <v>454</v>
      </c>
      <c r="D748" s="780" t="s">
        <v>454</v>
      </c>
      <c r="E748" s="779" t="s">
        <v>380</v>
      </c>
      <c r="F748" s="435" t="s">
        <v>173</v>
      </c>
      <c r="G748" s="435" t="s">
        <v>178</v>
      </c>
      <c r="H748" s="436"/>
      <c r="I748" s="436"/>
      <c r="J748" s="436"/>
      <c r="K748" s="436">
        <v>21</v>
      </c>
      <c r="L748" s="437">
        <v>17</v>
      </c>
      <c r="M748" s="437">
        <v>21</v>
      </c>
      <c r="N748" s="437">
        <v>17</v>
      </c>
      <c r="O748" s="437">
        <v>17</v>
      </c>
      <c r="P748" s="437">
        <v>17</v>
      </c>
      <c r="Q748" s="437">
        <v>17</v>
      </c>
      <c r="R748" s="436"/>
      <c r="S748" s="436"/>
      <c r="T748" s="436"/>
      <c r="U748" s="436"/>
      <c r="V748" s="436"/>
      <c r="W748" s="436">
        <f>IF(NFI_Expiration=1,IF($A748&lt;VLOOKUP(H$5,NFI,5,0),1,0)*Table_NFI[[#This Row],[Hygiene Kit]],Table_NFI[Hygiene Kit])</f>
        <v>0</v>
      </c>
      <c r="X748" s="436">
        <f>IF(NFI_Expiration=1,IF($A748&lt;VLOOKUP(I$5,NFI,5,0),1,0)*Table_NFI[[#This Row],[NFI Core Kit]],Table_NFI[NFI Core Kit])</f>
        <v>0</v>
      </c>
      <c r="Y748" s="436">
        <f>IF(NFI_Expiration=1,IF($A748&lt;VLOOKUP(J$5,NFI,5,0),1,0)*Table_NFI[[#This Row],[Sanitary Kit]],Table_NFI[Sanitary Kit])</f>
        <v>0</v>
      </c>
      <c r="Z748" s="436">
        <f>IF(NFI_Expiration=1,IF($A748&lt;VLOOKUP(K$5,NFI,5,0),1,0)*Table_NFI[[#This Row],[Mosquito net]],Table_NFI[Mosquito net])</f>
        <v>0</v>
      </c>
      <c r="AA748" s="436">
        <f>IF(NFI_Expiration=1,IF($A748&lt;VLOOKUP(L$5,NFI,5,0),1,0)*Table_NFI[[#This Row],[Tarpaulin]],Table_NFI[[#This Row],[Tarpaulin]])</f>
        <v>0</v>
      </c>
      <c r="AB748" s="436">
        <f>IF(NFI_Expiration=1,IF($A748&lt;VLOOKUP(M$5,NFI,5,0),1,0)*Table_NFI[[#This Row],[Blanket]],Table_NFI[[#This Row],[Blanket]])</f>
        <v>0</v>
      </c>
      <c r="AC748" s="436">
        <f>IF(NFI_Expiration=1,IF($A748&lt;VLOOKUP(N$5,NFI,5,0),1,0)*Table_NFI[[#This Row],[Kitchen Set]],Table_NFI[Kitchen Set])</f>
        <v>0</v>
      </c>
      <c r="AD748" s="436">
        <f>IF(NFI_Expiration=1,IF($A748&lt;VLOOKUP(O$5,NFI,5,0),1,0)*Table_NFI[[#This Row],[Clothes Kit]],Table_NFI[Clothes Kit])</f>
        <v>0</v>
      </c>
      <c r="AE748" s="436">
        <f>IF(NFI_Expiration=1,IF($A748&lt;VLOOKUP(P$5,NFI,5,0),1,0)*Table_NFI[[#This Row],[Plastic Bucket]],Table_NFI[Plastic Bucket])</f>
        <v>0</v>
      </c>
      <c r="AF748" s="436">
        <f>IF(NFI_Expiration=1,IF($A748&lt;VLOOKUP(Q$5,NFI,5,0),1,0)*Table_NFI[[#This Row],[Plastic Mat]],Table_NFI[Plastic Mat])*IF(Table_NFI[[#This Row],[Distribution Date]]&gt;"2014-04-01",1,2.5)</f>
        <v>0</v>
      </c>
      <c r="AG748" s="436">
        <f>IF(NFI_Expiration=1,IF($A748&lt;VLOOKUP(R$5,NFI,5,0),1,0)*Table_NFI[[#This Row],[Winter Clothes Adult]],Table_NFI[Winter Clothes Adult])</f>
        <v>0</v>
      </c>
      <c r="AH748" s="436">
        <f>IF(NFI_Expiration=1,IF($A748&lt;VLOOKUP(S$5,NFI,5,0),1,0)*Table_NFI[[#This Row],[Winter Clothes Children]],Table_NFI[Winter Clothes Children])</f>
        <v>0</v>
      </c>
      <c r="AI748" s="436">
        <f>IF(NFI_Expiration=1,IF($A748&lt;VLOOKUP(T$5,NFI,5,0),1,0)*Table_NFI[[#This Row],[Winter Items Other]],Table_NFI[Winter Items Other])</f>
        <v>0</v>
      </c>
      <c r="AJ748" s="436">
        <f>IF(NFI_Expiration=1,IF($A748&lt;VLOOKUP(M$5,NFI,5,0),1,0)*Table_NFI[[#This Row],[Winter Blanket]],Table_NFI[[#This Row],[Winter Blanket]])</f>
        <v>0</v>
      </c>
      <c r="AK748" s="436">
        <f>IF(Table_NFI[[#This Row],[Winter Clothes Adult]]+Table_NFI[[#This Row],[Winter Clothes Children]]+Table_NFI[[#This Row],[Winter Items Other]]+Table_NFI[[#This Row],[Winter Blanket]]&gt;0,1,0)</f>
        <v>0</v>
      </c>
      <c r="AL748" s="439">
        <f>IF(NFI_Expiration=1,IF($A748&lt;VLOOKUP(V$5,NFI,5,0),1,0)*Table_NFI[[#This Row],[Jerry Can]],Table_NFI[Jerry Can])</f>
        <v>0</v>
      </c>
      <c r="AM748" s="781" t="str">
        <f>IFERROR(VLOOKUP(Table_NFI[[#This Row],[Camp Name]],CL,2,0),"")</f>
        <v>MMR001CMP079</v>
      </c>
      <c r="AN748" s="782">
        <f ca="1">IF(Table_NFI[[#This Row],[Pcode]]="","",IF(OFFSET(CampList[Opening Date],MATCH(Table_NFI[[#This Row],[Pcode]],CampList[CP_Pcode],0)-1,0,1,1)&gt;=NFI_Monitor_Date,1,0))</f>
        <v>0</v>
      </c>
      <c r="AO748" s="781" t="str">
        <f>IFERROR(VLOOKUP(Table_NFI[[#This Row],[Camp Name]],CL,3,0),"")</f>
        <v>Open</v>
      </c>
      <c r="AP748" s="436" t="str">
        <f ca="1">IF(Table_NFI[[#This Row],[Pcode]]="","",OFFSET(CampList[Priority],MATCH(Table_NFI[[#This Row],[Pcode]],CampList[CP_Pcode],0)-1,0,1,1))</f>
        <v>P4</v>
      </c>
      <c r="AQ748" s="438">
        <f>IFERROR(Table_NFI[[#This Row],[Kitchen Set]]/VLOOKUP(Table_NFI[[#This Row],[Camp Name]],CL,4,0),"")</f>
        <v>1.2142857142857142</v>
      </c>
      <c r="AR748" s="779" t="s">
        <v>1099</v>
      </c>
      <c r="AS748" s="783"/>
    </row>
    <row r="749" spans="1:45" x14ac:dyDescent="0.25">
      <c r="A749" s="455">
        <f t="shared" si="11"/>
        <v>39.866666666666667</v>
      </c>
      <c r="B749" s="778">
        <v>41113</v>
      </c>
      <c r="C749" s="779" t="s">
        <v>454</v>
      </c>
      <c r="D749" s="780" t="s">
        <v>454</v>
      </c>
      <c r="E749" s="779" t="s">
        <v>380</v>
      </c>
      <c r="F749" s="435" t="s">
        <v>237</v>
      </c>
      <c r="G749" s="435" t="s">
        <v>255</v>
      </c>
      <c r="H749" s="436"/>
      <c r="I749" s="436"/>
      <c r="J749" s="436"/>
      <c r="K749" s="436">
        <v>19</v>
      </c>
      <c r="L749" s="437">
        <v>10</v>
      </c>
      <c r="M749" s="437">
        <v>19</v>
      </c>
      <c r="N749" s="437">
        <v>10</v>
      </c>
      <c r="O749" s="437">
        <v>11</v>
      </c>
      <c r="P749" s="437">
        <v>11</v>
      </c>
      <c r="Q749" s="437">
        <v>11</v>
      </c>
      <c r="R749" s="436"/>
      <c r="S749" s="436"/>
      <c r="T749" s="436"/>
      <c r="U749" s="436"/>
      <c r="V749" s="436"/>
      <c r="W749" s="436">
        <f>IF(NFI_Expiration=1,IF($A749&lt;VLOOKUP(H$5,NFI,5,0),1,0)*Table_NFI[[#This Row],[Hygiene Kit]],Table_NFI[Hygiene Kit])</f>
        <v>0</v>
      </c>
      <c r="X749" s="436">
        <f>IF(NFI_Expiration=1,IF($A749&lt;VLOOKUP(I$5,NFI,5,0),1,0)*Table_NFI[[#This Row],[NFI Core Kit]],Table_NFI[NFI Core Kit])</f>
        <v>0</v>
      </c>
      <c r="Y749" s="436">
        <f>IF(NFI_Expiration=1,IF($A749&lt;VLOOKUP(J$5,NFI,5,0),1,0)*Table_NFI[[#This Row],[Sanitary Kit]],Table_NFI[Sanitary Kit])</f>
        <v>0</v>
      </c>
      <c r="Z749" s="436">
        <f>IF(NFI_Expiration=1,IF($A749&lt;VLOOKUP(K$5,NFI,5,0),1,0)*Table_NFI[[#This Row],[Mosquito net]],Table_NFI[Mosquito net])</f>
        <v>0</v>
      </c>
      <c r="AA749" s="436">
        <f>IF(NFI_Expiration=1,IF($A749&lt;VLOOKUP(L$5,NFI,5,0),1,0)*Table_NFI[[#This Row],[Tarpaulin]],Table_NFI[[#This Row],[Tarpaulin]])</f>
        <v>0</v>
      </c>
      <c r="AB749" s="436">
        <f>IF(NFI_Expiration=1,IF($A749&lt;VLOOKUP(M$5,NFI,5,0),1,0)*Table_NFI[[#This Row],[Blanket]],Table_NFI[[#This Row],[Blanket]])</f>
        <v>0</v>
      </c>
      <c r="AC749" s="436">
        <f>IF(NFI_Expiration=1,IF($A749&lt;VLOOKUP(N$5,NFI,5,0),1,0)*Table_NFI[[#This Row],[Kitchen Set]],Table_NFI[Kitchen Set])</f>
        <v>0</v>
      </c>
      <c r="AD749" s="436">
        <f>IF(NFI_Expiration=1,IF($A749&lt;VLOOKUP(O$5,NFI,5,0),1,0)*Table_NFI[[#This Row],[Clothes Kit]],Table_NFI[Clothes Kit])</f>
        <v>0</v>
      </c>
      <c r="AE749" s="436">
        <f>IF(NFI_Expiration=1,IF($A749&lt;VLOOKUP(P$5,NFI,5,0),1,0)*Table_NFI[[#This Row],[Plastic Bucket]],Table_NFI[Plastic Bucket])</f>
        <v>0</v>
      </c>
      <c r="AF749" s="436">
        <f>IF(NFI_Expiration=1,IF($A749&lt;VLOOKUP(Q$5,NFI,5,0),1,0)*Table_NFI[[#This Row],[Plastic Mat]],Table_NFI[Plastic Mat])*IF(Table_NFI[[#This Row],[Distribution Date]]&gt;"2014-04-01",1,2.5)</f>
        <v>0</v>
      </c>
      <c r="AG749" s="436">
        <f>IF(NFI_Expiration=1,IF($A749&lt;VLOOKUP(R$5,NFI,5,0),1,0)*Table_NFI[[#This Row],[Winter Clothes Adult]],Table_NFI[Winter Clothes Adult])</f>
        <v>0</v>
      </c>
      <c r="AH749" s="436">
        <f>IF(NFI_Expiration=1,IF($A749&lt;VLOOKUP(S$5,NFI,5,0),1,0)*Table_NFI[[#This Row],[Winter Clothes Children]],Table_NFI[Winter Clothes Children])</f>
        <v>0</v>
      </c>
      <c r="AI749" s="436">
        <f>IF(NFI_Expiration=1,IF($A749&lt;VLOOKUP(T$5,NFI,5,0),1,0)*Table_NFI[[#This Row],[Winter Items Other]],Table_NFI[Winter Items Other])</f>
        <v>0</v>
      </c>
      <c r="AJ749" s="436">
        <f>IF(NFI_Expiration=1,IF($A749&lt;VLOOKUP(M$5,NFI,5,0),1,0)*Table_NFI[[#This Row],[Winter Blanket]],Table_NFI[[#This Row],[Winter Blanket]])</f>
        <v>0</v>
      </c>
      <c r="AK749" s="436">
        <f>IF(Table_NFI[[#This Row],[Winter Clothes Adult]]+Table_NFI[[#This Row],[Winter Clothes Children]]+Table_NFI[[#This Row],[Winter Items Other]]+Table_NFI[[#This Row],[Winter Blanket]]&gt;0,1,0)</f>
        <v>0</v>
      </c>
      <c r="AL749" s="439">
        <f>IF(NFI_Expiration=1,IF($A749&lt;VLOOKUP(V$5,NFI,5,0),1,0)*Table_NFI[[#This Row],[Jerry Can]],Table_NFI[Jerry Can])</f>
        <v>0</v>
      </c>
      <c r="AM749" s="781" t="str">
        <f>IFERROR(VLOOKUP(Table_NFI[[#This Row],[Camp Name]],CL,2,0),"")</f>
        <v>MMR001CMP019</v>
      </c>
      <c r="AN749" s="782">
        <f ca="1">IF(Table_NFI[[#This Row],[Pcode]]="","",IF(OFFSET(CampList[Opening Date],MATCH(Table_NFI[[#This Row],[Pcode]],CampList[CP_Pcode],0)-1,0,1,1)&gt;=NFI_Monitor_Date,1,0))</f>
        <v>0</v>
      </c>
      <c r="AO749" s="781" t="str">
        <f>IFERROR(VLOOKUP(Table_NFI[[#This Row],[Camp Name]],CL,3,0),"")</f>
        <v>Open</v>
      </c>
      <c r="AP749" s="436" t="str">
        <f ca="1">IF(Table_NFI[[#This Row],[Pcode]]="","",OFFSET(CampList[Priority],MATCH(Table_NFI[[#This Row],[Pcode]],CampList[CP_Pcode],0)-1,0,1,1))</f>
        <v>P4</v>
      </c>
      <c r="AQ749" s="438">
        <f>IFERROR(Table_NFI[[#This Row],[Kitchen Set]]/VLOOKUP(Table_NFI[[#This Row],[Camp Name]],CL,4,0),"")</f>
        <v>9.1743119266055051E-2</v>
      </c>
      <c r="AR749" s="779" t="s">
        <v>1099</v>
      </c>
      <c r="AS749" s="783"/>
    </row>
    <row r="750" spans="1:45" x14ac:dyDescent="0.25">
      <c r="A750" s="455">
        <f t="shared" si="11"/>
        <v>39.866666666666667</v>
      </c>
      <c r="B750" s="778">
        <v>41113</v>
      </c>
      <c r="C750" s="779" t="s">
        <v>454</v>
      </c>
      <c r="D750" s="780" t="s">
        <v>454</v>
      </c>
      <c r="E750" s="779" t="s">
        <v>380</v>
      </c>
      <c r="F750" s="435" t="s">
        <v>237</v>
      </c>
      <c r="G750" s="435" t="s">
        <v>259</v>
      </c>
      <c r="H750" s="436"/>
      <c r="I750" s="436"/>
      <c r="J750" s="436"/>
      <c r="K750" s="436">
        <v>72</v>
      </c>
      <c r="L750" s="437">
        <v>39</v>
      </c>
      <c r="M750" s="437">
        <v>72</v>
      </c>
      <c r="N750" s="437">
        <v>39</v>
      </c>
      <c r="O750" s="437">
        <v>39</v>
      </c>
      <c r="P750" s="437">
        <v>39</v>
      </c>
      <c r="Q750" s="437">
        <v>39</v>
      </c>
      <c r="R750" s="436"/>
      <c r="S750" s="436"/>
      <c r="T750" s="436"/>
      <c r="U750" s="436"/>
      <c r="V750" s="436"/>
      <c r="W750" s="436">
        <f>IF(NFI_Expiration=1,IF($A750&lt;VLOOKUP(H$5,NFI,5,0),1,0)*Table_NFI[[#This Row],[Hygiene Kit]],Table_NFI[Hygiene Kit])</f>
        <v>0</v>
      </c>
      <c r="X750" s="436">
        <f>IF(NFI_Expiration=1,IF($A750&lt;VLOOKUP(I$5,NFI,5,0),1,0)*Table_NFI[[#This Row],[NFI Core Kit]],Table_NFI[NFI Core Kit])</f>
        <v>0</v>
      </c>
      <c r="Y750" s="436">
        <f>IF(NFI_Expiration=1,IF($A750&lt;VLOOKUP(J$5,NFI,5,0),1,0)*Table_NFI[[#This Row],[Sanitary Kit]],Table_NFI[Sanitary Kit])</f>
        <v>0</v>
      </c>
      <c r="Z750" s="436">
        <f>IF(NFI_Expiration=1,IF($A750&lt;VLOOKUP(K$5,NFI,5,0),1,0)*Table_NFI[[#This Row],[Mosquito net]],Table_NFI[Mosquito net])</f>
        <v>0</v>
      </c>
      <c r="AA750" s="436">
        <f>IF(NFI_Expiration=1,IF($A750&lt;VLOOKUP(L$5,NFI,5,0),1,0)*Table_NFI[[#This Row],[Tarpaulin]],Table_NFI[[#This Row],[Tarpaulin]])</f>
        <v>0</v>
      </c>
      <c r="AB750" s="436">
        <f>IF(NFI_Expiration=1,IF($A750&lt;VLOOKUP(M$5,NFI,5,0),1,0)*Table_NFI[[#This Row],[Blanket]],Table_NFI[[#This Row],[Blanket]])</f>
        <v>0</v>
      </c>
      <c r="AC750" s="436">
        <f>IF(NFI_Expiration=1,IF($A750&lt;VLOOKUP(N$5,NFI,5,0),1,0)*Table_NFI[[#This Row],[Kitchen Set]],Table_NFI[Kitchen Set])</f>
        <v>0</v>
      </c>
      <c r="AD750" s="436">
        <f>IF(NFI_Expiration=1,IF($A750&lt;VLOOKUP(O$5,NFI,5,0),1,0)*Table_NFI[[#This Row],[Clothes Kit]],Table_NFI[Clothes Kit])</f>
        <v>0</v>
      </c>
      <c r="AE750" s="436">
        <f>IF(NFI_Expiration=1,IF($A750&lt;VLOOKUP(P$5,NFI,5,0),1,0)*Table_NFI[[#This Row],[Plastic Bucket]],Table_NFI[Plastic Bucket])</f>
        <v>0</v>
      </c>
      <c r="AF750" s="436">
        <f>IF(NFI_Expiration=1,IF($A750&lt;VLOOKUP(Q$5,NFI,5,0),1,0)*Table_NFI[[#This Row],[Plastic Mat]],Table_NFI[Plastic Mat])*IF(Table_NFI[[#This Row],[Distribution Date]]&gt;"2014-04-01",1,2.5)</f>
        <v>0</v>
      </c>
      <c r="AG750" s="436">
        <f>IF(NFI_Expiration=1,IF($A750&lt;VLOOKUP(R$5,NFI,5,0),1,0)*Table_NFI[[#This Row],[Winter Clothes Adult]],Table_NFI[Winter Clothes Adult])</f>
        <v>0</v>
      </c>
      <c r="AH750" s="436">
        <f>IF(NFI_Expiration=1,IF($A750&lt;VLOOKUP(S$5,NFI,5,0),1,0)*Table_NFI[[#This Row],[Winter Clothes Children]],Table_NFI[Winter Clothes Children])</f>
        <v>0</v>
      </c>
      <c r="AI750" s="436">
        <f>IF(NFI_Expiration=1,IF($A750&lt;VLOOKUP(T$5,NFI,5,0),1,0)*Table_NFI[[#This Row],[Winter Items Other]],Table_NFI[Winter Items Other])</f>
        <v>0</v>
      </c>
      <c r="AJ750" s="436">
        <f>IF(NFI_Expiration=1,IF($A750&lt;VLOOKUP(M$5,NFI,5,0),1,0)*Table_NFI[[#This Row],[Winter Blanket]],Table_NFI[[#This Row],[Winter Blanket]])</f>
        <v>0</v>
      </c>
      <c r="AK750" s="436">
        <f>IF(Table_NFI[[#This Row],[Winter Clothes Adult]]+Table_NFI[[#This Row],[Winter Clothes Children]]+Table_NFI[[#This Row],[Winter Items Other]]+Table_NFI[[#This Row],[Winter Blanket]]&gt;0,1,0)</f>
        <v>0</v>
      </c>
      <c r="AL750" s="439">
        <f>IF(NFI_Expiration=1,IF($A750&lt;VLOOKUP(V$5,NFI,5,0),1,0)*Table_NFI[[#This Row],[Jerry Can]],Table_NFI[Jerry Can])</f>
        <v>0</v>
      </c>
      <c r="AM750" s="781" t="str">
        <f>IFERROR(VLOOKUP(Table_NFI[[#This Row],[Camp Name]],CL,2,0),"")</f>
        <v>MMR001CMP016</v>
      </c>
      <c r="AN750" s="782">
        <f ca="1">IF(Table_NFI[[#This Row],[Pcode]]="","",IF(OFFSET(CampList[Opening Date],MATCH(Table_NFI[[#This Row],[Pcode]],CampList[CP_Pcode],0)-1,0,1,1)&gt;=NFI_Monitor_Date,1,0))</f>
        <v>0</v>
      </c>
      <c r="AO750" s="781" t="str">
        <f>IFERROR(VLOOKUP(Table_NFI[[#This Row],[Camp Name]],CL,3,0),"")</f>
        <v>Open</v>
      </c>
      <c r="AP750" s="436" t="str">
        <f ca="1">IF(Table_NFI[[#This Row],[Pcode]]="","",OFFSET(CampList[Priority],MATCH(Table_NFI[[#This Row],[Pcode]],CampList[CP_Pcode],0)-1,0,1,1))</f>
        <v>P4</v>
      </c>
      <c r="AQ750" s="438">
        <f>IFERROR(Table_NFI[[#This Row],[Kitchen Set]]/VLOOKUP(Table_NFI[[#This Row],[Camp Name]],CL,4,0),"")</f>
        <v>0.54166666666666663</v>
      </c>
      <c r="AR750" s="779" t="s">
        <v>1099</v>
      </c>
      <c r="AS750" s="783"/>
    </row>
    <row r="751" spans="1:45" x14ac:dyDescent="0.25">
      <c r="A751" s="455">
        <f t="shared" si="11"/>
        <v>39.866666666666667</v>
      </c>
      <c r="B751" s="778">
        <v>41113</v>
      </c>
      <c r="C751" s="779" t="s">
        <v>454</v>
      </c>
      <c r="D751" s="780" t="s">
        <v>454</v>
      </c>
      <c r="E751" s="779" t="s">
        <v>380</v>
      </c>
      <c r="F751" s="435" t="s">
        <v>237</v>
      </c>
      <c r="G751" s="435" t="s">
        <v>279</v>
      </c>
      <c r="H751" s="436"/>
      <c r="I751" s="441"/>
      <c r="J751" s="434"/>
      <c r="K751" s="434">
        <v>30</v>
      </c>
      <c r="L751" s="434">
        <v>12</v>
      </c>
      <c r="M751" s="434">
        <v>30</v>
      </c>
      <c r="N751" s="434">
        <v>12</v>
      </c>
      <c r="O751" s="434">
        <v>14</v>
      </c>
      <c r="P751" s="437">
        <v>14</v>
      </c>
      <c r="Q751" s="437">
        <v>14</v>
      </c>
      <c r="R751" s="436"/>
      <c r="S751" s="436"/>
      <c r="T751" s="436"/>
      <c r="U751" s="436"/>
      <c r="V751" s="436"/>
      <c r="W751" s="436">
        <f>IF(NFI_Expiration=1,IF($A751&lt;VLOOKUP(H$5,NFI,5,0),1,0)*Table_NFI[[#This Row],[Hygiene Kit]],Table_NFI[Hygiene Kit])</f>
        <v>0</v>
      </c>
      <c r="X751" s="436">
        <f>IF(NFI_Expiration=1,IF($A751&lt;VLOOKUP(I$5,NFI,5,0),1,0)*Table_NFI[[#This Row],[NFI Core Kit]],Table_NFI[NFI Core Kit])</f>
        <v>0</v>
      </c>
      <c r="Y751" s="436">
        <f>IF(NFI_Expiration=1,IF($A751&lt;VLOOKUP(J$5,NFI,5,0),1,0)*Table_NFI[[#This Row],[Sanitary Kit]],Table_NFI[Sanitary Kit])</f>
        <v>0</v>
      </c>
      <c r="Z751" s="436">
        <f>IF(NFI_Expiration=1,IF($A751&lt;VLOOKUP(K$5,NFI,5,0),1,0)*Table_NFI[[#This Row],[Mosquito net]],Table_NFI[Mosquito net])</f>
        <v>0</v>
      </c>
      <c r="AA751" s="436">
        <f>IF(NFI_Expiration=1,IF($A751&lt;VLOOKUP(L$5,NFI,5,0),1,0)*Table_NFI[[#This Row],[Tarpaulin]],Table_NFI[[#This Row],[Tarpaulin]])</f>
        <v>0</v>
      </c>
      <c r="AB751" s="436">
        <f>IF(NFI_Expiration=1,IF($A751&lt;VLOOKUP(M$5,NFI,5,0),1,0)*Table_NFI[[#This Row],[Blanket]],Table_NFI[[#This Row],[Blanket]])</f>
        <v>0</v>
      </c>
      <c r="AC751" s="436">
        <f>IF(NFI_Expiration=1,IF($A751&lt;VLOOKUP(N$5,NFI,5,0),1,0)*Table_NFI[[#This Row],[Kitchen Set]],Table_NFI[Kitchen Set])</f>
        <v>0</v>
      </c>
      <c r="AD751" s="436">
        <f>IF(NFI_Expiration=1,IF($A751&lt;VLOOKUP(O$5,NFI,5,0),1,0)*Table_NFI[[#This Row],[Clothes Kit]],Table_NFI[Clothes Kit])</f>
        <v>0</v>
      </c>
      <c r="AE751" s="436">
        <f>IF(NFI_Expiration=1,IF($A751&lt;VLOOKUP(P$5,NFI,5,0),1,0)*Table_NFI[[#This Row],[Plastic Bucket]],Table_NFI[Plastic Bucket])</f>
        <v>0</v>
      </c>
      <c r="AF751" s="436">
        <f>IF(NFI_Expiration=1,IF($A751&lt;VLOOKUP(Q$5,NFI,5,0),1,0)*Table_NFI[[#This Row],[Plastic Mat]],Table_NFI[Plastic Mat])*IF(Table_NFI[[#This Row],[Distribution Date]]&gt;"2014-04-01",1,2.5)</f>
        <v>0</v>
      </c>
      <c r="AG751" s="436">
        <f>IF(NFI_Expiration=1,IF($A751&lt;VLOOKUP(R$5,NFI,5,0),1,0)*Table_NFI[[#This Row],[Winter Clothes Adult]],Table_NFI[Winter Clothes Adult])</f>
        <v>0</v>
      </c>
      <c r="AH751" s="436">
        <f>IF(NFI_Expiration=1,IF($A751&lt;VLOOKUP(S$5,NFI,5,0),1,0)*Table_NFI[[#This Row],[Winter Clothes Children]],Table_NFI[Winter Clothes Children])</f>
        <v>0</v>
      </c>
      <c r="AI751" s="436">
        <f>IF(NFI_Expiration=1,IF($A751&lt;VLOOKUP(T$5,NFI,5,0),1,0)*Table_NFI[[#This Row],[Winter Items Other]],Table_NFI[Winter Items Other])</f>
        <v>0</v>
      </c>
      <c r="AJ751" s="436">
        <f>IF(NFI_Expiration=1,IF($A751&lt;VLOOKUP(M$5,NFI,5,0),1,0)*Table_NFI[[#This Row],[Winter Blanket]],Table_NFI[[#This Row],[Winter Blanket]])</f>
        <v>0</v>
      </c>
      <c r="AK751" s="436">
        <f>IF(Table_NFI[[#This Row],[Winter Clothes Adult]]+Table_NFI[[#This Row],[Winter Clothes Children]]+Table_NFI[[#This Row],[Winter Items Other]]+Table_NFI[[#This Row],[Winter Blanket]]&gt;0,1,0)</f>
        <v>0</v>
      </c>
      <c r="AL751" s="439">
        <f>IF(NFI_Expiration=1,IF($A751&lt;VLOOKUP(V$5,NFI,5,0),1,0)*Table_NFI[[#This Row],[Jerry Can]],Table_NFI[Jerry Can])</f>
        <v>0</v>
      </c>
      <c r="AM751" s="781" t="str">
        <f>IFERROR(VLOOKUP(Table_NFI[[#This Row],[Camp Name]],CL,2,0),"")</f>
        <v>MMR001CMP007</v>
      </c>
      <c r="AN751" s="782">
        <f ca="1">IF(Table_NFI[[#This Row],[Pcode]]="","",IF(OFFSET(CampList[Opening Date],MATCH(Table_NFI[[#This Row],[Pcode]],CampList[CP_Pcode],0)-1,0,1,1)&gt;=NFI_Monitor_Date,1,0))</f>
        <v>0</v>
      </c>
      <c r="AO751" s="781" t="str">
        <f>IFERROR(VLOOKUP(Table_NFI[[#This Row],[Camp Name]],CL,3,0),"")</f>
        <v>Open</v>
      </c>
      <c r="AP751" s="436" t="str">
        <f ca="1">IF(Table_NFI[[#This Row],[Pcode]]="","",OFFSET(CampList[Priority],MATCH(Table_NFI[[#This Row],[Pcode]],CampList[CP_Pcode],0)-1,0,1,1))</f>
        <v>P4</v>
      </c>
      <c r="AQ751" s="438">
        <f>IFERROR(Table_NFI[[#This Row],[Kitchen Set]]/VLOOKUP(Table_NFI[[#This Row],[Camp Name]],CL,4,0),"")</f>
        <v>0.42857142857142855</v>
      </c>
      <c r="AR751" s="779" t="s">
        <v>1099</v>
      </c>
      <c r="AS751" s="783"/>
    </row>
    <row r="752" spans="1:45" x14ac:dyDescent="0.25">
      <c r="A752" s="455">
        <f t="shared" si="11"/>
        <v>39.866666666666667</v>
      </c>
      <c r="B752" s="778">
        <v>41113</v>
      </c>
      <c r="C752" s="779" t="s">
        <v>454</v>
      </c>
      <c r="D752" s="779" t="s">
        <v>454</v>
      </c>
      <c r="E752" s="779" t="s">
        <v>380</v>
      </c>
      <c r="F752" s="435" t="s">
        <v>237</v>
      </c>
      <c r="G752" s="435" t="s">
        <v>275</v>
      </c>
      <c r="H752" s="436"/>
      <c r="I752" s="436"/>
      <c r="J752" s="436"/>
      <c r="K752" s="436">
        <v>24</v>
      </c>
      <c r="L752" s="437">
        <v>8</v>
      </c>
      <c r="M752" s="437">
        <v>24</v>
      </c>
      <c r="N752" s="437">
        <v>8</v>
      </c>
      <c r="O752" s="437">
        <v>13</v>
      </c>
      <c r="P752" s="439">
        <v>13</v>
      </c>
      <c r="Q752" s="439">
        <v>13</v>
      </c>
      <c r="R752" s="436"/>
      <c r="S752" s="436"/>
      <c r="T752" s="436"/>
      <c r="U752" s="436"/>
      <c r="V752" s="436"/>
      <c r="W752" s="436">
        <f>IF(NFI_Expiration=1,IF($A752&lt;VLOOKUP(H$5,NFI,5,0),1,0)*Table_NFI[[#This Row],[Hygiene Kit]],Table_NFI[Hygiene Kit])</f>
        <v>0</v>
      </c>
      <c r="X752" s="436">
        <f>IF(NFI_Expiration=1,IF($A752&lt;VLOOKUP(I$5,NFI,5,0),1,0)*Table_NFI[[#This Row],[NFI Core Kit]],Table_NFI[NFI Core Kit])</f>
        <v>0</v>
      </c>
      <c r="Y752" s="436">
        <f>IF(NFI_Expiration=1,IF($A752&lt;VLOOKUP(J$5,NFI,5,0),1,0)*Table_NFI[[#This Row],[Sanitary Kit]],Table_NFI[Sanitary Kit])</f>
        <v>0</v>
      </c>
      <c r="Z752" s="436">
        <f>IF(NFI_Expiration=1,IF($A752&lt;VLOOKUP(K$5,NFI,5,0),1,0)*Table_NFI[[#This Row],[Mosquito net]],Table_NFI[Mosquito net])</f>
        <v>0</v>
      </c>
      <c r="AA752" s="436">
        <f>IF(NFI_Expiration=1,IF($A752&lt;VLOOKUP(L$5,NFI,5,0),1,0)*Table_NFI[[#This Row],[Tarpaulin]],Table_NFI[[#This Row],[Tarpaulin]])</f>
        <v>0</v>
      </c>
      <c r="AB752" s="436">
        <f>IF(NFI_Expiration=1,IF($A752&lt;VLOOKUP(M$5,NFI,5,0),1,0)*Table_NFI[[#This Row],[Blanket]],Table_NFI[[#This Row],[Blanket]])</f>
        <v>0</v>
      </c>
      <c r="AC752" s="436">
        <f>IF(NFI_Expiration=1,IF($A752&lt;VLOOKUP(N$5,NFI,5,0),1,0)*Table_NFI[[#This Row],[Kitchen Set]],Table_NFI[Kitchen Set])</f>
        <v>0</v>
      </c>
      <c r="AD752" s="436">
        <f>IF(NFI_Expiration=1,IF($A752&lt;VLOOKUP(O$5,NFI,5,0),1,0)*Table_NFI[[#This Row],[Clothes Kit]],Table_NFI[Clothes Kit])</f>
        <v>0</v>
      </c>
      <c r="AE752" s="436">
        <f>IF(NFI_Expiration=1,IF($A752&lt;VLOOKUP(P$5,NFI,5,0),1,0)*Table_NFI[[#This Row],[Plastic Bucket]],Table_NFI[Plastic Bucket])</f>
        <v>0</v>
      </c>
      <c r="AF752" s="436">
        <f>IF(NFI_Expiration=1,IF($A752&lt;VLOOKUP(Q$5,NFI,5,0),1,0)*Table_NFI[[#This Row],[Plastic Mat]],Table_NFI[Plastic Mat])*IF(Table_NFI[[#This Row],[Distribution Date]]&gt;"2014-04-01",1,2.5)</f>
        <v>0</v>
      </c>
      <c r="AG752" s="436">
        <f>IF(NFI_Expiration=1,IF($A752&lt;VLOOKUP(R$5,NFI,5,0),1,0)*Table_NFI[[#This Row],[Winter Clothes Adult]],Table_NFI[Winter Clothes Adult])</f>
        <v>0</v>
      </c>
      <c r="AH752" s="436">
        <f>IF(NFI_Expiration=1,IF($A752&lt;VLOOKUP(S$5,NFI,5,0),1,0)*Table_NFI[[#This Row],[Winter Clothes Children]],Table_NFI[Winter Clothes Children])</f>
        <v>0</v>
      </c>
      <c r="AI752" s="436">
        <f>IF(NFI_Expiration=1,IF($A752&lt;VLOOKUP(T$5,NFI,5,0),1,0)*Table_NFI[[#This Row],[Winter Items Other]],Table_NFI[Winter Items Other])</f>
        <v>0</v>
      </c>
      <c r="AJ752" s="436">
        <f>IF(NFI_Expiration=1,IF($A752&lt;VLOOKUP(M$5,NFI,5,0),1,0)*Table_NFI[[#This Row],[Winter Blanket]],Table_NFI[[#This Row],[Winter Blanket]])</f>
        <v>0</v>
      </c>
      <c r="AK752" s="436">
        <f>IF(Table_NFI[[#This Row],[Winter Clothes Adult]]+Table_NFI[[#This Row],[Winter Clothes Children]]+Table_NFI[[#This Row],[Winter Items Other]]+Table_NFI[[#This Row],[Winter Blanket]]&gt;0,1,0)</f>
        <v>0</v>
      </c>
      <c r="AL752" s="439">
        <f>IF(NFI_Expiration=1,IF($A752&lt;VLOOKUP(V$5,NFI,5,0),1,0)*Table_NFI[[#This Row],[Jerry Can]],Table_NFI[Jerry Can])</f>
        <v>0</v>
      </c>
      <c r="AM752" s="781" t="str">
        <f>IFERROR(VLOOKUP(Table_NFI[[#This Row],[Camp Name]],CL,2,0),"")</f>
        <v>MMR001CMP005</v>
      </c>
      <c r="AN752" s="782">
        <f ca="1">IF(Table_NFI[[#This Row],[Pcode]]="","",IF(OFFSET(CampList[Opening Date],MATCH(Table_NFI[[#This Row],[Pcode]],CampList[CP_Pcode],0)-1,0,1,1)&gt;=NFI_Monitor_Date,1,0))</f>
        <v>0</v>
      </c>
      <c r="AO752" s="781" t="str">
        <f>IFERROR(VLOOKUP(Table_NFI[[#This Row],[Camp Name]],CL,3,0),"")</f>
        <v>Open</v>
      </c>
      <c r="AP752" s="436" t="str">
        <f ca="1">IF(Table_NFI[[#This Row],[Pcode]]="","",OFFSET(CampList[Priority],MATCH(Table_NFI[[#This Row],[Pcode]],CampList[CP_Pcode],0)-1,0,1,1))</f>
        <v>P4</v>
      </c>
      <c r="AQ752" s="438">
        <f>IFERROR(Table_NFI[[#This Row],[Kitchen Set]]/VLOOKUP(Table_NFI[[#This Row],[Camp Name]],CL,4,0),"")</f>
        <v>0.18181818181818182</v>
      </c>
      <c r="AR752" s="779" t="s">
        <v>1099</v>
      </c>
      <c r="AS752" s="783"/>
    </row>
    <row r="753" spans="1:45" x14ac:dyDescent="0.25">
      <c r="A753" s="455">
        <f t="shared" si="11"/>
        <v>40</v>
      </c>
      <c r="B753" s="778">
        <v>41109</v>
      </c>
      <c r="C753" s="779" t="s">
        <v>454</v>
      </c>
      <c r="D753" s="780" t="s">
        <v>454</v>
      </c>
      <c r="E753" s="779" t="s">
        <v>380</v>
      </c>
      <c r="F753" s="435" t="s">
        <v>237</v>
      </c>
      <c r="G753" s="435" t="s">
        <v>257</v>
      </c>
      <c r="H753" s="436"/>
      <c r="I753" s="436"/>
      <c r="J753" s="436"/>
      <c r="K753" s="436">
        <v>6</v>
      </c>
      <c r="L753" s="437">
        <v>4</v>
      </c>
      <c r="M753" s="437">
        <v>6</v>
      </c>
      <c r="N753" s="437">
        <v>4</v>
      </c>
      <c r="O753" s="437">
        <v>4</v>
      </c>
      <c r="P753" s="437">
        <v>4</v>
      </c>
      <c r="Q753" s="437">
        <v>4</v>
      </c>
      <c r="R753" s="436"/>
      <c r="S753" s="436"/>
      <c r="T753" s="436"/>
      <c r="U753" s="436"/>
      <c r="V753" s="436"/>
      <c r="W753" s="436">
        <f>IF(NFI_Expiration=1,IF($A753&lt;VLOOKUP(H$5,NFI,5,0),1,0)*Table_NFI[[#This Row],[Hygiene Kit]],Table_NFI[Hygiene Kit])</f>
        <v>0</v>
      </c>
      <c r="X753" s="436">
        <f>IF(NFI_Expiration=1,IF($A753&lt;VLOOKUP(I$5,NFI,5,0),1,0)*Table_NFI[[#This Row],[NFI Core Kit]],Table_NFI[NFI Core Kit])</f>
        <v>0</v>
      </c>
      <c r="Y753" s="436">
        <f>IF(NFI_Expiration=1,IF($A753&lt;VLOOKUP(J$5,NFI,5,0),1,0)*Table_NFI[[#This Row],[Sanitary Kit]],Table_NFI[Sanitary Kit])</f>
        <v>0</v>
      </c>
      <c r="Z753" s="436">
        <f>IF(NFI_Expiration=1,IF($A753&lt;VLOOKUP(K$5,NFI,5,0),1,0)*Table_NFI[[#This Row],[Mosquito net]],Table_NFI[Mosquito net])</f>
        <v>0</v>
      </c>
      <c r="AA753" s="436">
        <f>IF(NFI_Expiration=1,IF($A753&lt;VLOOKUP(L$5,NFI,5,0),1,0)*Table_NFI[[#This Row],[Tarpaulin]],Table_NFI[[#This Row],[Tarpaulin]])</f>
        <v>0</v>
      </c>
      <c r="AB753" s="436">
        <f>IF(NFI_Expiration=1,IF($A753&lt;VLOOKUP(M$5,NFI,5,0),1,0)*Table_NFI[[#This Row],[Blanket]],Table_NFI[[#This Row],[Blanket]])</f>
        <v>0</v>
      </c>
      <c r="AC753" s="436">
        <f>IF(NFI_Expiration=1,IF($A753&lt;VLOOKUP(N$5,NFI,5,0),1,0)*Table_NFI[[#This Row],[Kitchen Set]],Table_NFI[Kitchen Set])</f>
        <v>0</v>
      </c>
      <c r="AD753" s="436">
        <f>IF(NFI_Expiration=1,IF($A753&lt;VLOOKUP(O$5,NFI,5,0),1,0)*Table_NFI[[#This Row],[Clothes Kit]],Table_NFI[Clothes Kit])</f>
        <v>0</v>
      </c>
      <c r="AE753" s="436">
        <f>IF(NFI_Expiration=1,IF($A753&lt;VLOOKUP(P$5,NFI,5,0),1,0)*Table_NFI[[#This Row],[Plastic Bucket]],Table_NFI[Plastic Bucket])</f>
        <v>0</v>
      </c>
      <c r="AF753" s="436">
        <f>IF(NFI_Expiration=1,IF($A753&lt;VLOOKUP(Q$5,NFI,5,0),1,0)*Table_NFI[[#This Row],[Plastic Mat]],Table_NFI[Plastic Mat])*IF(Table_NFI[[#This Row],[Distribution Date]]&gt;"2014-04-01",1,2.5)</f>
        <v>0</v>
      </c>
      <c r="AG753" s="436">
        <f>IF(NFI_Expiration=1,IF($A753&lt;VLOOKUP(R$5,NFI,5,0),1,0)*Table_NFI[[#This Row],[Winter Clothes Adult]],Table_NFI[Winter Clothes Adult])</f>
        <v>0</v>
      </c>
      <c r="AH753" s="436">
        <f>IF(NFI_Expiration=1,IF($A753&lt;VLOOKUP(S$5,NFI,5,0),1,0)*Table_NFI[[#This Row],[Winter Clothes Children]],Table_NFI[Winter Clothes Children])</f>
        <v>0</v>
      </c>
      <c r="AI753" s="436">
        <f>IF(NFI_Expiration=1,IF($A753&lt;VLOOKUP(T$5,NFI,5,0),1,0)*Table_NFI[[#This Row],[Winter Items Other]],Table_NFI[Winter Items Other])</f>
        <v>0</v>
      </c>
      <c r="AJ753" s="436">
        <f>IF(NFI_Expiration=1,IF($A753&lt;VLOOKUP(M$5,NFI,5,0),1,0)*Table_NFI[[#This Row],[Winter Blanket]],Table_NFI[[#This Row],[Winter Blanket]])</f>
        <v>0</v>
      </c>
      <c r="AK753" s="436">
        <f>IF(Table_NFI[[#This Row],[Winter Clothes Adult]]+Table_NFI[[#This Row],[Winter Clothes Children]]+Table_NFI[[#This Row],[Winter Items Other]]+Table_NFI[[#This Row],[Winter Blanket]]&gt;0,1,0)</f>
        <v>0</v>
      </c>
      <c r="AL753" s="439">
        <f>IF(NFI_Expiration=1,IF($A753&lt;VLOOKUP(V$5,NFI,5,0),1,0)*Table_NFI[[#This Row],[Jerry Can]],Table_NFI[Jerry Can])</f>
        <v>0</v>
      </c>
      <c r="AM753" s="781" t="str">
        <f>IFERROR(VLOOKUP(Table_NFI[[#This Row],[Camp Name]],CL,2,0),"")</f>
        <v>MMR001CMP013</v>
      </c>
      <c r="AN753" s="782">
        <f ca="1">IF(Table_NFI[[#This Row],[Pcode]]="","",IF(OFFSET(CampList[Opening Date],MATCH(Table_NFI[[#This Row],[Pcode]],CampList[CP_Pcode],0)-1,0,1,1)&gt;=NFI_Monitor_Date,1,0))</f>
        <v>0</v>
      </c>
      <c r="AO753" s="781" t="str">
        <f>IFERROR(VLOOKUP(Table_NFI[[#This Row],[Camp Name]],CL,3,0),"")</f>
        <v>Open</v>
      </c>
      <c r="AP753" s="436" t="str">
        <f ca="1">IF(Table_NFI[[#This Row],[Pcode]]="","",OFFSET(CampList[Priority],MATCH(Table_NFI[[#This Row],[Pcode]],CampList[CP_Pcode],0)-1,0,1,1))</f>
        <v>P4</v>
      </c>
      <c r="AQ753" s="438">
        <f>IFERROR(Table_NFI[[#This Row],[Kitchen Set]]/VLOOKUP(Table_NFI[[#This Row],[Camp Name]],CL,4,0),"")</f>
        <v>8.8888888888888892E-2</v>
      </c>
      <c r="AR753" s="779" t="s">
        <v>1099</v>
      </c>
      <c r="AS753" s="783"/>
    </row>
    <row r="754" spans="1:45" x14ac:dyDescent="0.25">
      <c r="A754" s="455">
        <f t="shared" si="11"/>
        <v>40</v>
      </c>
      <c r="B754" s="778">
        <v>41109</v>
      </c>
      <c r="C754" s="779" t="s">
        <v>454</v>
      </c>
      <c r="D754" s="779" t="s">
        <v>454</v>
      </c>
      <c r="E754" s="779" t="s">
        <v>380</v>
      </c>
      <c r="F754" s="435" t="s">
        <v>237</v>
      </c>
      <c r="G754" s="435" t="s">
        <v>1267</v>
      </c>
      <c r="H754" s="436"/>
      <c r="I754" s="436"/>
      <c r="J754" s="436"/>
      <c r="K754" s="436">
        <v>3</v>
      </c>
      <c r="L754" s="437">
        <v>2</v>
      </c>
      <c r="M754" s="437">
        <v>3</v>
      </c>
      <c r="N754" s="437">
        <v>2</v>
      </c>
      <c r="O754" s="437">
        <v>2</v>
      </c>
      <c r="P754" s="439">
        <v>2</v>
      </c>
      <c r="Q754" s="439">
        <v>2</v>
      </c>
      <c r="R754" s="436"/>
      <c r="S754" s="436"/>
      <c r="T754" s="436"/>
      <c r="U754" s="436"/>
      <c r="V754" s="436"/>
      <c r="W754" s="436">
        <f>IF(NFI_Expiration=1,IF($A754&lt;VLOOKUP(H$5,NFI,5,0),1,0)*Table_NFI[[#This Row],[Hygiene Kit]],Table_NFI[Hygiene Kit])</f>
        <v>0</v>
      </c>
      <c r="X754" s="436">
        <f>IF(NFI_Expiration=1,IF($A754&lt;VLOOKUP(I$5,NFI,5,0),1,0)*Table_NFI[[#This Row],[NFI Core Kit]],Table_NFI[NFI Core Kit])</f>
        <v>0</v>
      </c>
      <c r="Y754" s="436">
        <f>IF(NFI_Expiration=1,IF($A754&lt;VLOOKUP(J$5,NFI,5,0),1,0)*Table_NFI[[#This Row],[Sanitary Kit]],Table_NFI[Sanitary Kit])</f>
        <v>0</v>
      </c>
      <c r="Z754" s="436">
        <f>IF(NFI_Expiration=1,IF($A754&lt;VLOOKUP(K$5,NFI,5,0),1,0)*Table_NFI[[#This Row],[Mosquito net]],Table_NFI[Mosquito net])</f>
        <v>0</v>
      </c>
      <c r="AA754" s="436">
        <f>IF(NFI_Expiration=1,IF($A754&lt;VLOOKUP(L$5,NFI,5,0),1,0)*Table_NFI[[#This Row],[Tarpaulin]],Table_NFI[[#This Row],[Tarpaulin]])</f>
        <v>0</v>
      </c>
      <c r="AB754" s="436">
        <f>IF(NFI_Expiration=1,IF($A754&lt;VLOOKUP(M$5,NFI,5,0),1,0)*Table_NFI[[#This Row],[Blanket]],Table_NFI[[#This Row],[Blanket]])</f>
        <v>0</v>
      </c>
      <c r="AC754" s="436">
        <f>IF(NFI_Expiration=1,IF($A754&lt;VLOOKUP(N$5,NFI,5,0),1,0)*Table_NFI[[#This Row],[Kitchen Set]],Table_NFI[Kitchen Set])</f>
        <v>0</v>
      </c>
      <c r="AD754" s="436">
        <f>IF(NFI_Expiration=1,IF($A754&lt;VLOOKUP(O$5,NFI,5,0),1,0)*Table_NFI[[#This Row],[Clothes Kit]],Table_NFI[Clothes Kit])</f>
        <v>0</v>
      </c>
      <c r="AE754" s="436">
        <f>IF(NFI_Expiration=1,IF($A754&lt;VLOOKUP(P$5,NFI,5,0),1,0)*Table_NFI[[#This Row],[Plastic Bucket]],Table_NFI[Plastic Bucket])</f>
        <v>0</v>
      </c>
      <c r="AF754" s="436">
        <f>IF(NFI_Expiration=1,IF($A754&lt;VLOOKUP(Q$5,NFI,5,0),1,0)*Table_NFI[[#This Row],[Plastic Mat]],Table_NFI[Plastic Mat])*IF(Table_NFI[[#This Row],[Distribution Date]]&gt;"2014-04-01",1,2.5)</f>
        <v>0</v>
      </c>
      <c r="AG754" s="436">
        <f>IF(NFI_Expiration=1,IF($A754&lt;VLOOKUP(R$5,NFI,5,0),1,0)*Table_NFI[[#This Row],[Winter Clothes Adult]],Table_NFI[Winter Clothes Adult])</f>
        <v>0</v>
      </c>
      <c r="AH754" s="436">
        <f>IF(NFI_Expiration=1,IF($A754&lt;VLOOKUP(S$5,NFI,5,0),1,0)*Table_NFI[[#This Row],[Winter Clothes Children]],Table_NFI[Winter Clothes Children])</f>
        <v>0</v>
      </c>
      <c r="AI754" s="436">
        <f>IF(NFI_Expiration=1,IF($A754&lt;VLOOKUP(T$5,NFI,5,0),1,0)*Table_NFI[[#This Row],[Winter Items Other]],Table_NFI[Winter Items Other])</f>
        <v>0</v>
      </c>
      <c r="AJ754" s="436">
        <f>IF(NFI_Expiration=1,IF($A754&lt;VLOOKUP(M$5,NFI,5,0),1,0)*Table_NFI[[#This Row],[Winter Blanket]],Table_NFI[[#This Row],[Winter Blanket]])</f>
        <v>0</v>
      </c>
      <c r="AK754" s="436">
        <f>IF(Table_NFI[[#This Row],[Winter Clothes Adult]]+Table_NFI[[#This Row],[Winter Clothes Children]]+Table_NFI[[#This Row],[Winter Items Other]]+Table_NFI[[#This Row],[Winter Blanket]]&gt;0,1,0)</f>
        <v>0</v>
      </c>
      <c r="AL754" s="439">
        <f>IF(NFI_Expiration=1,IF($A754&lt;VLOOKUP(V$5,NFI,5,0),1,0)*Table_NFI[[#This Row],[Jerry Can]],Table_NFI[Jerry Can])</f>
        <v>0</v>
      </c>
      <c r="AM754" s="781" t="str">
        <f>IFERROR(VLOOKUP(Table_NFI[[#This Row],[Camp Name]],CL,2,0),"")</f>
        <v>MMR001CMP023</v>
      </c>
      <c r="AN754" s="782">
        <f ca="1">IF(Table_NFI[[#This Row],[Pcode]]="","",IF(OFFSET(CampList[Opening Date],MATCH(Table_NFI[[#This Row],[Pcode]],CampList[CP_Pcode],0)-1,0,1,1)&gt;=NFI_Monitor_Date,1,0))</f>
        <v>0</v>
      </c>
      <c r="AO754" s="781" t="str">
        <f>IFERROR(VLOOKUP(Table_NFI[[#This Row],[Camp Name]],CL,3,0),"")</f>
        <v>Open</v>
      </c>
      <c r="AP754" s="436" t="str">
        <f ca="1">IF(Table_NFI[[#This Row],[Pcode]]="","",OFFSET(CampList[Priority],MATCH(Table_NFI[[#This Row],[Pcode]],CampList[CP_Pcode],0)-1,0,1,1))</f>
        <v>P4</v>
      </c>
      <c r="AQ754" s="438">
        <f>IFERROR(Table_NFI[[#This Row],[Kitchen Set]]/VLOOKUP(Table_NFI[[#This Row],[Camp Name]],CL,4,0),"")</f>
        <v>2.9411764705882353E-2</v>
      </c>
      <c r="AR754" s="779" t="s">
        <v>1099</v>
      </c>
      <c r="AS754" s="783"/>
    </row>
    <row r="755" spans="1:45" x14ac:dyDescent="0.25">
      <c r="A755" s="455">
        <f t="shared" si="11"/>
        <v>40</v>
      </c>
      <c r="B755" s="778">
        <v>41109</v>
      </c>
      <c r="C755" s="779" t="s">
        <v>454</v>
      </c>
      <c r="D755" s="779" t="s">
        <v>454</v>
      </c>
      <c r="E755" s="779" t="s">
        <v>380</v>
      </c>
      <c r="F755" s="435" t="s">
        <v>237</v>
      </c>
      <c r="G755" s="435" t="s">
        <v>283</v>
      </c>
      <c r="H755" s="436"/>
      <c r="I755" s="436"/>
      <c r="J755" s="436"/>
      <c r="K755" s="436">
        <v>9</v>
      </c>
      <c r="L755" s="437">
        <v>5</v>
      </c>
      <c r="M755" s="437">
        <v>9</v>
      </c>
      <c r="N755" s="437">
        <v>5</v>
      </c>
      <c r="O755" s="437">
        <v>5</v>
      </c>
      <c r="P755" s="439">
        <v>5</v>
      </c>
      <c r="Q755" s="439">
        <v>5</v>
      </c>
      <c r="R755" s="436"/>
      <c r="S755" s="436"/>
      <c r="T755" s="436"/>
      <c r="U755" s="436"/>
      <c r="V755" s="436"/>
      <c r="W755" s="436">
        <f>IF(NFI_Expiration=1,IF($A755&lt;VLOOKUP(H$5,NFI,5,0),1,0)*Table_NFI[[#This Row],[Hygiene Kit]],Table_NFI[Hygiene Kit])</f>
        <v>0</v>
      </c>
      <c r="X755" s="436">
        <f>IF(NFI_Expiration=1,IF($A755&lt;VLOOKUP(I$5,NFI,5,0),1,0)*Table_NFI[[#This Row],[NFI Core Kit]],Table_NFI[NFI Core Kit])</f>
        <v>0</v>
      </c>
      <c r="Y755" s="436">
        <f>IF(NFI_Expiration=1,IF($A755&lt;VLOOKUP(J$5,NFI,5,0),1,0)*Table_NFI[[#This Row],[Sanitary Kit]],Table_NFI[Sanitary Kit])</f>
        <v>0</v>
      </c>
      <c r="Z755" s="436">
        <f>IF(NFI_Expiration=1,IF($A755&lt;VLOOKUP(K$5,NFI,5,0),1,0)*Table_NFI[[#This Row],[Mosquito net]],Table_NFI[Mosquito net])</f>
        <v>0</v>
      </c>
      <c r="AA755" s="436">
        <f>IF(NFI_Expiration=1,IF($A755&lt;VLOOKUP(L$5,NFI,5,0),1,0)*Table_NFI[[#This Row],[Tarpaulin]],Table_NFI[[#This Row],[Tarpaulin]])</f>
        <v>0</v>
      </c>
      <c r="AB755" s="436">
        <f>IF(NFI_Expiration=1,IF($A755&lt;VLOOKUP(M$5,NFI,5,0),1,0)*Table_NFI[[#This Row],[Blanket]],Table_NFI[[#This Row],[Blanket]])</f>
        <v>0</v>
      </c>
      <c r="AC755" s="436">
        <f>IF(NFI_Expiration=1,IF($A755&lt;VLOOKUP(N$5,NFI,5,0),1,0)*Table_NFI[[#This Row],[Kitchen Set]],Table_NFI[Kitchen Set])</f>
        <v>0</v>
      </c>
      <c r="AD755" s="436">
        <f>IF(NFI_Expiration=1,IF($A755&lt;VLOOKUP(O$5,NFI,5,0),1,0)*Table_NFI[[#This Row],[Clothes Kit]],Table_NFI[Clothes Kit])</f>
        <v>0</v>
      </c>
      <c r="AE755" s="436">
        <f>IF(NFI_Expiration=1,IF($A755&lt;VLOOKUP(P$5,NFI,5,0),1,0)*Table_NFI[[#This Row],[Plastic Bucket]],Table_NFI[Plastic Bucket])</f>
        <v>0</v>
      </c>
      <c r="AF755" s="436">
        <f>IF(NFI_Expiration=1,IF($A755&lt;VLOOKUP(Q$5,NFI,5,0),1,0)*Table_NFI[[#This Row],[Plastic Mat]],Table_NFI[Plastic Mat])*IF(Table_NFI[[#This Row],[Distribution Date]]&gt;"2014-04-01",1,2.5)</f>
        <v>0</v>
      </c>
      <c r="AG755" s="436">
        <f>IF(NFI_Expiration=1,IF($A755&lt;VLOOKUP(R$5,NFI,5,0),1,0)*Table_NFI[[#This Row],[Winter Clothes Adult]],Table_NFI[Winter Clothes Adult])</f>
        <v>0</v>
      </c>
      <c r="AH755" s="436">
        <f>IF(NFI_Expiration=1,IF($A755&lt;VLOOKUP(S$5,NFI,5,0),1,0)*Table_NFI[[#This Row],[Winter Clothes Children]],Table_NFI[Winter Clothes Children])</f>
        <v>0</v>
      </c>
      <c r="AI755" s="436">
        <f>IF(NFI_Expiration=1,IF($A755&lt;VLOOKUP(T$5,NFI,5,0),1,0)*Table_NFI[[#This Row],[Winter Items Other]],Table_NFI[Winter Items Other])</f>
        <v>0</v>
      </c>
      <c r="AJ755" s="436">
        <f>IF(NFI_Expiration=1,IF($A755&lt;VLOOKUP(M$5,NFI,5,0),1,0)*Table_NFI[[#This Row],[Winter Blanket]],Table_NFI[[#This Row],[Winter Blanket]])</f>
        <v>0</v>
      </c>
      <c r="AK755" s="436">
        <f>IF(Table_NFI[[#This Row],[Winter Clothes Adult]]+Table_NFI[[#This Row],[Winter Clothes Children]]+Table_NFI[[#This Row],[Winter Items Other]]+Table_NFI[[#This Row],[Winter Blanket]]&gt;0,1,0)</f>
        <v>0</v>
      </c>
      <c r="AL755" s="439">
        <f>IF(NFI_Expiration=1,IF($A755&lt;VLOOKUP(V$5,NFI,5,0),1,0)*Table_NFI[[#This Row],[Jerry Can]],Table_NFI[Jerry Can])</f>
        <v>0</v>
      </c>
      <c r="AM755" s="781" t="str">
        <f>IFERROR(VLOOKUP(Table_NFI[[#This Row],[Camp Name]],CL,2,0),"")</f>
        <v>MMR001CMP022</v>
      </c>
      <c r="AN755" s="782">
        <f ca="1">IF(Table_NFI[[#This Row],[Pcode]]="","",IF(OFFSET(CampList[Opening Date],MATCH(Table_NFI[[#This Row],[Pcode]],CampList[CP_Pcode],0)-1,0,1,1)&gt;=NFI_Monitor_Date,1,0))</f>
        <v>0</v>
      </c>
      <c r="AO755" s="781" t="str">
        <f>IFERROR(VLOOKUP(Table_NFI[[#This Row],[Camp Name]],CL,3,0),"")</f>
        <v>Open</v>
      </c>
      <c r="AP755" s="436" t="str">
        <f ca="1">IF(Table_NFI[[#This Row],[Pcode]]="","",OFFSET(CampList[Priority],MATCH(Table_NFI[[#This Row],[Pcode]],CampList[CP_Pcode],0)-1,0,1,1))</f>
        <v>P4</v>
      </c>
      <c r="AQ755" s="438">
        <f>IFERROR(Table_NFI[[#This Row],[Kitchen Set]]/VLOOKUP(Table_NFI[[#This Row],[Camp Name]],CL,4,0),"")</f>
        <v>0.7142857142857143</v>
      </c>
      <c r="AR755" s="779" t="s">
        <v>1099</v>
      </c>
      <c r="AS755" s="783"/>
    </row>
    <row r="756" spans="1:45" x14ac:dyDescent="0.25">
      <c r="A756" s="455">
        <f t="shared" si="11"/>
        <v>40.033333333333331</v>
      </c>
      <c r="B756" s="778">
        <v>41108</v>
      </c>
      <c r="C756" s="779" t="s">
        <v>454</v>
      </c>
      <c r="D756" s="780" t="s">
        <v>454</v>
      </c>
      <c r="E756" s="779" t="s">
        <v>380</v>
      </c>
      <c r="F756" s="435" t="s">
        <v>151</v>
      </c>
      <c r="G756" s="435" t="s">
        <v>520</v>
      </c>
      <c r="H756" s="436"/>
      <c r="I756" s="436"/>
      <c r="J756" s="436"/>
      <c r="K756" s="436">
        <v>170</v>
      </c>
      <c r="L756" s="437">
        <v>16</v>
      </c>
      <c r="M756" s="437">
        <v>170</v>
      </c>
      <c r="N756" s="437">
        <v>85</v>
      </c>
      <c r="O756" s="437">
        <v>85</v>
      </c>
      <c r="P756" s="437">
        <v>85</v>
      </c>
      <c r="Q756" s="437">
        <v>85</v>
      </c>
      <c r="R756" s="436"/>
      <c r="S756" s="436"/>
      <c r="T756" s="436"/>
      <c r="U756" s="436"/>
      <c r="V756" s="436"/>
      <c r="W756" s="436">
        <f>IF(NFI_Expiration=1,IF($A756&lt;VLOOKUP(H$5,NFI,5,0),1,0)*Table_NFI[[#This Row],[Hygiene Kit]],Table_NFI[Hygiene Kit])</f>
        <v>0</v>
      </c>
      <c r="X756" s="436">
        <f>IF(NFI_Expiration=1,IF($A756&lt;VLOOKUP(I$5,NFI,5,0),1,0)*Table_NFI[[#This Row],[NFI Core Kit]],Table_NFI[NFI Core Kit])</f>
        <v>0</v>
      </c>
      <c r="Y756" s="436">
        <f>IF(NFI_Expiration=1,IF($A756&lt;VLOOKUP(J$5,NFI,5,0),1,0)*Table_NFI[[#This Row],[Sanitary Kit]],Table_NFI[Sanitary Kit])</f>
        <v>0</v>
      </c>
      <c r="Z756" s="436">
        <f>IF(NFI_Expiration=1,IF($A756&lt;VLOOKUP(K$5,NFI,5,0),1,0)*Table_NFI[[#This Row],[Mosquito net]],Table_NFI[Mosquito net])</f>
        <v>0</v>
      </c>
      <c r="AA756" s="436">
        <f>IF(NFI_Expiration=1,IF($A756&lt;VLOOKUP(L$5,NFI,5,0),1,0)*Table_NFI[[#This Row],[Tarpaulin]],Table_NFI[[#This Row],[Tarpaulin]])</f>
        <v>0</v>
      </c>
      <c r="AB756" s="436">
        <f>IF(NFI_Expiration=1,IF($A756&lt;VLOOKUP(M$5,NFI,5,0),1,0)*Table_NFI[[#This Row],[Blanket]],Table_NFI[[#This Row],[Blanket]])</f>
        <v>0</v>
      </c>
      <c r="AC756" s="436">
        <f>IF(NFI_Expiration=1,IF($A756&lt;VLOOKUP(N$5,NFI,5,0),1,0)*Table_NFI[[#This Row],[Kitchen Set]],Table_NFI[Kitchen Set])</f>
        <v>0</v>
      </c>
      <c r="AD756" s="436">
        <f>IF(NFI_Expiration=1,IF($A756&lt;VLOOKUP(O$5,NFI,5,0),1,0)*Table_NFI[[#This Row],[Clothes Kit]],Table_NFI[Clothes Kit])</f>
        <v>0</v>
      </c>
      <c r="AE756" s="436">
        <f>IF(NFI_Expiration=1,IF($A756&lt;VLOOKUP(P$5,NFI,5,0),1,0)*Table_NFI[[#This Row],[Plastic Bucket]],Table_NFI[Plastic Bucket])</f>
        <v>0</v>
      </c>
      <c r="AF756" s="436">
        <f>IF(NFI_Expiration=1,IF($A756&lt;VLOOKUP(Q$5,NFI,5,0),1,0)*Table_NFI[[#This Row],[Plastic Mat]],Table_NFI[Plastic Mat])*IF(Table_NFI[[#This Row],[Distribution Date]]&gt;"2014-04-01",1,2.5)</f>
        <v>0</v>
      </c>
      <c r="AG756" s="436">
        <f>IF(NFI_Expiration=1,IF($A756&lt;VLOOKUP(R$5,NFI,5,0),1,0)*Table_NFI[[#This Row],[Winter Clothes Adult]],Table_NFI[Winter Clothes Adult])</f>
        <v>0</v>
      </c>
      <c r="AH756" s="436">
        <f>IF(NFI_Expiration=1,IF($A756&lt;VLOOKUP(S$5,NFI,5,0),1,0)*Table_NFI[[#This Row],[Winter Clothes Children]],Table_NFI[Winter Clothes Children])</f>
        <v>0</v>
      </c>
      <c r="AI756" s="436">
        <f>IF(NFI_Expiration=1,IF($A756&lt;VLOOKUP(T$5,NFI,5,0),1,0)*Table_NFI[[#This Row],[Winter Items Other]],Table_NFI[Winter Items Other])</f>
        <v>0</v>
      </c>
      <c r="AJ756" s="436">
        <f>IF(NFI_Expiration=1,IF($A756&lt;VLOOKUP(M$5,NFI,5,0),1,0)*Table_NFI[[#This Row],[Winter Blanket]],Table_NFI[[#This Row],[Winter Blanket]])</f>
        <v>0</v>
      </c>
      <c r="AK756" s="436">
        <f>IF(Table_NFI[[#This Row],[Winter Clothes Adult]]+Table_NFI[[#This Row],[Winter Clothes Children]]+Table_NFI[[#This Row],[Winter Items Other]]+Table_NFI[[#This Row],[Winter Blanket]]&gt;0,1,0)</f>
        <v>0</v>
      </c>
      <c r="AL756" s="439">
        <f>IF(NFI_Expiration=1,IF($A756&lt;VLOOKUP(V$5,NFI,5,0),1,0)*Table_NFI[[#This Row],[Jerry Can]],Table_NFI[Jerry Can])</f>
        <v>0</v>
      </c>
      <c r="AM756" s="781" t="str">
        <f>IFERROR(VLOOKUP(Table_NFI[[#This Row],[Camp Name]],CL,2,0),"")</f>
        <v>MMR001CMP203</v>
      </c>
      <c r="AN756" s="782">
        <f ca="1">IF(Table_NFI[[#This Row],[Pcode]]="","",IF(OFFSET(CampList[Opening Date],MATCH(Table_NFI[[#This Row],[Pcode]],CampList[CP_Pcode],0)-1,0,1,1)&gt;=NFI_Monitor_Date,1,0))</f>
        <v>0</v>
      </c>
      <c r="AO756" s="781" t="str">
        <f>IFERROR(VLOOKUP(Table_NFI[[#This Row],[Camp Name]],CL,3,0),"")</f>
        <v>Closed</v>
      </c>
      <c r="AP756" s="436" t="str">
        <f ca="1">IF(Table_NFI[[#This Row],[Pcode]]="","",OFFSET(CampList[Priority],MATCH(Table_NFI[[#This Row],[Pcode]],CampList[CP_Pcode],0)-1,0,1,1))</f>
        <v/>
      </c>
      <c r="AQ756" s="438" t="str">
        <f>IFERROR(Table_NFI[[#This Row],[Kitchen Set]]/VLOOKUP(Table_NFI[[#This Row],[Camp Name]],CL,4,0),"")</f>
        <v/>
      </c>
      <c r="AR756" s="779" t="s">
        <v>1099</v>
      </c>
      <c r="AS756" s="783"/>
    </row>
    <row r="757" spans="1:45" x14ac:dyDescent="0.25">
      <c r="A757" s="455">
        <f t="shared" si="11"/>
        <v>40.033333333333331</v>
      </c>
      <c r="B757" s="778">
        <v>41108</v>
      </c>
      <c r="C757" s="779" t="s">
        <v>454</v>
      </c>
      <c r="D757" s="780" t="s">
        <v>454</v>
      </c>
      <c r="E757" s="779" t="s">
        <v>380</v>
      </c>
      <c r="F757" s="435" t="s">
        <v>151</v>
      </c>
      <c r="G757" s="435" t="s">
        <v>164</v>
      </c>
      <c r="H757" s="436"/>
      <c r="I757" s="436"/>
      <c r="J757" s="436"/>
      <c r="K757" s="436">
        <v>206</v>
      </c>
      <c r="L757" s="437">
        <v>78</v>
      </c>
      <c r="M757" s="437">
        <v>206</v>
      </c>
      <c r="N757" s="437">
        <v>103</v>
      </c>
      <c r="O757" s="437">
        <v>103</v>
      </c>
      <c r="P757" s="437">
        <v>103</v>
      </c>
      <c r="Q757" s="437">
        <v>103</v>
      </c>
      <c r="R757" s="436"/>
      <c r="S757" s="436"/>
      <c r="T757" s="436"/>
      <c r="U757" s="436"/>
      <c r="V757" s="436"/>
      <c r="W757" s="436">
        <f>IF(NFI_Expiration=1,IF($A757&lt;VLOOKUP(H$5,NFI,5,0),1,0)*Table_NFI[[#This Row],[Hygiene Kit]],Table_NFI[Hygiene Kit])</f>
        <v>0</v>
      </c>
      <c r="X757" s="436">
        <f>IF(NFI_Expiration=1,IF($A757&lt;VLOOKUP(I$5,NFI,5,0),1,0)*Table_NFI[[#This Row],[NFI Core Kit]],Table_NFI[NFI Core Kit])</f>
        <v>0</v>
      </c>
      <c r="Y757" s="436">
        <f>IF(NFI_Expiration=1,IF($A757&lt;VLOOKUP(J$5,NFI,5,0),1,0)*Table_NFI[[#This Row],[Sanitary Kit]],Table_NFI[Sanitary Kit])</f>
        <v>0</v>
      </c>
      <c r="Z757" s="436">
        <f>IF(NFI_Expiration=1,IF($A757&lt;VLOOKUP(K$5,NFI,5,0),1,0)*Table_NFI[[#This Row],[Mosquito net]],Table_NFI[Mosquito net])</f>
        <v>0</v>
      </c>
      <c r="AA757" s="436">
        <f>IF(NFI_Expiration=1,IF($A757&lt;VLOOKUP(L$5,NFI,5,0),1,0)*Table_NFI[[#This Row],[Tarpaulin]],Table_NFI[[#This Row],[Tarpaulin]])</f>
        <v>0</v>
      </c>
      <c r="AB757" s="436">
        <f>IF(NFI_Expiration=1,IF($A757&lt;VLOOKUP(M$5,NFI,5,0),1,0)*Table_NFI[[#This Row],[Blanket]],Table_NFI[[#This Row],[Blanket]])</f>
        <v>0</v>
      </c>
      <c r="AC757" s="436">
        <f>IF(NFI_Expiration=1,IF($A757&lt;VLOOKUP(N$5,NFI,5,0),1,0)*Table_NFI[[#This Row],[Kitchen Set]],Table_NFI[Kitchen Set])</f>
        <v>0</v>
      </c>
      <c r="AD757" s="436">
        <f>IF(NFI_Expiration=1,IF($A757&lt;VLOOKUP(O$5,NFI,5,0),1,0)*Table_NFI[[#This Row],[Clothes Kit]],Table_NFI[Clothes Kit])</f>
        <v>0</v>
      </c>
      <c r="AE757" s="436">
        <f>IF(NFI_Expiration=1,IF($A757&lt;VLOOKUP(P$5,NFI,5,0),1,0)*Table_NFI[[#This Row],[Plastic Bucket]],Table_NFI[Plastic Bucket])</f>
        <v>0</v>
      </c>
      <c r="AF757" s="436">
        <f>IF(NFI_Expiration=1,IF($A757&lt;VLOOKUP(Q$5,NFI,5,0),1,0)*Table_NFI[[#This Row],[Plastic Mat]],Table_NFI[Plastic Mat])*IF(Table_NFI[[#This Row],[Distribution Date]]&gt;"2014-04-01",1,2.5)</f>
        <v>0</v>
      </c>
      <c r="AG757" s="436">
        <f>IF(NFI_Expiration=1,IF($A757&lt;VLOOKUP(R$5,NFI,5,0),1,0)*Table_NFI[[#This Row],[Winter Clothes Adult]],Table_NFI[Winter Clothes Adult])</f>
        <v>0</v>
      </c>
      <c r="AH757" s="436">
        <f>IF(NFI_Expiration=1,IF($A757&lt;VLOOKUP(S$5,NFI,5,0),1,0)*Table_NFI[[#This Row],[Winter Clothes Children]],Table_NFI[Winter Clothes Children])</f>
        <v>0</v>
      </c>
      <c r="AI757" s="436">
        <f>IF(NFI_Expiration=1,IF($A757&lt;VLOOKUP(T$5,NFI,5,0),1,0)*Table_NFI[[#This Row],[Winter Items Other]],Table_NFI[Winter Items Other])</f>
        <v>0</v>
      </c>
      <c r="AJ757" s="436">
        <f>IF(NFI_Expiration=1,IF($A757&lt;VLOOKUP(M$5,NFI,5,0),1,0)*Table_NFI[[#This Row],[Winter Blanket]],Table_NFI[[#This Row],[Winter Blanket]])</f>
        <v>0</v>
      </c>
      <c r="AK757" s="436">
        <f>IF(Table_NFI[[#This Row],[Winter Clothes Adult]]+Table_NFI[[#This Row],[Winter Clothes Children]]+Table_NFI[[#This Row],[Winter Items Other]]+Table_NFI[[#This Row],[Winter Blanket]]&gt;0,1,0)</f>
        <v>0</v>
      </c>
      <c r="AL757" s="439">
        <f>IF(NFI_Expiration=1,IF($A757&lt;VLOOKUP(V$5,NFI,5,0),1,0)*Table_NFI[[#This Row],[Jerry Can]],Table_NFI[Jerry Can])</f>
        <v>0</v>
      </c>
      <c r="AM757" s="781" t="str">
        <f>IFERROR(VLOOKUP(Table_NFI[[#This Row],[Camp Name]],CL,2,0),"")</f>
        <v>MMR001CMP137</v>
      </c>
      <c r="AN757" s="782">
        <f ca="1">IF(Table_NFI[[#This Row],[Pcode]]="","",IF(OFFSET(CampList[Opening Date],MATCH(Table_NFI[[#This Row],[Pcode]],CampList[CP_Pcode],0)-1,0,1,1)&gt;=NFI_Monitor_Date,1,0))</f>
        <v>0</v>
      </c>
      <c r="AO757" s="781" t="str">
        <f>IFERROR(VLOOKUP(Table_NFI[[#This Row],[Camp Name]],CL,3,0),"")</f>
        <v>Closed</v>
      </c>
      <c r="AP757" s="436" t="str">
        <f ca="1">IF(Table_NFI[[#This Row],[Pcode]]="","",OFFSET(CampList[Priority],MATCH(Table_NFI[[#This Row],[Pcode]],CampList[CP_Pcode],0)-1,0,1,1))</f>
        <v/>
      </c>
      <c r="AQ757" s="438" t="str">
        <f>IFERROR(Table_NFI[[#This Row],[Kitchen Set]]/VLOOKUP(Table_NFI[[#This Row],[Camp Name]],CL,4,0),"")</f>
        <v/>
      </c>
      <c r="AR757" s="779" t="s">
        <v>1099</v>
      </c>
      <c r="AS757" s="783"/>
    </row>
    <row r="758" spans="1:45" x14ac:dyDescent="0.25">
      <c r="A758" s="455">
        <f t="shared" si="11"/>
        <v>40.06666666666667</v>
      </c>
      <c r="B758" s="778">
        <v>41107</v>
      </c>
      <c r="C758" s="779" t="s">
        <v>454</v>
      </c>
      <c r="D758" s="779" t="s">
        <v>454</v>
      </c>
      <c r="E758" s="779" t="s">
        <v>380</v>
      </c>
      <c r="F758" s="779" t="s">
        <v>310</v>
      </c>
      <c r="G758" s="435" t="s">
        <v>334</v>
      </c>
      <c r="H758" s="436"/>
      <c r="I758" s="436"/>
      <c r="J758" s="436"/>
      <c r="K758" s="436">
        <v>19</v>
      </c>
      <c r="L758" s="437">
        <v>19</v>
      </c>
      <c r="M758" s="437">
        <v>19</v>
      </c>
      <c r="N758" s="437">
        <v>19</v>
      </c>
      <c r="O758" s="437">
        <v>19</v>
      </c>
      <c r="P758" s="437">
        <v>19</v>
      </c>
      <c r="Q758" s="437">
        <v>19</v>
      </c>
      <c r="R758" s="436"/>
      <c r="S758" s="436"/>
      <c r="T758" s="436"/>
      <c r="U758" s="436"/>
      <c r="V758" s="436"/>
      <c r="W758" s="436">
        <f>IF(NFI_Expiration=1,IF($A758&lt;VLOOKUP(H$5,NFI,5,0),1,0)*Table_NFI[[#This Row],[Hygiene Kit]],Table_NFI[Hygiene Kit])</f>
        <v>0</v>
      </c>
      <c r="X758" s="436">
        <f>IF(NFI_Expiration=1,IF($A758&lt;VLOOKUP(I$5,NFI,5,0),1,0)*Table_NFI[[#This Row],[NFI Core Kit]],Table_NFI[NFI Core Kit])</f>
        <v>0</v>
      </c>
      <c r="Y758" s="436">
        <f>IF(NFI_Expiration=1,IF($A758&lt;VLOOKUP(J$5,NFI,5,0),1,0)*Table_NFI[[#This Row],[Sanitary Kit]],Table_NFI[Sanitary Kit])</f>
        <v>0</v>
      </c>
      <c r="Z758" s="436">
        <f>IF(NFI_Expiration=1,IF($A758&lt;VLOOKUP(K$5,NFI,5,0),1,0)*Table_NFI[[#This Row],[Mosquito net]],Table_NFI[Mosquito net])</f>
        <v>0</v>
      </c>
      <c r="AA758" s="436">
        <f>IF(NFI_Expiration=1,IF($A758&lt;VLOOKUP(L$5,NFI,5,0),1,0)*Table_NFI[[#This Row],[Tarpaulin]],Table_NFI[[#This Row],[Tarpaulin]])</f>
        <v>0</v>
      </c>
      <c r="AB758" s="436">
        <f>IF(NFI_Expiration=1,IF($A758&lt;VLOOKUP(M$5,NFI,5,0),1,0)*Table_NFI[[#This Row],[Blanket]],Table_NFI[[#This Row],[Blanket]])</f>
        <v>0</v>
      </c>
      <c r="AC758" s="436">
        <f>IF(NFI_Expiration=1,IF($A758&lt;VLOOKUP(N$5,NFI,5,0),1,0)*Table_NFI[[#This Row],[Kitchen Set]],Table_NFI[Kitchen Set])</f>
        <v>0</v>
      </c>
      <c r="AD758" s="436">
        <f>IF(NFI_Expiration=1,IF($A758&lt;VLOOKUP(O$5,NFI,5,0),1,0)*Table_NFI[[#This Row],[Clothes Kit]],Table_NFI[Clothes Kit])</f>
        <v>0</v>
      </c>
      <c r="AE758" s="436">
        <f>IF(NFI_Expiration=1,IF($A758&lt;VLOOKUP(P$5,NFI,5,0),1,0)*Table_NFI[[#This Row],[Plastic Bucket]],Table_NFI[Plastic Bucket])</f>
        <v>0</v>
      </c>
      <c r="AF758" s="436">
        <f>IF(NFI_Expiration=1,IF($A758&lt;VLOOKUP(Q$5,NFI,5,0),1,0)*Table_NFI[[#This Row],[Plastic Mat]],Table_NFI[Plastic Mat])*IF(Table_NFI[[#This Row],[Distribution Date]]&gt;"2014-04-01",1,2.5)</f>
        <v>0</v>
      </c>
      <c r="AG758" s="436">
        <f>IF(NFI_Expiration=1,IF($A758&lt;VLOOKUP(R$5,NFI,5,0),1,0)*Table_NFI[[#This Row],[Winter Clothes Adult]],Table_NFI[Winter Clothes Adult])</f>
        <v>0</v>
      </c>
      <c r="AH758" s="436">
        <f>IF(NFI_Expiration=1,IF($A758&lt;VLOOKUP(S$5,NFI,5,0),1,0)*Table_NFI[[#This Row],[Winter Clothes Children]],Table_NFI[Winter Clothes Children])</f>
        <v>0</v>
      </c>
      <c r="AI758" s="436">
        <f>IF(NFI_Expiration=1,IF($A758&lt;VLOOKUP(T$5,NFI,5,0),1,0)*Table_NFI[[#This Row],[Winter Items Other]],Table_NFI[Winter Items Other])</f>
        <v>0</v>
      </c>
      <c r="AJ758" s="436">
        <f>IF(NFI_Expiration=1,IF($A758&lt;VLOOKUP(M$5,NFI,5,0),1,0)*Table_NFI[[#This Row],[Winter Blanket]],Table_NFI[[#This Row],[Winter Blanket]])</f>
        <v>0</v>
      </c>
      <c r="AK758" s="436">
        <f>IF(Table_NFI[[#This Row],[Winter Clothes Adult]]+Table_NFI[[#This Row],[Winter Clothes Children]]+Table_NFI[[#This Row],[Winter Items Other]]+Table_NFI[[#This Row],[Winter Blanket]]&gt;0,1,0)</f>
        <v>0</v>
      </c>
      <c r="AL758" s="439">
        <f>IF(NFI_Expiration=1,IF($A758&lt;VLOOKUP(V$5,NFI,5,0),1,0)*Table_NFI[[#This Row],[Jerry Can]],Table_NFI[Jerry Can])</f>
        <v>0</v>
      </c>
      <c r="AM758" s="781" t="str">
        <f>IFERROR(VLOOKUP(Table_NFI[[#This Row],[Camp Name]],CL,2,0),"")</f>
        <v>MMR001CMP113</v>
      </c>
      <c r="AN758" s="782">
        <f ca="1">IF(Table_NFI[[#This Row],[Pcode]]="","",IF(OFFSET(CampList[Opening Date],MATCH(Table_NFI[[#This Row],[Pcode]],CampList[CP_Pcode],0)-1,0,1,1)&gt;=NFI_Monitor_Date,1,0))</f>
        <v>0</v>
      </c>
      <c r="AO758" s="781" t="str">
        <f>IFERROR(VLOOKUP(Table_NFI[[#This Row],[Camp Name]],CL,3,0),"")</f>
        <v>Open</v>
      </c>
      <c r="AP758" s="436" t="str">
        <f ca="1">IF(Table_NFI[[#This Row],[Pcode]]="","",OFFSET(CampList[Priority],MATCH(Table_NFI[[#This Row],[Pcode]],CampList[CP_Pcode],0)-1,0,1,1))</f>
        <v>P1</v>
      </c>
      <c r="AQ758" s="438">
        <f>IFERROR(Table_NFI[[#This Row],[Kitchen Set]]/VLOOKUP(Table_NFI[[#This Row],[Camp Name]],CL,4,0),"")</f>
        <v>0.12258064516129032</v>
      </c>
      <c r="AR758" s="779" t="s">
        <v>1099</v>
      </c>
      <c r="AS758" s="783"/>
    </row>
    <row r="759" spans="1:45" x14ac:dyDescent="0.25">
      <c r="A759" s="455">
        <f t="shared" si="11"/>
        <v>40.06666666666667</v>
      </c>
      <c r="B759" s="778">
        <v>41107</v>
      </c>
      <c r="C759" s="779" t="s">
        <v>454</v>
      </c>
      <c r="D759" s="780" t="s">
        <v>454</v>
      </c>
      <c r="E759" s="779" t="s">
        <v>380</v>
      </c>
      <c r="F759" s="435" t="s">
        <v>237</v>
      </c>
      <c r="G759" s="435" t="s">
        <v>243</v>
      </c>
      <c r="H759" s="436"/>
      <c r="I759" s="436"/>
      <c r="J759" s="436"/>
      <c r="K759" s="436">
        <v>5</v>
      </c>
      <c r="L759" s="437">
        <v>5</v>
      </c>
      <c r="M759" s="437">
        <v>5</v>
      </c>
      <c r="N759" s="437">
        <v>5</v>
      </c>
      <c r="O759" s="437">
        <v>5</v>
      </c>
      <c r="P759" s="437">
        <v>5</v>
      </c>
      <c r="Q759" s="437">
        <v>5</v>
      </c>
      <c r="R759" s="436"/>
      <c r="S759" s="436"/>
      <c r="T759" s="436"/>
      <c r="U759" s="436"/>
      <c r="V759" s="436"/>
      <c r="W759" s="436">
        <f>IF(NFI_Expiration=1,IF($A759&lt;VLOOKUP(H$5,NFI,5,0),1,0)*Table_NFI[[#This Row],[Hygiene Kit]],Table_NFI[Hygiene Kit])</f>
        <v>0</v>
      </c>
      <c r="X759" s="436">
        <f>IF(NFI_Expiration=1,IF($A759&lt;VLOOKUP(I$5,NFI,5,0),1,0)*Table_NFI[[#This Row],[NFI Core Kit]],Table_NFI[NFI Core Kit])</f>
        <v>0</v>
      </c>
      <c r="Y759" s="436">
        <f>IF(NFI_Expiration=1,IF($A759&lt;VLOOKUP(J$5,NFI,5,0),1,0)*Table_NFI[[#This Row],[Sanitary Kit]],Table_NFI[Sanitary Kit])</f>
        <v>0</v>
      </c>
      <c r="Z759" s="436">
        <f>IF(NFI_Expiration=1,IF($A759&lt;VLOOKUP(K$5,NFI,5,0),1,0)*Table_NFI[[#This Row],[Mosquito net]],Table_NFI[Mosquito net])</f>
        <v>0</v>
      </c>
      <c r="AA759" s="436">
        <f>IF(NFI_Expiration=1,IF($A759&lt;VLOOKUP(L$5,NFI,5,0),1,0)*Table_NFI[[#This Row],[Tarpaulin]],Table_NFI[[#This Row],[Tarpaulin]])</f>
        <v>0</v>
      </c>
      <c r="AB759" s="436">
        <f>IF(NFI_Expiration=1,IF($A759&lt;VLOOKUP(M$5,NFI,5,0),1,0)*Table_NFI[[#This Row],[Blanket]],Table_NFI[[#This Row],[Blanket]])</f>
        <v>0</v>
      </c>
      <c r="AC759" s="436">
        <f>IF(NFI_Expiration=1,IF($A759&lt;VLOOKUP(N$5,NFI,5,0),1,0)*Table_NFI[[#This Row],[Kitchen Set]],Table_NFI[Kitchen Set])</f>
        <v>0</v>
      </c>
      <c r="AD759" s="436">
        <f>IF(NFI_Expiration=1,IF($A759&lt;VLOOKUP(O$5,NFI,5,0),1,0)*Table_NFI[[#This Row],[Clothes Kit]],Table_NFI[Clothes Kit])</f>
        <v>0</v>
      </c>
      <c r="AE759" s="436">
        <f>IF(NFI_Expiration=1,IF($A759&lt;VLOOKUP(P$5,NFI,5,0),1,0)*Table_NFI[[#This Row],[Plastic Bucket]],Table_NFI[Plastic Bucket])</f>
        <v>0</v>
      </c>
      <c r="AF759" s="436">
        <f>IF(NFI_Expiration=1,IF($A759&lt;VLOOKUP(Q$5,NFI,5,0),1,0)*Table_NFI[[#This Row],[Plastic Mat]],Table_NFI[Plastic Mat])*IF(Table_NFI[[#This Row],[Distribution Date]]&gt;"2014-04-01",1,2.5)</f>
        <v>0</v>
      </c>
      <c r="AG759" s="436">
        <f>IF(NFI_Expiration=1,IF($A759&lt;VLOOKUP(R$5,NFI,5,0),1,0)*Table_NFI[[#This Row],[Winter Clothes Adult]],Table_NFI[Winter Clothes Adult])</f>
        <v>0</v>
      </c>
      <c r="AH759" s="436">
        <f>IF(NFI_Expiration=1,IF($A759&lt;VLOOKUP(S$5,NFI,5,0),1,0)*Table_NFI[[#This Row],[Winter Clothes Children]],Table_NFI[Winter Clothes Children])</f>
        <v>0</v>
      </c>
      <c r="AI759" s="436">
        <f>IF(NFI_Expiration=1,IF($A759&lt;VLOOKUP(T$5,NFI,5,0),1,0)*Table_NFI[[#This Row],[Winter Items Other]],Table_NFI[Winter Items Other])</f>
        <v>0</v>
      </c>
      <c r="AJ759" s="436">
        <f>IF(NFI_Expiration=1,IF($A759&lt;VLOOKUP(M$5,NFI,5,0),1,0)*Table_NFI[[#This Row],[Winter Blanket]],Table_NFI[[#This Row],[Winter Blanket]])</f>
        <v>0</v>
      </c>
      <c r="AK759" s="436">
        <f>IF(Table_NFI[[#This Row],[Winter Clothes Adult]]+Table_NFI[[#This Row],[Winter Clothes Children]]+Table_NFI[[#This Row],[Winter Items Other]]+Table_NFI[[#This Row],[Winter Blanket]]&gt;0,1,0)</f>
        <v>0</v>
      </c>
      <c r="AL759" s="439">
        <f>IF(NFI_Expiration=1,IF($A759&lt;VLOOKUP(V$5,NFI,5,0),1,0)*Table_NFI[[#This Row],[Jerry Can]],Table_NFI[Jerry Can])</f>
        <v>0</v>
      </c>
      <c r="AM759" s="781" t="str">
        <f>IFERROR(VLOOKUP(Table_NFI[[#This Row],[Camp Name]],CL,2,0),"")</f>
        <v>MMR001CMP012</v>
      </c>
      <c r="AN759" s="782">
        <f ca="1">IF(Table_NFI[[#This Row],[Pcode]]="","",IF(OFFSET(CampList[Opening Date],MATCH(Table_NFI[[#This Row],[Pcode]],CampList[CP_Pcode],0)-1,0,1,1)&gt;=NFI_Monitor_Date,1,0))</f>
        <v>0</v>
      </c>
      <c r="AO759" s="781" t="str">
        <f>IFERROR(VLOOKUP(Table_NFI[[#This Row],[Camp Name]],CL,3,0),"")</f>
        <v>Open</v>
      </c>
      <c r="AP759" s="436" t="str">
        <f ca="1">IF(Table_NFI[[#This Row],[Pcode]]="","",OFFSET(CampList[Priority],MATCH(Table_NFI[[#This Row],[Pcode]],CampList[CP_Pcode],0)-1,0,1,1))</f>
        <v>P4</v>
      </c>
      <c r="AQ759" s="438">
        <f>IFERROR(Table_NFI[[#This Row],[Kitchen Set]]/VLOOKUP(Table_NFI[[#This Row],[Camp Name]],CL,4,0),"")</f>
        <v>0.83333333333333337</v>
      </c>
      <c r="AR759" s="779" t="s">
        <v>1099</v>
      </c>
      <c r="AS759" s="783"/>
    </row>
    <row r="760" spans="1:45" x14ac:dyDescent="0.25">
      <c r="A760" s="455">
        <f t="shared" si="11"/>
        <v>40.06666666666667</v>
      </c>
      <c r="B760" s="778">
        <v>41107</v>
      </c>
      <c r="C760" s="779" t="s">
        <v>454</v>
      </c>
      <c r="D760" s="779" t="s">
        <v>454</v>
      </c>
      <c r="E760" s="779" t="s">
        <v>380</v>
      </c>
      <c r="F760" s="435" t="s">
        <v>237</v>
      </c>
      <c r="G760" s="435" t="s">
        <v>245</v>
      </c>
      <c r="H760" s="436"/>
      <c r="I760" s="436"/>
      <c r="J760" s="436"/>
      <c r="K760" s="436">
        <v>6</v>
      </c>
      <c r="L760" s="437">
        <v>6</v>
      </c>
      <c r="M760" s="437">
        <v>6</v>
      </c>
      <c r="N760" s="437">
        <v>6</v>
      </c>
      <c r="O760" s="437">
        <v>6</v>
      </c>
      <c r="P760" s="437">
        <v>6</v>
      </c>
      <c r="Q760" s="437">
        <v>6</v>
      </c>
      <c r="R760" s="436"/>
      <c r="S760" s="436"/>
      <c r="T760" s="436"/>
      <c r="U760" s="436"/>
      <c r="V760" s="436"/>
      <c r="W760" s="436">
        <f>IF(NFI_Expiration=1,IF($A760&lt;VLOOKUP(H$5,NFI,5,0),1,0)*Table_NFI[[#This Row],[Hygiene Kit]],Table_NFI[Hygiene Kit])</f>
        <v>0</v>
      </c>
      <c r="X760" s="436">
        <f>IF(NFI_Expiration=1,IF($A760&lt;VLOOKUP(I$5,NFI,5,0),1,0)*Table_NFI[[#This Row],[NFI Core Kit]],Table_NFI[NFI Core Kit])</f>
        <v>0</v>
      </c>
      <c r="Y760" s="436">
        <f>IF(NFI_Expiration=1,IF($A760&lt;VLOOKUP(J$5,NFI,5,0),1,0)*Table_NFI[[#This Row],[Sanitary Kit]],Table_NFI[Sanitary Kit])</f>
        <v>0</v>
      </c>
      <c r="Z760" s="436">
        <f>IF(NFI_Expiration=1,IF($A760&lt;VLOOKUP(K$5,NFI,5,0),1,0)*Table_NFI[[#This Row],[Mosquito net]],Table_NFI[Mosquito net])</f>
        <v>0</v>
      </c>
      <c r="AA760" s="436">
        <f>IF(NFI_Expiration=1,IF($A760&lt;VLOOKUP(L$5,NFI,5,0),1,0)*Table_NFI[[#This Row],[Tarpaulin]],Table_NFI[[#This Row],[Tarpaulin]])</f>
        <v>0</v>
      </c>
      <c r="AB760" s="436">
        <f>IF(NFI_Expiration=1,IF($A760&lt;VLOOKUP(M$5,NFI,5,0),1,0)*Table_NFI[[#This Row],[Blanket]],Table_NFI[[#This Row],[Blanket]])</f>
        <v>0</v>
      </c>
      <c r="AC760" s="436">
        <f>IF(NFI_Expiration=1,IF($A760&lt;VLOOKUP(N$5,NFI,5,0),1,0)*Table_NFI[[#This Row],[Kitchen Set]],Table_NFI[Kitchen Set])</f>
        <v>0</v>
      </c>
      <c r="AD760" s="436">
        <f>IF(NFI_Expiration=1,IF($A760&lt;VLOOKUP(O$5,NFI,5,0),1,0)*Table_NFI[[#This Row],[Clothes Kit]],Table_NFI[Clothes Kit])</f>
        <v>0</v>
      </c>
      <c r="AE760" s="436">
        <f>IF(NFI_Expiration=1,IF($A760&lt;VLOOKUP(P$5,NFI,5,0),1,0)*Table_NFI[[#This Row],[Plastic Bucket]],Table_NFI[Plastic Bucket])</f>
        <v>0</v>
      </c>
      <c r="AF760" s="436">
        <f>IF(NFI_Expiration=1,IF($A760&lt;VLOOKUP(Q$5,NFI,5,0),1,0)*Table_NFI[[#This Row],[Plastic Mat]],Table_NFI[Plastic Mat])*IF(Table_NFI[[#This Row],[Distribution Date]]&gt;"2014-04-01",1,2.5)</f>
        <v>0</v>
      </c>
      <c r="AG760" s="436">
        <f>IF(NFI_Expiration=1,IF($A760&lt;VLOOKUP(R$5,NFI,5,0),1,0)*Table_NFI[[#This Row],[Winter Clothes Adult]],Table_NFI[Winter Clothes Adult])</f>
        <v>0</v>
      </c>
      <c r="AH760" s="436">
        <f>IF(NFI_Expiration=1,IF($A760&lt;VLOOKUP(S$5,NFI,5,0),1,0)*Table_NFI[[#This Row],[Winter Clothes Children]],Table_NFI[Winter Clothes Children])</f>
        <v>0</v>
      </c>
      <c r="AI760" s="436">
        <f>IF(NFI_Expiration=1,IF($A760&lt;VLOOKUP(T$5,NFI,5,0),1,0)*Table_NFI[[#This Row],[Winter Items Other]],Table_NFI[Winter Items Other])</f>
        <v>0</v>
      </c>
      <c r="AJ760" s="436">
        <f>IF(NFI_Expiration=1,IF($A760&lt;VLOOKUP(M$5,NFI,5,0),1,0)*Table_NFI[[#This Row],[Winter Blanket]],Table_NFI[[#This Row],[Winter Blanket]])</f>
        <v>0</v>
      </c>
      <c r="AK760" s="436">
        <f>IF(Table_NFI[[#This Row],[Winter Clothes Adult]]+Table_NFI[[#This Row],[Winter Clothes Children]]+Table_NFI[[#This Row],[Winter Items Other]]+Table_NFI[[#This Row],[Winter Blanket]]&gt;0,1,0)</f>
        <v>0</v>
      </c>
      <c r="AL760" s="439">
        <f>IF(NFI_Expiration=1,IF($A760&lt;VLOOKUP(V$5,NFI,5,0),1,0)*Table_NFI[[#This Row],[Jerry Can]],Table_NFI[Jerry Can])</f>
        <v>0</v>
      </c>
      <c r="AM760" s="781" t="str">
        <f>IFERROR(VLOOKUP(Table_NFI[[#This Row],[Camp Name]],CL,2,0),"")</f>
        <v>MMR001CMP010</v>
      </c>
      <c r="AN760" s="782">
        <f ca="1">IF(Table_NFI[[#This Row],[Pcode]]="","",IF(OFFSET(CampList[Opening Date],MATCH(Table_NFI[[#This Row],[Pcode]],CampList[CP_Pcode],0)-1,0,1,1)&gt;=NFI_Monitor_Date,1,0))</f>
        <v>0</v>
      </c>
      <c r="AO760" s="781" t="str">
        <f>IFERROR(VLOOKUP(Table_NFI[[#This Row],[Camp Name]],CL,3,0),"")</f>
        <v>Open</v>
      </c>
      <c r="AP760" s="436" t="str">
        <f ca="1">IF(Table_NFI[[#This Row],[Pcode]]="","",OFFSET(CampList[Priority],MATCH(Table_NFI[[#This Row],[Pcode]],CampList[CP_Pcode],0)-1,0,1,1))</f>
        <v>P4</v>
      </c>
      <c r="AQ760" s="438">
        <f>IFERROR(Table_NFI[[#This Row],[Kitchen Set]]/VLOOKUP(Table_NFI[[#This Row],[Camp Name]],CL,4,0),"")</f>
        <v>1</v>
      </c>
      <c r="AR760" s="779" t="s">
        <v>1099</v>
      </c>
      <c r="AS760" s="783"/>
    </row>
    <row r="761" spans="1:45" x14ac:dyDescent="0.25">
      <c r="A761" s="455">
        <f t="shared" si="11"/>
        <v>40.06666666666667</v>
      </c>
      <c r="B761" s="778">
        <v>41107</v>
      </c>
      <c r="C761" s="779" t="s">
        <v>454</v>
      </c>
      <c r="D761" s="779" t="s">
        <v>454</v>
      </c>
      <c r="E761" s="779" t="s">
        <v>380</v>
      </c>
      <c r="F761" s="435" t="s">
        <v>237</v>
      </c>
      <c r="G761" s="435" t="s">
        <v>247</v>
      </c>
      <c r="H761" s="436"/>
      <c r="I761" s="436"/>
      <c r="J761" s="436"/>
      <c r="K761" s="436">
        <v>6</v>
      </c>
      <c r="L761" s="437">
        <v>6</v>
      </c>
      <c r="M761" s="437">
        <v>6</v>
      </c>
      <c r="N761" s="437">
        <v>6</v>
      </c>
      <c r="O761" s="437">
        <v>6</v>
      </c>
      <c r="P761" s="437">
        <v>6</v>
      </c>
      <c r="Q761" s="437">
        <v>6</v>
      </c>
      <c r="R761" s="436"/>
      <c r="S761" s="436"/>
      <c r="T761" s="436"/>
      <c r="U761" s="436"/>
      <c r="V761" s="436"/>
      <c r="W761" s="436">
        <f>IF(NFI_Expiration=1,IF($A761&lt;VLOOKUP(H$5,NFI,5,0),1,0)*Table_NFI[[#This Row],[Hygiene Kit]],Table_NFI[Hygiene Kit])</f>
        <v>0</v>
      </c>
      <c r="X761" s="436">
        <f>IF(NFI_Expiration=1,IF($A761&lt;VLOOKUP(I$5,NFI,5,0),1,0)*Table_NFI[[#This Row],[NFI Core Kit]],Table_NFI[NFI Core Kit])</f>
        <v>0</v>
      </c>
      <c r="Y761" s="436">
        <f>IF(NFI_Expiration=1,IF($A761&lt;VLOOKUP(J$5,NFI,5,0),1,0)*Table_NFI[[#This Row],[Sanitary Kit]],Table_NFI[Sanitary Kit])</f>
        <v>0</v>
      </c>
      <c r="Z761" s="436">
        <f>IF(NFI_Expiration=1,IF($A761&lt;VLOOKUP(K$5,NFI,5,0),1,0)*Table_NFI[[#This Row],[Mosquito net]],Table_NFI[Mosquito net])</f>
        <v>0</v>
      </c>
      <c r="AA761" s="436">
        <f>IF(NFI_Expiration=1,IF($A761&lt;VLOOKUP(L$5,NFI,5,0),1,0)*Table_NFI[[#This Row],[Tarpaulin]],Table_NFI[[#This Row],[Tarpaulin]])</f>
        <v>0</v>
      </c>
      <c r="AB761" s="436">
        <f>IF(NFI_Expiration=1,IF($A761&lt;VLOOKUP(M$5,NFI,5,0),1,0)*Table_NFI[[#This Row],[Blanket]],Table_NFI[[#This Row],[Blanket]])</f>
        <v>0</v>
      </c>
      <c r="AC761" s="436">
        <f>IF(NFI_Expiration=1,IF($A761&lt;VLOOKUP(N$5,NFI,5,0),1,0)*Table_NFI[[#This Row],[Kitchen Set]],Table_NFI[Kitchen Set])</f>
        <v>0</v>
      </c>
      <c r="AD761" s="436">
        <f>IF(NFI_Expiration=1,IF($A761&lt;VLOOKUP(O$5,NFI,5,0),1,0)*Table_NFI[[#This Row],[Clothes Kit]],Table_NFI[Clothes Kit])</f>
        <v>0</v>
      </c>
      <c r="AE761" s="436">
        <f>IF(NFI_Expiration=1,IF($A761&lt;VLOOKUP(P$5,NFI,5,0),1,0)*Table_NFI[[#This Row],[Plastic Bucket]],Table_NFI[Plastic Bucket])</f>
        <v>0</v>
      </c>
      <c r="AF761" s="436">
        <f>IF(NFI_Expiration=1,IF($A761&lt;VLOOKUP(Q$5,NFI,5,0),1,0)*Table_NFI[[#This Row],[Plastic Mat]],Table_NFI[Plastic Mat])*IF(Table_NFI[[#This Row],[Distribution Date]]&gt;"2014-04-01",1,2.5)</f>
        <v>0</v>
      </c>
      <c r="AG761" s="436">
        <f>IF(NFI_Expiration=1,IF($A761&lt;VLOOKUP(R$5,NFI,5,0),1,0)*Table_NFI[[#This Row],[Winter Clothes Adult]],Table_NFI[Winter Clothes Adult])</f>
        <v>0</v>
      </c>
      <c r="AH761" s="436">
        <f>IF(NFI_Expiration=1,IF($A761&lt;VLOOKUP(S$5,NFI,5,0),1,0)*Table_NFI[[#This Row],[Winter Clothes Children]],Table_NFI[Winter Clothes Children])</f>
        <v>0</v>
      </c>
      <c r="AI761" s="436">
        <f>IF(NFI_Expiration=1,IF($A761&lt;VLOOKUP(T$5,NFI,5,0),1,0)*Table_NFI[[#This Row],[Winter Items Other]],Table_NFI[Winter Items Other])</f>
        <v>0</v>
      </c>
      <c r="AJ761" s="436">
        <f>IF(NFI_Expiration=1,IF($A761&lt;VLOOKUP(M$5,NFI,5,0),1,0)*Table_NFI[[#This Row],[Winter Blanket]],Table_NFI[[#This Row],[Winter Blanket]])</f>
        <v>0</v>
      </c>
      <c r="AK761" s="436">
        <f>IF(Table_NFI[[#This Row],[Winter Clothes Adult]]+Table_NFI[[#This Row],[Winter Clothes Children]]+Table_NFI[[#This Row],[Winter Items Other]]+Table_NFI[[#This Row],[Winter Blanket]]&gt;0,1,0)</f>
        <v>0</v>
      </c>
      <c r="AL761" s="439">
        <f>IF(NFI_Expiration=1,IF($A761&lt;VLOOKUP(V$5,NFI,5,0),1,0)*Table_NFI[[#This Row],[Jerry Can]],Table_NFI[Jerry Can])</f>
        <v>0</v>
      </c>
      <c r="AM761" s="781" t="str">
        <f>IFERROR(VLOOKUP(Table_NFI[[#This Row],[Camp Name]],CL,2,0),"")</f>
        <v>MMR001CMP011</v>
      </c>
      <c r="AN761" s="782">
        <f ca="1">IF(Table_NFI[[#This Row],[Pcode]]="","",IF(OFFSET(CampList[Opening Date],MATCH(Table_NFI[[#This Row],[Pcode]],CampList[CP_Pcode],0)-1,0,1,1)&gt;=NFI_Monitor_Date,1,0))</f>
        <v>0</v>
      </c>
      <c r="AO761" s="781" t="str">
        <f>IFERROR(VLOOKUP(Table_NFI[[#This Row],[Camp Name]],CL,3,0),"")</f>
        <v>Open</v>
      </c>
      <c r="AP761" s="436" t="str">
        <f ca="1">IF(Table_NFI[[#This Row],[Pcode]]="","",OFFSET(CampList[Priority],MATCH(Table_NFI[[#This Row],[Pcode]],CampList[CP_Pcode],0)-1,0,1,1))</f>
        <v>P4</v>
      </c>
      <c r="AQ761" s="438">
        <f>IFERROR(Table_NFI[[#This Row],[Kitchen Set]]/VLOOKUP(Table_NFI[[#This Row],[Camp Name]],CL,4,0),"")</f>
        <v>0.12</v>
      </c>
      <c r="AR761" s="779" t="s">
        <v>1099</v>
      </c>
      <c r="AS761" s="783"/>
    </row>
    <row r="762" spans="1:45" x14ac:dyDescent="0.25">
      <c r="A762" s="455">
        <f t="shared" si="11"/>
        <v>40.06666666666667</v>
      </c>
      <c r="B762" s="778">
        <v>41107</v>
      </c>
      <c r="C762" s="779" t="s">
        <v>454</v>
      </c>
      <c r="D762" s="780" t="s">
        <v>454</v>
      </c>
      <c r="E762" s="779" t="s">
        <v>380</v>
      </c>
      <c r="F762" s="435" t="s">
        <v>185</v>
      </c>
      <c r="G762" s="435" t="s">
        <v>192</v>
      </c>
      <c r="H762" s="436"/>
      <c r="I762" s="441"/>
      <c r="J762" s="434"/>
      <c r="K762" s="434">
        <v>380</v>
      </c>
      <c r="L762" s="434">
        <v>156</v>
      </c>
      <c r="M762" s="434">
        <v>380</v>
      </c>
      <c r="N762" s="434">
        <v>156</v>
      </c>
      <c r="O762" s="434">
        <v>156</v>
      </c>
      <c r="P762" s="437">
        <v>156</v>
      </c>
      <c r="Q762" s="437">
        <v>156</v>
      </c>
      <c r="R762" s="436"/>
      <c r="S762" s="436"/>
      <c r="T762" s="436"/>
      <c r="U762" s="436"/>
      <c r="V762" s="436"/>
      <c r="W762" s="436">
        <f>IF(NFI_Expiration=1,IF($A762&lt;VLOOKUP(H$5,NFI,5,0),1,0)*Table_NFI[[#This Row],[Hygiene Kit]],Table_NFI[Hygiene Kit])</f>
        <v>0</v>
      </c>
      <c r="X762" s="436">
        <f>IF(NFI_Expiration=1,IF($A762&lt;VLOOKUP(I$5,NFI,5,0),1,0)*Table_NFI[[#This Row],[NFI Core Kit]],Table_NFI[NFI Core Kit])</f>
        <v>0</v>
      </c>
      <c r="Y762" s="436">
        <f>IF(NFI_Expiration=1,IF($A762&lt;VLOOKUP(J$5,NFI,5,0),1,0)*Table_NFI[[#This Row],[Sanitary Kit]],Table_NFI[Sanitary Kit])</f>
        <v>0</v>
      </c>
      <c r="Z762" s="436">
        <f>IF(NFI_Expiration=1,IF($A762&lt;VLOOKUP(K$5,NFI,5,0),1,0)*Table_NFI[[#This Row],[Mosquito net]],Table_NFI[Mosquito net])</f>
        <v>0</v>
      </c>
      <c r="AA762" s="436">
        <f>IF(NFI_Expiration=1,IF($A762&lt;VLOOKUP(L$5,NFI,5,0),1,0)*Table_NFI[[#This Row],[Tarpaulin]],Table_NFI[[#This Row],[Tarpaulin]])</f>
        <v>0</v>
      </c>
      <c r="AB762" s="436">
        <f>IF(NFI_Expiration=1,IF($A762&lt;VLOOKUP(M$5,NFI,5,0),1,0)*Table_NFI[[#This Row],[Blanket]],Table_NFI[[#This Row],[Blanket]])</f>
        <v>0</v>
      </c>
      <c r="AC762" s="436">
        <f>IF(NFI_Expiration=1,IF($A762&lt;VLOOKUP(N$5,NFI,5,0),1,0)*Table_NFI[[#This Row],[Kitchen Set]],Table_NFI[Kitchen Set])</f>
        <v>0</v>
      </c>
      <c r="AD762" s="436">
        <f>IF(NFI_Expiration=1,IF($A762&lt;VLOOKUP(O$5,NFI,5,0),1,0)*Table_NFI[[#This Row],[Clothes Kit]],Table_NFI[Clothes Kit])</f>
        <v>0</v>
      </c>
      <c r="AE762" s="436">
        <f>IF(NFI_Expiration=1,IF($A762&lt;VLOOKUP(P$5,NFI,5,0),1,0)*Table_NFI[[#This Row],[Plastic Bucket]],Table_NFI[Plastic Bucket])</f>
        <v>0</v>
      </c>
      <c r="AF762" s="436">
        <f>IF(NFI_Expiration=1,IF($A762&lt;VLOOKUP(Q$5,NFI,5,0),1,0)*Table_NFI[[#This Row],[Plastic Mat]],Table_NFI[Plastic Mat])*IF(Table_NFI[[#This Row],[Distribution Date]]&gt;"2014-04-01",1,2.5)</f>
        <v>0</v>
      </c>
      <c r="AG762" s="436">
        <f>IF(NFI_Expiration=1,IF($A762&lt;VLOOKUP(R$5,NFI,5,0),1,0)*Table_NFI[[#This Row],[Winter Clothes Adult]],Table_NFI[Winter Clothes Adult])</f>
        <v>0</v>
      </c>
      <c r="AH762" s="436">
        <f>IF(NFI_Expiration=1,IF($A762&lt;VLOOKUP(S$5,NFI,5,0),1,0)*Table_NFI[[#This Row],[Winter Clothes Children]],Table_NFI[Winter Clothes Children])</f>
        <v>0</v>
      </c>
      <c r="AI762" s="436">
        <f>IF(NFI_Expiration=1,IF($A762&lt;VLOOKUP(T$5,NFI,5,0),1,0)*Table_NFI[[#This Row],[Winter Items Other]],Table_NFI[Winter Items Other])</f>
        <v>0</v>
      </c>
      <c r="AJ762" s="436">
        <f>IF(NFI_Expiration=1,IF($A762&lt;VLOOKUP(M$5,NFI,5,0),1,0)*Table_NFI[[#This Row],[Winter Blanket]],Table_NFI[[#This Row],[Winter Blanket]])</f>
        <v>0</v>
      </c>
      <c r="AK762" s="436">
        <f>IF(Table_NFI[[#This Row],[Winter Clothes Adult]]+Table_NFI[[#This Row],[Winter Clothes Children]]+Table_NFI[[#This Row],[Winter Items Other]]+Table_NFI[[#This Row],[Winter Blanket]]&gt;0,1,0)</f>
        <v>0</v>
      </c>
      <c r="AL762" s="439">
        <f>IF(NFI_Expiration=1,IF($A762&lt;VLOOKUP(V$5,NFI,5,0),1,0)*Table_NFI[[#This Row],[Jerry Can]],Table_NFI[Jerry Can])</f>
        <v>0</v>
      </c>
      <c r="AM762" s="781" t="str">
        <f>IFERROR(VLOOKUP(Table_NFI[[#This Row],[Camp Name]],CL,2,0),"")</f>
        <v>MMR001CMP123</v>
      </c>
      <c r="AN762" s="782">
        <f ca="1">IF(Table_NFI[[#This Row],[Pcode]]="","",IF(OFFSET(CampList[Opening Date],MATCH(Table_NFI[[#This Row],[Pcode]],CampList[CP_Pcode],0)-1,0,1,1)&gt;=NFI_Monitor_Date,1,0))</f>
        <v>0</v>
      </c>
      <c r="AO762" s="781" t="str">
        <f>IFERROR(VLOOKUP(Table_NFI[[#This Row],[Camp Name]],CL,3,0),"")</f>
        <v>Open</v>
      </c>
      <c r="AP762" s="436" t="str">
        <f ca="1">IF(Table_NFI[[#This Row],[Pcode]]="","",OFFSET(CampList[Priority],MATCH(Table_NFI[[#This Row],[Pcode]],CampList[CP_Pcode],0)-1,0,1,1))</f>
        <v>P2</v>
      </c>
      <c r="AQ762" s="438">
        <f>IFERROR(Table_NFI[[#This Row],[Kitchen Set]]/VLOOKUP(Table_NFI[[#This Row],[Camp Name]],CL,4,0),"")</f>
        <v>1.3565217391304347</v>
      </c>
      <c r="AR762" s="779" t="s">
        <v>1099</v>
      </c>
      <c r="AS762" s="783"/>
    </row>
    <row r="763" spans="1:45" x14ac:dyDescent="0.25">
      <c r="A763" s="455">
        <f t="shared" si="11"/>
        <v>40.06666666666667</v>
      </c>
      <c r="B763" s="778">
        <v>41107</v>
      </c>
      <c r="C763" s="779" t="s">
        <v>454</v>
      </c>
      <c r="D763" s="780" t="s">
        <v>454</v>
      </c>
      <c r="E763" s="779" t="s">
        <v>380</v>
      </c>
      <c r="F763" s="435" t="s">
        <v>185</v>
      </c>
      <c r="G763" s="435" t="s">
        <v>194</v>
      </c>
      <c r="H763" s="436"/>
      <c r="I763" s="441"/>
      <c r="J763" s="434"/>
      <c r="K763" s="434">
        <v>0</v>
      </c>
      <c r="L763" s="434">
        <v>0</v>
      </c>
      <c r="M763" s="434">
        <v>0</v>
      </c>
      <c r="N763" s="434">
        <v>0</v>
      </c>
      <c r="O763" s="434">
        <v>0</v>
      </c>
      <c r="P763" s="437"/>
      <c r="Q763" s="437"/>
      <c r="R763" s="436"/>
      <c r="S763" s="436"/>
      <c r="T763" s="436"/>
      <c r="U763" s="436"/>
      <c r="V763" s="436"/>
      <c r="W763" s="436">
        <f>IF(NFI_Expiration=1,IF($A763&lt;VLOOKUP(H$5,NFI,5,0),1,0)*Table_NFI[[#This Row],[Hygiene Kit]],Table_NFI[Hygiene Kit])</f>
        <v>0</v>
      </c>
      <c r="X763" s="436">
        <f>IF(NFI_Expiration=1,IF($A763&lt;VLOOKUP(I$5,NFI,5,0),1,0)*Table_NFI[[#This Row],[NFI Core Kit]],Table_NFI[NFI Core Kit])</f>
        <v>0</v>
      </c>
      <c r="Y763" s="436">
        <f>IF(NFI_Expiration=1,IF($A763&lt;VLOOKUP(J$5,NFI,5,0),1,0)*Table_NFI[[#This Row],[Sanitary Kit]],Table_NFI[Sanitary Kit])</f>
        <v>0</v>
      </c>
      <c r="Z763" s="436">
        <f>IF(NFI_Expiration=1,IF($A763&lt;VLOOKUP(K$5,NFI,5,0),1,0)*Table_NFI[[#This Row],[Mosquito net]],Table_NFI[Mosquito net])</f>
        <v>0</v>
      </c>
      <c r="AA763" s="436">
        <f>IF(NFI_Expiration=1,IF($A763&lt;VLOOKUP(L$5,NFI,5,0),1,0)*Table_NFI[[#This Row],[Tarpaulin]],Table_NFI[[#This Row],[Tarpaulin]])</f>
        <v>0</v>
      </c>
      <c r="AB763" s="436">
        <f>IF(NFI_Expiration=1,IF($A763&lt;VLOOKUP(M$5,NFI,5,0),1,0)*Table_NFI[[#This Row],[Blanket]],Table_NFI[[#This Row],[Blanket]])</f>
        <v>0</v>
      </c>
      <c r="AC763" s="436">
        <f>IF(NFI_Expiration=1,IF($A763&lt;VLOOKUP(N$5,NFI,5,0),1,0)*Table_NFI[[#This Row],[Kitchen Set]],Table_NFI[Kitchen Set])</f>
        <v>0</v>
      </c>
      <c r="AD763" s="436">
        <f>IF(NFI_Expiration=1,IF($A763&lt;VLOOKUP(O$5,NFI,5,0),1,0)*Table_NFI[[#This Row],[Clothes Kit]],Table_NFI[Clothes Kit])</f>
        <v>0</v>
      </c>
      <c r="AE763" s="436">
        <f>IF(NFI_Expiration=1,IF($A763&lt;VLOOKUP(P$5,NFI,5,0),1,0)*Table_NFI[[#This Row],[Plastic Bucket]],Table_NFI[Plastic Bucket])</f>
        <v>0</v>
      </c>
      <c r="AF763" s="436">
        <f>IF(NFI_Expiration=1,IF($A763&lt;VLOOKUP(Q$5,NFI,5,0),1,0)*Table_NFI[[#This Row],[Plastic Mat]],Table_NFI[Plastic Mat])*IF(Table_NFI[[#This Row],[Distribution Date]]&gt;"2014-04-01",1,2.5)</f>
        <v>0</v>
      </c>
      <c r="AG763" s="436">
        <f>IF(NFI_Expiration=1,IF($A763&lt;VLOOKUP(R$5,NFI,5,0),1,0)*Table_NFI[[#This Row],[Winter Clothes Adult]],Table_NFI[Winter Clothes Adult])</f>
        <v>0</v>
      </c>
      <c r="AH763" s="436">
        <f>IF(NFI_Expiration=1,IF($A763&lt;VLOOKUP(S$5,NFI,5,0),1,0)*Table_NFI[[#This Row],[Winter Clothes Children]],Table_NFI[Winter Clothes Children])</f>
        <v>0</v>
      </c>
      <c r="AI763" s="436">
        <f>IF(NFI_Expiration=1,IF($A763&lt;VLOOKUP(T$5,NFI,5,0),1,0)*Table_NFI[[#This Row],[Winter Items Other]],Table_NFI[Winter Items Other])</f>
        <v>0</v>
      </c>
      <c r="AJ763" s="436">
        <f>IF(NFI_Expiration=1,IF($A763&lt;VLOOKUP(M$5,NFI,5,0),1,0)*Table_NFI[[#This Row],[Winter Blanket]],Table_NFI[[#This Row],[Winter Blanket]])</f>
        <v>0</v>
      </c>
      <c r="AK763" s="436">
        <f>IF(Table_NFI[[#This Row],[Winter Clothes Adult]]+Table_NFI[[#This Row],[Winter Clothes Children]]+Table_NFI[[#This Row],[Winter Items Other]]+Table_NFI[[#This Row],[Winter Blanket]]&gt;0,1,0)</f>
        <v>0</v>
      </c>
      <c r="AL763" s="439">
        <f>IF(NFI_Expiration=1,IF($A763&lt;VLOOKUP(V$5,NFI,5,0),1,0)*Table_NFI[[#This Row],[Jerry Can]],Table_NFI[Jerry Can])</f>
        <v>0</v>
      </c>
      <c r="AM763" s="781" t="str">
        <f>IFERROR(VLOOKUP(Table_NFI[[#This Row],[Camp Name]],CL,2,0),"")</f>
        <v>MMR001CMP122</v>
      </c>
      <c r="AN763" s="782">
        <f ca="1">IF(Table_NFI[[#This Row],[Pcode]]="","",IF(OFFSET(CampList[Opening Date],MATCH(Table_NFI[[#This Row],[Pcode]],CampList[CP_Pcode],0)-1,0,1,1)&gt;=NFI_Monitor_Date,1,0))</f>
        <v>0</v>
      </c>
      <c r="AO763" s="781" t="str">
        <f>IFERROR(VLOOKUP(Table_NFI[[#This Row],[Camp Name]],CL,3,0),"")</f>
        <v>Open</v>
      </c>
      <c r="AP763" s="436" t="str">
        <f ca="1">IF(Table_NFI[[#This Row],[Pcode]]="","",OFFSET(CampList[Priority],MATCH(Table_NFI[[#This Row],[Pcode]],CampList[CP_Pcode],0)-1,0,1,1))</f>
        <v>P2</v>
      </c>
      <c r="AQ763" s="438">
        <f>IFERROR(Table_NFI[[#This Row],[Kitchen Set]]/VLOOKUP(Table_NFI[[#This Row],[Camp Name]],CL,4,0),"")</f>
        <v>0</v>
      </c>
      <c r="AR763" s="779" t="s">
        <v>1099</v>
      </c>
      <c r="AS763" s="783"/>
    </row>
    <row r="764" spans="1:45" x14ac:dyDescent="0.25">
      <c r="A764" s="455">
        <f t="shared" si="11"/>
        <v>40.06666666666667</v>
      </c>
      <c r="B764" s="778">
        <v>41107</v>
      </c>
      <c r="C764" s="779" t="s">
        <v>454</v>
      </c>
      <c r="D764" s="780" t="s">
        <v>454</v>
      </c>
      <c r="E764" s="779" t="s">
        <v>380</v>
      </c>
      <c r="F764" s="435" t="s">
        <v>237</v>
      </c>
      <c r="G764" s="435" t="s">
        <v>253</v>
      </c>
      <c r="H764" s="436"/>
      <c r="I764" s="436"/>
      <c r="J764" s="436"/>
      <c r="K764" s="436">
        <v>21</v>
      </c>
      <c r="L764" s="437">
        <v>21</v>
      </c>
      <c r="M764" s="437">
        <v>21</v>
      </c>
      <c r="N764" s="437">
        <v>21</v>
      </c>
      <c r="O764" s="437">
        <v>21</v>
      </c>
      <c r="P764" s="437">
        <v>21</v>
      </c>
      <c r="Q764" s="437">
        <v>21</v>
      </c>
      <c r="R764" s="436"/>
      <c r="S764" s="436"/>
      <c r="T764" s="436"/>
      <c r="U764" s="436"/>
      <c r="V764" s="436"/>
      <c r="W764" s="436">
        <f>IF(NFI_Expiration=1,IF($A764&lt;VLOOKUP(H$5,NFI,5,0),1,0)*Table_NFI[[#This Row],[Hygiene Kit]],Table_NFI[Hygiene Kit])</f>
        <v>0</v>
      </c>
      <c r="X764" s="436">
        <f>IF(NFI_Expiration=1,IF($A764&lt;VLOOKUP(I$5,NFI,5,0),1,0)*Table_NFI[[#This Row],[NFI Core Kit]],Table_NFI[NFI Core Kit])</f>
        <v>0</v>
      </c>
      <c r="Y764" s="436">
        <f>IF(NFI_Expiration=1,IF($A764&lt;VLOOKUP(J$5,NFI,5,0),1,0)*Table_NFI[[#This Row],[Sanitary Kit]],Table_NFI[Sanitary Kit])</f>
        <v>0</v>
      </c>
      <c r="Z764" s="436">
        <f>IF(NFI_Expiration=1,IF($A764&lt;VLOOKUP(K$5,NFI,5,0),1,0)*Table_NFI[[#This Row],[Mosquito net]],Table_NFI[Mosquito net])</f>
        <v>0</v>
      </c>
      <c r="AA764" s="436">
        <f>IF(NFI_Expiration=1,IF($A764&lt;VLOOKUP(L$5,NFI,5,0),1,0)*Table_NFI[[#This Row],[Tarpaulin]],Table_NFI[[#This Row],[Tarpaulin]])</f>
        <v>0</v>
      </c>
      <c r="AB764" s="436">
        <f>IF(NFI_Expiration=1,IF($A764&lt;VLOOKUP(M$5,NFI,5,0),1,0)*Table_NFI[[#This Row],[Blanket]],Table_NFI[[#This Row],[Blanket]])</f>
        <v>0</v>
      </c>
      <c r="AC764" s="436">
        <f>IF(NFI_Expiration=1,IF($A764&lt;VLOOKUP(N$5,NFI,5,0),1,0)*Table_NFI[[#This Row],[Kitchen Set]],Table_NFI[Kitchen Set])</f>
        <v>0</v>
      </c>
      <c r="AD764" s="436">
        <f>IF(NFI_Expiration=1,IF($A764&lt;VLOOKUP(O$5,NFI,5,0),1,0)*Table_NFI[[#This Row],[Clothes Kit]],Table_NFI[Clothes Kit])</f>
        <v>0</v>
      </c>
      <c r="AE764" s="436">
        <f>IF(NFI_Expiration=1,IF($A764&lt;VLOOKUP(P$5,NFI,5,0),1,0)*Table_NFI[[#This Row],[Plastic Bucket]],Table_NFI[Plastic Bucket])</f>
        <v>0</v>
      </c>
      <c r="AF764" s="436">
        <f>IF(NFI_Expiration=1,IF($A764&lt;VLOOKUP(Q$5,NFI,5,0),1,0)*Table_NFI[[#This Row],[Plastic Mat]],Table_NFI[Plastic Mat])*IF(Table_NFI[[#This Row],[Distribution Date]]&gt;"2014-04-01",1,2.5)</f>
        <v>0</v>
      </c>
      <c r="AG764" s="436">
        <f>IF(NFI_Expiration=1,IF($A764&lt;VLOOKUP(R$5,NFI,5,0),1,0)*Table_NFI[[#This Row],[Winter Clothes Adult]],Table_NFI[Winter Clothes Adult])</f>
        <v>0</v>
      </c>
      <c r="AH764" s="436">
        <f>IF(NFI_Expiration=1,IF($A764&lt;VLOOKUP(S$5,NFI,5,0),1,0)*Table_NFI[[#This Row],[Winter Clothes Children]],Table_NFI[Winter Clothes Children])</f>
        <v>0</v>
      </c>
      <c r="AI764" s="436">
        <f>IF(NFI_Expiration=1,IF($A764&lt;VLOOKUP(T$5,NFI,5,0),1,0)*Table_NFI[[#This Row],[Winter Items Other]],Table_NFI[Winter Items Other])</f>
        <v>0</v>
      </c>
      <c r="AJ764" s="436">
        <f>IF(NFI_Expiration=1,IF($A764&lt;VLOOKUP(M$5,NFI,5,0),1,0)*Table_NFI[[#This Row],[Winter Blanket]],Table_NFI[[#This Row],[Winter Blanket]])</f>
        <v>0</v>
      </c>
      <c r="AK764" s="436">
        <f>IF(Table_NFI[[#This Row],[Winter Clothes Adult]]+Table_NFI[[#This Row],[Winter Clothes Children]]+Table_NFI[[#This Row],[Winter Items Other]]+Table_NFI[[#This Row],[Winter Blanket]]&gt;0,1,0)</f>
        <v>0</v>
      </c>
      <c r="AL764" s="439">
        <f>IF(NFI_Expiration=1,IF($A764&lt;VLOOKUP(V$5,NFI,5,0),1,0)*Table_NFI[[#This Row],[Jerry Can]],Table_NFI[Jerry Can])</f>
        <v>0</v>
      </c>
      <c r="AM764" s="781" t="str">
        <f>IFERROR(VLOOKUP(Table_NFI[[#This Row],[Camp Name]],CL,2,0),"")</f>
        <v>MMR001CMP018</v>
      </c>
      <c r="AN764" s="782">
        <f ca="1">IF(Table_NFI[[#This Row],[Pcode]]="","",IF(OFFSET(CampList[Opening Date],MATCH(Table_NFI[[#This Row],[Pcode]],CampList[CP_Pcode],0)-1,0,1,1)&gt;=NFI_Monitor_Date,1,0))</f>
        <v>0</v>
      </c>
      <c r="AO764" s="781" t="str">
        <f>IFERROR(VLOOKUP(Table_NFI[[#This Row],[Camp Name]],CL,3,0),"")</f>
        <v>Open</v>
      </c>
      <c r="AP764" s="436" t="str">
        <f ca="1">IF(Table_NFI[[#This Row],[Pcode]]="","",OFFSET(CampList[Priority],MATCH(Table_NFI[[#This Row],[Pcode]],CampList[CP_Pcode],0)-1,0,1,1))</f>
        <v>P4</v>
      </c>
      <c r="AQ764" s="438">
        <f>IFERROR(Table_NFI[[#This Row],[Kitchen Set]]/VLOOKUP(Table_NFI[[#This Row],[Camp Name]],CL,4,0),"")</f>
        <v>0.10344827586206896</v>
      </c>
      <c r="AR764" s="779" t="s">
        <v>1099</v>
      </c>
      <c r="AS764" s="783"/>
    </row>
    <row r="765" spans="1:45" x14ac:dyDescent="0.25">
      <c r="A765" s="455">
        <f t="shared" si="11"/>
        <v>40.06666666666667</v>
      </c>
      <c r="B765" s="778">
        <v>41107</v>
      </c>
      <c r="C765" s="779" t="s">
        <v>454</v>
      </c>
      <c r="D765" s="780" t="s">
        <v>454</v>
      </c>
      <c r="E765" s="779" t="s">
        <v>380</v>
      </c>
      <c r="F765" s="435" t="s">
        <v>185</v>
      </c>
      <c r="G765" s="435" t="s">
        <v>190</v>
      </c>
      <c r="H765" s="436"/>
      <c r="I765" s="436"/>
      <c r="J765" s="436"/>
      <c r="K765" s="436">
        <v>0</v>
      </c>
      <c r="L765" s="437">
        <v>0</v>
      </c>
      <c r="M765" s="437">
        <v>0</v>
      </c>
      <c r="N765" s="437">
        <v>0</v>
      </c>
      <c r="O765" s="437">
        <v>0</v>
      </c>
      <c r="P765" s="437"/>
      <c r="Q765" s="437"/>
      <c r="R765" s="436"/>
      <c r="S765" s="436"/>
      <c r="T765" s="436"/>
      <c r="U765" s="436"/>
      <c r="V765" s="436"/>
      <c r="W765" s="436">
        <f>IF(NFI_Expiration=1,IF($A765&lt;VLOOKUP(H$5,NFI,5,0),1,0)*Table_NFI[[#This Row],[Hygiene Kit]],Table_NFI[Hygiene Kit])</f>
        <v>0</v>
      </c>
      <c r="X765" s="436">
        <f>IF(NFI_Expiration=1,IF($A765&lt;VLOOKUP(I$5,NFI,5,0),1,0)*Table_NFI[[#This Row],[NFI Core Kit]],Table_NFI[NFI Core Kit])</f>
        <v>0</v>
      </c>
      <c r="Y765" s="436">
        <f>IF(NFI_Expiration=1,IF($A765&lt;VLOOKUP(J$5,NFI,5,0),1,0)*Table_NFI[[#This Row],[Sanitary Kit]],Table_NFI[Sanitary Kit])</f>
        <v>0</v>
      </c>
      <c r="Z765" s="436">
        <f>IF(NFI_Expiration=1,IF($A765&lt;VLOOKUP(K$5,NFI,5,0),1,0)*Table_NFI[[#This Row],[Mosquito net]],Table_NFI[Mosquito net])</f>
        <v>0</v>
      </c>
      <c r="AA765" s="436">
        <f>IF(NFI_Expiration=1,IF($A765&lt;VLOOKUP(L$5,NFI,5,0),1,0)*Table_NFI[[#This Row],[Tarpaulin]],Table_NFI[[#This Row],[Tarpaulin]])</f>
        <v>0</v>
      </c>
      <c r="AB765" s="436">
        <f>IF(NFI_Expiration=1,IF($A765&lt;VLOOKUP(M$5,NFI,5,0),1,0)*Table_NFI[[#This Row],[Blanket]],Table_NFI[[#This Row],[Blanket]])</f>
        <v>0</v>
      </c>
      <c r="AC765" s="436">
        <f>IF(NFI_Expiration=1,IF($A765&lt;VLOOKUP(N$5,NFI,5,0),1,0)*Table_NFI[[#This Row],[Kitchen Set]],Table_NFI[Kitchen Set])</f>
        <v>0</v>
      </c>
      <c r="AD765" s="436">
        <f>IF(NFI_Expiration=1,IF($A765&lt;VLOOKUP(O$5,NFI,5,0),1,0)*Table_NFI[[#This Row],[Clothes Kit]],Table_NFI[Clothes Kit])</f>
        <v>0</v>
      </c>
      <c r="AE765" s="436">
        <f>IF(NFI_Expiration=1,IF($A765&lt;VLOOKUP(P$5,NFI,5,0),1,0)*Table_NFI[[#This Row],[Plastic Bucket]],Table_NFI[Plastic Bucket])</f>
        <v>0</v>
      </c>
      <c r="AF765" s="436">
        <f>IF(NFI_Expiration=1,IF($A765&lt;VLOOKUP(Q$5,NFI,5,0),1,0)*Table_NFI[[#This Row],[Plastic Mat]],Table_NFI[Plastic Mat])*IF(Table_NFI[[#This Row],[Distribution Date]]&gt;"2014-04-01",1,2.5)</f>
        <v>0</v>
      </c>
      <c r="AG765" s="436">
        <f>IF(NFI_Expiration=1,IF($A765&lt;VLOOKUP(R$5,NFI,5,0),1,0)*Table_NFI[[#This Row],[Winter Clothes Adult]],Table_NFI[Winter Clothes Adult])</f>
        <v>0</v>
      </c>
      <c r="AH765" s="436">
        <f>IF(NFI_Expiration=1,IF($A765&lt;VLOOKUP(S$5,NFI,5,0),1,0)*Table_NFI[[#This Row],[Winter Clothes Children]],Table_NFI[Winter Clothes Children])</f>
        <v>0</v>
      </c>
      <c r="AI765" s="436">
        <f>IF(NFI_Expiration=1,IF($A765&lt;VLOOKUP(T$5,NFI,5,0),1,0)*Table_NFI[[#This Row],[Winter Items Other]],Table_NFI[Winter Items Other])</f>
        <v>0</v>
      </c>
      <c r="AJ765" s="436">
        <f>IF(NFI_Expiration=1,IF($A765&lt;VLOOKUP(M$5,NFI,5,0),1,0)*Table_NFI[[#This Row],[Winter Blanket]],Table_NFI[[#This Row],[Winter Blanket]])</f>
        <v>0</v>
      </c>
      <c r="AK765" s="436">
        <f>IF(Table_NFI[[#This Row],[Winter Clothes Adult]]+Table_NFI[[#This Row],[Winter Clothes Children]]+Table_NFI[[#This Row],[Winter Items Other]]+Table_NFI[[#This Row],[Winter Blanket]]&gt;0,1,0)</f>
        <v>0</v>
      </c>
      <c r="AL765" s="439">
        <f>IF(NFI_Expiration=1,IF($A765&lt;VLOOKUP(V$5,NFI,5,0),1,0)*Table_NFI[[#This Row],[Jerry Can]],Table_NFI[Jerry Can])</f>
        <v>0</v>
      </c>
      <c r="AM765" s="781" t="str">
        <f>IFERROR(VLOOKUP(Table_NFI[[#This Row],[Camp Name]],CL,2,0),"")</f>
        <v>MMR001CMP070</v>
      </c>
      <c r="AN765" s="782">
        <f ca="1">IF(Table_NFI[[#This Row],[Pcode]]="","",IF(OFFSET(CampList[Opening Date],MATCH(Table_NFI[[#This Row],[Pcode]],CampList[CP_Pcode],0)-1,0,1,1)&gt;=NFI_Monitor_Date,1,0))</f>
        <v>0</v>
      </c>
      <c r="AO765" s="781" t="str">
        <f>IFERROR(VLOOKUP(Table_NFI[[#This Row],[Camp Name]],CL,3,0),"")</f>
        <v>Open</v>
      </c>
      <c r="AP765" s="436" t="str">
        <f ca="1">IF(Table_NFI[[#This Row],[Pcode]]="","",OFFSET(CampList[Priority],MATCH(Table_NFI[[#This Row],[Pcode]],CampList[CP_Pcode],0)-1,0,1,1))</f>
        <v>P3</v>
      </c>
      <c r="AQ765" s="438">
        <f>IFERROR(Table_NFI[[#This Row],[Kitchen Set]]/VLOOKUP(Table_NFI[[#This Row],[Camp Name]],CL,4,0),"")</f>
        <v>0</v>
      </c>
      <c r="AR765" s="779" t="s">
        <v>1099</v>
      </c>
      <c r="AS765" s="783"/>
    </row>
    <row r="766" spans="1:45" x14ac:dyDescent="0.25">
      <c r="A766" s="455">
        <f t="shared" si="11"/>
        <v>40.06666666666667</v>
      </c>
      <c r="B766" s="778">
        <v>41107</v>
      </c>
      <c r="C766" s="779" t="s">
        <v>454</v>
      </c>
      <c r="D766" s="780" t="s">
        <v>454</v>
      </c>
      <c r="E766" s="779" t="s">
        <v>380</v>
      </c>
      <c r="F766" s="435" t="s">
        <v>151</v>
      </c>
      <c r="G766" s="435" t="s">
        <v>158</v>
      </c>
      <c r="H766" s="436"/>
      <c r="I766" s="436"/>
      <c r="J766" s="436"/>
      <c r="K766" s="436">
        <v>0</v>
      </c>
      <c r="L766" s="437">
        <v>0</v>
      </c>
      <c r="M766" s="437">
        <v>0</v>
      </c>
      <c r="N766" s="437">
        <v>0</v>
      </c>
      <c r="O766" s="437">
        <v>0</v>
      </c>
      <c r="P766" s="437"/>
      <c r="Q766" s="437"/>
      <c r="R766" s="436"/>
      <c r="S766" s="436"/>
      <c r="T766" s="436"/>
      <c r="U766" s="436"/>
      <c r="V766" s="436"/>
      <c r="W766" s="436">
        <f>IF(NFI_Expiration=1,IF($A766&lt;VLOOKUP(H$5,NFI,5,0),1,0)*Table_NFI[[#This Row],[Hygiene Kit]],Table_NFI[Hygiene Kit])</f>
        <v>0</v>
      </c>
      <c r="X766" s="436">
        <f>IF(NFI_Expiration=1,IF($A766&lt;VLOOKUP(I$5,NFI,5,0),1,0)*Table_NFI[[#This Row],[NFI Core Kit]],Table_NFI[NFI Core Kit])</f>
        <v>0</v>
      </c>
      <c r="Y766" s="436">
        <f>IF(NFI_Expiration=1,IF($A766&lt;VLOOKUP(J$5,NFI,5,0),1,0)*Table_NFI[[#This Row],[Sanitary Kit]],Table_NFI[Sanitary Kit])</f>
        <v>0</v>
      </c>
      <c r="Z766" s="436">
        <f>IF(NFI_Expiration=1,IF($A766&lt;VLOOKUP(K$5,NFI,5,0),1,0)*Table_NFI[[#This Row],[Mosquito net]],Table_NFI[Mosquito net])</f>
        <v>0</v>
      </c>
      <c r="AA766" s="436">
        <f>IF(NFI_Expiration=1,IF($A766&lt;VLOOKUP(L$5,NFI,5,0),1,0)*Table_NFI[[#This Row],[Tarpaulin]],Table_NFI[[#This Row],[Tarpaulin]])</f>
        <v>0</v>
      </c>
      <c r="AB766" s="436">
        <f>IF(NFI_Expiration=1,IF($A766&lt;VLOOKUP(M$5,NFI,5,0),1,0)*Table_NFI[[#This Row],[Blanket]],Table_NFI[[#This Row],[Blanket]])</f>
        <v>0</v>
      </c>
      <c r="AC766" s="436">
        <f>IF(NFI_Expiration=1,IF($A766&lt;VLOOKUP(N$5,NFI,5,0),1,0)*Table_NFI[[#This Row],[Kitchen Set]],Table_NFI[Kitchen Set])</f>
        <v>0</v>
      </c>
      <c r="AD766" s="436">
        <f>IF(NFI_Expiration=1,IF($A766&lt;VLOOKUP(O$5,NFI,5,0),1,0)*Table_NFI[[#This Row],[Clothes Kit]],Table_NFI[Clothes Kit])</f>
        <v>0</v>
      </c>
      <c r="AE766" s="436">
        <f>IF(NFI_Expiration=1,IF($A766&lt;VLOOKUP(P$5,NFI,5,0),1,0)*Table_NFI[[#This Row],[Plastic Bucket]],Table_NFI[Plastic Bucket])</f>
        <v>0</v>
      </c>
      <c r="AF766" s="436">
        <f>IF(NFI_Expiration=1,IF($A766&lt;VLOOKUP(Q$5,NFI,5,0),1,0)*Table_NFI[[#This Row],[Plastic Mat]],Table_NFI[Plastic Mat])*IF(Table_NFI[[#This Row],[Distribution Date]]&gt;"2014-04-01",1,2.5)</f>
        <v>0</v>
      </c>
      <c r="AG766" s="436">
        <f>IF(NFI_Expiration=1,IF($A766&lt;VLOOKUP(R$5,NFI,5,0),1,0)*Table_NFI[[#This Row],[Winter Clothes Adult]],Table_NFI[Winter Clothes Adult])</f>
        <v>0</v>
      </c>
      <c r="AH766" s="436">
        <f>IF(NFI_Expiration=1,IF($A766&lt;VLOOKUP(S$5,NFI,5,0),1,0)*Table_NFI[[#This Row],[Winter Clothes Children]],Table_NFI[Winter Clothes Children])</f>
        <v>0</v>
      </c>
      <c r="AI766" s="436">
        <f>IF(NFI_Expiration=1,IF($A766&lt;VLOOKUP(T$5,NFI,5,0),1,0)*Table_NFI[[#This Row],[Winter Items Other]],Table_NFI[Winter Items Other])</f>
        <v>0</v>
      </c>
      <c r="AJ766" s="436">
        <f>IF(NFI_Expiration=1,IF($A766&lt;VLOOKUP(M$5,NFI,5,0),1,0)*Table_NFI[[#This Row],[Winter Blanket]],Table_NFI[[#This Row],[Winter Blanket]])</f>
        <v>0</v>
      </c>
      <c r="AK766" s="436">
        <f>IF(Table_NFI[[#This Row],[Winter Clothes Adult]]+Table_NFI[[#This Row],[Winter Clothes Children]]+Table_NFI[[#This Row],[Winter Items Other]]+Table_NFI[[#This Row],[Winter Blanket]]&gt;0,1,0)</f>
        <v>0</v>
      </c>
      <c r="AL766" s="439">
        <f>IF(NFI_Expiration=1,IF($A766&lt;VLOOKUP(V$5,NFI,5,0),1,0)*Table_NFI[[#This Row],[Jerry Can]],Table_NFI[Jerry Can])</f>
        <v>0</v>
      </c>
      <c r="AM766" s="781" t="str">
        <f>IFERROR(VLOOKUP(Table_NFI[[#This Row],[Camp Name]],CL,2,0),"")</f>
        <v>MMR001CMP135</v>
      </c>
      <c r="AN766" s="782">
        <f ca="1">IF(Table_NFI[[#This Row],[Pcode]]="","",IF(OFFSET(CampList[Opening Date],MATCH(Table_NFI[[#This Row],[Pcode]],CampList[CP_Pcode],0)-1,0,1,1)&gt;=NFI_Monitor_Date,1,0))</f>
        <v>0</v>
      </c>
      <c r="AO766" s="781" t="str">
        <f>IFERROR(VLOOKUP(Table_NFI[[#This Row],[Camp Name]],CL,3,0),"")</f>
        <v>Closed</v>
      </c>
      <c r="AP766" s="436" t="str">
        <f ca="1">IF(Table_NFI[[#This Row],[Pcode]]="","",OFFSET(CampList[Priority],MATCH(Table_NFI[[#This Row],[Pcode]],CampList[CP_Pcode],0)-1,0,1,1))</f>
        <v>P2</v>
      </c>
      <c r="AQ766" s="438" t="str">
        <f>IFERROR(Table_NFI[[#This Row],[Kitchen Set]]/VLOOKUP(Table_NFI[[#This Row],[Camp Name]],CL,4,0),"")</f>
        <v/>
      </c>
      <c r="AR766" s="779" t="s">
        <v>1099</v>
      </c>
      <c r="AS766" s="783"/>
    </row>
    <row r="767" spans="1:45" x14ac:dyDescent="0.25">
      <c r="A767" s="455">
        <f t="shared" si="11"/>
        <v>40.06666666666667</v>
      </c>
      <c r="B767" s="778">
        <v>41107</v>
      </c>
      <c r="C767" s="779" t="s">
        <v>454</v>
      </c>
      <c r="D767" s="779" t="s">
        <v>454</v>
      </c>
      <c r="E767" s="779" t="s">
        <v>380</v>
      </c>
      <c r="F767" s="435" t="s">
        <v>185</v>
      </c>
      <c r="G767" s="435" t="s">
        <v>200</v>
      </c>
      <c r="H767" s="436"/>
      <c r="I767" s="436"/>
      <c r="J767" s="436"/>
      <c r="K767" s="436">
        <v>0</v>
      </c>
      <c r="L767" s="437">
        <v>0</v>
      </c>
      <c r="M767" s="437">
        <v>0</v>
      </c>
      <c r="N767" s="437">
        <v>0</v>
      </c>
      <c r="O767" s="437">
        <v>0</v>
      </c>
      <c r="P767" s="439"/>
      <c r="Q767" s="439"/>
      <c r="R767" s="436"/>
      <c r="S767" s="436"/>
      <c r="T767" s="436"/>
      <c r="U767" s="436"/>
      <c r="V767" s="436"/>
      <c r="W767" s="436">
        <f>IF(NFI_Expiration=1,IF($A767&lt;VLOOKUP(H$5,NFI,5,0),1,0)*Table_NFI[[#This Row],[Hygiene Kit]],Table_NFI[Hygiene Kit])</f>
        <v>0</v>
      </c>
      <c r="X767" s="436">
        <f>IF(NFI_Expiration=1,IF($A767&lt;VLOOKUP(I$5,NFI,5,0),1,0)*Table_NFI[[#This Row],[NFI Core Kit]],Table_NFI[NFI Core Kit])</f>
        <v>0</v>
      </c>
      <c r="Y767" s="436">
        <f>IF(NFI_Expiration=1,IF($A767&lt;VLOOKUP(J$5,NFI,5,0),1,0)*Table_NFI[[#This Row],[Sanitary Kit]],Table_NFI[Sanitary Kit])</f>
        <v>0</v>
      </c>
      <c r="Z767" s="436">
        <f>IF(NFI_Expiration=1,IF($A767&lt;VLOOKUP(K$5,NFI,5,0),1,0)*Table_NFI[[#This Row],[Mosquito net]],Table_NFI[Mosquito net])</f>
        <v>0</v>
      </c>
      <c r="AA767" s="436">
        <f>IF(NFI_Expiration=1,IF($A767&lt;VLOOKUP(L$5,NFI,5,0),1,0)*Table_NFI[[#This Row],[Tarpaulin]],Table_NFI[[#This Row],[Tarpaulin]])</f>
        <v>0</v>
      </c>
      <c r="AB767" s="436">
        <f>IF(NFI_Expiration=1,IF($A767&lt;VLOOKUP(M$5,NFI,5,0),1,0)*Table_NFI[[#This Row],[Blanket]],Table_NFI[[#This Row],[Blanket]])</f>
        <v>0</v>
      </c>
      <c r="AC767" s="436">
        <f>IF(NFI_Expiration=1,IF($A767&lt;VLOOKUP(N$5,NFI,5,0),1,0)*Table_NFI[[#This Row],[Kitchen Set]],Table_NFI[Kitchen Set])</f>
        <v>0</v>
      </c>
      <c r="AD767" s="436">
        <f>IF(NFI_Expiration=1,IF($A767&lt;VLOOKUP(O$5,NFI,5,0),1,0)*Table_NFI[[#This Row],[Clothes Kit]],Table_NFI[Clothes Kit])</f>
        <v>0</v>
      </c>
      <c r="AE767" s="436">
        <f>IF(NFI_Expiration=1,IF($A767&lt;VLOOKUP(P$5,NFI,5,0),1,0)*Table_NFI[[#This Row],[Plastic Bucket]],Table_NFI[Plastic Bucket])</f>
        <v>0</v>
      </c>
      <c r="AF767" s="436">
        <f>IF(NFI_Expiration=1,IF($A767&lt;VLOOKUP(Q$5,NFI,5,0),1,0)*Table_NFI[[#This Row],[Plastic Mat]],Table_NFI[Plastic Mat])*IF(Table_NFI[[#This Row],[Distribution Date]]&gt;"2014-04-01",1,2.5)</f>
        <v>0</v>
      </c>
      <c r="AG767" s="436">
        <f>IF(NFI_Expiration=1,IF($A767&lt;VLOOKUP(R$5,NFI,5,0),1,0)*Table_NFI[[#This Row],[Winter Clothes Adult]],Table_NFI[Winter Clothes Adult])</f>
        <v>0</v>
      </c>
      <c r="AH767" s="436">
        <f>IF(NFI_Expiration=1,IF($A767&lt;VLOOKUP(S$5,NFI,5,0),1,0)*Table_NFI[[#This Row],[Winter Clothes Children]],Table_NFI[Winter Clothes Children])</f>
        <v>0</v>
      </c>
      <c r="AI767" s="436">
        <f>IF(NFI_Expiration=1,IF($A767&lt;VLOOKUP(T$5,NFI,5,0),1,0)*Table_NFI[[#This Row],[Winter Items Other]],Table_NFI[Winter Items Other])</f>
        <v>0</v>
      </c>
      <c r="AJ767" s="436">
        <f>IF(NFI_Expiration=1,IF($A767&lt;VLOOKUP(M$5,NFI,5,0),1,0)*Table_NFI[[#This Row],[Winter Blanket]],Table_NFI[[#This Row],[Winter Blanket]])</f>
        <v>0</v>
      </c>
      <c r="AK767" s="436">
        <f>IF(Table_NFI[[#This Row],[Winter Clothes Adult]]+Table_NFI[[#This Row],[Winter Clothes Children]]+Table_NFI[[#This Row],[Winter Items Other]]+Table_NFI[[#This Row],[Winter Blanket]]&gt;0,1,0)</f>
        <v>0</v>
      </c>
      <c r="AL767" s="439">
        <f>IF(NFI_Expiration=1,IF($A767&lt;VLOOKUP(V$5,NFI,5,0),1,0)*Table_NFI[[#This Row],[Jerry Can]],Table_NFI[Jerry Can])</f>
        <v>0</v>
      </c>
      <c r="AM767" s="781" t="str">
        <f>IFERROR(VLOOKUP(Table_NFI[[#This Row],[Camp Name]],CL,2,0),"")</f>
        <v>MMR001CMP064</v>
      </c>
      <c r="AN767" s="782">
        <f ca="1">IF(Table_NFI[[#This Row],[Pcode]]="","",IF(OFFSET(CampList[Opening Date],MATCH(Table_NFI[[#This Row],[Pcode]],CampList[CP_Pcode],0)-1,0,1,1)&gt;=NFI_Monitor_Date,1,0))</f>
        <v>0</v>
      </c>
      <c r="AO767" s="781" t="str">
        <f>IFERROR(VLOOKUP(Table_NFI[[#This Row],[Camp Name]],CL,3,0),"")</f>
        <v>Open</v>
      </c>
      <c r="AP767" s="436" t="str">
        <f ca="1">IF(Table_NFI[[#This Row],[Pcode]]="","",OFFSET(CampList[Priority],MATCH(Table_NFI[[#This Row],[Pcode]],CampList[CP_Pcode],0)-1,0,1,1))</f>
        <v>P4</v>
      </c>
      <c r="AQ767" s="438">
        <f>IFERROR(Table_NFI[[#This Row],[Kitchen Set]]/VLOOKUP(Table_NFI[[#This Row],[Camp Name]],CL,4,0),"")</f>
        <v>0</v>
      </c>
      <c r="AR767" s="779" t="s">
        <v>1099</v>
      </c>
      <c r="AS767" s="783"/>
    </row>
    <row r="768" spans="1:45" x14ac:dyDescent="0.25">
      <c r="A768" s="455">
        <f t="shared" si="11"/>
        <v>40.06666666666667</v>
      </c>
      <c r="B768" s="778">
        <v>41107</v>
      </c>
      <c r="C768" s="779" t="s">
        <v>454</v>
      </c>
      <c r="D768" s="780" t="s">
        <v>454</v>
      </c>
      <c r="E768" s="779" t="s">
        <v>380</v>
      </c>
      <c r="F768" s="435" t="s">
        <v>185</v>
      </c>
      <c r="G768" s="435" t="s">
        <v>200</v>
      </c>
      <c r="H768" s="436"/>
      <c r="I768" s="436"/>
      <c r="J768" s="436"/>
      <c r="K768" s="436">
        <v>0</v>
      </c>
      <c r="L768" s="437">
        <v>0</v>
      </c>
      <c r="M768" s="437">
        <v>0</v>
      </c>
      <c r="N768" s="437">
        <v>0</v>
      </c>
      <c r="O768" s="437">
        <v>0</v>
      </c>
      <c r="P768" s="437"/>
      <c r="Q768" s="437"/>
      <c r="R768" s="436"/>
      <c r="S768" s="436"/>
      <c r="T768" s="436"/>
      <c r="U768" s="436"/>
      <c r="V768" s="436"/>
      <c r="W768" s="436">
        <f>IF(NFI_Expiration=1,IF($A768&lt;VLOOKUP(H$5,NFI,5,0),1,0)*Table_NFI[[#This Row],[Hygiene Kit]],Table_NFI[Hygiene Kit])</f>
        <v>0</v>
      </c>
      <c r="X768" s="436">
        <f>IF(NFI_Expiration=1,IF($A768&lt;VLOOKUP(I$5,NFI,5,0),1,0)*Table_NFI[[#This Row],[NFI Core Kit]],Table_NFI[NFI Core Kit])</f>
        <v>0</v>
      </c>
      <c r="Y768" s="436">
        <f>IF(NFI_Expiration=1,IF($A768&lt;VLOOKUP(J$5,NFI,5,0),1,0)*Table_NFI[[#This Row],[Sanitary Kit]],Table_NFI[Sanitary Kit])</f>
        <v>0</v>
      </c>
      <c r="Z768" s="436">
        <f>IF(NFI_Expiration=1,IF($A768&lt;VLOOKUP(K$5,NFI,5,0),1,0)*Table_NFI[[#This Row],[Mosquito net]],Table_NFI[Mosquito net])</f>
        <v>0</v>
      </c>
      <c r="AA768" s="436">
        <f>IF(NFI_Expiration=1,IF($A768&lt;VLOOKUP(L$5,NFI,5,0),1,0)*Table_NFI[[#This Row],[Tarpaulin]],Table_NFI[[#This Row],[Tarpaulin]])</f>
        <v>0</v>
      </c>
      <c r="AB768" s="436">
        <f>IF(NFI_Expiration=1,IF($A768&lt;VLOOKUP(M$5,NFI,5,0),1,0)*Table_NFI[[#This Row],[Blanket]],Table_NFI[[#This Row],[Blanket]])</f>
        <v>0</v>
      </c>
      <c r="AC768" s="436">
        <f>IF(NFI_Expiration=1,IF($A768&lt;VLOOKUP(N$5,NFI,5,0),1,0)*Table_NFI[[#This Row],[Kitchen Set]],Table_NFI[Kitchen Set])</f>
        <v>0</v>
      </c>
      <c r="AD768" s="436">
        <f>IF(NFI_Expiration=1,IF($A768&lt;VLOOKUP(O$5,NFI,5,0),1,0)*Table_NFI[[#This Row],[Clothes Kit]],Table_NFI[Clothes Kit])</f>
        <v>0</v>
      </c>
      <c r="AE768" s="436">
        <f>IF(NFI_Expiration=1,IF($A768&lt;VLOOKUP(P$5,NFI,5,0),1,0)*Table_NFI[[#This Row],[Plastic Bucket]],Table_NFI[Plastic Bucket])</f>
        <v>0</v>
      </c>
      <c r="AF768" s="436">
        <f>IF(NFI_Expiration=1,IF($A768&lt;VLOOKUP(Q$5,NFI,5,0),1,0)*Table_NFI[[#This Row],[Plastic Mat]],Table_NFI[Plastic Mat])*IF(Table_NFI[[#This Row],[Distribution Date]]&gt;"2014-04-01",1,2.5)</f>
        <v>0</v>
      </c>
      <c r="AG768" s="436">
        <f>IF(NFI_Expiration=1,IF($A768&lt;VLOOKUP(R$5,NFI,5,0),1,0)*Table_NFI[[#This Row],[Winter Clothes Adult]],Table_NFI[Winter Clothes Adult])</f>
        <v>0</v>
      </c>
      <c r="AH768" s="436">
        <f>IF(NFI_Expiration=1,IF($A768&lt;VLOOKUP(S$5,NFI,5,0),1,0)*Table_NFI[[#This Row],[Winter Clothes Children]],Table_NFI[Winter Clothes Children])</f>
        <v>0</v>
      </c>
      <c r="AI768" s="436">
        <f>IF(NFI_Expiration=1,IF($A768&lt;VLOOKUP(T$5,NFI,5,0),1,0)*Table_NFI[[#This Row],[Winter Items Other]],Table_NFI[Winter Items Other])</f>
        <v>0</v>
      </c>
      <c r="AJ768" s="436">
        <f>IF(NFI_Expiration=1,IF($A768&lt;VLOOKUP(M$5,NFI,5,0),1,0)*Table_NFI[[#This Row],[Winter Blanket]],Table_NFI[[#This Row],[Winter Blanket]])</f>
        <v>0</v>
      </c>
      <c r="AK768" s="436">
        <f>IF(Table_NFI[[#This Row],[Winter Clothes Adult]]+Table_NFI[[#This Row],[Winter Clothes Children]]+Table_NFI[[#This Row],[Winter Items Other]]+Table_NFI[[#This Row],[Winter Blanket]]&gt;0,1,0)</f>
        <v>0</v>
      </c>
      <c r="AL768" s="439">
        <f>IF(NFI_Expiration=1,IF($A768&lt;VLOOKUP(V$5,NFI,5,0),1,0)*Table_NFI[[#This Row],[Jerry Can]],Table_NFI[Jerry Can])</f>
        <v>0</v>
      </c>
      <c r="AM768" s="781" t="str">
        <f>IFERROR(VLOOKUP(Table_NFI[[#This Row],[Camp Name]],CL,2,0),"")</f>
        <v>MMR001CMP064</v>
      </c>
      <c r="AN768" s="782">
        <f ca="1">IF(Table_NFI[[#This Row],[Pcode]]="","",IF(OFFSET(CampList[Opening Date],MATCH(Table_NFI[[#This Row],[Pcode]],CampList[CP_Pcode],0)-1,0,1,1)&gt;=NFI_Monitor_Date,1,0))</f>
        <v>0</v>
      </c>
      <c r="AO768" s="781" t="str">
        <f>IFERROR(VLOOKUP(Table_NFI[[#This Row],[Camp Name]],CL,3,0),"")</f>
        <v>Open</v>
      </c>
      <c r="AP768" s="436" t="str">
        <f ca="1">IF(Table_NFI[[#This Row],[Pcode]]="","",OFFSET(CampList[Priority],MATCH(Table_NFI[[#This Row],[Pcode]],CampList[CP_Pcode],0)-1,0,1,1))</f>
        <v>P4</v>
      </c>
      <c r="AQ768" s="438">
        <f>IFERROR(Table_NFI[[#This Row],[Kitchen Set]]/VLOOKUP(Table_NFI[[#This Row],[Camp Name]],CL,4,0),"")</f>
        <v>0</v>
      </c>
      <c r="AR768" s="779" t="s">
        <v>1099</v>
      </c>
      <c r="AS768" s="783"/>
    </row>
    <row r="769" spans="1:45" x14ac:dyDescent="0.25">
      <c r="A769" s="455">
        <f t="shared" si="11"/>
        <v>40.06666666666667</v>
      </c>
      <c r="B769" s="778">
        <v>41107</v>
      </c>
      <c r="C769" s="779" t="s">
        <v>454</v>
      </c>
      <c r="D769" s="780" t="s">
        <v>454</v>
      </c>
      <c r="E769" s="779" t="s">
        <v>380</v>
      </c>
      <c r="F769" s="435" t="s">
        <v>151</v>
      </c>
      <c r="G769" s="435" t="s">
        <v>160</v>
      </c>
      <c r="H769" s="436"/>
      <c r="I769" s="436"/>
      <c r="J769" s="436"/>
      <c r="K769" s="436">
        <v>0</v>
      </c>
      <c r="L769" s="437">
        <v>0</v>
      </c>
      <c r="M769" s="437">
        <v>0</v>
      </c>
      <c r="N769" s="437">
        <v>0</v>
      </c>
      <c r="O769" s="437">
        <v>0</v>
      </c>
      <c r="P769" s="437"/>
      <c r="Q769" s="437"/>
      <c r="R769" s="436"/>
      <c r="S769" s="436"/>
      <c r="T769" s="436"/>
      <c r="U769" s="436"/>
      <c r="V769" s="436"/>
      <c r="W769" s="436">
        <f>IF(NFI_Expiration=1,IF($A769&lt;VLOOKUP(H$5,NFI,5,0),1,0)*Table_NFI[[#This Row],[Hygiene Kit]],Table_NFI[Hygiene Kit])</f>
        <v>0</v>
      </c>
      <c r="X769" s="436">
        <f>IF(NFI_Expiration=1,IF($A769&lt;VLOOKUP(I$5,NFI,5,0),1,0)*Table_NFI[[#This Row],[NFI Core Kit]],Table_NFI[NFI Core Kit])</f>
        <v>0</v>
      </c>
      <c r="Y769" s="436">
        <f>IF(NFI_Expiration=1,IF($A769&lt;VLOOKUP(J$5,NFI,5,0),1,0)*Table_NFI[[#This Row],[Sanitary Kit]],Table_NFI[Sanitary Kit])</f>
        <v>0</v>
      </c>
      <c r="Z769" s="436">
        <f>IF(NFI_Expiration=1,IF($A769&lt;VLOOKUP(K$5,NFI,5,0),1,0)*Table_NFI[[#This Row],[Mosquito net]],Table_NFI[Mosquito net])</f>
        <v>0</v>
      </c>
      <c r="AA769" s="436">
        <f>IF(NFI_Expiration=1,IF($A769&lt;VLOOKUP(L$5,NFI,5,0),1,0)*Table_NFI[[#This Row],[Tarpaulin]],Table_NFI[[#This Row],[Tarpaulin]])</f>
        <v>0</v>
      </c>
      <c r="AB769" s="436">
        <f>IF(NFI_Expiration=1,IF($A769&lt;VLOOKUP(M$5,NFI,5,0),1,0)*Table_NFI[[#This Row],[Blanket]],Table_NFI[[#This Row],[Blanket]])</f>
        <v>0</v>
      </c>
      <c r="AC769" s="436">
        <f>IF(NFI_Expiration=1,IF($A769&lt;VLOOKUP(N$5,NFI,5,0),1,0)*Table_NFI[[#This Row],[Kitchen Set]],Table_NFI[Kitchen Set])</f>
        <v>0</v>
      </c>
      <c r="AD769" s="436">
        <f>IF(NFI_Expiration=1,IF($A769&lt;VLOOKUP(O$5,NFI,5,0),1,0)*Table_NFI[[#This Row],[Clothes Kit]],Table_NFI[Clothes Kit])</f>
        <v>0</v>
      </c>
      <c r="AE769" s="436">
        <f>IF(NFI_Expiration=1,IF($A769&lt;VLOOKUP(P$5,NFI,5,0),1,0)*Table_NFI[[#This Row],[Plastic Bucket]],Table_NFI[Plastic Bucket])</f>
        <v>0</v>
      </c>
      <c r="AF769" s="436">
        <f>IF(NFI_Expiration=1,IF($A769&lt;VLOOKUP(Q$5,NFI,5,0),1,0)*Table_NFI[[#This Row],[Plastic Mat]],Table_NFI[Plastic Mat])*IF(Table_NFI[[#This Row],[Distribution Date]]&gt;"2014-04-01",1,2.5)</f>
        <v>0</v>
      </c>
      <c r="AG769" s="436">
        <f>IF(NFI_Expiration=1,IF($A769&lt;VLOOKUP(R$5,NFI,5,0),1,0)*Table_NFI[[#This Row],[Winter Clothes Adult]],Table_NFI[Winter Clothes Adult])</f>
        <v>0</v>
      </c>
      <c r="AH769" s="436">
        <f>IF(NFI_Expiration=1,IF($A769&lt;VLOOKUP(S$5,NFI,5,0),1,0)*Table_NFI[[#This Row],[Winter Clothes Children]],Table_NFI[Winter Clothes Children])</f>
        <v>0</v>
      </c>
      <c r="AI769" s="436">
        <f>IF(NFI_Expiration=1,IF($A769&lt;VLOOKUP(T$5,NFI,5,0),1,0)*Table_NFI[[#This Row],[Winter Items Other]],Table_NFI[Winter Items Other])</f>
        <v>0</v>
      </c>
      <c r="AJ769" s="436">
        <f>IF(NFI_Expiration=1,IF($A769&lt;VLOOKUP(M$5,NFI,5,0),1,0)*Table_NFI[[#This Row],[Winter Blanket]],Table_NFI[[#This Row],[Winter Blanket]])</f>
        <v>0</v>
      </c>
      <c r="AK769" s="436">
        <f>IF(Table_NFI[[#This Row],[Winter Clothes Adult]]+Table_NFI[[#This Row],[Winter Clothes Children]]+Table_NFI[[#This Row],[Winter Items Other]]+Table_NFI[[#This Row],[Winter Blanket]]&gt;0,1,0)</f>
        <v>0</v>
      </c>
      <c r="AL769" s="439">
        <f>IF(NFI_Expiration=1,IF($A769&lt;VLOOKUP(V$5,NFI,5,0),1,0)*Table_NFI[[#This Row],[Jerry Can]],Table_NFI[Jerry Can])</f>
        <v>0</v>
      </c>
      <c r="AM769" s="781" t="str">
        <f>IFERROR(VLOOKUP(Table_NFI[[#This Row],[Camp Name]],CL,2,0),"")</f>
        <v>MMR001CMP133</v>
      </c>
      <c r="AN769" s="782">
        <f ca="1">IF(Table_NFI[[#This Row],[Pcode]]="","",IF(OFFSET(CampList[Opening Date],MATCH(Table_NFI[[#This Row],[Pcode]],CampList[CP_Pcode],0)-1,0,1,1)&gt;=NFI_Monitor_Date,1,0))</f>
        <v>0</v>
      </c>
      <c r="AO769" s="781" t="str">
        <f>IFERROR(VLOOKUP(Table_NFI[[#This Row],[Camp Name]],CL,3,0),"")</f>
        <v>Open</v>
      </c>
      <c r="AP769" s="436" t="str">
        <f ca="1">IF(Table_NFI[[#This Row],[Pcode]]="","",OFFSET(CampList[Priority],MATCH(Table_NFI[[#This Row],[Pcode]],CampList[CP_Pcode],0)-1,0,1,1))</f>
        <v>P4</v>
      </c>
      <c r="AQ769" s="438">
        <f>IFERROR(Table_NFI[[#This Row],[Kitchen Set]]/VLOOKUP(Table_NFI[[#This Row],[Camp Name]],CL,4,0),"")</f>
        <v>0</v>
      </c>
      <c r="AR769" s="779" t="s">
        <v>1099</v>
      </c>
      <c r="AS769" s="783"/>
    </row>
    <row r="770" spans="1:45" x14ac:dyDescent="0.25">
      <c r="A770" s="455">
        <f t="shared" si="11"/>
        <v>40.06666666666667</v>
      </c>
      <c r="B770" s="778">
        <v>41107</v>
      </c>
      <c r="C770" s="779" t="s">
        <v>454</v>
      </c>
      <c r="D770" s="780" t="s">
        <v>454</v>
      </c>
      <c r="E770" s="779" t="s">
        <v>380</v>
      </c>
      <c r="F770" s="435" t="s">
        <v>237</v>
      </c>
      <c r="G770" s="435" t="s">
        <v>263</v>
      </c>
      <c r="H770" s="436"/>
      <c r="I770" s="436"/>
      <c r="J770" s="436"/>
      <c r="K770" s="436">
        <v>0</v>
      </c>
      <c r="L770" s="437">
        <v>0</v>
      </c>
      <c r="M770" s="437">
        <v>0</v>
      </c>
      <c r="N770" s="437">
        <v>0</v>
      </c>
      <c r="O770" s="437">
        <v>0</v>
      </c>
      <c r="P770" s="437"/>
      <c r="Q770" s="437"/>
      <c r="R770" s="436"/>
      <c r="S770" s="436"/>
      <c r="T770" s="436"/>
      <c r="U770" s="436"/>
      <c r="V770" s="436"/>
      <c r="W770" s="436">
        <f>IF(NFI_Expiration=1,IF($A770&lt;VLOOKUP(H$5,NFI,5,0),1,0)*Table_NFI[[#This Row],[Hygiene Kit]],Table_NFI[Hygiene Kit])</f>
        <v>0</v>
      </c>
      <c r="X770" s="436">
        <f>IF(NFI_Expiration=1,IF($A770&lt;VLOOKUP(I$5,NFI,5,0),1,0)*Table_NFI[[#This Row],[NFI Core Kit]],Table_NFI[NFI Core Kit])</f>
        <v>0</v>
      </c>
      <c r="Y770" s="436">
        <f>IF(NFI_Expiration=1,IF($A770&lt;VLOOKUP(J$5,NFI,5,0),1,0)*Table_NFI[[#This Row],[Sanitary Kit]],Table_NFI[Sanitary Kit])</f>
        <v>0</v>
      </c>
      <c r="Z770" s="436">
        <f>IF(NFI_Expiration=1,IF($A770&lt;VLOOKUP(K$5,NFI,5,0),1,0)*Table_NFI[[#This Row],[Mosquito net]],Table_NFI[Mosquito net])</f>
        <v>0</v>
      </c>
      <c r="AA770" s="436">
        <f>IF(NFI_Expiration=1,IF($A770&lt;VLOOKUP(L$5,NFI,5,0),1,0)*Table_NFI[[#This Row],[Tarpaulin]],Table_NFI[[#This Row],[Tarpaulin]])</f>
        <v>0</v>
      </c>
      <c r="AB770" s="436">
        <f>IF(NFI_Expiration=1,IF($A770&lt;VLOOKUP(M$5,NFI,5,0),1,0)*Table_NFI[[#This Row],[Blanket]],Table_NFI[[#This Row],[Blanket]])</f>
        <v>0</v>
      </c>
      <c r="AC770" s="436">
        <f>IF(NFI_Expiration=1,IF($A770&lt;VLOOKUP(N$5,NFI,5,0),1,0)*Table_NFI[[#This Row],[Kitchen Set]],Table_NFI[Kitchen Set])</f>
        <v>0</v>
      </c>
      <c r="AD770" s="436">
        <f>IF(NFI_Expiration=1,IF($A770&lt;VLOOKUP(O$5,NFI,5,0),1,0)*Table_NFI[[#This Row],[Clothes Kit]],Table_NFI[Clothes Kit])</f>
        <v>0</v>
      </c>
      <c r="AE770" s="436">
        <f>IF(NFI_Expiration=1,IF($A770&lt;VLOOKUP(P$5,NFI,5,0),1,0)*Table_NFI[[#This Row],[Plastic Bucket]],Table_NFI[Plastic Bucket])</f>
        <v>0</v>
      </c>
      <c r="AF770" s="436">
        <f>IF(NFI_Expiration=1,IF($A770&lt;VLOOKUP(Q$5,NFI,5,0),1,0)*Table_NFI[[#This Row],[Plastic Mat]],Table_NFI[Plastic Mat])*IF(Table_NFI[[#This Row],[Distribution Date]]&gt;"2014-04-01",1,2.5)</f>
        <v>0</v>
      </c>
      <c r="AG770" s="436">
        <f>IF(NFI_Expiration=1,IF($A770&lt;VLOOKUP(R$5,NFI,5,0),1,0)*Table_NFI[[#This Row],[Winter Clothes Adult]],Table_NFI[Winter Clothes Adult])</f>
        <v>0</v>
      </c>
      <c r="AH770" s="436">
        <f>IF(NFI_Expiration=1,IF($A770&lt;VLOOKUP(S$5,NFI,5,0),1,0)*Table_NFI[[#This Row],[Winter Clothes Children]],Table_NFI[Winter Clothes Children])</f>
        <v>0</v>
      </c>
      <c r="AI770" s="436">
        <f>IF(NFI_Expiration=1,IF($A770&lt;VLOOKUP(T$5,NFI,5,0),1,0)*Table_NFI[[#This Row],[Winter Items Other]],Table_NFI[Winter Items Other])</f>
        <v>0</v>
      </c>
      <c r="AJ770" s="436">
        <f>IF(NFI_Expiration=1,IF($A770&lt;VLOOKUP(M$5,NFI,5,0),1,0)*Table_NFI[[#This Row],[Winter Blanket]],Table_NFI[[#This Row],[Winter Blanket]])</f>
        <v>0</v>
      </c>
      <c r="AK770" s="436">
        <f>IF(Table_NFI[[#This Row],[Winter Clothes Adult]]+Table_NFI[[#This Row],[Winter Clothes Children]]+Table_NFI[[#This Row],[Winter Items Other]]+Table_NFI[[#This Row],[Winter Blanket]]&gt;0,1,0)</f>
        <v>0</v>
      </c>
      <c r="AL770" s="439">
        <f>IF(NFI_Expiration=1,IF($A770&lt;VLOOKUP(V$5,NFI,5,0),1,0)*Table_NFI[[#This Row],[Jerry Can]],Table_NFI[Jerry Can])</f>
        <v>0</v>
      </c>
      <c r="AM770" s="781" t="str">
        <f>IFERROR(VLOOKUP(Table_NFI[[#This Row],[Camp Name]],CL,2,0),"")</f>
        <v>MMR001CMP020</v>
      </c>
      <c r="AN770" s="782">
        <f ca="1">IF(Table_NFI[[#This Row],[Pcode]]="","",IF(OFFSET(CampList[Opening Date],MATCH(Table_NFI[[#This Row],[Pcode]],CampList[CP_Pcode],0)-1,0,1,1)&gt;=NFI_Monitor_Date,1,0))</f>
        <v>0</v>
      </c>
      <c r="AO770" s="781" t="str">
        <f>IFERROR(VLOOKUP(Table_NFI[[#This Row],[Camp Name]],CL,3,0),"")</f>
        <v>Open</v>
      </c>
      <c r="AP770" s="436" t="str">
        <f ca="1">IF(Table_NFI[[#This Row],[Pcode]]="","",OFFSET(CampList[Priority],MATCH(Table_NFI[[#This Row],[Pcode]],CampList[CP_Pcode],0)-1,0,1,1))</f>
        <v>P4</v>
      </c>
      <c r="AQ770" s="438">
        <f>IFERROR(Table_NFI[[#This Row],[Kitchen Set]]/VLOOKUP(Table_NFI[[#This Row],[Camp Name]],CL,4,0),"")</f>
        <v>0</v>
      </c>
      <c r="AR770" s="779" t="s">
        <v>1099</v>
      </c>
      <c r="AS770" s="783"/>
    </row>
    <row r="771" spans="1:45" x14ac:dyDescent="0.25">
      <c r="A771" s="455">
        <f t="shared" si="11"/>
        <v>40.06666666666667</v>
      </c>
      <c r="B771" s="778">
        <v>41107</v>
      </c>
      <c r="C771" s="779" t="s">
        <v>454</v>
      </c>
      <c r="D771" s="780" t="s">
        <v>454</v>
      </c>
      <c r="E771" s="779" t="s">
        <v>380</v>
      </c>
      <c r="F771" s="435" t="s">
        <v>237</v>
      </c>
      <c r="G771" s="435" t="s">
        <v>263</v>
      </c>
      <c r="H771" s="436"/>
      <c r="I771" s="436"/>
      <c r="J771" s="436"/>
      <c r="K771" s="436">
        <v>19</v>
      </c>
      <c r="L771" s="437">
        <v>19</v>
      </c>
      <c r="M771" s="437">
        <v>19</v>
      </c>
      <c r="N771" s="437">
        <v>19</v>
      </c>
      <c r="O771" s="437">
        <v>19</v>
      </c>
      <c r="P771" s="437">
        <v>19</v>
      </c>
      <c r="Q771" s="437">
        <v>19</v>
      </c>
      <c r="R771" s="436"/>
      <c r="S771" s="436"/>
      <c r="T771" s="436"/>
      <c r="U771" s="436"/>
      <c r="V771" s="436"/>
      <c r="W771" s="436">
        <f>IF(NFI_Expiration=1,IF($A771&lt;VLOOKUP(H$5,NFI,5,0),1,0)*Table_NFI[[#This Row],[Hygiene Kit]],Table_NFI[Hygiene Kit])</f>
        <v>0</v>
      </c>
      <c r="X771" s="436">
        <f>IF(NFI_Expiration=1,IF($A771&lt;VLOOKUP(I$5,NFI,5,0),1,0)*Table_NFI[[#This Row],[NFI Core Kit]],Table_NFI[NFI Core Kit])</f>
        <v>0</v>
      </c>
      <c r="Y771" s="436">
        <f>IF(NFI_Expiration=1,IF($A771&lt;VLOOKUP(J$5,NFI,5,0),1,0)*Table_NFI[[#This Row],[Sanitary Kit]],Table_NFI[Sanitary Kit])</f>
        <v>0</v>
      </c>
      <c r="Z771" s="436">
        <f>IF(NFI_Expiration=1,IF($A771&lt;VLOOKUP(K$5,NFI,5,0),1,0)*Table_NFI[[#This Row],[Mosquito net]],Table_NFI[Mosquito net])</f>
        <v>0</v>
      </c>
      <c r="AA771" s="436">
        <f>IF(NFI_Expiration=1,IF($A771&lt;VLOOKUP(L$5,NFI,5,0),1,0)*Table_NFI[[#This Row],[Tarpaulin]],Table_NFI[[#This Row],[Tarpaulin]])</f>
        <v>0</v>
      </c>
      <c r="AB771" s="436">
        <f>IF(NFI_Expiration=1,IF($A771&lt;VLOOKUP(M$5,NFI,5,0),1,0)*Table_NFI[[#This Row],[Blanket]],Table_NFI[[#This Row],[Blanket]])</f>
        <v>0</v>
      </c>
      <c r="AC771" s="436">
        <f>IF(NFI_Expiration=1,IF($A771&lt;VLOOKUP(N$5,NFI,5,0),1,0)*Table_NFI[[#This Row],[Kitchen Set]],Table_NFI[Kitchen Set])</f>
        <v>0</v>
      </c>
      <c r="AD771" s="436">
        <f>IF(NFI_Expiration=1,IF($A771&lt;VLOOKUP(O$5,NFI,5,0),1,0)*Table_NFI[[#This Row],[Clothes Kit]],Table_NFI[Clothes Kit])</f>
        <v>0</v>
      </c>
      <c r="AE771" s="436">
        <f>IF(NFI_Expiration=1,IF($A771&lt;VLOOKUP(P$5,NFI,5,0),1,0)*Table_NFI[[#This Row],[Plastic Bucket]],Table_NFI[Plastic Bucket])</f>
        <v>0</v>
      </c>
      <c r="AF771" s="436">
        <f>IF(NFI_Expiration=1,IF($A771&lt;VLOOKUP(Q$5,NFI,5,0),1,0)*Table_NFI[[#This Row],[Plastic Mat]],Table_NFI[Plastic Mat])*IF(Table_NFI[[#This Row],[Distribution Date]]&gt;"2014-04-01",1,2.5)</f>
        <v>0</v>
      </c>
      <c r="AG771" s="436">
        <f>IF(NFI_Expiration=1,IF($A771&lt;VLOOKUP(R$5,NFI,5,0),1,0)*Table_NFI[[#This Row],[Winter Clothes Adult]],Table_NFI[Winter Clothes Adult])</f>
        <v>0</v>
      </c>
      <c r="AH771" s="436">
        <f>IF(NFI_Expiration=1,IF($A771&lt;VLOOKUP(S$5,NFI,5,0),1,0)*Table_NFI[[#This Row],[Winter Clothes Children]],Table_NFI[Winter Clothes Children])</f>
        <v>0</v>
      </c>
      <c r="AI771" s="436">
        <f>IF(NFI_Expiration=1,IF($A771&lt;VLOOKUP(T$5,NFI,5,0),1,0)*Table_NFI[[#This Row],[Winter Items Other]],Table_NFI[Winter Items Other])</f>
        <v>0</v>
      </c>
      <c r="AJ771" s="436">
        <f>IF(NFI_Expiration=1,IF($A771&lt;VLOOKUP(M$5,NFI,5,0),1,0)*Table_NFI[[#This Row],[Winter Blanket]],Table_NFI[[#This Row],[Winter Blanket]])</f>
        <v>0</v>
      </c>
      <c r="AK771" s="436">
        <f>IF(Table_NFI[[#This Row],[Winter Clothes Adult]]+Table_NFI[[#This Row],[Winter Clothes Children]]+Table_NFI[[#This Row],[Winter Items Other]]+Table_NFI[[#This Row],[Winter Blanket]]&gt;0,1,0)</f>
        <v>0</v>
      </c>
      <c r="AL771" s="439">
        <f>IF(NFI_Expiration=1,IF($A771&lt;VLOOKUP(V$5,NFI,5,0),1,0)*Table_NFI[[#This Row],[Jerry Can]],Table_NFI[Jerry Can])</f>
        <v>0</v>
      </c>
      <c r="AM771" s="781" t="str">
        <f>IFERROR(VLOOKUP(Table_NFI[[#This Row],[Camp Name]],CL,2,0),"")</f>
        <v>MMR001CMP020</v>
      </c>
      <c r="AN771" s="782">
        <f ca="1">IF(Table_NFI[[#This Row],[Pcode]]="","",IF(OFFSET(CampList[Opening Date],MATCH(Table_NFI[[#This Row],[Pcode]],CampList[CP_Pcode],0)-1,0,1,1)&gt;=NFI_Monitor_Date,1,0))</f>
        <v>0</v>
      </c>
      <c r="AO771" s="781" t="str">
        <f>IFERROR(VLOOKUP(Table_NFI[[#This Row],[Camp Name]],CL,3,0),"")</f>
        <v>Open</v>
      </c>
      <c r="AP771" s="436" t="str">
        <f ca="1">IF(Table_NFI[[#This Row],[Pcode]]="","",OFFSET(CampList[Priority],MATCH(Table_NFI[[#This Row],[Pcode]],CampList[CP_Pcode],0)-1,0,1,1))</f>
        <v>P4</v>
      </c>
      <c r="AQ771" s="438">
        <f>IFERROR(Table_NFI[[#This Row],[Kitchen Set]]/VLOOKUP(Table_NFI[[#This Row],[Camp Name]],CL,4,0),"")</f>
        <v>0.86363636363636365</v>
      </c>
      <c r="AR771" s="779" t="s">
        <v>1099</v>
      </c>
      <c r="AS771" s="783"/>
    </row>
    <row r="772" spans="1:45" x14ac:dyDescent="0.25">
      <c r="A772" s="455">
        <f t="shared" si="11"/>
        <v>40.06666666666667</v>
      </c>
      <c r="B772" s="778">
        <v>41107</v>
      </c>
      <c r="C772" s="779" t="s">
        <v>454</v>
      </c>
      <c r="D772" s="780" t="s">
        <v>454</v>
      </c>
      <c r="E772" s="779" t="s">
        <v>380</v>
      </c>
      <c r="F772" s="435" t="s">
        <v>310</v>
      </c>
      <c r="G772" s="435" t="s">
        <v>1269</v>
      </c>
      <c r="H772" s="436"/>
      <c r="I772" s="436"/>
      <c r="J772" s="436"/>
      <c r="K772" s="436">
        <v>0</v>
      </c>
      <c r="L772" s="437">
        <v>0</v>
      </c>
      <c r="M772" s="437">
        <v>0</v>
      </c>
      <c r="N772" s="437">
        <v>0</v>
      </c>
      <c r="O772" s="437">
        <v>0</v>
      </c>
      <c r="P772" s="437"/>
      <c r="Q772" s="437"/>
      <c r="R772" s="436"/>
      <c r="S772" s="436"/>
      <c r="T772" s="436"/>
      <c r="U772" s="436"/>
      <c r="V772" s="436"/>
      <c r="W772" s="436">
        <f>IF(NFI_Expiration=1,IF($A772&lt;VLOOKUP(H$5,NFI,5,0),1,0)*Table_NFI[[#This Row],[Hygiene Kit]],Table_NFI[Hygiene Kit])</f>
        <v>0</v>
      </c>
      <c r="X772" s="436">
        <f>IF(NFI_Expiration=1,IF($A772&lt;VLOOKUP(I$5,NFI,5,0),1,0)*Table_NFI[[#This Row],[NFI Core Kit]],Table_NFI[NFI Core Kit])</f>
        <v>0</v>
      </c>
      <c r="Y772" s="436">
        <f>IF(NFI_Expiration=1,IF($A772&lt;VLOOKUP(J$5,NFI,5,0),1,0)*Table_NFI[[#This Row],[Sanitary Kit]],Table_NFI[Sanitary Kit])</f>
        <v>0</v>
      </c>
      <c r="Z772" s="436">
        <f>IF(NFI_Expiration=1,IF($A772&lt;VLOOKUP(K$5,NFI,5,0),1,0)*Table_NFI[[#This Row],[Mosquito net]],Table_NFI[Mosquito net])</f>
        <v>0</v>
      </c>
      <c r="AA772" s="436">
        <f>IF(NFI_Expiration=1,IF($A772&lt;VLOOKUP(L$5,NFI,5,0),1,0)*Table_NFI[[#This Row],[Tarpaulin]],Table_NFI[[#This Row],[Tarpaulin]])</f>
        <v>0</v>
      </c>
      <c r="AB772" s="436">
        <f>IF(NFI_Expiration=1,IF($A772&lt;VLOOKUP(M$5,NFI,5,0),1,0)*Table_NFI[[#This Row],[Blanket]],Table_NFI[[#This Row],[Blanket]])</f>
        <v>0</v>
      </c>
      <c r="AC772" s="436">
        <f>IF(NFI_Expiration=1,IF($A772&lt;VLOOKUP(N$5,NFI,5,0),1,0)*Table_NFI[[#This Row],[Kitchen Set]],Table_NFI[Kitchen Set])</f>
        <v>0</v>
      </c>
      <c r="AD772" s="436">
        <f>IF(NFI_Expiration=1,IF($A772&lt;VLOOKUP(O$5,NFI,5,0),1,0)*Table_NFI[[#This Row],[Clothes Kit]],Table_NFI[Clothes Kit])</f>
        <v>0</v>
      </c>
      <c r="AE772" s="436">
        <f>IF(NFI_Expiration=1,IF($A772&lt;VLOOKUP(P$5,NFI,5,0),1,0)*Table_NFI[[#This Row],[Plastic Bucket]],Table_NFI[Plastic Bucket])</f>
        <v>0</v>
      </c>
      <c r="AF772" s="436">
        <f>IF(NFI_Expiration=1,IF($A772&lt;VLOOKUP(Q$5,NFI,5,0),1,0)*Table_NFI[[#This Row],[Plastic Mat]],Table_NFI[Plastic Mat])*IF(Table_NFI[[#This Row],[Distribution Date]]&gt;"2014-04-01",1,2.5)</f>
        <v>0</v>
      </c>
      <c r="AG772" s="436">
        <f>IF(NFI_Expiration=1,IF($A772&lt;VLOOKUP(R$5,NFI,5,0),1,0)*Table_NFI[[#This Row],[Winter Clothes Adult]],Table_NFI[Winter Clothes Adult])</f>
        <v>0</v>
      </c>
      <c r="AH772" s="436">
        <f>IF(NFI_Expiration=1,IF($A772&lt;VLOOKUP(S$5,NFI,5,0),1,0)*Table_NFI[[#This Row],[Winter Clothes Children]],Table_NFI[Winter Clothes Children])</f>
        <v>0</v>
      </c>
      <c r="AI772" s="436">
        <f>IF(NFI_Expiration=1,IF($A772&lt;VLOOKUP(T$5,NFI,5,0),1,0)*Table_NFI[[#This Row],[Winter Items Other]],Table_NFI[Winter Items Other])</f>
        <v>0</v>
      </c>
      <c r="AJ772" s="436">
        <f>IF(NFI_Expiration=1,IF($A772&lt;VLOOKUP(M$5,NFI,5,0),1,0)*Table_NFI[[#This Row],[Winter Blanket]],Table_NFI[[#This Row],[Winter Blanket]])</f>
        <v>0</v>
      </c>
      <c r="AK772" s="436">
        <f>IF(Table_NFI[[#This Row],[Winter Clothes Adult]]+Table_NFI[[#This Row],[Winter Clothes Children]]+Table_NFI[[#This Row],[Winter Items Other]]+Table_NFI[[#This Row],[Winter Blanket]]&gt;0,1,0)</f>
        <v>0</v>
      </c>
      <c r="AL772" s="439">
        <f>IF(NFI_Expiration=1,IF($A772&lt;VLOOKUP(V$5,NFI,5,0),1,0)*Table_NFI[[#This Row],[Jerry Can]],Table_NFI[Jerry Can])</f>
        <v>0</v>
      </c>
      <c r="AM772" s="781" t="str">
        <f>IFERROR(VLOOKUP(Table_NFI[[#This Row],[Camp Name]],CL,2,0),"")</f>
        <v>MMR001CMP035</v>
      </c>
      <c r="AN772" s="782">
        <f ca="1">IF(Table_NFI[[#This Row],[Pcode]]="","",IF(OFFSET(CampList[Opening Date],MATCH(Table_NFI[[#This Row],[Pcode]],CampList[CP_Pcode],0)-1,0,1,1)&gt;=NFI_Monitor_Date,1,0))</f>
        <v>0</v>
      </c>
      <c r="AO772" s="781" t="str">
        <f>IFERROR(VLOOKUP(Table_NFI[[#This Row],[Camp Name]],CL,3,0),"")</f>
        <v>Closed</v>
      </c>
      <c r="AP772" s="436" t="str">
        <f ca="1">IF(Table_NFI[[#This Row],[Pcode]]="","",OFFSET(CampList[Priority],MATCH(Table_NFI[[#This Row],[Pcode]],CampList[CP_Pcode],0)-1,0,1,1))</f>
        <v/>
      </c>
      <c r="AQ772" s="438" t="str">
        <f>IFERROR(Table_NFI[[#This Row],[Kitchen Set]]/VLOOKUP(Table_NFI[[#This Row],[Camp Name]],CL,4,0),"")</f>
        <v/>
      </c>
      <c r="AR772" s="779" t="s">
        <v>1099</v>
      </c>
      <c r="AS772" s="783"/>
    </row>
    <row r="773" spans="1:45" x14ac:dyDescent="0.25">
      <c r="A773" s="455">
        <f t="shared" si="11"/>
        <v>40.06666666666667</v>
      </c>
      <c r="B773" s="778">
        <v>41107</v>
      </c>
      <c r="C773" s="779" t="s">
        <v>454</v>
      </c>
      <c r="D773" s="780" t="s">
        <v>454</v>
      </c>
      <c r="E773" s="779" t="s">
        <v>380</v>
      </c>
      <c r="F773" s="435" t="s">
        <v>237</v>
      </c>
      <c r="G773" s="435" t="s">
        <v>271</v>
      </c>
      <c r="H773" s="436"/>
      <c r="I773" s="436"/>
      <c r="J773" s="436"/>
      <c r="K773" s="436">
        <v>6</v>
      </c>
      <c r="L773" s="437">
        <v>6</v>
      </c>
      <c r="M773" s="437">
        <v>6</v>
      </c>
      <c r="N773" s="437">
        <v>6</v>
      </c>
      <c r="O773" s="437">
        <v>6</v>
      </c>
      <c r="P773" s="437">
        <v>6</v>
      </c>
      <c r="Q773" s="437">
        <v>6</v>
      </c>
      <c r="R773" s="436"/>
      <c r="S773" s="436"/>
      <c r="T773" s="436"/>
      <c r="U773" s="436"/>
      <c r="V773" s="436"/>
      <c r="W773" s="436">
        <f>IF(NFI_Expiration=1,IF($A773&lt;VLOOKUP(H$5,NFI,5,0),1,0)*Table_NFI[[#This Row],[Hygiene Kit]],Table_NFI[Hygiene Kit])</f>
        <v>0</v>
      </c>
      <c r="X773" s="436">
        <f>IF(NFI_Expiration=1,IF($A773&lt;VLOOKUP(I$5,NFI,5,0),1,0)*Table_NFI[[#This Row],[NFI Core Kit]],Table_NFI[NFI Core Kit])</f>
        <v>0</v>
      </c>
      <c r="Y773" s="436">
        <f>IF(NFI_Expiration=1,IF($A773&lt;VLOOKUP(J$5,NFI,5,0),1,0)*Table_NFI[[#This Row],[Sanitary Kit]],Table_NFI[Sanitary Kit])</f>
        <v>0</v>
      </c>
      <c r="Z773" s="436">
        <f>IF(NFI_Expiration=1,IF($A773&lt;VLOOKUP(K$5,NFI,5,0),1,0)*Table_NFI[[#This Row],[Mosquito net]],Table_NFI[Mosquito net])</f>
        <v>0</v>
      </c>
      <c r="AA773" s="436">
        <f>IF(NFI_Expiration=1,IF($A773&lt;VLOOKUP(L$5,NFI,5,0),1,0)*Table_NFI[[#This Row],[Tarpaulin]],Table_NFI[[#This Row],[Tarpaulin]])</f>
        <v>0</v>
      </c>
      <c r="AB773" s="436">
        <f>IF(NFI_Expiration=1,IF($A773&lt;VLOOKUP(M$5,NFI,5,0),1,0)*Table_NFI[[#This Row],[Blanket]],Table_NFI[[#This Row],[Blanket]])</f>
        <v>0</v>
      </c>
      <c r="AC773" s="436">
        <f>IF(NFI_Expiration=1,IF($A773&lt;VLOOKUP(N$5,NFI,5,0),1,0)*Table_NFI[[#This Row],[Kitchen Set]],Table_NFI[Kitchen Set])</f>
        <v>0</v>
      </c>
      <c r="AD773" s="436">
        <f>IF(NFI_Expiration=1,IF($A773&lt;VLOOKUP(O$5,NFI,5,0),1,0)*Table_NFI[[#This Row],[Clothes Kit]],Table_NFI[Clothes Kit])</f>
        <v>0</v>
      </c>
      <c r="AE773" s="436">
        <f>IF(NFI_Expiration=1,IF($A773&lt;VLOOKUP(P$5,NFI,5,0),1,0)*Table_NFI[[#This Row],[Plastic Bucket]],Table_NFI[Plastic Bucket])</f>
        <v>0</v>
      </c>
      <c r="AF773" s="436">
        <f>IF(NFI_Expiration=1,IF($A773&lt;VLOOKUP(Q$5,NFI,5,0),1,0)*Table_NFI[[#This Row],[Plastic Mat]],Table_NFI[Plastic Mat])*IF(Table_NFI[[#This Row],[Distribution Date]]&gt;"2014-04-01",1,2.5)</f>
        <v>0</v>
      </c>
      <c r="AG773" s="436">
        <f>IF(NFI_Expiration=1,IF($A773&lt;VLOOKUP(R$5,NFI,5,0),1,0)*Table_NFI[[#This Row],[Winter Clothes Adult]],Table_NFI[Winter Clothes Adult])</f>
        <v>0</v>
      </c>
      <c r="AH773" s="436">
        <f>IF(NFI_Expiration=1,IF($A773&lt;VLOOKUP(S$5,NFI,5,0),1,0)*Table_NFI[[#This Row],[Winter Clothes Children]],Table_NFI[Winter Clothes Children])</f>
        <v>0</v>
      </c>
      <c r="AI773" s="436">
        <f>IF(NFI_Expiration=1,IF($A773&lt;VLOOKUP(T$5,NFI,5,0),1,0)*Table_NFI[[#This Row],[Winter Items Other]],Table_NFI[Winter Items Other])</f>
        <v>0</v>
      </c>
      <c r="AJ773" s="436">
        <f>IF(NFI_Expiration=1,IF($A773&lt;VLOOKUP(M$5,NFI,5,0),1,0)*Table_NFI[[#This Row],[Winter Blanket]],Table_NFI[[#This Row],[Winter Blanket]])</f>
        <v>0</v>
      </c>
      <c r="AK773" s="436">
        <f>IF(Table_NFI[[#This Row],[Winter Clothes Adult]]+Table_NFI[[#This Row],[Winter Clothes Children]]+Table_NFI[[#This Row],[Winter Items Other]]+Table_NFI[[#This Row],[Winter Blanket]]&gt;0,1,0)</f>
        <v>0</v>
      </c>
      <c r="AL773" s="439">
        <f>IF(NFI_Expiration=1,IF($A773&lt;VLOOKUP(V$5,NFI,5,0),1,0)*Table_NFI[[#This Row],[Jerry Can]],Table_NFI[Jerry Can])</f>
        <v>0</v>
      </c>
      <c r="AM773" s="781" t="str">
        <f>IFERROR(VLOOKUP(Table_NFI[[#This Row],[Camp Name]],CL,2,0),"")</f>
        <v>MMR001CMP024</v>
      </c>
      <c r="AN773" s="782">
        <f ca="1">IF(Table_NFI[[#This Row],[Pcode]]="","",IF(OFFSET(CampList[Opening Date],MATCH(Table_NFI[[#This Row],[Pcode]],CampList[CP_Pcode],0)-1,0,1,1)&gt;=NFI_Monitor_Date,1,0))</f>
        <v>0</v>
      </c>
      <c r="AO773" s="781" t="str">
        <f>IFERROR(VLOOKUP(Table_NFI[[#This Row],[Camp Name]],CL,3,0),"")</f>
        <v>Open</v>
      </c>
      <c r="AP773" s="436" t="str">
        <f ca="1">IF(Table_NFI[[#This Row],[Pcode]]="","",OFFSET(CampList[Priority],MATCH(Table_NFI[[#This Row],[Pcode]],CampList[CP_Pcode],0)-1,0,1,1))</f>
        <v>P4</v>
      </c>
      <c r="AQ773" s="438">
        <f>IFERROR(Table_NFI[[#This Row],[Kitchen Set]]/VLOOKUP(Table_NFI[[#This Row],[Camp Name]],CL,4,0),"")</f>
        <v>8.5714285714285715E-2</v>
      </c>
      <c r="AR773" s="779" t="s">
        <v>1099</v>
      </c>
      <c r="AS773" s="783"/>
    </row>
    <row r="774" spans="1:45" x14ac:dyDescent="0.25">
      <c r="A774" s="455">
        <f t="shared" ref="A774:A837" si="12">IF(ISBLANK(B774),"",(Report_Date-B774)/30)</f>
        <v>40.06666666666667</v>
      </c>
      <c r="B774" s="778">
        <v>41107</v>
      </c>
      <c r="C774" s="779" t="s">
        <v>454</v>
      </c>
      <c r="D774" s="780" t="s">
        <v>454</v>
      </c>
      <c r="E774" s="779" t="s">
        <v>380</v>
      </c>
      <c r="F774" s="435" t="s">
        <v>185</v>
      </c>
      <c r="G774" s="435" t="s">
        <v>219</v>
      </c>
      <c r="H774" s="436"/>
      <c r="I774" s="436"/>
      <c r="J774" s="436"/>
      <c r="K774" s="436">
        <v>0</v>
      </c>
      <c r="L774" s="437">
        <v>0</v>
      </c>
      <c r="M774" s="437">
        <v>0</v>
      </c>
      <c r="N774" s="437">
        <v>0</v>
      </c>
      <c r="O774" s="437">
        <v>0</v>
      </c>
      <c r="P774" s="437"/>
      <c r="Q774" s="437"/>
      <c r="R774" s="436"/>
      <c r="S774" s="436"/>
      <c r="T774" s="436"/>
      <c r="U774" s="436"/>
      <c r="V774" s="436"/>
      <c r="W774" s="436">
        <f>IF(NFI_Expiration=1,IF($A774&lt;VLOOKUP(H$5,NFI,5,0),1,0)*Table_NFI[[#This Row],[Hygiene Kit]],Table_NFI[Hygiene Kit])</f>
        <v>0</v>
      </c>
      <c r="X774" s="436">
        <f>IF(NFI_Expiration=1,IF($A774&lt;VLOOKUP(I$5,NFI,5,0),1,0)*Table_NFI[[#This Row],[NFI Core Kit]],Table_NFI[NFI Core Kit])</f>
        <v>0</v>
      </c>
      <c r="Y774" s="436">
        <f>IF(NFI_Expiration=1,IF($A774&lt;VLOOKUP(J$5,NFI,5,0),1,0)*Table_NFI[[#This Row],[Sanitary Kit]],Table_NFI[Sanitary Kit])</f>
        <v>0</v>
      </c>
      <c r="Z774" s="436">
        <f>IF(NFI_Expiration=1,IF($A774&lt;VLOOKUP(K$5,NFI,5,0),1,0)*Table_NFI[[#This Row],[Mosquito net]],Table_NFI[Mosquito net])</f>
        <v>0</v>
      </c>
      <c r="AA774" s="436">
        <f>IF(NFI_Expiration=1,IF($A774&lt;VLOOKUP(L$5,NFI,5,0),1,0)*Table_NFI[[#This Row],[Tarpaulin]],Table_NFI[[#This Row],[Tarpaulin]])</f>
        <v>0</v>
      </c>
      <c r="AB774" s="436">
        <f>IF(NFI_Expiration=1,IF($A774&lt;VLOOKUP(M$5,NFI,5,0),1,0)*Table_NFI[[#This Row],[Blanket]],Table_NFI[[#This Row],[Blanket]])</f>
        <v>0</v>
      </c>
      <c r="AC774" s="436">
        <f>IF(NFI_Expiration=1,IF($A774&lt;VLOOKUP(N$5,NFI,5,0),1,0)*Table_NFI[[#This Row],[Kitchen Set]],Table_NFI[Kitchen Set])</f>
        <v>0</v>
      </c>
      <c r="AD774" s="436">
        <f>IF(NFI_Expiration=1,IF($A774&lt;VLOOKUP(O$5,NFI,5,0),1,0)*Table_NFI[[#This Row],[Clothes Kit]],Table_NFI[Clothes Kit])</f>
        <v>0</v>
      </c>
      <c r="AE774" s="436">
        <f>IF(NFI_Expiration=1,IF($A774&lt;VLOOKUP(P$5,NFI,5,0),1,0)*Table_NFI[[#This Row],[Plastic Bucket]],Table_NFI[Plastic Bucket])</f>
        <v>0</v>
      </c>
      <c r="AF774" s="436">
        <f>IF(NFI_Expiration=1,IF($A774&lt;VLOOKUP(Q$5,NFI,5,0),1,0)*Table_NFI[[#This Row],[Plastic Mat]],Table_NFI[Plastic Mat])*IF(Table_NFI[[#This Row],[Distribution Date]]&gt;"2014-04-01",1,2.5)</f>
        <v>0</v>
      </c>
      <c r="AG774" s="436">
        <f>IF(NFI_Expiration=1,IF($A774&lt;VLOOKUP(R$5,NFI,5,0),1,0)*Table_NFI[[#This Row],[Winter Clothes Adult]],Table_NFI[Winter Clothes Adult])</f>
        <v>0</v>
      </c>
      <c r="AH774" s="436">
        <f>IF(NFI_Expiration=1,IF($A774&lt;VLOOKUP(S$5,NFI,5,0),1,0)*Table_NFI[[#This Row],[Winter Clothes Children]],Table_NFI[Winter Clothes Children])</f>
        <v>0</v>
      </c>
      <c r="AI774" s="436">
        <f>IF(NFI_Expiration=1,IF($A774&lt;VLOOKUP(T$5,NFI,5,0),1,0)*Table_NFI[[#This Row],[Winter Items Other]],Table_NFI[Winter Items Other])</f>
        <v>0</v>
      </c>
      <c r="AJ774" s="436">
        <f>IF(NFI_Expiration=1,IF($A774&lt;VLOOKUP(M$5,NFI,5,0),1,0)*Table_NFI[[#This Row],[Winter Blanket]],Table_NFI[[#This Row],[Winter Blanket]])</f>
        <v>0</v>
      </c>
      <c r="AK774" s="436">
        <f>IF(Table_NFI[[#This Row],[Winter Clothes Adult]]+Table_NFI[[#This Row],[Winter Clothes Children]]+Table_NFI[[#This Row],[Winter Items Other]]+Table_NFI[[#This Row],[Winter Blanket]]&gt;0,1,0)</f>
        <v>0</v>
      </c>
      <c r="AL774" s="439">
        <f>IF(NFI_Expiration=1,IF($A774&lt;VLOOKUP(V$5,NFI,5,0),1,0)*Table_NFI[[#This Row],[Jerry Can]],Table_NFI[Jerry Can])</f>
        <v>0</v>
      </c>
      <c r="AM774" s="781" t="str">
        <f>IFERROR(VLOOKUP(Table_NFI[[#This Row],[Camp Name]],CL,2,0),"")</f>
        <v>MMR001CMP126</v>
      </c>
      <c r="AN774" s="782">
        <f ca="1">IF(Table_NFI[[#This Row],[Pcode]]="","",IF(OFFSET(CampList[Opening Date],MATCH(Table_NFI[[#This Row],[Pcode]],CampList[CP_Pcode],0)-1,0,1,1)&gt;=NFI_Monitor_Date,1,0))</f>
        <v>0</v>
      </c>
      <c r="AO774" s="781" t="str">
        <f>IFERROR(VLOOKUP(Table_NFI[[#This Row],[Camp Name]],CL,3,0),"")</f>
        <v>Open</v>
      </c>
      <c r="AP774" s="436" t="str">
        <f ca="1">IF(Table_NFI[[#This Row],[Pcode]]="","",OFFSET(CampList[Priority],MATCH(Table_NFI[[#This Row],[Pcode]],CampList[CP_Pcode],0)-1,0,1,1))</f>
        <v>P2</v>
      </c>
      <c r="AQ774" s="438">
        <f>IFERROR(Table_NFI[[#This Row],[Kitchen Set]]/VLOOKUP(Table_NFI[[#This Row],[Camp Name]],CL,4,0),"")</f>
        <v>0</v>
      </c>
      <c r="AR774" s="779" t="s">
        <v>1099</v>
      </c>
      <c r="AS774" s="783"/>
    </row>
    <row r="775" spans="1:45" x14ac:dyDescent="0.25">
      <c r="A775" s="455">
        <f t="shared" si="12"/>
        <v>40.06666666666667</v>
      </c>
      <c r="B775" s="778">
        <v>41107</v>
      </c>
      <c r="C775" s="779" t="s">
        <v>454</v>
      </c>
      <c r="D775" s="780" t="s">
        <v>454</v>
      </c>
      <c r="E775" s="779" t="s">
        <v>380</v>
      </c>
      <c r="F775" s="435" t="s">
        <v>185</v>
      </c>
      <c r="G775" s="435" t="s">
        <v>219</v>
      </c>
      <c r="H775" s="436"/>
      <c r="I775" s="436"/>
      <c r="J775" s="436"/>
      <c r="K775" s="436">
        <v>0</v>
      </c>
      <c r="L775" s="437">
        <v>0</v>
      </c>
      <c r="M775" s="437">
        <v>0</v>
      </c>
      <c r="N775" s="437">
        <v>0</v>
      </c>
      <c r="O775" s="437">
        <v>0</v>
      </c>
      <c r="P775" s="437"/>
      <c r="Q775" s="437"/>
      <c r="R775" s="436"/>
      <c r="S775" s="436"/>
      <c r="T775" s="436"/>
      <c r="U775" s="436"/>
      <c r="V775" s="436"/>
      <c r="W775" s="436">
        <f>IF(NFI_Expiration=1,IF($A775&lt;VLOOKUP(H$5,NFI,5,0),1,0)*Table_NFI[[#This Row],[Hygiene Kit]],Table_NFI[Hygiene Kit])</f>
        <v>0</v>
      </c>
      <c r="X775" s="436">
        <f>IF(NFI_Expiration=1,IF($A775&lt;VLOOKUP(I$5,NFI,5,0),1,0)*Table_NFI[[#This Row],[NFI Core Kit]],Table_NFI[NFI Core Kit])</f>
        <v>0</v>
      </c>
      <c r="Y775" s="436">
        <f>IF(NFI_Expiration=1,IF($A775&lt;VLOOKUP(J$5,NFI,5,0),1,0)*Table_NFI[[#This Row],[Sanitary Kit]],Table_NFI[Sanitary Kit])</f>
        <v>0</v>
      </c>
      <c r="Z775" s="436">
        <f>IF(NFI_Expiration=1,IF($A775&lt;VLOOKUP(K$5,NFI,5,0),1,0)*Table_NFI[[#This Row],[Mosquito net]],Table_NFI[Mosquito net])</f>
        <v>0</v>
      </c>
      <c r="AA775" s="436">
        <f>IF(NFI_Expiration=1,IF($A775&lt;VLOOKUP(L$5,NFI,5,0),1,0)*Table_NFI[[#This Row],[Tarpaulin]],Table_NFI[[#This Row],[Tarpaulin]])</f>
        <v>0</v>
      </c>
      <c r="AB775" s="436">
        <f>IF(NFI_Expiration=1,IF($A775&lt;VLOOKUP(M$5,NFI,5,0),1,0)*Table_NFI[[#This Row],[Blanket]],Table_NFI[[#This Row],[Blanket]])</f>
        <v>0</v>
      </c>
      <c r="AC775" s="436">
        <f>IF(NFI_Expiration=1,IF($A775&lt;VLOOKUP(N$5,NFI,5,0),1,0)*Table_NFI[[#This Row],[Kitchen Set]],Table_NFI[Kitchen Set])</f>
        <v>0</v>
      </c>
      <c r="AD775" s="436">
        <f>IF(NFI_Expiration=1,IF($A775&lt;VLOOKUP(O$5,NFI,5,0),1,0)*Table_NFI[[#This Row],[Clothes Kit]],Table_NFI[Clothes Kit])</f>
        <v>0</v>
      </c>
      <c r="AE775" s="436">
        <f>IF(NFI_Expiration=1,IF($A775&lt;VLOOKUP(P$5,NFI,5,0),1,0)*Table_NFI[[#This Row],[Plastic Bucket]],Table_NFI[Plastic Bucket])</f>
        <v>0</v>
      </c>
      <c r="AF775" s="436">
        <f>IF(NFI_Expiration=1,IF($A775&lt;VLOOKUP(Q$5,NFI,5,0),1,0)*Table_NFI[[#This Row],[Plastic Mat]],Table_NFI[Plastic Mat])*IF(Table_NFI[[#This Row],[Distribution Date]]&gt;"2014-04-01",1,2.5)</f>
        <v>0</v>
      </c>
      <c r="AG775" s="436">
        <f>IF(NFI_Expiration=1,IF($A775&lt;VLOOKUP(R$5,NFI,5,0),1,0)*Table_NFI[[#This Row],[Winter Clothes Adult]],Table_NFI[Winter Clothes Adult])</f>
        <v>0</v>
      </c>
      <c r="AH775" s="436">
        <f>IF(NFI_Expiration=1,IF($A775&lt;VLOOKUP(S$5,NFI,5,0),1,0)*Table_NFI[[#This Row],[Winter Clothes Children]],Table_NFI[Winter Clothes Children])</f>
        <v>0</v>
      </c>
      <c r="AI775" s="436">
        <f>IF(NFI_Expiration=1,IF($A775&lt;VLOOKUP(T$5,NFI,5,0),1,0)*Table_NFI[[#This Row],[Winter Items Other]],Table_NFI[Winter Items Other])</f>
        <v>0</v>
      </c>
      <c r="AJ775" s="436">
        <f>IF(NFI_Expiration=1,IF($A775&lt;VLOOKUP(M$5,NFI,5,0),1,0)*Table_NFI[[#This Row],[Winter Blanket]],Table_NFI[[#This Row],[Winter Blanket]])</f>
        <v>0</v>
      </c>
      <c r="AK775" s="436">
        <f>IF(Table_NFI[[#This Row],[Winter Clothes Adult]]+Table_NFI[[#This Row],[Winter Clothes Children]]+Table_NFI[[#This Row],[Winter Items Other]]+Table_NFI[[#This Row],[Winter Blanket]]&gt;0,1,0)</f>
        <v>0</v>
      </c>
      <c r="AL775" s="439">
        <f>IF(NFI_Expiration=1,IF($A775&lt;VLOOKUP(V$5,NFI,5,0),1,0)*Table_NFI[[#This Row],[Jerry Can]],Table_NFI[Jerry Can])</f>
        <v>0</v>
      </c>
      <c r="AM775" s="781" t="str">
        <f>IFERROR(VLOOKUP(Table_NFI[[#This Row],[Camp Name]],CL,2,0),"")</f>
        <v>MMR001CMP126</v>
      </c>
      <c r="AN775" s="782">
        <f ca="1">IF(Table_NFI[[#This Row],[Pcode]]="","",IF(OFFSET(CampList[Opening Date],MATCH(Table_NFI[[#This Row],[Pcode]],CampList[CP_Pcode],0)-1,0,1,1)&gt;=NFI_Monitor_Date,1,0))</f>
        <v>0</v>
      </c>
      <c r="AO775" s="781" t="str">
        <f>IFERROR(VLOOKUP(Table_NFI[[#This Row],[Camp Name]],CL,3,0),"")</f>
        <v>Open</v>
      </c>
      <c r="AP775" s="436" t="str">
        <f ca="1">IF(Table_NFI[[#This Row],[Pcode]]="","",OFFSET(CampList[Priority],MATCH(Table_NFI[[#This Row],[Pcode]],CampList[CP_Pcode],0)-1,0,1,1))</f>
        <v>P2</v>
      </c>
      <c r="AQ775" s="438">
        <f>IFERROR(Table_NFI[[#This Row],[Kitchen Set]]/VLOOKUP(Table_NFI[[#This Row],[Camp Name]],CL,4,0),"")</f>
        <v>0</v>
      </c>
      <c r="AR775" s="779" t="s">
        <v>1099</v>
      </c>
      <c r="AS775" s="783"/>
    </row>
    <row r="776" spans="1:45" s="784" customFormat="1" x14ac:dyDescent="0.25">
      <c r="A776" s="455">
        <f t="shared" si="12"/>
        <v>40.06666666666667</v>
      </c>
      <c r="B776" s="778">
        <v>41107</v>
      </c>
      <c r="C776" s="779" t="s">
        <v>454</v>
      </c>
      <c r="D776" s="779" t="s">
        <v>454</v>
      </c>
      <c r="E776" s="779" t="s">
        <v>380</v>
      </c>
      <c r="F776" s="779" t="s">
        <v>237</v>
      </c>
      <c r="G776" s="435" t="s">
        <v>279</v>
      </c>
      <c r="H776" s="436"/>
      <c r="I776" s="436"/>
      <c r="J776" s="436"/>
      <c r="K776" s="436">
        <v>3</v>
      </c>
      <c r="L776" s="437">
        <v>3</v>
      </c>
      <c r="M776" s="437">
        <v>3</v>
      </c>
      <c r="N776" s="437">
        <v>3</v>
      </c>
      <c r="O776" s="437">
        <v>3</v>
      </c>
      <c r="P776" s="437">
        <v>3</v>
      </c>
      <c r="Q776" s="437">
        <v>3</v>
      </c>
      <c r="R776" s="436"/>
      <c r="S776" s="436"/>
      <c r="T776" s="436"/>
      <c r="U776" s="436"/>
      <c r="V776" s="436"/>
      <c r="W776" s="436">
        <f>IF(NFI_Expiration=1,IF($A776&lt;VLOOKUP(H$5,NFI,5,0),1,0)*Table_NFI[[#This Row],[Hygiene Kit]],Table_NFI[Hygiene Kit])</f>
        <v>0</v>
      </c>
      <c r="X776" s="436">
        <f>IF(NFI_Expiration=1,IF($A776&lt;VLOOKUP(I$5,NFI,5,0),1,0)*Table_NFI[[#This Row],[NFI Core Kit]],Table_NFI[NFI Core Kit])</f>
        <v>0</v>
      </c>
      <c r="Y776" s="436">
        <f>IF(NFI_Expiration=1,IF($A776&lt;VLOOKUP(J$5,NFI,5,0),1,0)*Table_NFI[[#This Row],[Sanitary Kit]],Table_NFI[Sanitary Kit])</f>
        <v>0</v>
      </c>
      <c r="Z776" s="436">
        <f>IF(NFI_Expiration=1,IF($A776&lt;VLOOKUP(K$5,NFI,5,0),1,0)*Table_NFI[[#This Row],[Mosquito net]],Table_NFI[Mosquito net])</f>
        <v>0</v>
      </c>
      <c r="AA776" s="436">
        <f>IF(NFI_Expiration=1,IF($A776&lt;VLOOKUP(L$5,NFI,5,0),1,0)*Table_NFI[[#This Row],[Tarpaulin]],Table_NFI[[#This Row],[Tarpaulin]])</f>
        <v>0</v>
      </c>
      <c r="AB776" s="436">
        <f>IF(NFI_Expiration=1,IF($A776&lt;VLOOKUP(M$5,NFI,5,0),1,0)*Table_NFI[[#This Row],[Blanket]],Table_NFI[[#This Row],[Blanket]])</f>
        <v>0</v>
      </c>
      <c r="AC776" s="436">
        <f>IF(NFI_Expiration=1,IF($A776&lt;VLOOKUP(N$5,NFI,5,0),1,0)*Table_NFI[[#This Row],[Kitchen Set]],Table_NFI[Kitchen Set])</f>
        <v>0</v>
      </c>
      <c r="AD776" s="436">
        <f>IF(NFI_Expiration=1,IF($A776&lt;VLOOKUP(O$5,NFI,5,0),1,0)*Table_NFI[[#This Row],[Clothes Kit]],Table_NFI[Clothes Kit])</f>
        <v>0</v>
      </c>
      <c r="AE776" s="436">
        <f>IF(NFI_Expiration=1,IF($A776&lt;VLOOKUP(P$5,NFI,5,0),1,0)*Table_NFI[[#This Row],[Plastic Bucket]],Table_NFI[Plastic Bucket])</f>
        <v>0</v>
      </c>
      <c r="AF776" s="436">
        <f>IF(NFI_Expiration=1,IF($A776&lt;VLOOKUP(Q$5,NFI,5,0),1,0)*Table_NFI[[#This Row],[Plastic Mat]],Table_NFI[Plastic Mat])*IF(Table_NFI[[#This Row],[Distribution Date]]&gt;"2014-04-01",1,2.5)</f>
        <v>0</v>
      </c>
      <c r="AG776" s="436">
        <f>IF(NFI_Expiration=1,IF($A776&lt;VLOOKUP(R$5,NFI,5,0),1,0)*Table_NFI[[#This Row],[Winter Clothes Adult]],Table_NFI[Winter Clothes Adult])</f>
        <v>0</v>
      </c>
      <c r="AH776" s="436">
        <f>IF(NFI_Expiration=1,IF($A776&lt;VLOOKUP(S$5,NFI,5,0),1,0)*Table_NFI[[#This Row],[Winter Clothes Children]],Table_NFI[Winter Clothes Children])</f>
        <v>0</v>
      </c>
      <c r="AI776" s="436">
        <f>IF(NFI_Expiration=1,IF($A776&lt;VLOOKUP(T$5,NFI,5,0),1,0)*Table_NFI[[#This Row],[Winter Items Other]],Table_NFI[Winter Items Other])</f>
        <v>0</v>
      </c>
      <c r="AJ776" s="436">
        <f>IF(NFI_Expiration=1,IF($A776&lt;VLOOKUP(M$5,NFI,5,0),1,0)*Table_NFI[[#This Row],[Winter Blanket]],Table_NFI[[#This Row],[Winter Blanket]])</f>
        <v>0</v>
      </c>
      <c r="AK776" s="436">
        <f>IF(Table_NFI[[#This Row],[Winter Clothes Adult]]+Table_NFI[[#This Row],[Winter Clothes Children]]+Table_NFI[[#This Row],[Winter Items Other]]+Table_NFI[[#This Row],[Winter Blanket]]&gt;0,1,0)</f>
        <v>0</v>
      </c>
      <c r="AL776" s="439">
        <f>IF(NFI_Expiration=1,IF($A776&lt;VLOOKUP(V$5,NFI,5,0),1,0)*Table_NFI[[#This Row],[Jerry Can]],Table_NFI[Jerry Can])</f>
        <v>0</v>
      </c>
      <c r="AM776" s="781" t="str">
        <f>IFERROR(VLOOKUP(Table_NFI[[#This Row],[Camp Name]],CL,2,0),"")</f>
        <v>MMR001CMP007</v>
      </c>
      <c r="AN776" s="782">
        <f ca="1">IF(Table_NFI[[#This Row],[Pcode]]="","",IF(OFFSET(CampList[Opening Date],MATCH(Table_NFI[[#This Row],[Pcode]],CampList[CP_Pcode],0)-1,0,1,1)&gt;=NFI_Monitor_Date,1,0))</f>
        <v>0</v>
      </c>
      <c r="AO776" s="781" t="str">
        <f>IFERROR(VLOOKUP(Table_NFI[[#This Row],[Camp Name]],CL,3,0),"")</f>
        <v>Open</v>
      </c>
      <c r="AP776" s="436" t="str">
        <f ca="1">IF(Table_NFI[[#This Row],[Pcode]]="","",OFFSET(CampList[Priority],MATCH(Table_NFI[[#This Row],[Pcode]],CampList[CP_Pcode],0)-1,0,1,1))</f>
        <v>P4</v>
      </c>
      <c r="AQ776" s="438">
        <f>IFERROR(Table_NFI[[#This Row],[Kitchen Set]]/VLOOKUP(Table_NFI[[#This Row],[Camp Name]],CL,4,0),"")</f>
        <v>0.10714285714285714</v>
      </c>
      <c r="AR776" s="779" t="s">
        <v>1099</v>
      </c>
      <c r="AS776" s="783"/>
    </row>
    <row r="777" spans="1:45" s="784" customFormat="1" x14ac:dyDescent="0.25">
      <c r="A777" s="455">
        <f t="shared" si="12"/>
        <v>40.06666666666667</v>
      </c>
      <c r="B777" s="778">
        <v>41107</v>
      </c>
      <c r="C777" s="779" t="s">
        <v>454</v>
      </c>
      <c r="D777" s="780" t="s">
        <v>454</v>
      </c>
      <c r="E777" s="779" t="s">
        <v>380</v>
      </c>
      <c r="F777" s="435" t="s">
        <v>237</v>
      </c>
      <c r="G777" s="435" t="s">
        <v>251</v>
      </c>
      <c r="H777" s="436"/>
      <c r="I777" s="436"/>
      <c r="J777" s="436"/>
      <c r="K777" s="436">
        <v>7</v>
      </c>
      <c r="L777" s="437">
        <v>7</v>
      </c>
      <c r="M777" s="437">
        <v>7</v>
      </c>
      <c r="N777" s="437">
        <v>7</v>
      </c>
      <c r="O777" s="437">
        <v>7</v>
      </c>
      <c r="P777" s="437">
        <v>7</v>
      </c>
      <c r="Q777" s="437">
        <v>7</v>
      </c>
      <c r="R777" s="436"/>
      <c r="S777" s="436"/>
      <c r="T777" s="436"/>
      <c r="U777" s="436"/>
      <c r="V777" s="436"/>
      <c r="W777" s="436">
        <f>IF(NFI_Expiration=1,IF($A777&lt;VLOOKUP(H$5,NFI,5,0),1,0)*Table_NFI[[#This Row],[Hygiene Kit]],Table_NFI[Hygiene Kit])</f>
        <v>0</v>
      </c>
      <c r="X777" s="436">
        <f>IF(NFI_Expiration=1,IF($A777&lt;VLOOKUP(I$5,NFI,5,0),1,0)*Table_NFI[[#This Row],[NFI Core Kit]],Table_NFI[NFI Core Kit])</f>
        <v>0</v>
      </c>
      <c r="Y777" s="436">
        <f>IF(NFI_Expiration=1,IF($A777&lt;VLOOKUP(J$5,NFI,5,0),1,0)*Table_NFI[[#This Row],[Sanitary Kit]],Table_NFI[Sanitary Kit])</f>
        <v>0</v>
      </c>
      <c r="Z777" s="436">
        <f>IF(NFI_Expiration=1,IF($A777&lt;VLOOKUP(K$5,NFI,5,0),1,0)*Table_NFI[[#This Row],[Mosquito net]],Table_NFI[Mosquito net])</f>
        <v>0</v>
      </c>
      <c r="AA777" s="436">
        <f>IF(NFI_Expiration=1,IF($A777&lt;VLOOKUP(L$5,NFI,5,0),1,0)*Table_NFI[[#This Row],[Tarpaulin]],Table_NFI[[#This Row],[Tarpaulin]])</f>
        <v>0</v>
      </c>
      <c r="AB777" s="436">
        <f>IF(NFI_Expiration=1,IF($A777&lt;VLOOKUP(M$5,NFI,5,0),1,0)*Table_NFI[[#This Row],[Blanket]],Table_NFI[[#This Row],[Blanket]])</f>
        <v>0</v>
      </c>
      <c r="AC777" s="436">
        <f>IF(NFI_Expiration=1,IF($A777&lt;VLOOKUP(N$5,NFI,5,0),1,0)*Table_NFI[[#This Row],[Kitchen Set]],Table_NFI[Kitchen Set])</f>
        <v>0</v>
      </c>
      <c r="AD777" s="436">
        <f>IF(NFI_Expiration=1,IF($A777&lt;VLOOKUP(O$5,NFI,5,0),1,0)*Table_NFI[[#This Row],[Clothes Kit]],Table_NFI[Clothes Kit])</f>
        <v>0</v>
      </c>
      <c r="AE777" s="436">
        <f>IF(NFI_Expiration=1,IF($A777&lt;VLOOKUP(P$5,NFI,5,0),1,0)*Table_NFI[[#This Row],[Plastic Bucket]],Table_NFI[Plastic Bucket])</f>
        <v>0</v>
      </c>
      <c r="AF777" s="436">
        <f>IF(NFI_Expiration=1,IF($A777&lt;VLOOKUP(Q$5,NFI,5,0),1,0)*Table_NFI[[#This Row],[Plastic Mat]],Table_NFI[Plastic Mat])*IF(Table_NFI[[#This Row],[Distribution Date]]&gt;"2014-04-01",1,2.5)</f>
        <v>0</v>
      </c>
      <c r="AG777" s="436">
        <f>IF(NFI_Expiration=1,IF($A777&lt;VLOOKUP(R$5,NFI,5,0),1,0)*Table_NFI[[#This Row],[Winter Clothes Adult]],Table_NFI[Winter Clothes Adult])</f>
        <v>0</v>
      </c>
      <c r="AH777" s="436">
        <f>IF(NFI_Expiration=1,IF($A777&lt;VLOOKUP(S$5,NFI,5,0),1,0)*Table_NFI[[#This Row],[Winter Clothes Children]],Table_NFI[Winter Clothes Children])</f>
        <v>0</v>
      </c>
      <c r="AI777" s="436">
        <f>IF(NFI_Expiration=1,IF($A777&lt;VLOOKUP(T$5,NFI,5,0),1,0)*Table_NFI[[#This Row],[Winter Items Other]],Table_NFI[Winter Items Other])</f>
        <v>0</v>
      </c>
      <c r="AJ777" s="436">
        <f>IF(NFI_Expiration=1,IF($A777&lt;VLOOKUP(M$5,NFI,5,0),1,0)*Table_NFI[[#This Row],[Winter Blanket]],Table_NFI[[#This Row],[Winter Blanket]])</f>
        <v>0</v>
      </c>
      <c r="AK777" s="436">
        <f>IF(Table_NFI[[#This Row],[Winter Clothes Adult]]+Table_NFI[[#This Row],[Winter Clothes Children]]+Table_NFI[[#This Row],[Winter Items Other]]+Table_NFI[[#This Row],[Winter Blanket]]&gt;0,1,0)</f>
        <v>0</v>
      </c>
      <c r="AL777" s="439">
        <f>IF(NFI_Expiration=1,IF($A777&lt;VLOOKUP(V$5,NFI,5,0),1,0)*Table_NFI[[#This Row],[Jerry Can]],Table_NFI[Jerry Can])</f>
        <v>0</v>
      </c>
      <c r="AM777" s="781" t="str">
        <f>IFERROR(VLOOKUP(Table_NFI[[#This Row],[Camp Name]],CL,2,0),"")</f>
        <v>MMR001CMP003</v>
      </c>
      <c r="AN777" s="782">
        <f ca="1">IF(Table_NFI[[#This Row],[Pcode]]="","",IF(OFFSET(CampList[Opening Date],MATCH(Table_NFI[[#This Row],[Pcode]],CampList[CP_Pcode],0)-1,0,1,1)&gt;=NFI_Monitor_Date,1,0))</f>
        <v>0</v>
      </c>
      <c r="AO777" s="781" t="str">
        <f>IFERROR(VLOOKUP(Table_NFI[[#This Row],[Camp Name]],CL,3,0),"")</f>
        <v>Open</v>
      </c>
      <c r="AP777" s="436" t="str">
        <f ca="1">IF(Table_NFI[[#This Row],[Pcode]]="","",OFFSET(CampList[Priority],MATCH(Table_NFI[[#This Row],[Pcode]],CampList[CP_Pcode],0)-1,0,1,1))</f>
        <v>P4</v>
      </c>
      <c r="AQ777" s="438">
        <f>IFERROR(Table_NFI[[#This Row],[Kitchen Set]]/VLOOKUP(Table_NFI[[#This Row],[Camp Name]],CL,4,0),"")</f>
        <v>0.21875</v>
      </c>
      <c r="AR777" s="779" t="s">
        <v>1099</v>
      </c>
      <c r="AS777" s="783"/>
    </row>
    <row r="778" spans="1:45" s="784" customFormat="1" x14ac:dyDescent="0.25">
      <c r="A778" s="455">
        <f t="shared" si="12"/>
        <v>40.1</v>
      </c>
      <c r="B778" s="778">
        <v>41106</v>
      </c>
      <c r="C778" s="779" t="s">
        <v>454</v>
      </c>
      <c r="D778" s="780" t="s">
        <v>454</v>
      </c>
      <c r="E778" s="779" t="s">
        <v>380</v>
      </c>
      <c r="F778" s="435" t="s">
        <v>237</v>
      </c>
      <c r="G778" s="435" t="s">
        <v>257</v>
      </c>
      <c r="H778" s="436"/>
      <c r="I778" s="436"/>
      <c r="J778" s="436"/>
      <c r="K778" s="436">
        <v>33</v>
      </c>
      <c r="L778" s="437">
        <v>33</v>
      </c>
      <c r="M778" s="437">
        <v>33</v>
      </c>
      <c r="N778" s="437">
        <v>33</v>
      </c>
      <c r="O778" s="437">
        <v>33</v>
      </c>
      <c r="P778" s="437">
        <v>33</v>
      </c>
      <c r="Q778" s="437">
        <v>33</v>
      </c>
      <c r="R778" s="436"/>
      <c r="S778" s="436"/>
      <c r="T778" s="436"/>
      <c r="U778" s="436"/>
      <c r="V778" s="436"/>
      <c r="W778" s="436">
        <f>IF(NFI_Expiration=1,IF($A778&lt;VLOOKUP(H$5,NFI,5,0),1,0)*Table_NFI[[#This Row],[Hygiene Kit]],Table_NFI[Hygiene Kit])</f>
        <v>0</v>
      </c>
      <c r="X778" s="436">
        <f>IF(NFI_Expiration=1,IF($A778&lt;VLOOKUP(I$5,NFI,5,0),1,0)*Table_NFI[[#This Row],[NFI Core Kit]],Table_NFI[NFI Core Kit])</f>
        <v>0</v>
      </c>
      <c r="Y778" s="436">
        <f>IF(NFI_Expiration=1,IF($A778&lt;VLOOKUP(J$5,NFI,5,0),1,0)*Table_NFI[[#This Row],[Sanitary Kit]],Table_NFI[Sanitary Kit])</f>
        <v>0</v>
      </c>
      <c r="Z778" s="436">
        <f>IF(NFI_Expiration=1,IF($A778&lt;VLOOKUP(K$5,NFI,5,0),1,0)*Table_NFI[[#This Row],[Mosquito net]],Table_NFI[Mosquito net])</f>
        <v>0</v>
      </c>
      <c r="AA778" s="436">
        <f>IF(NFI_Expiration=1,IF($A778&lt;VLOOKUP(L$5,NFI,5,0),1,0)*Table_NFI[[#This Row],[Tarpaulin]],Table_NFI[[#This Row],[Tarpaulin]])</f>
        <v>0</v>
      </c>
      <c r="AB778" s="436">
        <f>IF(NFI_Expiration=1,IF($A778&lt;VLOOKUP(M$5,NFI,5,0),1,0)*Table_NFI[[#This Row],[Blanket]],Table_NFI[[#This Row],[Blanket]])</f>
        <v>0</v>
      </c>
      <c r="AC778" s="436">
        <f>IF(NFI_Expiration=1,IF($A778&lt;VLOOKUP(N$5,NFI,5,0),1,0)*Table_NFI[[#This Row],[Kitchen Set]],Table_NFI[Kitchen Set])</f>
        <v>0</v>
      </c>
      <c r="AD778" s="436">
        <f>IF(NFI_Expiration=1,IF($A778&lt;VLOOKUP(O$5,NFI,5,0),1,0)*Table_NFI[[#This Row],[Clothes Kit]],Table_NFI[Clothes Kit])</f>
        <v>0</v>
      </c>
      <c r="AE778" s="436">
        <f>IF(NFI_Expiration=1,IF($A778&lt;VLOOKUP(P$5,NFI,5,0),1,0)*Table_NFI[[#This Row],[Plastic Bucket]],Table_NFI[Plastic Bucket])</f>
        <v>0</v>
      </c>
      <c r="AF778" s="436">
        <f>IF(NFI_Expiration=1,IF($A778&lt;VLOOKUP(Q$5,NFI,5,0),1,0)*Table_NFI[[#This Row],[Plastic Mat]],Table_NFI[Plastic Mat])*IF(Table_NFI[[#This Row],[Distribution Date]]&gt;"2014-04-01",1,2.5)</f>
        <v>0</v>
      </c>
      <c r="AG778" s="436">
        <f>IF(NFI_Expiration=1,IF($A778&lt;VLOOKUP(R$5,NFI,5,0),1,0)*Table_NFI[[#This Row],[Winter Clothes Adult]],Table_NFI[Winter Clothes Adult])</f>
        <v>0</v>
      </c>
      <c r="AH778" s="436">
        <f>IF(NFI_Expiration=1,IF($A778&lt;VLOOKUP(S$5,NFI,5,0),1,0)*Table_NFI[[#This Row],[Winter Clothes Children]],Table_NFI[Winter Clothes Children])</f>
        <v>0</v>
      </c>
      <c r="AI778" s="436">
        <f>IF(NFI_Expiration=1,IF($A778&lt;VLOOKUP(T$5,NFI,5,0),1,0)*Table_NFI[[#This Row],[Winter Items Other]],Table_NFI[Winter Items Other])</f>
        <v>0</v>
      </c>
      <c r="AJ778" s="436">
        <f>IF(NFI_Expiration=1,IF($A778&lt;VLOOKUP(M$5,NFI,5,0),1,0)*Table_NFI[[#This Row],[Winter Blanket]],Table_NFI[[#This Row],[Winter Blanket]])</f>
        <v>0</v>
      </c>
      <c r="AK778" s="436">
        <f>IF(Table_NFI[[#This Row],[Winter Clothes Adult]]+Table_NFI[[#This Row],[Winter Clothes Children]]+Table_NFI[[#This Row],[Winter Items Other]]+Table_NFI[[#This Row],[Winter Blanket]]&gt;0,1,0)</f>
        <v>0</v>
      </c>
      <c r="AL778" s="439">
        <f>IF(NFI_Expiration=1,IF($A778&lt;VLOOKUP(V$5,NFI,5,0),1,0)*Table_NFI[[#This Row],[Jerry Can]],Table_NFI[Jerry Can])</f>
        <v>0</v>
      </c>
      <c r="AM778" s="781" t="str">
        <f>IFERROR(VLOOKUP(Table_NFI[[#This Row],[Camp Name]],CL,2,0),"")</f>
        <v>MMR001CMP013</v>
      </c>
      <c r="AN778" s="782">
        <f ca="1">IF(Table_NFI[[#This Row],[Pcode]]="","",IF(OFFSET(CampList[Opening Date],MATCH(Table_NFI[[#This Row],[Pcode]],CampList[CP_Pcode],0)-1,0,1,1)&gt;=NFI_Monitor_Date,1,0))</f>
        <v>0</v>
      </c>
      <c r="AO778" s="781" t="str">
        <f>IFERROR(VLOOKUP(Table_NFI[[#This Row],[Camp Name]],CL,3,0),"")</f>
        <v>Open</v>
      </c>
      <c r="AP778" s="436" t="str">
        <f ca="1">IF(Table_NFI[[#This Row],[Pcode]]="","",OFFSET(CampList[Priority],MATCH(Table_NFI[[#This Row],[Pcode]],CampList[CP_Pcode],0)-1,0,1,1))</f>
        <v>P4</v>
      </c>
      <c r="AQ778" s="438">
        <f>IFERROR(Table_NFI[[#This Row],[Kitchen Set]]/VLOOKUP(Table_NFI[[#This Row],[Camp Name]],CL,4,0),"")</f>
        <v>0.73333333333333328</v>
      </c>
      <c r="AR778" s="779" t="s">
        <v>1099</v>
      </c>
      <c r="AS778" s="783"/>
    </row>
    <row r="779" spans="1:45" s="784" customFormat="1" x14ac:dyDescent="0.25">
      <c r="A779" s="455">
        <f t="shared" si="12"/>
        <v>40.1</v>
      </c>
      <c r="B779" s="778">
        <v>41106</v>
      </c>
      <c r="C779" s="779" t="s">
        <v>454</v>
      </c>
      <c r="D779" s="780" t="s">
        <v>454</v>
      </c>
      <c r="E779" s="779" t="s">
        <v>380</v>
      </c>
      <c r="F779" s="435" t="s">
        <v>237</v>
      </c>
      <c r="G779" s="435" t="s">
        <v>240</v>
      </c>
      <c r="H779" s="436"/>
      <c r="I779" s="436"/>
      <c r="J779" s="436"/>
      <c r="K779" s="436">
        <v>6</v>
      </c>
      <c r="L779" s="437">
        <v>6</v>
      </c>
      <c r="M779" s="437">
        <v>6</v>
      </c>
      <c r="N779" s="437">
        <v>6</v>
      </c>
      <c r="O779" s="437">
        <v>6</v>
      </c>
      <c r="P779" s="437">
        <v>6</v>
      </c>
      <c r="Q779" s="437">
        <v>6</v>
      </c>
      <c r="R779" s="436"/>
      <c r="S779" s="436"/>
      <c r="T779" s="436"/>
      <c r="U779" s="436"/>
      <c r="V779" s="436"/>
      <c r="W779" s="436">
        <f>IF(NFI_Expiration=1,IF($A779&lt;VLOOKUP(H$5,NFI,5,0),1,0)*Table_NFI[[#This Row],[Hygiene Kit]],Table_NFI[Hygiene Kit])</f>
        <v>0</v>
      </c>
      <c r="X779" s="436">
        <f>IF(NFI_Expiration=1,IF($A779&lt;VLOOKUP(I$5,NFI,5,0),1,0)*Table_NFI[[#This Row],[NFI Core Kit]],Table_NFI[NFI Core Kit])</f>
        <v>0</v>
      </c>
      <c r="Y779" s="436">
        <f>IF(NFI_Expiration=1,IF($A779&lt;VLOOKUP(J$5,NFI,5,0),1,0)*Table_NFI[[#This Row],[Sanitary Kit]],Table_NFI[Sanitary Kit])</f>
        <v>0</v>
      </c>
      <c r="Z779" s="436">
        <f>IF(NFI_Expiration=1,IF($A779&lt;VLOOKUP(K$5,NFI,5,0),1,0)*Table_NFI[[#This Row],[Mosquito net]],Table_NFI[Mosquito net])</f>
        <v>0</v>
      </c>
      <c r="AA779" s="436">
        <f>IF(NFI_Expiration=1,IF($A779&lt;VLOOKUP(L$5,NFI,5,0),1,0)*Table_NFI[[#This Row],[Tarpaulin]],Table_NFI[[#This Row],[Tarpaulin]])</f>
        <v>0</v>
      </c>
      <c r="AB779" s="436">
        <f>IF(NFI_Expiration=1,IF($A779&lt;VLOOKUP(M$5,NFI,5,0),1,0)*Table_NFI[[#This Row],[Blanket]],Table_NFI[[#This Row],[Blanket]])</f>
        <v>0</v>
      </c>
      <c r="AC779" s="436">
        <f>IF(NFI_Expiration=1,IF($A779&lt;VLOOKUP(N$5,NFI,5,0),1,0)*Table_NFI[[#This Row],[Kitchen Set]],Table_NFI[Kitchen Set])</f>
        <v>0</v>
      </c>
      <c r="AD779" s="436">
        <f>IF(NFI_Expiration=1,IF($A779&lt;VLOOKUP(O$5,NFI,5,0),1,0)*Table_NFI[[#This Row],[Clothes Kit]],Table_NFI[Clothes Kit])</f>
        <v>0</v>
      </c>
      <c r="AE779" s="436">
        <f>IF(NFI_Expiration=1,IF($A779&lt;VLOOKUP(P$5,NFI,5,0),1,0)*Table_NFI[[#This Row],[Plastic Bucket]],Table_NFI[Plastic Bucket])</f>
        <v>0</v>
      </c>
      <c r="AF779" s="436">
        <f>IF(NFI_Expiration=1,IF($A779&lt;VLOOKUP(Q$5,NFI,5,0),1,0)*Table_NFI[[#This Row],[Plastic Mat]],Table_NFI[Plastic Mat])*IF(Table_NFI[[#This Row],[Distribution Date]]&gt;"2014-04-01",1,2.5)</f>
        <v>0</v>
      </c>
      <c r="AG779" s="436">
        <f>IF(NFI_Expiration=1,IF($A779&lt;VLOOKUP(R$5,NFI,5,0),1,0)*Table_NFI[[#This Row],[Winter Clothes Adult]],Table_NFI[Winter Clothes Adult])</f>
        <v>0</v>
      </c>
      <c r="AH779" s="436">
        <f>IF(NFI_Expiration=1,IF($A779&lt;VLOOKUP(S$5,NFI,5,0),1,0)*Table_NFI[[#This Row],[Winter Clothes Children]],Table_NFI[Winter Clothes Children])</f>
        <v>0</v>
      </c>
      <c r="AI779" s="436">
        <f>IF(NFI_Expiration=1,IF($A779&lt;VLOOKUP(T$5,NFI,5,0),1,0)*Table_NFI[[#This Row],[Winter Items Other]],Table_NFI[Winter Items Other])</f>
        <v>0</v>
      </c>
      <c r="AJ779" s="436">
        <f>IF(NFI_Expiration=1,IF($A779&lt;VLOOKUP(M$5,NFI,5,0),1,0)*Table_NFI[[#This Row],[Winter Blanket]],Table_NFI[[#This Row],[Winter Blanket]])</f>
        <v>0</v>
      </c>
      <c r="AK779" s="436">
        <f>IF(Table_NFI[[#This Row],[Winter Clothes Adult]]+Table_NFI[[#This Row],[Winter Clothes Children]]+Table_NFI[[#This Row],[Winter Items Other]]+Table_NFI[[#This Row],[Winter Blanket]]&gt;0,1,0)</f>
        <v>0</v>
      </c>
      <c r="AL779" s="439">
        <f>IF(NFI_Expiration=1,IF($A779&lt;VLOOKUP(V$5,NFI,5,0),1,0)*Table_NFI[[#This Row],[Jerry Can]],Table_NFI[Jerry Can])</f>
        <v>0</v>
      </c>
      <c r="AM779" s="781" t="str">
        <f>IFERROR(VLOOKUP(Table_NFI[[#This Row],[Camp Name]],CL,2,0),"")</f>
        <v>MMR001CMP015</v>
      </c>
      <c r="AN779" s="782">
        <f ca="1">IF(Table_NFI[[#This Row],[Pcode]]="","",IF(OFFSET(CampList[Opening Date],MATCH(Table_NFI[[#This Row],[Pcode]],CampList[CP_Pcode],0)-1,0,1,1)&gt;=NFI_Monitor_Date,1,0))</f>
        <v>0</v>
      </c>
      <c r="AO779" s="781" t="str">
        <f>IFERROR(VLOOKUP(Table_NFI[[#This Row],[Camp Name]],CL,3,0),"")</f>
        <v>Open</v>
      </c>
      <c r="AP779" s="436" t="str">
        <f ca="1">IF(Table_NFI[[#This Row],[Pcode]]="","",OFFSET(CampList[Priority],MATCH(Table_NFI[[#This Row],[Pcode]],CampList[CP_Pcode],0)-1,0,1,1))</f>
        <v>P4</v>
      </c>
      <c r="AQ779" s="438">
        <f>IFERROR(Table_NFI[[#This Row],[Kitchen Set]]/VLOOKUP(Table_NFI[[#This Row],[Camp Name]],CL,4,0),"")</f>
        <v>5.5555555555555552E-2</v>
      </c>
      <c r="AR779" s="779" t="s">
        <v>1099</v>
      </c>
      <c r="AS779" s="783"/>
    </row>
    <row r="780" spans="1:45" s="784" customFormat="1" x14ac:dyDescent="0.25">
      <c r="A780" s="455">
        <f t="shared" si="12"/>
        <v>40.1</v>
      </c>
      <c r="B780" s="778">
        <v>41106</v>
      </c>
      <c r="C780" s="779" t="s">
        <v>454</v>
      </c>
      <c r="D780" s="779" t="s">
        <v>454</v>
      </c>
      <c r="E780" s="779" t="s">
        <v>380</v>
      </c>
      <c r="F780" s="435" t="s">
        <v>237</v>
      </c>
      <c r="G780" s="435" t="s">
        <v>240</v>
      </c>
      <c r="H780" s="436"/>
      <c r="I780" s="436"/>
      <c r="J780" s="436"/>
      <c r="K780" s="436">
        <v>13</v>
      </c>
      <c r="L780" s="437">
        <v>13</v>
      </c>
      <c r="M780" s="437">
        <v>13</v>
      </c>
      <c r="N780" s="437">
        <v>13</v>
      </c>
      <c r="O780" s="437">
        <v>13</v>
      </c>
      <c r="P780" s="439">
        <v>13</v>
      </c>
      <c r="Q780" s="439">
        <v>13</v>
      </c>
      <c r="R780" s="436"/>
      <c r="S780" s="436"/>
      <c r="T780" s="436"/>
      <c r="U780" s="436"/>
      <c r="V780" s="436"/>
      <c r="W780" s="436">
        <f>IF(NFI_Expiration=1,IF($A780&lt;VLOOKUP(H$5,NFI,5,0),1,0)*Table_NFI[[#This Row],[Hygiene Kit]],Table_NFI[Hygiene Kit])</f>
        <v>0</v>
      </c>
      <c r="X780" s="436">
        <f>IF(NFI_Expiration=1,IF($A780&lt;VLOOKUP(I$5,NFI,5,0),1,0)*Table_NFI[[#This Row],[NFI Core Kit]],Table_NFI[NFI Core Kit])</f>
        <v>0</v>
      </c>
      <c r="Y780" s="436">
        <f>IF(NFI_Expiration=1,IF($A780&lt;VLOOKUP(J$5,NFI,5,0),1,0)*Table_NFI[[#This Row],[Sanitary Kit]],Table_NFI[Sanitary Kit])</f>
        <v>0</v>
      </c>
      <c r="Z780" s="436">
        <f>IF(NFI_Expiration=1,IF($A780&lt;VLOOKUP(K$5,NFI,5,0),1,0)*Table_NFI[[#This Row],[Mosquito net]],Table_NFI[Mosquito net])</f>
        <v>0</v>
      </c>
      <c r="AA780" s="436">
        <f>IF(NFI_Expiration=1,IF($A780&lt;VLOOKUP(L$5,NFI,5,0),1,0)*Table_NFI[[#This Row],[Tarpaulin]],Table_NFI[[#This Row],[Tarpaulin]])</f>
        <v>0</v>
      </c>
      <c r="AB780" s="436">
        <f>IF(NFI_Expiration=1,IF($A780&lt;VLOOKUP(M$5,NFI,5,0),1,0)*Table_NFI[[#This Row],[Blanket]],Table_NFI[[#This Row],[Blanket]])</f>
        <v>0</v>
      </c>
      <c r="AC780" s="436">
        <f>IF(NFI_Expiration=1,IF($A780&lt;VLOOKUP(N$5,NFI,5,0),1,0)*Table_NFI[[#This Row],[Kitchen Set]],Table_NFI[Kitchen Set])</f>
        <v>0</v>
      </c>
      <c r="AD780" s="436">
        <f>IF(NFI_Expiration=1,IF($A780&lt;VLOOKUP(O$5,NFI,5,0),1,0)*Table_NFI[[#This Row],[Clothes Kit]],Table_NFI[Clothes Kit])</f>
        <v>0</v>
      </c>
      <c r="AE780" s="436">
        <f>IF(NFI_Expiration=1,IF($A780&lt;VLOOKUP(P$5,NFI,5,0),1,0)*Table_NFI[[#This Row],[Plastic Bucket]],Table_NFI[Plastic Bucket])</f>
        <v>0</v>
      </c>
      <c r="AF780" s="436">
        <f>IF(NFI_Expiration=1,IF($A780&lt;VLOOKUP(Q$5,NFI,5,0),1,0)*Table_NFI[[#This Row],[Plastic Mat]],Table_NFI[Plastic Mat])*IF(Table_NFI[[#This Row],[Distribution Date]]&gt;"2014-04-01",1,2.5)</f>
        <v>0</v>
      </c>
      <c r="AG780" s="436">
        <f>IF(NFI_Expiration=1,IF($A780&lt;VLOOKUP(R$5,NFI,5,0),1,0)*Table_NFI[[#This Row],[Winter Clothes Adult]],Table_NFI[Winter Clothes Adult])</f>
        <v>0</v>
      </c>
      <c r="AH780" s="436">
        <f>IF(NFI_Expiration=1,IF($A780&lt;VLOOKUP(S$5,NFI,5,0),1,0)*Table_NFI[[#This Row],[Winter Clothes Children]],Table_NFI[Winter Clothes Children])</f>
        <v>0</v>
      </c>
      <c r="AI780" s="436">
        <f>IF(NFI_Expiration=1,IF($A780&lt;VLOOKUP(T$5,NFI,5,0),1,0)*Table_NFI[[#This Row],[Winter Items Other]],Table_NFI[Winter Items Other])</f>
        <v>0</v>
      </c>
      <c r="AJ780" s="436">
        <f>IF(NFI_Expiration=1,IF($A780&lt;VLOOKUP(M$5,NFI,5,0),1,0)*Table_NFI[[#This Row],[Winter Blanket]],Table_NFI[[#This Row],[Winter Blanket]])</f>
        <v>0</v>
      </c>
      <c r="AK780" s="436">
        <f>IF(Table_NFI[[#This Row],[Winter Clothes Adult]]+Table_NFI[[#This Row],[Winter Clothes Children]]+Table_NFI[[#This Row],[Winter Items Other]]+Table_NFI[[#This Row],[Winter Blanket]]&gt;0,1,0)</f>
        <v>0</v>
      </c>
      <c r="AL780" s="439">
        <f>IF(NFI_Expiration=1,IF($A780&lt;VLOOKUP(V$5,NFI,5,0),1,0)*Table_NFI[[#This Row],[Jerry Can]],Table_NFI[Jerry Can])</f>
        <v>0</v>
      </c>
      <c r="AM780" s="781" t="str">
        <f>IFERROR(VLOOKUP(Table_NFI[[#This Row],[Camp Name]],CL,2,0),"")</f>
        <v>MMR001CMP015</v>
      </c>
      <c r="AN780" s="782">
        <f ca="1">IF(Table_NFI[[#This Row],[Pcode]]="","",IF(OFFSET(CampList[Opening Date],MATCH(Table_NFI[[#This Row],[Pcode]],CampList[CP_Pcode],0)-1,0,1,1)&gt;=NFI_Monitor_Date,1,0))</f>
        <v>0</v>
      </c>
      <c r="AO780" s="781" t="str">
        <f>IFERROR(VLOOKUP(Table_NFI[[#This Row],[Camp Name]],CL,3,0),"")</f>
        <v>Open</v>
      </c>
      <c r="AP780" s="436" t="str">
        <f ca="1">IF(Table_NFI[[#This Row],[Pcode]]="","",OFFSET(CampList[Priority],MATCH(Table_NFI[[#This Row],[Pcode]],CampList[CP_Pcode],0)-1,0,1,1))</f>
        <v>P4</v>
      </c>
      <c r="AQ780" s="438">
        <f>IFERROR(Table_NFI[[#This Row],[Kitchen Set]]/VLOOKUP(Table_NFI[[#This Row],[Camp Name]],CL,4,0),"")</f>
        <v>0.12037037037037036</v>
      </c>
      <c r="AR780" s="779" t="s">
        <v>1099</v>
      </c>
      <c r="AS780" s="783"/>
    </row>
    <row r="781" spans="1:45" x14ac:dyDescent="0.25">
      <c r="A781" s="455">
        <f t="shared" si="12"/>
        <v>40.1</v>
      </c>
      <c r="B781" s="778">
        <v>41106</v>
      </c>
      <c r="C781" s="779" t="s">
        <v>454</v>
      </c>
      <c r="D781" s="780" t="s">
        <v>454</v>
      </c>
      <c r="E781" s="779" t="s">
        <v>380</v>
      </c>
      <c r="F781" s="435" t="s">
        <v>237</v>
      </c>
      <c r="G781" s="435" t="s">
        <v>285</v>
      </c>
      <c r="H781" s="436"/>
      <c r="I781" s="436"/>
      <c r="J781" s="436"/>
      <c r="K781" s="436">
        <v>50</v>
      </c>
      <c r="L781" s="437">
        <v>50</v>
      </c>
      <c r="M781" s="437">
        <v>50</v>
      </c>
      <c r="N781" s="437">
        <v>50</v>
      </c>
      <c r="O781" s="437">
        <v>50</v>
      </c>
      <c r="P781" s="437">
        <v>50</v>
      </c>
      <c r="Q781" s="437">
        <v>50</v>
      </c>
      <c r="R781" s="436"/>
      <c r="S781" s="436"/>
      <c r="T781" s="436"/>
      <c r="U781" s="436"/>
      <c r="V781" s="436"/>
      <c r="W781" s="436">
        <f>IF(NFI_Expiration=1,IF($A781&lt;VLOOKUP(H$5,NFI,5,0),1,0)*Table_NFI[[#This Row],[Hygiene Kit]],Table_NFI[Hygiene Kit])</f>
        <v>0</v>
      </c>
      <c r="X781" s="436">
        <f>IF(NFI_Expiration=1,IF($A781&lt;VLOOKUP(I$5,NFI,5,0),1,0)*Table_NFI[[#This Row],[NFI Core Kit]],Table_NFI[NFI Core Kit])</f>
        <v>0</v>
      </c>
      <c r="Y781" s="436">
        <f>IF(NFI_Expiration=1,IF($A781&lt;VLOOKUP(J$5,NFI,5,0),1,0)*Table_NFI[[#This Row],[Sanitary Kit]],Table_NFI[Sanitary Kit])</f>
        <v>0</v>
      </c>
      <c r="Z781" s="436">
        <f>IF(NFI_Expiration=1,IF($A781&lt;VLOOKUP(K$5,NFI,5,0),1,0)*Table_NFI[[#This Row],[Mosquito net]],Table_NFI[Mosquito net])</f>
        <v>0</v>
      </c>
      <c r="AA781" s="436">
        <f>IF(NFI_Expiration=1,IF($A781&lt;VLOOKUP(L$5,NFI,5,0),1,0)*Table_NFI[[#This Row],[Tarpaulin]],Table_NFI[[#This Row],[Tarpaulin]])</f>
        <v>0</v>
      </c>
      <c r="AB781" s="436">
        <f>IF(NFI_Expiration=1,IF($A781&lt;VLOOKUP(M$5,NFI,5,0),1,0)*Table_NFI[[#This Row],[Blanket]],Table_NFI[[#This Row],[Blanket]])</f>
        <v>0</v>
      </c>
      <c r="AC781" s="436">
        <f>IF(NFI_Expiration=1,IF($A781&lt;VLOOKUP(N$5,NFI,5,0),1,0)*Table_NFI[[#This Row],[Kitchen Set]],Table_NFI[Kitchen Set])</f>
        <v>0</v>
      </c>
      <c r="AD781" s="436">
        <f>IF(NFI_Expiration=1,IF($A781&lt;VLOOKUP(O$5,NFI,5,0),1,0)*Table_NFI[[#This Row],[Clothes Kit]],Table_NFI[Clothes Kit])</f>
        <v>0</v>
      </c>
      <c r="AE781" s="436">
        <f>IF(NFI_Expiration=1,IF($A781&lt;VLOOKUP(P$5,NFI,5,0),1,0)*Table_NFI[[#This Row],[Plastic Bucket]],Table_NFI[Plastic Bucket])</f>
        <v>0</v>
      </c>
      <c r="AF781" s="436">
        <f>IF(NFI_Expiration=1,IF($A781&lt;VLOOKUP(Q$5,NFI,5,0),1,0)*Table_NFI[[#This Row],[Plastic Mat]],Table_NFI[Plastic Mat])*IF(Table_NFI[[#This Row],[Distribution Date]]&gt;"2014-04-01",1,2.5)</f>
        <v>0</v>
      </c>
      <c r="AG781" s="436">
        <f>IF(NFI_Expiration=1,IF($A781&lt;VLOOKUP(R$5,NFI,5,0),1,0)*Table_NFI[[#This Row],[Winter Clothes Adult]],Table_NFI[Winter Clothes Adult])</f>
        <v>0</v>
      </c>
      <c r="AH781" s="436">
        <f>IF(NFI_Expiration=1,IF($A781&lt;VLOOKUP(S$5,NFI,5,0),1,0)*Table_NFI[[#This Row],[Winter Clothes Children]],Table_NFI[Winter Clothes Children])</f>
        <v>0</v>
      </c>
      <c r="AI781" s="436">
        <f>IF(NFI_Expiration=1,IF($A781&lt;VLOOKUP(T$5,NFI,5,0),1,0)*Table_NFI[[#This Row],[Winter Items Other]],Table_NFI[Winter Items Other])</f>
        <v>0</v>
      </c>
      <c r="AJ781" s="436">
        <f>IF(NFI_Expiration=1,IF($A781&lt;VLOOKUP(M$5,NFI,5,0),1,0)*Table_NFI[[#This Row],[Winter Blanket]],Table_NFI[[#This Row],[Winter Blanket]])</f>
        <v>0</v>
      </c>
      <c r="AK781" s="436">
        <f>IF(Table_NFI[[#This Row],[Winter Clothes Adult]]+Table_NFI[[#This Row],[Winter Clothes Children]]+Table_NFI[[#This Row],[Winter Items Other]]+Table_NFI[[#This Row],[Winter Blanket]]&gt;0,1,0)</f>
        <v>0</v>
      </c>
      <c r="AL781" s="439">
        <f>IF(NFI_Expiration=1,IF($A781&lt;VLOOKUP(V$5,NFI,5,0),1,0)*Table_NFI[[#This Row],[Jerry Can]],Table_NFI[Jerry Can])</f>
        <v>0</v>
      </c>
      <c r="AM781" s="781" t="str">
        <f>IFERROR(VLOOKUP(Table_NFI[[#This Row],[Camp Name]],CL,2,0),"")</f>
        <v>MMR001CMP014</v>
      </c>
      <c r="AN781" s="782">
        <f ca="1">IF(Table_NFI[[#This Row],[Pcode]]="","",IF(OFFSET(CampList[Opening Date],MATCH(Table_NFI[[#This Row],[Pcode]],CampList[CP_Pcode],0)-1,0,1,1)&gt;=NFI_Monitor_Date,1,0))</f>
        <v>0</v>
      </c>
      <c r="AO781" s="781" t="str">
        <f>IFERROR(VLOOKUP(Table_NFI[[#This Row],[Camp Name]],CL,3,0),"")</f>
        <v>Open</v>
      </c>
      <c r="AP781" s="436" t="str">
        <f ca="1">IF(Table_NFI[[#This Row],[Pcode]]="","",OFFSET(CampList[Priority],MATCH(Table_NFI[[#This Row],[Pcode]],CampList[CP_Pcode],0)-1,0,1,1))</f>
        <v>P4</v>
      </c>
      <c r="AQ781" s="438">
        <f>IFERROR(Table_NFI[[#This Row],[Kitchen Set]]/VLOOKUP(Table_NFI[[#This Row],[Camp Name]],CL,4,0),"")</f>
        <v>0.30674846625766872</v>
      </c>
      <c r="AR781" s="779" t="s">
        <v>1099</v>
      </c>
      <c r="AS781" s="783"/>
    </row>
    <row r="782" spans="1:45" x14ac:dyDescent="0.25">
      <c r="A782" s="455">
        <f t="shared" si="12"/>
        <v>40.1</v>
      </c>
      <c r="B782" s="778">
        <v>41106</v>
      </c>
      <c r="C782" s="779" t="s">
        <v>454</v>
      </c>
      <c r="D782" s="779" t="s">
        <v>454</v>
      </c>
      <c r="E782" s="779" t="s">
        <v>380</v>
      </c>
      <c r="F782" s="435" t="s">
        <v>237</v>
      </c>
      <c r="G782" s="435" t="s">
        <v>259</v>
      </c>
      <c r="H782" s="436"/>
      <c r="I782" s="436"/>
      <c r="J782" s="436"/>
      <c r="K782" s="436">
        <v>3</v>
      </c>
      <c r="L782" s="437">
        <v>3</v>
      </c>
      <c r="M782" s="437">
        <v>3</v>
      </c>
      <c r="N782" s="437">
        <v>3</v>
      </c>
      <c r="O782" s="437">
        <v>3</v>
      </c>
      <c r="P782" s="439">
        <v>3</v>
      </c>
      <c r="Q782" s="439">
        <v>3</v>
      </c>
      <c r="R782" s="436"/>
      <c r="S782" s="436"/>
      <c r="T782" s="436"/>
      <c r="U782" s="436"/>
      <c r="V782" s="436"/>
      <c r="W782" s="436">
        <f>IF(NFI_Expiration=1,IF($A782&lt;VLOOKUP(H$5,NFI,5,0),1,0)*Table_NFI[[#This Row],[Hygiene Kit]],Table_NFI[Hygiene Kit])</f>
        <v>0</v>
      </c>
      <c r="X782" s="436">
        <f>IF(NFI_Expiration=1,IF($A782&lt;VLOOKUP(I$5,NFI,5,0),1,0)*Table_NFI[[#This Row],[NFI Core Kit]],Table_NFI[NFI Core Kit])</f>
        <v>0</v>
      </c>
      <c r="Y782" s="436">
        <f>IF(NFI_Expiration=1,IF($A782&lt;VLOOKUP(J$5,NFI,5,0),1,0)*Table_NFI[[#This Row],[Sanitary Kit]],Table_NFI[Sanitary Kit])</f>
        <v>0</v>
      </c>
      <c r="Z782" s="436">
        <f>IF(NFI_Expiration=1,IF($A782&lt;VLOOKUP(K$5,NFI,5,0),1,0)*Table_NFI[[#This Row],[Mosquito net]],Table_NFI[Mosquito net])</f>
        <v>0</v>
      </c>
      <c r="AA782" s="436">
        <f>IF(NFI_Expiration=1,IF($A782&lt;VLOOKUP(L$5,NFI,5,0),1,0)*Table_NFI[[#This Row],[Tarpaulin]],Table_NFI[[#This Row],[Tarpaulin]])</f>
        <v>0</v>
      </c>
      <c r="AB782" s="436">
        <f>IF(NFI_Expiration=1,IF($A782&lt;VLOOKUP(M$5,NFI,5,0),1,0)*Table_NFI[[#This Row],[Blanket]],Table_NFI[[#This Row],[Blanket]])</f>
        <v>0</v>
      </c>
      <c r="AC782" s="436">
        <f>IF(NFI_Expiration=1,IF($A782&lt;VLOOKUP(N$5,NFI,5,0),1,0)*Table_NFI[[#This Row],[Kitchen Set]],Table_NFI[Kitchen Set])</f>
        <v>0</v>
      </c>
      <c r="AD782" s="436">
        <f>IF(NFI_Expiration=1,IF($A782&lt;VLOOKUP(O$5,NFI,5,0),1,0)*Table_NFI[[#This Row],[Clothes Kit]],Table_NFI[Clothes Kit])</f>
        <v>0</v>
      </c>
      <c r="AE782" s="436">
        <f>IF(NFI_Expiration=1,IF($A782&lt;VLOOKUP(P$5,NFI,5,0),1,0)*Table_NFI[[#This Row],[Plastic Bucket]],Table_NFI[Plastic Bucket])</f>
        <v>0</v>
      </c>
      <c r="AF782" s="436">
        <f>IF(NFI_Expiration=1,IF($A782&lt;VLOOKUP(Q$5,NFI,5,0),1,0)*Table_NFI[[#This Row],[Plastic Mat]],Table_NFI[Plastic Mat])*IF(Table_NFI[[#This Row],[Distribution Date]]&gt;"2014-04-01",1,2.5)</f>
        <v>0</v>
      </c>
      <c r="AG782" s="436">
        <f>IF(NFI_Expiration=1,IF($A782&lt;VLOOKUP(R$5,NFI,5,0),1,0)*Table_NFI[[#This Row],[Winter Clothes Adult]],Table_NFI[Winter Clothes Adult])</f>
        <v>0</v>
      </c>
      <c r="AH782" s="436">
        <f>IF(NFI_Expiration=1,IF($A782&lt;VLOOKUP(S$5,NFI,5,0),1,0)*Table_NFI[[#This Row],[Winter Clothes Children]],Table_NFI[Winter Clothes Children])</f>
        <v>0</v>
      </c>
      <c r="AI782" s="436">
        <f>IF(NFI_Expiration=1,IF($A782&lt;VLOOKUP(T$5,NFI,5,0),1,0)*Table_NFI[[#This Row],[Winter Items Other]],Table_NFI[Winter Items Other])</f>
        <v>0</v>
      </c>
      <c r="AJ782" s="436">
        <f>IF(NFI_Expiration=1,IF($A782&lt;VLOOKUP(M$5,NFI,5,0),1,0)*Table_NFI[[#This Row],[Winter Blanket]],Table_NFI[[#This Row],[Winter Blanket]])</f>
        <v>0</v>
      </c>
      <c r="AK782" s="436">
        <f>IF(Table_NFI[[#This Row],[Winter Clothes Adult]]+Table_NFI[[#This Row],[Winter Clothes Children]]+Table_NFI[[#This Row],[Winter Items Other]]+Table_NFI[[#This Row],[Winter Blanket]]&gt;0,1,0)</f>
        <v>0</v>
      </c>
      <c r="AL782" s="439">
        <f>IF(NFI_Expiration=1,IF($A782&lt;VLOOKUP(V$5,NFI,5,0),1,0)*Table_NFI[[#This Row],[Jerry Can]],Table_NFI[Jerry Can])</f>
        <v>0</v>
      </c>
      <c r="AM782" s="781" t="str">
        <f>IFERROR(VLOOKUP(Table_NFI[[#This Row],[Camp Name]],CL,2,0),"")</f>
        <v>MMR001CMP016</v>
      </c>
      <c r="AN782" s="782">
        <f ca="1">IF(Table_NFI[[#This Row],[Pcode]]="","",IF(OFFSET(CampList[Opening Date],MATCH(Table_NFI[[#This Row],[Pcode]],CampList[CP_Pcode],0)-1,0,1,1)&gt;=NFI_Monitor_Date,1,0))</f>
        <v>0</v>
      </c>
      <c r="AO782" s="781" t="str">
        <f>IFERROR(VLOOKUP(Table_NFI[[#This Row],[Camp Name]],CL,3,0),"")</f>
        <v>Open</v>
      </c>
      <c r="AP782" s="436" t="str">
        <f ca="1">IF(Table_NFI[[#This Row],[Pcode]]="","",OFFSET(CampList[Priority],MATCH(Table_NFI[[#This Row],[Pcode]],CampList[CP_Pcode],0)-1,0,1,1))</f>
        <v>P4</v>
      </c>
      <c r="AQ782" s="438">
        <f>IFERROR(Table_NFI[[#This Row],[Kitchen Set]]/VLOOKUP(Table_NFI[[#This Row],[Camp Name]],CL,4,0),"")</f>
        <v>4.1666666666666664E-2</v>
      </c>
      <c r="AR782" s="779" t="s">
        <v>1099</v>
      </c>
      <c r="AS782" s="783"/>
    </row>
    <row r="783" spans="1:45" x14ac:dyDescent="0.25">
      <c r="A783" s="455">
        <f t="shared" si="12"/>
        <v>40.1</v>
      </c>
      <c r="B783" s="778">
        <v>41106</v>
      </c>
      <c r="C783" s="779" t="s">
        <v>454</v>
      </c>
      <c r="D783" s="779" t="s">
        <v>454</v>
      </c>
      <c r="E783" s="779" t="s">
        <v>380</v>
      </c>
      <c r="F783" s="779" t="s">
        <v>237</v>
      </c>
      <c r="G783" s="435" t="s">
        <v>269</v>
      </c>
      <c r="H783" s="436"/>
      <c r="I783" s="436"/>
      <c r="J783" s="436"/>
      <c r="K783" s="436">
        <v>25</v>
      </c>
      <c r="L783" s="437">
        <v>25</v>
      </c>
      <c r="M783" s="437">
        <v>25</v>
      </c>
      <c r="N783" s="437">
        <v>25</v>
      </c>
      <c r="O783" s="437">
        <v>25</v>
      </c>
      <c r="P783" s="439">
        <v>25</v>
      </c>
      <c r="Q783" s="439">
        <v>25</v>
      </c>
      <c r="R783" s="436"/>
      <c r="S783" s="436"/>
      <c r="T783" s="436"/>
      <c r="U783" s="436"/>
      <c r="V783" s="436"/>
      <c r="W783" s="436">
        <f>IF(NFI_Expiration=1,IF($A783&lt;VLOOKUP(H$5,NFI,5,0),1,0)*Table_NFI[[#This Row],[Hygiene Kit]],Table_NFI[Hygiene Kit])</f>
        <v>0</v>
      </c>
      <c r="X783" s="436">
        <f>IF(NFI_Expiration=1,IF($A783&lt;VLOOKUP(I$5,NFI,5,0),1,0)*Table_NFI[[#This Row],[NFI Core Kit]],Table_NFI[NFI Core Kit])</f>
        <v>0</v>
      </c>
      <c r="Y783" s="436">
        <f>IF(NFI_Expiration=1,IF($A783&lt;VLOOKUP(J$5,NFI,5,0),1,0)*Table_NFI[[#This Row],[Sanitary Kit]],Table_NFI[Sanitary Kit])</f>
        <v>0</v>
      </c>
      <c r="Z783" s="436">
        <f>IF(NFI_Expiration=1,IF($A783&lt;VLOOKUP(K$5,NFI,5,0),1,0)*Table_NFI[[#This Row],[Mosquito net]],Table_NFI[Mosquito net])</f>
        <v>0</v>
      </c>
      <c r="AA783" s="436">
        <f>IF(NFI_Expiration=1,IF($A783&lt;VLOOKUP(L$5,NFI,5,0),1,0)*Table_NFI[[#This Row],[Tarpaulin]],Table_NFI[[#This Row],[Tarpaulin]])</f>
        <v>0</v>
      </c>
      <c r="AB783" s="436">
        <f>IF(NFI_Expiration=1,IF($A783&lt;VLOOKUP(M$5,NFI,5,0),1,0)*Table_NFI[[#This Row],[Blanket]],Table_NFI[[#This Row],[Blanket]])</f>
        <v>0</v>
      </c>
      <c r="AC783" s="436">
        <f>IF(NFI_Expiration=1,IF($A783&lt;VLOOKUP(N$5,NFI,5,0),1,0)*Table_NFI[[#This Row],[Kitchen Set]],Table_NFI[Kitchen Set])</f>
        <v>0</v>
      </c>
      <c r="AD783" s="436">
        <f>IF(NFI_Expiration=1,IF($A783&lt;VLOOKUP(O$5,NFI,5,0),1,0)*Table_NFI[[#This Row],[Clothes Kit]],Table_NFI[Clothes Kit])</f>
        <v>0</v>
      </c>
      <c r="AE783" s="436">
        <f>IF(NFI_Expiration=1,IF($A783&lt;VLOOKUP(P$5,NFI,5,0),1,0)*Table_NFI[[#This Row],[Plastic Bucket]],Table_NFI[Plastic Bucket])</f>
        <v>0</v>
      </c>
      <c r="AF783" s="436">
        <f>IF(NFI_Expiration=1,IF($A783&lt;VLOOKUP(Q$5,NFI,5,0),1,0)*Table_NFI[[#This Row],[Plastic Mat]],Table_NFI[Plastic Mat])*IF(Table_NFI[[#This Row],[Distribution Date]]&gt;"2014-04-01",1,2.5)</f>
        <v>0</v>
      </c>
      <c r="AG783" s="436">
        <f>IF(NFI_Expiration=1,IF($A783&lt;VLOOKUP(R$5,NFI,5,0),1,0)*Table_NFI[[#This Row],[Winter Clothes Adult]],Table_NFI[Winter Clothes Adult])</f>
        <v>0</v>
      </c>
      <c r="AH783" s="436">
        <f>IF(NFI_Expiration=1,IF($A783&lt;VLOOKUP(S$5,NFI,5,0),1,0)*Table_NFI[[#This Row],[Winter Clothes Children]],Table_NFI[Winter Clothes Children])</f>
        <v>0</v>
      </c>
      <c r="AI783" s="436">
        <f>IF(NFI_Expiration=1,IF($A783&lt;VLOOKUP(T$5,NFI,5,0),1,0)*Table_NFI[[#This Row],[Winter Items Other]],Table_NFI[Winter Items Other])</f>
        <v>0</v>
      </c>
      <c r="AJ783" s="436">
        <f>IF(NFI_Expiration=1,IF($A783&lt;VLOOKUP(M$5,NFI,5,0),1,0)*Table_NFI[[#This Row],[Winter Blanket]],Table_NFI[[#This Row],[Winter Blanket]])</f>
        <v>0</v>
      </c>
      <c r="AK783" s="436">
        <f>IF(Table_NFI[[#This Row],[Winter Clothes Adult]]+Table_NFI[[#This Row],[Winter Clothes Children]]+Table_NFI[[#This Row],[Winter Items Other]]+Table_NFI[[#This Row],[Winter Blanket]]&gt;0,1,0)</f>
        <v>0</v>
      </c>
      <c r="AL783" s="439">
        <f>IF(NFI_Expiration=1,IF($A783&lt;VLOOKUP(V$5,NFI,5,0),1,0)*Table_NFI[[#This Row],[Jerry Can]],Table_NFI[Jerry Can])</f>
        <v>0</v>
      </c>
      <c r="AM783" s="781" t="str">
        <f>IFERROR(VLOOKUP(Table_NFI[[#This Row],[Camp Name]],CL,2,0),"")</f>
        <v>MMR001CMP002</v>
      </c>
      <c r="AN783" s="782">
        <f ca="1">IF(Table_NFI[[#This Row],[Pcode]]="","",IF(OFFSET(CampList[Opening Date],MATCH(Table_NFI[[#This Row],[Pcode]],CampList[CP_Pcode],0)-1,0,1,1)&gt;=NFI_Monitor_Date,1,0))</f>
        <v>0</v>
      </c>
      <c r="AO783" s="781" t="str">
        <f>IFERROR(VLOOKUP(Table_NFI[[#This Row],[Camp Name]],CL,3,0),"")</f>
        <v>Open</v>
      </c>
      <c r="AP783" s="436" t="str">
        <f ca="1">IF(Table_NFI[[#This Row],[Pcode]]="","",OFFSET(CampList[Priority],MATCH(Table_NFI[[#This Row],[Pcode]],CampList[CP_Pcode],0)-1,0,1,1))</f>
        <v>P4</v>
      </c>
      <c r="AQ783" s="438">
        <f>IFERROR(Table_NFI[[#This Row],[Kitchen Set]]/VLOOKUP(Table_NFI[[#This Row],[Camp Name]],CL,4,0),"")</f>
        <v>0.43859649122807015</v>
      </c>
      <c r="AR783" s="779" t="s">
        <v>1099</v>
      </c>
      <c r="AS783" s="783"/>
    </row>
    <row r="784" spans="1:45" x14ac:dyDescent="0.25">
      <c r="A784" s="455">
        <f t="shared" si="12"/>
        <v>40.200000000000003</v>
      </c>
      <c r="B784" s="778">
        <v>41103</v>
      </c>
      <c r="C784" s="779" t="s">
        <v>454</v>
      </c>
      <c r="D784" s="779" t="s">
        <v>454</v>
      </c>
      <c r="E784" s="779" t="s">
        <v>380</v>
      </c>
      <c r="F784" s="779" t="s">
        <v>310</v>
      </c>
      <c r="G784" s="435" t="s">
        <v>313</v>
      </c>
      <c r="H784" s="436"/>
      <c r="I784" s="436"/>
      <c r="J784" s="436"/>
      <c r="K784" s="436">
        <v>9</v>
      </c>
      <c r="L784" s="437">
        <v>9</v>
      </c>
      <c r="M784" s="437">
        <v>9</v>
      </c>
      <c r="N784" s="437">
        <v>9</v>
      </c>
      <c r="O784" s="437">
        <v>9</v>
      </c>
      <c r="P784" s="439">
        <v>9</v>
      </c>
      <c r="Q784" s="439">
        <v>9</v>
      </c>
      <c r="R784" s="436"/>
      <c r="S784" s="436"/>
      <c r="T784" s="436"/>
      <c r="U784" s="436"/>
      <c r="V784" s="436"/>
      <c r="W784" s="436">
        <f>IF(NFI_Expiration=1,IF($A784&lt;VLOOKUP(H$5,NFI,5,0),1,0)*Table_NFI[[#This Row],[Hygiene Kit]],Table_NFI[Hygiene Kit])</f>
        <v>0</v>
      </c>
      <c r="X784" s="436">
        <f>IF(NFI_Expiration=1,IF($A784&lt;VLOOKUP(I$5,NFI,5,0),1,0)*Table_NFI[[#This Row],[NFI Core Kit]],Table_NFI[NFI Core Kit])</f>
        <v>0</v>
      </c>
      <c r="Y784" s="436">
        <f>IF(NFI_Expiration=1,IF($A784&lt;VLOOKUP(J$5,NFI,5,0),1,0)*Table_NFI[[#This Row],[Sanitary Kit]],Table_NFI[Sanitary Kit])</f>
        <v>0</v>
      </c>
      <c r="Z784" s="436">
        <f>IF(NFI_Expiration=1,IF($A784&lt;VLOOKUP(K$5,NFI,5,0),1,0)*Table_NFI[[#This Row],[Mosquito net]],Table_NFI[Mosquito net])</f>
        <v>0</v>
      </c>
      <c r="AA784" s="436">
        <f>IF(NFI_Expiration=1,IF($A784&lt;VLOOKUP(L$5,NFI,5,0),1,0)*Table_NFI[[#This Row],[Tarpaulin]],Table_NFI[[#This Row],[Tarpaulin]])</f>
        <v>0</v>
      </c>
      <c r="AB784" s="436">
        <f>IF(NFI_Expiration=1,IF($A784&lt;VLOOKUP(M$5,NFI,5,0),1,0)*Table_NFI[[#This Row],[Blanket]],Table_NFI[[#This Row],[Blanket]])</f>
        <v>0</v>
      </c>
      <c r="AC784" s="436">
        <f>IF(NFI_Expiration=1,IF($A784&lt;VLOOKUP(N$5,NFI,5,0),1,0)*Table_NFI[[#This Row],[Kitchen Set]],Table_NFI[Kitchen Set])</f>
        <v>0</v>
      </c>
      <c r="AD784" s="436">
        <f>IF(NFI_Expiration=1,IF($A784&lt;VLOOKUP(O$5,NFI,5,0),1,0)*Table_NFI[[#This Row],[Clothes Kit]],Table_NFI[Clothes Kit])</f>
        <v>0</v>
      </c>
      <c r="AE784" s="436">
        <f>IF(NFI_Expiration=1,IF($A784&lt;VLOOKUP(P$5,NFI,5,0),1,0)*Table_NFI[[#This Row],[Plastic Bucket]],Table_NFI[Plastic Bucket])</f>
        <v>0</v>
      </c>
      <c r="AF784" s="436">
        <f>IF(NFI_Expiration=1,IF($A784&lt;VLOOKUP(Q$5,NFI,5,0),1,0)*Table_NFI[[#This Row],[Plastic Mat]],Table_NFI[Plastic Mat])*IF(Table_NFI[[#This Row],[Distribution Date]]&gt;"2014-04-01",1,2.5)</f>
        <v>0</v>
      </c>
      <c r="AG784" s="436">
        <f>IF(NFI_Expiration=1,IF($A784&lt;VLOOKUP(R$5,NFI,5,0),1,0)*Table_NFI[[#This Row],[Winter Clothes Adult]],Table_NFI[Winter Clothes Adult])</f>
        <v>0</v>
      </c>
      <c r="AH784" s="436">
        <f>IF(NFI_Expiration=1,IF($A784&lt;VLOOKUP(S$5,NFI,5,0),1,0)*Table_NFI[[#This Row],[Winter Clothes Children]],Table_NFI[Winter Clothes Children])</f>
        <v>0</v>
      </c>
      <c r="AI784" s="436">
        <f>IF(NFI_Expiration=1,IF($A784&lt;VLOOKUP(T$5,NFI,5,0),1,0)*Table_NFI[[#This Row],[Winter Items Other]],Table_NFI[Winter Items Other])</f>
        <v>0</v>
      </c>
      <c r="AJ784" s="436">
        <f>IF(NFI_Expiration=1,IF($A784&lt;VLOOKUP(M$5,NFI,5,0),1,0)*Table_NFI[[#This Row],[Winter Blanket]],Table_NFI[[#This Row],[Winter Blanket]])</f>
        <v>0</v>
      </c>
      <c r="AK784" s="436">
        <f>IF(Table_NFI[[#This Row],[Winter Clothes Adult]]+Table_NFI[[#This Row],[Winter Clothes Children]]+Table_NFI[[#This Row],[Winter Items Other]]+Table_NFI[[#This Row],[Winter Blanket]]&gt;0,1,0)</f>
        <v>0</v>
      </c>
      <c r="AL784" s="439">
        <f>IF(NFI_Expiration=1,IF($A784&lt;VLOOKUP(V$5,NFI,5,0),1,0)*Table_NFI[[#This Row],[Jerry Can]],Table_NFI[Jerry Can])</f>
        <v>0</v>
      </c>
      <c r="AM784" s="781" t="str">
        <f>IFERROR(VLOOKUP(Table_NFI[[#This Row],[Camp Name]],CL,2,0),"")</f>
        <v>MMR001CMP028</v>
      </c>
      <c r="AN784" s="782">
        <f ca="1">IF(Table_NFI[[#This Row],[Pcode]]="","",IF(OFFSET(CampList[Opening Date],MATCH(Table_NFI[[#This Row],[Pcode]],CampList[CP_Pcode],0)-1,0,1,1)&gt;=NFI_Monitor_Date,1,0))</f>
        <v>0</v>
      </c>
      <c r="AO784" s="781" t="str">
        <f>IFERROR(VLOOKUP(Table_NFI[[#This Row],[Camp Name]],CL,3,0),"")</f>
        <v>Open</v>
      </c>
      <c r="AP784" s="436" t="str">
        <f ca="1">IF(Table_NFI[[#This Row],[Pcode]]="","",OFFSET(CampList[Priority],MATCH(Table_NFI[[#This Row],[Pcode]],CampList[CP_Pcode],0)-1,0,1,1))</f>
        <v>P4</v>
      </c>
      <c r="AQ784" s="438">
        <f>IFERROR(Table_NFI[[#This Row],[Kitchen Set]]/VLOOKUP(Table_NFI[[#This Row],[Camp Name]],CL,4,0),"")</f>
        <v>8.1818181818181818E-2</v>
      </c>
      <c r="AR784" s="779" t="s">
        <v>1099</v>
      </c>
      <c r="AS784" s="783"/>
    </row>
    <row r="785" spans="1:45" x14ac:dyDescent="0.25">
      <c r="A785" s="455">
        <f t="shared" si="12"/>
        <v>40.200000000000003</v>
      </c>
      <c r="B785" s="778">
        <v>41103</v>
      </c>
      <c r="C785" s="779" t="s">
        <v>454</v>
      </c>
      <c r="D785" s="780" t="s">
        <v>454</v>
      </c>
      <c r="E785" s="779" t="s">
        <v>380</v>
      </c>
      <c r="F785" s="435" t="s">
        <v>310</v>
      </c>
      <c r="G785" s="435" t="s">
        <v>326</v>
      </c>
      <c r="H785" s="436"/>
      <c r="I785" s="436"/>
      <c r="J785" s="436"/>
      <c r="K785" s="436">
        <v>6</v>
      </c>
      <c r="L785" s="437">
        <v>6</v>
      </c>
      <c r="M785" s="437">
        <v>6</v>
      </c>
      <c r="N785" s="437">
        <v>6</v>
      </c>
      <c r="O785" s="437">
        <v>6</v>
      </c>
      <c r="P785" s="437">
        <v>6</v>
      </c>
      <c r="Q785" s="437">
        <v>6</v>
      </c>
      <c r="R785" s="436"/>
      <c r="S785" s="436"/>
      <c r="T785" s="436"/>
      <c r="U785" s="436"/>
      <c r="V785" s="436"/>
      <c r="W785" s="436">
        <f>IF(NFI_Expiration=1,IF($A785&lt;VLOOKUP(H$5,NFI,5,0),1,0)*Table_NFI[[#This Row],[Hygiene Kit]],Table_NFI[Hygiene Kit])</f>
        <v>0</v>
      </c>
      <c r="X785" s="436">
        <f>IF(NFI_Expiration=1,IF($A785&lt;VLOOKUP(I$5,NFI,5,0),1,0)*Table_NFI[[#This Row],[NFI Core Kit]],Table_NFI[NFI Core Kit])</f>
        <v>0</v>
      </c>
      <c r="Y785" s="436">
        <f>IF(NFI_Expiration=1,IF($A785&lt;VLOOKUP(J$5,NFI,5,0),1,0)*Table_NFI[[#This Row],[Sanitary Kit]],Table_NFI[Sanitary Kit])</f>
        <v>0</v>
      </c>
      <c r="Z785" s="436">
        <f>IF(NFI_Expiration=1,IF($A785&lt;VLOOKUP(K$5,NFI,5,0),1,0)*Table_NFI[[#This Row],[Mosquito net]],Table_NFI[Mosquito net])</f>
        <v>0</v>
      </c>
      <c r="AA785" s="436">
        <f>IF(NFI_Expiration=1,IF($A785&lt;VLOOKUP(L$5,NFI,5,0),1,0)*Table_NFI[[#This Row],[Tarpaulin]],Table_NFI[[#This Row],[Tarpaulin]])</f>
        <v>0</v>
      </c>
      <c r="AB785" s="436">
        <f>IF(NFI_Expiration=1,IF($A785&lt;VLOOKUP(M$5,NFI,5,0),1,0)*Table_NFI[[#This Row],[Blanket]],Table_NFI[[#This Row],[Blanket]])</f>
        <v>0</v>
      </c>
      <c r="AC785" s="436">
        <f>IF(NFI_Expiration=1,IF($A785&lt;VLOOKUP(N$5,NFI,5,0),1,0)*Table_NFI[[#This Row],[Kitchen Set]],Table_NFI[Kitchen Set])</f>
        <v>0</v>
      </c>
      <c r="AD785" s="436">
        <f>IF(NFI_Expiration=1,IF($A785&lt;VLOOKUP(O$5,NFI,5,0),1,0)*Table_NFI[[#This Row],[Clothes Kit]],Table_NFI[Clothes Kit])</f>
        <v>0</v>
      </c>
      <c r="AE785" s="436">
        <f>IF(NFI_Expiration=1,IF($A785&lt;VLOOKUP(P$5,NFI,5,0),1,0)*Table_NFI[[#This Row],[Plastic Bucket]],Table_NFI[Plastic Bucket])</f>
        <v>0</v>
      </c>
      <c r="AF785" s="436">
        <f>IF(NFI_Expiration=1,IF($A785&lt;VLOOKUP(Q$5,NFI,5,0),1,0)*Table_NFI[[#This Row],[Plastic Mat]],Table_NFI[Plastic Mat])*IF(Table_NFI[[#This Row],[Distribution Date]]&gt;"2014-04-01",1,2.5)</f>
        <v>0</v>
      </c>
      <c r="AG785" s="436">
        <f>IF(NFI_Expiration=1,IF($A785&lt;VLOOKUP(R$5,NFI,5,0),1,0)*Table_NFI[[#This Row],[Winter Clothes Adult]],Table_NFI[Winter Clothes Adult])</f>
        <v>0</v>
      </c>
      <c r="AH785" s="436">
        <f>IF(NFI_Expiration=1,IF($A785&lt;VLOOKUP(S$5,NFI,5,0),1,0)*Table_NFI[[#This Row],[Winter Clothes Children]],Table_NFI[Winter Clothes Children])</f>
        <v>0</v>
      </c>
      <c r="AI785" s="436">
        <f>IF(NFI_Expiration=1,IF($A785&lt;VLOOKUP(T$5,NFI,5,0),1,0)*Table_NFI[[#This Row],[Winter Items Other]],Table_NFI[Winter Items Other])</f>
        <v>0</v>
      </c>
      <c r="AJ785" s="436">
        <f>IF(NFI_Expiration=1,IF($A785&lt;VLOOKUP(M$5,NFI,5,0),1,0)*Table_NFI[[#This Row],[Winter Blanket]],Table_NFI[[#This Row],[Winter Blanket]])</f>
        <v>0</v>
      </c>
      <c r="AK785" s="436">
        <f>IF(Table_NFI[[#This Row],[Winter Clothes Adult]]+Table_NFI[[#This Row],[Winter Clothes Children]]+Table_NFI[[#This Row],[Winter Items Other]]+Table_NFI[[#This Row],[Winter Blanket]]&gt;0,1,0)</f>
        <v>0</v>
      </c>
      <c r="AL785" s="439">
        <f>IF(NFI_Expiration=1,IF($A785&lt;VLOOKUP(V$5,NFI,5,0),1,0)*Table_NFI[[#This Row],[Jerry Can]],Table_NFI[Jerry Can])</f>
        <v>0</v>
      </c>
      <c r="AM785" s="781" t="str">
        <f>IFERROR(VLOOKUP(Table_NFI[[#This Row],[Camp Name]],CL,2,0),"")</f>
        <v>MMR001CMP039</v>
      </c>
      <c r="AN785" s="782">
        <f ca="1">IF(Table_NFI[[#This Row],[Pcode]]="","",IF(OFFSET(CampList[Opening Date],MATCH(Table_NFI[[#This Row],[Pcode]],CampList[CP_Pcode],0)-1,0,1,1)&gt;=NFI_Monitor_Date,1,0))</f>
        <v>0</v>
      </c>
      <c r="AO785" s="781" t="str">
        <f>IFERROR(VLOOKUP(Table_NFI[[#This Row],[Camp Name]],CL,3,0),"")</f>
        <v>Open</v>
      </c>
      <c r="AP785" s="436" t="str">
        <f ca="1">IF(Table_NFI[[#This Row],[Pcode]]="","",OFFSET(CampList[Priority],MATCH(Table_NFI[[#This Row],[Pcode]],CampList[CP_Pcode],0)-1,0,1,1))</f>
        <v>P4</v>
      </c>
      <c r="AQ785" s="438">
        <f>IFERROR(Table_NFI[[#This Row],[Kitchen Set]]/VLOOKUP(Table_NFI[[#This Row],[Camp Name]],CL,4,0),"")</f>
        <v>0.125</v>
      </c>
      <c r="AR785" s="779" t="s">
        <v>1099</v>
      </c>
      <c r="AS785" s="783"/>
    </row>
    <row r="786" spans="1:45" x14ac:dyDescent="0.25">
      <c r="A786" s="455">
        <f t="shared" si="12"/>
        <v>40.200000000000003</v>
      </c>
      <c r="B786" s="778">
        <v>41103</v>
      </c>
      <c r="C786" s="779" t="s">
        <v>454</v>
      </c>
      <c r="D786" s="780" t="s">
        <v>454</v>
      </c>
      <c r="E786" s="779" t="s">
        <v>380</v>
      </c>
      <c r="F786" s="435" t="s">
        <v>310</v>
      </c>
      <c r="G786" s="435" t="s">
        <v>318</v>
      </c>
      <c r="H786" s="436"/>
      <c r="I786" s="436"/>
      <c r="J786" s="436"/>
      <c r="K786" s="436">
        <v>13</v>
      </c>
      <c r="L786" s="437">
        <v>13</v>
      </c>
      <c r="M786" s="437">
        <v>13</v>
      </c>
      <c r="N786" s="437">
        <v>13</v>
      </c>
      <c r="O786" s="437">
        <v>13</v>
      </c>
      <c r="P786" s="437">
        <v>13</v>
      </c>
      <c r="Q786" s="437">
        <v>13</v>
      </c>
      <c r="R786" s="436"/>
      <c r="S786" s="436"/>
      <c r="T786" s="436"/>
      <c r="U786" s="436"/>
      <c r="V786" s="436"/>
      <c r="W786" s="436">
        <f>IF(NFI_Expiration=1,IF($A786&lt;VLOOKUP(H$5,NFI,5,0),1,0)*Table_NFI[[#This Row],[Hygiene Kit]],Table_NFI[Hygiene Kit])</f>
        <v>0</v>
      </c>
      <c r="X786" s="436">
        <f>IF(NFI_Expiration=1,IF($A786&lt;VLOOKUP(I$5,NFI,5,0),1,0)*Table_NFI[[#This Row],[NFI Core Kit]],Table_NFI[NFI Core Kit])</f>
        <v>0</v>
      </c>
      <c r="Y786" s="436">
        <f>IF(NFI_Expiration=1,IF($A786&lt;VLOOKUP(J$5,NFI,5,0),1,0)*Table_NFI[[#This Row],[Sanitary Kit]],Table_NFI[Sanitary Kit])</f>
        <v>0</v>
      </c>
      <c r="Z786" s="436">
        <f>IF(NFI_Expiration=1,IF($A786&lt;VLOOKUP(K$5,NFI,5,0),1,0)*Table_NFI[[#This Row],[Mosquito net]],Table_NFI[Mosquito net])</f>
        <v>0</v>
      </c>
      <c r="AA786" s="436">
        <f>IF(NFI_Expiration=1,IF($A786&lt;VLOOKUP(L$5,NFI,5,0),1,0)*Table_NFI[[#This Row],[Tarpaulin]],Table_NFI[[#This Row],[Tarpaulin]])</f>
        <v>0</v>
      </c>
      <c r="AB786" s="436">
        <f>IF(NFI_Expiration=1,IF($A786&lt;VLOOKUP(M$5,NFI,5,0),1,0)*Table_NFI[[#This Row],[Blanket]],Table_NFI[[#This Row],[Blanket]])</f>
        <v>0</v>
      </c>
      <c r="AC786" s="436">
        <f>IF(NFI_Expiration=1,IF($A786&lt;VLOOKUP(N$5,NFI,5,0),1,0)*Table_NFI[[#This Row],[Kitchen Set]],Table_NFI[Kitchen Set])</f>
        <v>0</v>
      </c>
      <c r="AD786" s="436">
        <f>IF(NFI_Expiration=1,IF($A786&lt;VLOOKUP(O$5,NFI,5,0),1,0)*Table_NFI[[#This Row],[Clothes Kit]],Table_NFI[Clothes Kit])</f>
        <v>0</v>
      </c>
      <c r="AE786" s="436">
        <f>IF(NFI_Expiration=1,IF($A786&lt;VLOOKUP(P$5,NFI,5,0),1,0)*Table_NFI[[#This Row],[Plastic Bucket]],Table_NFI[Plastic Bucket])</f>
        <v>0</v>
      </c>
      <c r="AF786" s="436">
        <f>IF(NFI_Expiration=1,IF($A786&lt;VLOOKUP(Q$5,NFI,5,0),1,0)*Table_NFI[[#This Row],[Plastic Mat]],Table_NFI[Plastic Mat])*IF(Table_NFI[[#This Row],[Distribution Date]]&gt;"2014-04-01",1,2.5)</f>
        <v>0</v>
      </c>
      <c r="AG786" s="436">
        <f>IF(NFI_Expiration=1,IF($A786&lt;VLOOKUP(R$5,NFI,5,0),1,0)*Table_NFI[[#This Row],[Winter Clothes Adult]],Table_NFI[Winter Clothes Adult])</f>
        <v>0</v>
      </c>
      <c r="AH786" s="436">
        <f>IF(NFI_Expiration=1,IF($A786&lt;VLOOKUP(S$5,NFI,5,0),1,0)*Table_NFI[[#This Row],[Winter Clothes Children]],Table_NFI[Winter Clothes Children])</f>
        <v>0</v>
      </c>
      <c r="AI786" s="436">
        <f>IF(NFI_Expiration=1,IF($A786&lt;VLOOKUP(T$5,NFI,5,0),1,0)*Table_NFI[[#This Row],[Winter Items Other]],Table_NFI[Winter Items Other])</f>
        <v>0</v>
      </c>
      <c r="AJ786" s="436">
        <f>IF(NFI_Expiration=1,IF($A786&lt;VLOOKUP(M$5,NFI,5,0),1,0)*Table_NFI[[#This Row],[Winter Blanket]],Table_NFI[[#This Row],[Winter Blanket]])</f>
        <v>0</v>
      </c>
      <c r="AK786" s="436">
        <f>IF(Table_NFI[[#This Row],[Winter Clothes Adult]]+Table_NFI[[#This Row],[Winter Clothes Children]]+Table_NFI[[#This Row],[Winter Items Other]]+Table_NFI[[#This Row],[Winter Blanket]]&gt;0,1,0)</f>
        <v>0</v>
      </c>
      <c r="AL786" s="439">
        <f>IF(NFI_Expiration=1,IF($A786&lt;VLOOKUP(V$5,NFI,5,0),1,0)*Table_NFI[[#This Row],[Jerry Can]],Table_NFI[Jerry Can])</f>
        <v>0</v>
      </c>
      <c r="AM786" s="781" t="str">
        <f>IFERROR(VLOOKUP(Table_NFI[[#This Row],[Camp Name]],CL,2,0),"")</f>
        <v>MMR001CMP032</v>
      </c>
      <c r="AN786" s="782">
        <f ca="1">IF(Table_NFI[[#This Row],[Pcode]]="","",IF(OFFSET(CampList[Opening Date],MATCH(Table_NFI[[#This Row],[Pcode]],CampList[CP_Pcode],0)-1,0,1,1)&gt;=NFI_Monitor_Date,1,0))</f>
        <v>0</v>
      </c>
      <c r="AO786" s="781" t="str">
        <f>IFERROR(VLOOKUP(Table_NFI[[#This Row],[Camp Name]],CL,3,0),"")</f>
        <v>Open</v>
      </c>
      <c r="AP786" s="436" t="str">
        <f ca="1">IF(Table_NFI[[#This Row],[Pcode]]="","",OFFSET(CampList[Priority],MATCH(Table_NFI[[#This Row],[Pcode]],CampList[CP_Pcode],0)-1,0,1,1))</f>
        <v>P4</v>
      </c>
      <c r="AQ786" s="438">
        <f>IFERROR(Table_NFI[[#This Row],[Kitchen Set]]/VLOOKUP(Table_NFI[[#This Row],[Camp Name]],CL,4,0),"")</f>
        <v>0.13829787234042554</v>
      </c>
      <c r="AR786" s="779" t="s">
        <v>1099</v>
      </c>
      <c r="AS786" s="783"/>
    </row>
    <row r="787" spans="1:45" x14ac:dyDescent="0.25">
      <c r="A787" s="455">
        <f t="shared" si="12"/>
        <v>40.200000000000003</v>
      </c>
      <c r="B787" s="778">
        <v>41103</v>
      </c>
      <c r="C787" s="779" t="s">
        <v>454</v>
      </c>
      <c r="D787" s="780" t="s">
        <v>454</v>
      </c>
      <c r="E787" s="779" t="s">
        <v>380</v>
      </c>
      <c r="F787" s="435" t="s">
        <v>310</v>
      </c>
      <c r="G787" s="435" t="s">
        <v>351</v>
      </c>
      <c r="H787" s="436"/>
      <c r="I787" s="436"/>
      <c r="J787" s="436"/>
      <c r="K787" s="436">
        <v>3</v>
      </c>
      <c r="L787" s="437">
        <v>3</v>
      </c>
      <c r="M787" s="437">
        <v>3</v>
      </c>
      <c r="N787" s="437">
        <v>3</v>
      </c>
      <c r="O787" s="437">
        <v>3</v>
      </c>
      <c r="P787" s="437">
        <v>3</v>
      </c>
      <c r="Q787" s="437">
        <v>3</v>
      </c>
      <c r="R787" s="436"/>
      <c r="S787" s="436"/>
      <c r="T787" s="436"/>
      <c r="U787" s="436"/>
      <c r="V787" s="436"/>
      <c r="W787" s="436">
        <f>IF(NFI_Expiration=1,IF($A787&lt;VLOOKUP(H$5,NFI,5,0),1,0)*Table_NFI[[#This Row],[Hygiene Kit]],Table_NFI[Hygiene Kit])</f>
        <v>0</v>
      </c>
      <c r="X787" s="436">
        <f>IF(NFI_Expiration=1,IF($A787&lt;VLOOKUP(I$5,NFI,5,0),1,0)*Table_NFI[[#This Row],[NFI Core Kit]],Table_NFI[NFI Core Kit])</f>
        <v>0</v>
      </c>
      <c r="Y787" s="436">
        <f>IF(NFI_Expiration=1,IF($A787&lt;VLOOKUP(J$5,NFI,5,0),1,0)*Table_NFI[[#This Row],[Sanitary Kit]],Table_NFI[Sanitary Kit])</f>
        <v>0</v>
      </c>
      <c r="Z787" s="436">
        <f>IF(NFI_Expiration=1,IF($A787&lt;VLOOKUP(K$5,NFI,5,0),1,0)*Table_NFI[[#This Row],[Mosquito net]],Table_NFI[Mosquito net])</f>
        <v>0</v>
      </c>
      <c r="AA787" s="436">
        <f>IF(NFI_Expiration=1,IF($A787&lt;VLOOKUP(L$5,NFI,5,0),1,0)*Table_NFI[[#This Row],[Tarpaulin]],Table_NFI[[#This Row],[Tarpaulin]])</f>
        <v>0</v>
      </c>
      <c r="AB787" s="436">
        <f>IF(NFI_Expiration=1,IF($A787&lt;VLOOKUP(M$5,NFI,5,0),1,0)*Table_NFI[[#This Row],[Blanket]],Table_NFI[[#This Row],[Blanket]])</f>
        <v>0</v>
      </c>
      <c r="AC787" s="436">
        <f>IF(NFI_Expiration=1,IF($A787&lt;VLOOKUP(N$5,NFI,5,0),1,0)*Table_NFI[[#This Row],[Kitchen Set]],Table_NFI[Kitchen Set])</f>
        <v>0</v>
      </c>
      <c r="AD787" s="436">
        <f>IF(NFI_Expiration=1,IF($A787&lt;VLOOKUP(O$5,NFI,5,0),1,0)*Table_NFI[[#This Row],[Clothes Kit]],Table_NFI[Clothes Kit])</f>
        <v>0</v>
      </c>
      <c r="AE787" s="436">
        <f>IF(NFI_Expiration=1,IF($A787&lt;VLOOKUP(P$5,NFI,5,0),1,0)*Table_NFI[[#This Row],[Plastic Bucket]],Table_NFI[Plastic Bucket])</f>
        <v>0</v>
      </c>
      <c r="AF787" s="436">
        <f>IF(NFI_Expiration=1,IF($A787&lt;VLOOKUP(Q$5,NFI,5,0),1,0)*Table_NFI[[#This Row],[Plastic Mat]],Table_NFI[Plastic Mat])*IF(Table_NFI[[#This Row],[Distribution Date]]&gt;"2014-04-01",1,2.5)</f>
        <v>0</v>
      </c>
      <c r="AG787" s="436">
        <f>IF(NFI_Expiration=1,IF($A787&lt;VLOOKUP(R$5,NFI,5,0),1,0)*Table_NFI[[#This Row],[Winter Clothes Adult]],Table_NFI[Winter Clothes Adult])</f>
        <v>0</v>
      </c>
      <c r="AH787" s="436">
        <f>IF(NFI_Expiration=1,IF($A787&lt;VLOOKUP(S$5,NFI,5,0),1,0)*Table_NFI[[#This Row],[Winter Clothes Children]],Table_NFI[Winter Clothes Children])</f>
        <v>0</v>
      </c>
      <c r="AI787" s="436">
        <f>IF(NFI_Expiration=1,IF($A787&lt;VLOOKUP(T$5,NFI,5,0),1,0)*Table_NFI[[#This Row],[Winter Items Other]],Table_NFI[Winter Items Other])</f>
        <v>0</v>
      </c>
      <c r="AJ787" s="436">
        <f>IF(NFI_Expiration=1,IF($A787&lt;VLOOKUP(M$5,NFI,5,0),1,0)*Table_NFI[[#This Row],[Winter Blanket]],Table_NFI[[#This Row],[Winter Blanket]])</f>
        <v>0</v>
      </c>
      <c r="AK787" s="436">
        <f>IF(Table_NFI[[#This Row],[Winter Clothes Adult]]+Table_NFI[[#This Row],[Winter Clothes Children]]+Table_NFI[[#This Row],[Winter Items Other]]+Table_NFI[[#This Row],[Winter Blanket]]&gt;0,1,0)</f>
        <v>0</v>
      </c>
      <c r="AL787" s="439">
        <f>IF(NFI_Expiration=1,IF($A787&lt;VLOOKUP(V$5,NFI,5,0),1,0)*Table_NFI[[#This Row],[Jerry Can]],Table_NFI[Jerry Can])</f>
        <v>0</v>
      </c>
      <c r="AM787" s="781" t="str">
        <f>IFERROR(VLOOKUP(Table_NFI[[#This Row],[Camp Name]],CL,2,0),"")</f>
        <v>MMR001CMP026</v>
      </c>
      <c r="AN787" s="782">
        <f ca="1">IF(Table_NFI[[#This Row],[Pcode]]="","",IF(OFFSET(CampList[Opening Date],MATCH(Table_NFI[[#This Row],[Pcode]],CampList[CP_Pcode],0)-1,0,1,1)&gt;=NFI_Monitor_Date,1,0))</f>
        <v>0</v>
      </c>
      <c r="AO787" s="781" t="str">
        <f>IFERROR(VLOOKUP(Table_NFI[[#This Row],[Camp Name]],CL,3,0),"")</f>
        <v>Open</v>
      </c>
      <c r="AP787" s="436" t="str">
        <f ca="1">IF(Table_NFI[[#This Row],[Pcode]]="","",OFFSET(CampList[Priority],MATCH(Table_NFI[[#This Row],[Pcode]],CampList[CP_Pcode],0)-1,0,1,1))</f>
        <v>P4</v>
      </c>
      <c r="AQ787" s="438">
        <f>IFERROR(Table_NFI[[#This Row],[Kitchen Set]]/VLOOKUP(Table_NFI[[#This Row],[Camp Name]],CL,4,0),"")</f>
        <v>3.2967032967032968E-2</v>
      </c>
      <c r="AR787" s="779" t="s">
        <v>1099</v>
      </c>
      <c r="AS787" s="783"/>
    </row>
    <row r="788" spans="1:45" x14ac:dyDescent="0.25">
      <c r="A788" s="455">
        <f t="shared" si="12"/>
        <v>40.200000000000003</v>
      </c>
      <c r="B788" s="778">
        <v>41103</v>
      </c>
      <c r="C788" s="779" t="s">
        <v>454</v>
      </c>
      <c r="D788" s="779" t="s">
        <v>454</v>
      </c>
      <c r="E788" s="779" t="s">
        <v>380</v>
      </c>
      <c r="F788" s="435" t="s">
        <v>310</v>
      </c>
      <c r="G788" s="435" t="s">
        <v>349</v>
      </c>
      <c r="H788" s="436"/>
      <c r="I788" s="436"/>
      <c r="J788" s="436"/>
      <c r="K788" s="436">
        <v>8</v>
      </c>
      <c r="L788" s="437">
        <v>8</v>
      </c>
      <c r="M788" s="437">
        <v>8</v>
      </c>
      <c r="N788" s="437">
        <v>8</v>
      </c>
      <c r="O788" s="437">
        <v>8</v>
      </c>
      <c r="P788" s="439">
        <v>8</v>
      </c>
      <c r="Q788" s="439">
        <v>8</v>
      </c>
      <c r="R788" s="436"/>
      <c r="S788" s="436"/>
      <c r="T788" s="436"/>
      <c r="U788" s="436"/>
      <c r="V788" s="436"/>
      <c r="W788" s="436">
        <f>IF(NFI_Expiration=1,IF($A788&lt;VLOOKUP(H$5,NFI,5,0),1,0)*Table_NFI[[#This Row],[Hygiene Kit]],Table_NFI[Hygiene Kit])</f>
        <v>0</v>
      </c>
      <c r="X788" s="436">
        <f>IF(NFI_Expiration=1,IF($A788&lt;VLOOKUP(I$5,NFI,5,0),1,0)*Table_NFI[[#This Row],[NFI Core Kit]],Table_NFI[NFI Core Kit])</f>
        <v>0</v>
      </c>
      <c r="Y788" s="436">
        <f>IF(NFI_Expiration=1,IF($A788&lt;VLOOKUP(J$5,NFI,5,0),1,0)*Table_NFI[[#This Row],[Sanitary Kit]],Table_NFI[Sanitary Kit])</f>
        <v>0</v>
      </c>
      <c r="Z788" s="436">
        <f>IF(NFI_Expiration=1,IF($A788&lt;VLOOKUP(K$5,NFI,5,0),1,0)*Table_NFI[[#This Row],[Mosquito net]],Table_NFI[Mosquito net])</f>
        <v>0</v>
      </c>
      <c r="AA788" s="436">
        <f>IF(NFI_Expiration=1,IF($A788&lt;VLOOKUP(L$5,NFI,5,0),1,0)*Table_NFI[[#This Row],[Tarpaulin]],Table_NFI[[#This Row],[Tarpaulin]])</f>
        <v>0</v>
      </c>
      <c r="AB788" s="436">
        <f>IF(NFI_Expiration=1,IF($A788&lt;VLOOKUP(M$5,NFI,5,0),1,0)*Table_NFI[[#This Row],[Blanket]],Table_NFI[[#This Row],[Blanket]])</f>
        <v>0</v>
      </c>
      <c r="AC788" s="436">
        <f>IF(NFI_Expiration=1,IF($A788&lt;VLOOKUP(N$5,NFI,5,0),1,0)*Table_NFI[[#This Row],[Kitchen Set]],Table_NFI[Kitchen Set])</f>
        <v>0</v>
      </c>
      <c r="AD788" s="436">
        <f>IF(NFI_Expiration=1,IF($A788&lt;VLOOKUP(O$5,NFI,5,0),1,0)*Table_NFI[[#This Row],[Clothes Kit]],Table_NFI[Clothes Kit])</f>
        <v>0</v>
      </c>
      <c r="AE788" s="436">
        <f>IF(NFI_Expiration=1,IF($A788&lt;VLOOKUP(P$5,NFI,5,0),1,0)*Table_NFI[[#This Row],[Plastic Bucket]],Table_NFI[Plastic Bucket])</f>
        <v>0</v>
      </c>
      <c r="AF788" s="436">
        <f>IF(NFI_Expiration=1,IF($A788&lt;VLOOKUP(Q$5,NFI,5,0),1,0)*Table_NFI[[#This Row],[Plastic Mat]],Table_NFI[Plastic Mat])*IF(Table_NFI[[#This Row],[Distribution Date]]&gt;"2014-04-01",1,2.5)</f>
        <v>0</v>
      </c>
      <c r="AG788" s="436">
        <f>IF(NFI_Expiration=1,IF($A788&lt;VLOOKUP(R$5,NFI,5,0),1,0)*Table_NFI[[#This Row],[Winter Clothes Adult]],Table_NFI[Winter Clothes Adult])</f>
        <v>0</v>
      </c>
      <c r="AH788" s="436">
        <f>IF(NFI_Expiration=1,IF($A788&lt;VLOOKUP(S$5,NFI,5,0),1,0)*Table_NFI[[#This Row],[Winter Clothes Children]],Table_NFI[Winter Clothes Children])</f>
        <v>0</v>
      </c>
      <c r="AI788" s="436">
        <f>IF(NFI_Expiration=1,IF($A788&lt;VLOOKUP(T$5,NFI,5,0),1,0)*Table_NFI[[#This Row],[Winter Items Other]],Table_NFI[Winter Items Other])</f>
        <v>0</v>
      </c>
      <c r="AJ788" s="436">
        <f>IF(NFI_Expiration=1,IF($A788&lt;VLOOKUP(M$5,NFI,5,0),1,0)*Table_NFI[[#This Row],[Winter Blanket]],Table_NFI[[#This Row],[Winter Blanket]])</f>
        <v>0</v>
      </c>
      <c r="AK788" s="436">
        <f>IF(Table_NFI[[#This Row],[Winter Clothes Adult]]+Table_NFI[[#This Row],[Winter Clothes Children]]+Table_NFI[[#This Row],[Winter Items Other]]+Table_NFI[[#This Row],[Winter Blanket]]&gt;0,1,0)</f>
        <v>0</v>
      </c>
      <c r="AL788" s="439">
        <f>IF(NFI_Expiration=1,IF($A788&lt;VLOOKUP(V$5,NFI,5,0),1,0)*Table_NFI[[#This Row],[Jerry Can]],Table_NFI[Jerry Can])</f>
        <v>0</v>
      </c>
      <c r="AM788" s="781" t="str">
        <f>IFERROR(VLOOKUP(Table_NFI[[#This Row],[Camp Name]],CL,2,0),"")</f>
        <v>MMR001CMP037</v>
      </c>
      <c r="AN788" s="782">
        <f ca="1">IF(Table_NFI[[#This Row],[Pcode]]="","",IF(OFFSET(CampList[Opening Date],MATCH(Table_NFI[[#This Row],[Pcode]],CampList[CP_Pcode],0)-1,0,1,1)&gt;=NFI_Monitor_Date,1,0))</f>
        <v>0</v>
      </c>
      <c r="AO788" s="781" t="str">
        <f>IFERROR(VLOOKUP(Table_NFI[[#This Row],[Camp Name]],CL,3,0),"")</f>
        <v>Open</v>
      </c>
      <c r="AP788" s="436" t="str">
        <f ca="1">IF(Table_NFI[[#This Row],[Pcode]]="","",OFFSET(CampList[Priority],MATCH(Table_NFI[[#This Row],[Pcode]],CampList[CP_Pcode],0)-1,0,1,1))</f>
        <v>P4</v>
      </c>
      <c r="AQ788" s="438">
        <f>IFERROR(Table_NFI[[#This Row],[Kitchen Set]]/VLOOKUP(Table_NFI[[#This Row],[Camp Name]],CL,4,0),"")</f>
        <v>0.19047619047619047</v>
      </c>
      <c r="AR788" s="779" t="s">
        <v>1099</v>
      </c>
      <c r="AS788" s="783"/>
    </row>
    <row r="789" spans="1:45" x14ac:dyDescent="0.25">
      <c r="A789" s="455">
        <f t="shared" si="12"/>
        <v>40.200000000000003</v>
      </c>
      <c r="B789" s="778">
        <v>41103</v>
      </c>
      <c r="C789" s="779" t="s">
        <v>454</v>
      </c>
      <c r="D789" s="780" t="s">
        <v>454</v>
      </c>
      <c r="E789" s="779" t="s">
        <v>380</v>
      </c>
      <c r="F789" s="435" t="s">
        <v>310</v>
      </c>
      <c r="G789" s="435" t="s">
        <v>311</v>
      </c>
      <c r="H789" s="436"/>
      <c r="I789" s="436"/>
      <c r="J789" s="436"/>
      <c r="K789" s="436">
        <v>2</v>
      </c>
      <c r="L789" s="437">
        <v>2</v>
      </c>
      <c r="M789" s="437">
        <v>2</v>
      </c>
      <c r="N789" s="437">
        <v>2</v>
      </c>
      <c r="O789" s="437">
        <v>2</v>
      </c>
      <c r="P789" s="437">
        <v>2</v>
      </c>
      <c r="Q789" s="437">
        <v>2</v>
      </c>
      <c r="R789" s="436"/>
      <c r="S789" s="436"/>
      <c r="T789" s="436"/>
      <c r="U789" s="436"/>
      <c r="V789" s="436"/>
      <c r="W789" s="436">
        <f>IF(NFI_Expiration=1,IF($A789&lt;VLOOKUP(H$5,NFI,5,0),1,0)*Table_NFI[[#This Row],[Hygiene Kit]],Table_NFI[Hygiene Kit])</f>
        <v>0</v>
      </c>
      <c r="X789" s="436">
        <f>IF(NFI_Expiration=1,IF($A789&lt;VLOOKUP(I$5,NFI,5,0),1,0)*Table_NFI[[#This Row],[NFI Core Kit]],Table_NFI[NFI Core Kit])</f>
        <v>0</v>
      </c>
      <c r="Y789" s="436">
        <f>IF(NFI_Expiration=1,IF($A789&lt;VLOOKUP(J$5,NFI,5,0),1,0)*Table_NFI[[#This Row],[Sanitary Kit]],Table_NFI[Sanitary Kit])</f>
        <v>0</v>
      </c>
      <c r="Z789" s="436">
        <f>IF(NFI_Expiration=1,IF($A789&lt;VLOOKUP(K$5,NFI,5,0),1,0)*Table_NFI[[#This Row],[Mosquito net]],Table_NFI[Mosquito net])</f>
        <v>0</v>
      </c>
      <c r="AA789" s="436">
        <f>IF(NFI_Expiration=1,IF($A789&lt;VLOOKUP(L$5,NFI,5,0),1,0)*Table_NFI[[#This Row],[Tarpaulin]],Table_NFI[[#This Row],[Tarpaulin]])</f>
        <v>0</v>
      </c>
      <c r="AB789" s="436">
        <f>IF(NFI_Expiration=1,IF($A789&lt;VLOOKUP(M$5,NFI,5,0),1,0)*Table_NFI[[#This Row],[Blanket]],Table_NFI[[#This Row],[Blanket]])</f>
        <v>0</v>
      </c>
      <c r="AC789" s="436">
        <f>IF(NFI_Expiration=1,IF($A789&lt;VLOOKUP(N$5,NFI,5,0),1,0)*Table_NFI[[#This Row],[Kitchen Set]],Table_NFI[Kitchen Set])</f>
        <v>0</v>
      </c>
      <c r="AD789" s="436">
        <f>IF(NFI_Expiration=1,IF($A789&lt;VLOOKUP(O$5,NFI,5,0),1,0)*Table_NFI[[#This Row],[Clothes Kit]],Table_NFI[Clothes Kit])</f>
        <v>0</v>
      </c>
      <c r="AE789" s="436">
        <f>IF(NFI_Expiration=1,IF($A789&lt;VLOOKUP(P$5,NFI,5,0),1,0)*Table_NFI[[#This Row],[Plastic Bucket]],Table_NFI[Plastic Bucket])</f>
        <v>0</v>
      </c>
      <c r="AF789" s="436">
        <f>IF(NFI_Expiration=1,IF($A789&lt;VLOOKUP(Q$5,NFI,5,0),1,0)*Table_NFI[[#This Row],[Plastic Mat]],Table_NFI[Plastic Mat])*IF(Table_NFI[[#This Row],[Distribution Date]]&gt;"2014-04-01",1,2.5)</f>
        <v>0</v>
      </c>
      <c r="AG789" s="436">
        <f>IF(NFI_Expiration=1,IF($A789&lt;VLOOKUP(R$5,NFI,5,0),1,0)*Table_NFI[[#This Row],[Winter Clothes Adult]],Table_NFI[Winter Clothes Adult])</f>
        <v>0</v>
      </c>
      <c r="AH789" s="436">
        <f>IF(NFI_Expiration=1,IF($A789&lt;VLOOKUP(S$5,NFI,5,0),1,0)*Table_NFI[[#This Row],[Winter Clothes Children]],Table_NFI[Winter Clothes Children])</f>
        <v>0</v>
      </c>
      <c r="AI789" s="436">
        <f>IF(NFI_Expiration=1,IF($A789&lt;VLOOKUP(T$5,NFI,5,0),1,0)*Table_NFI[[#This Row],[Winter Items Other]],Table_NFI[Winter Items Other])</f>
        <v>0</v>
      </c>
      <c r="AJ789" s="436">
        <f>IF(NFI_Expiration=1,IF($A789&lt;VLOOKUP(M$5,NFI,5,0),1,0)*Table_NFI[[#This Row],[Winter Blanket]],Table_NFI[[#This Row],[Winter Blanket]])</f>
        <v>0</v>
      </c>
      <c r="AK789" s="436">
        <f>IF(Table_NFI[[#This Row],[Winter Clothes Adult]]+Table_NFI[[#This Row],[Winter Clothes Children]]+Table_NFI[[#This Row],[Winter Items Other]]+Table_NFI[[#This Row],[Winter Blanket]]&gt;0,1,0)</f>
        <v>0</v>
      </c>
      <c r="AL789" s="439">
        <f>IF(NFI_Expiration=1,IF($A789&lt;VLOOKUP(V$5,NFI,5,0),1,0)*Table_NFI[[#This Row],[Jerry Can]],Table_NFI[Jerry Can])</f>
        <v>0</v>
      </c>
      <c r="AM789" s="781" t="str">
        <f>IFERROR(VLOOKUP(Table_NFI[[#This Row],[Camp Name]],CL,2,0),"")</f>
        <v>MMR001CMP036</v>
      </c>
      <c r="AN789" s="782">
        <f ca="1">IF(Table_NFI[[#This Row],[Pcode]]="","",IF(OFFSET(CampList[Opening Date],MATCH(Table_NFI[[#This Row],[Pcode]],CampList[CP_Pcode],0)-1,0,1,1)&gt;=NFI_Monitor_Date,1,0))</f>
        <v>0</v>
      </c>
      <c r="AO789" s="781" t="str">
        <f>IFERROR(VLOOKUP(Table_NFI[[#This Row],[Camp Name]],CL,3,0),"")</f>
        <v>Open</v>
      </c>
      <c r="AP789" s="436" t="str">
        <f ca="1">IF(Table_NFI[[#This Row],[Pcode]]="","",OFFSET(CampList[Priority],MATCH(Table_NFI[[#This Row],[Pcode]],CampList[CP_Pcode],0)-1,0,1,1))</f>
        <v>P4</v>
      </c>
      <c r="AQ789" s="438" t="str">
        <f>IFERROR(Table_NFI[[#This Row],[Kitchen Set]]/VLOOKUP(Table_NFI[[#This Row],[Camp Name]],CL,4,0),"")</f>
        <v/>
      </c>
      <c r="AR789" s="779" t="s">
        <v>1099</v>
      </c>
      <c r="AS789" s="783"/>
    </row>
    <row r="790" spans="1:45" x14ac:dyDescent="0.25">
      <c r="A790" s="455">
        <f t="shared" si="12"/>
        <v>40.299999999999997</v>
      </c>
      <c r="B790" s="778">
        <v>41100</v>
      </c>
      <c r="C790" s="779" t="s">
        <v>454</v>
      </c>
      <c r="D790" s="780" t="s">
        <v>508</v>
      </c>
      <c r="E790" s="779" t="s">
        <v>380</v>
      </c>
      <c r="F790" s="435" t="s">
        <v>310</v>
      </c>
      <c r="G790" s="435" t="s">
        <v>322</v>
      </c>
      <c r="H790" s="436"/>
      <c r="I790" s="436"/>
      <c r="J790" s="436"/>
      <c r="K790" s="436">
        <v>0</v>
      </c>
      <c r="L790" s="437">
        <v>599</v>
      </c>
      <c r="M790" s="437">
        <v>675</v>
      </c>
      <c r="N790" s="437">
        <v>599</v>
      </c>
      <c r="O790" s="437">
        <v>0</v>
      </c>
      <c r="P790" s="437"/>
      <c r="Q790" s="437"/>
      <c r="R790" s="436"/>
      <c r="S790" s="436"/>
      <c r="T790" s="436"/>
      <c r="U790" s="436"/>
      <c r="V790" s="436"/>
      <c r="W790" s="436">
        <f>IF(NFI_Expiration=1,IF($A790&lt;VLOOKUP(H$5,NFI,5,0),1,0)*Table_NFI[[#This Row],[Hygiene Kit]],Table_NFI[Hygiene Kit])</f>
        <v>0</v>
      </c>
      <c r="X790" s="436">
        <f>IF(NFI_Expiration=1,IF($A790&lt;VLOOKUP(I$5,NFI,5,0),1,0)*Table_NFI[[#This Row],[NFI Core Kit]],Table_NFI[NFI Core Kit])</f>
        <v>0</v>
      </c>
      <c r="Y790" s="436">
        <f>IF(NFI_Expiration=1,IF($A790&lt;VLOOKUP(J$5,NFI,5,0),1,0)*Table_NFI[[#This Row],[Sanitary Kit]],Table_NFI[Sanitary Kit])</f>
        <v>0</v>
      </c>
      <c r="Z790" s="436">
        <f>IF(NFI_Expiration=1,IF($A790&lt;VLOOKUP(K$5,NFI,5,0),1,0)*Table_NFI[[#This Row],[Mosquito net]],Table_NFI[Mosquito net])</f>
        <v>0</v>
      </c>
      <c r="AA790" s="436">
        <f>IF(NFI_Expiration=1,IF($A790&lt;VLOOKUP(L$5,NFI,5,0),1,0)*Table_NFI[[#This Row],[Tarpaulin]],Table_NFI[[#This Row],[Tarpaulin]])</f>
        <v>0</v>
      </c>
      <c r="AB790" s="436">
        <f>IF(NFI_Expiration=1,IF($A790&lt;VLOOKUP(M$5,NFI,5,0),1,0)*Table_NFI[[#This Row],[Blanket]],Table_NFI[[#This Row],[Blanket]])</f>
        <v>0</v>
      </c>
      <c r="AC790" s="436">
        <f>IF(NFI_Expiration=1,IF($A790&lt;VLOOKUP(N$5,NFI,5,0),1,0)*Table_NFI[[#This Row],[Kitchen Set]],Table_NFI[Kitchen Set])</f>
        <v>0</v>
      </c>
      <c r="AD790" s="436">
        <f>IF(NFI_Expiration=1,IF($A790&lt;VLOOKUP(O$5,NFI,5,0),1,0)*Table_NFI[[#This Row],[Clothes Kit]],Table_NFI[Clothes Kit])</f>
        <v>0</v>
      </c>
      <c r="AE790" s="436">
        <f>IF(NFI_Expiration=1,IF($A790&lt;VLOOKUP(P$5,NFI,5,0),1,0)*Table_NFI[[#This Row],[Plastic Bucket]],Table_NFI[Plastic Bucket])</f>
        <v>0</v>
      </c>
      <c r="AF790" s="436">
        <f>IF(NFI_Expiration=1,IF($A790&lt;VLOOKUP(Q$5,NFI,5,0),1,0)*Table_NFI[[#This Row],[Plastic Mat]],Table_NFI[Plastic Mat])*IF(Table_NFI[[#This Row],[Distribution Date]]&gt;"2014-04-01",1,2.5)</f>
        <v>0</v>
      </c>
      <c r="AG790" s="436">
        <f>IF(NFI_Expiration=1,IF($A790&lt;VLOOKUP(R$5,NFI,5,0),1,0)*Table_NFI[[#This Row],[Winter Clothes Adult]],Table_NFI[Winter Clothes Adult])</f>
        <v>0</v>
      </c>
      <c r="AH790" s="436">
        <f>IF(NFI_Expiration=1,IF($A790&lt;VLOOKUP(S$5,NFI,5,0),1,0)*Table_NFI[[#This Row],[Winter Clothes Children]],Table_NFI[Winter Clothes Children])</f>
        <v>0</v>
      </c>
      <c r="AI790" s="436">
        <f>IF(NFI_Expiration=1,IF($A790&lt;VLOOKUP(T$5,NFI,5,0),1,0)*Table_NFI[[#This Row],[Winter Items Other]],Table_NFI[Winter Items Other])</f>
        <v>0</v>
      </c>
      <c r="AJ790" s="436">
        <f>IF(NFI_Expiration=1,IF($A790&lt;VLOOKUP(M$5,NFI,5,0),1,0)*Table_NFI[[#This Row],[Winter Blanket]],Table_NFI[[#This Row],[Winter Blanket]])</f>
        <v>0</v>
      </c>
      <c r="AK790" s="436">
        <f>IF(Table_NFI[[#This Row],[Winter Clothes Adult]]+Table_NFI[[#This Row],[Winter Clothes Children]]+Table_NFI[[#This Row],[Winter Items Other]]+Table_NFI[[#This Row],[Winter Blanket]]&gt;0,1,0)</f>
        <v>0</v>
      </c>
      <c r="AL790" s="439">
        <f>IF(NFI_Expiration=1,IF($A790&lt;VLOOKUP(V$5,NFI,5,0),1,0)*Table_NFI[[#This Row],[Jerry Can]],Table_NFI[Jerry Can])</f>
        <v>0</v>
      </c>
      <c r="AM790" s="781" t="str">
        <f>IFERROR(VLOOKUP(Table_NFI[[#This Row],[Camp Name]],CL,2,0),"")</f>
        <v>MMR001CMP119</v>
      </c>
      <c r="AN790" s="782">
        <f ca="1">IF(Table_NFI[[#This Row],[Pcode]]="","",IF(OFFSET(CampList[Opening Date],MATCH(Table_NFI[[#This Row],[Pcode]],CampList[CP_Pcode],0)-1,0,1,1)&gt;=NFI_Monitor_Date,1,0))</f>
        <v>0</v>
      </c>
      <c r="AO790" s="781" t="str">
        <f>IFERROR(VLOOKUP(Table_NFI[[#This Row],[Camp Name]],CL,3,0),"")</f>
        <v>Open</v>
      </c>
      <c r="AP790" s="436" t="str">
        <f ca="1">IF(Table_NFI[[#This Row],[Pcode]]="","",OFFSET(CampList[Priority],MATCH(Table_NFI[[#This Row],[Pcode]],CampList[CP_Pcode],0)-1,0,1,1))</f>
        <v>P2</v>
      </c>
      <c r="AQ790" s="438">
        <f>IFERROR(Table_NFI[[#This Row],[Kitchen Set]]/VLOOKUP(Table_NFI[[#This Row],[Camp Name]],CL,4,0),"")</f>
        <v>0.98357963875205257</v>
      </c>
      <c r="AR790" s="779" t="s">
        <v>1099</v>
      </c>
      <c r="AS790" s="783"/>
    </row>
    <row r="791" spans="1:45" x14ac:dyDescent="0.25">
      <c r="A791" s="455">
        <f t="shared" si="12"/>
        <v>40.333333333333336</v>
      </c>
      <c r="B791" s="778">
        <v>41099</v>
      </c>
      <c r="C791" s="779" t="s">
        <v>454</v>
      </c>
      <c r="D791" s="779" t="s">
        <v>454</v>
      </c>
      <c r="E791" s="779" t="s">
        <v>380</v>
      </c>
      <c r="F791" s="779" t="s">
        <v>310</v>
      </c>
      <c r="G791" s="435" t="s">
        <v>318</v>
      </c>
      <c r="H791" s="436"/>
      <c r="I791" s="436"/>
      <c r="J791" s="436"/>
      <c r="K791" s="436">
        <v>77</v>
      </c>
      <c r="L791" s="437">
        <v>34</v>
      </c>
      <c r="M791" s="437">
        <v>77</v>
      </c>
      <c r="N791" s="437">
        <v>35</v>
      </c>
      <c r="O791" s="437">
        <v>52</v>
      </c>
      <c r="P791" s="437">
        <v>52</v>
      </c>
      <c r="Q791" s="437">
        <v>52</v>
      </c>
      <c r="R791" s="436"/>
      <c r="S791" s="436"/>
      <c r="T791" s="436"/>
      <c r="U791" s="436"/>
      <c r="V791" s="436"/>
      <c r="W791" s="436">
        <f>IF(NFI_Expiration=1,IF($A791&lt;VLOOKUP(H$5,NFI,5,0),1,0)*Table_NFI[[#This Row],[Hygiene Kit]],Table_NFI[Hygiene Kit])</f>
        <v>0</v>
      </c>
      <c r="X791" s="436">
        <f>IF(NFI_Expiration=1,IF($A791&lt;VLOOKUP(I$5,NFI,5,0),1,0)*Table_NFI[[#This Row],[NFI Core Kit]],Table_NFI[NFI Core Kit])</f>
        <v>0</v>
      </c>
      <c r="Y791" s="436">
        <f>IF(NFI_Expiration=1,IF($A791&lt;VLOOKUP(J$5,NFI,5,0),1,0)*Table_NFI[[#This Row],[Sanitary Kit]],Table_NFI[Sanitary Kit])</f>
        <v>0</v>
      </c>
      <c r="Z791" s="436">
        <f>IF(NFI_Expiration=1,IF($A791&lt;VLOOKUP(K$5,NFI,5,0),1,0)*Table_NFI[[#This Row],[Mosquito net]],Table_NFI[Mosquito net])</f>
        <v>0</v>
      </c>
      <c r="AA791" s="436">
        <f>IF(NFI_Expiration=1,IF($A791&lt;VLOOKUP(L$5,NFI,5,0),1,0)*Table_NFI[[#This Row],[Tarpaulin]],Table_NFI[[#This Row],[Tarpaulin]])</f>
        <v>0</v>
      </c>
      <c r="AB791" s="436">
        <f>IF(NFI_Expiration=1,IF($A791&lt;VLOOKUP(M$5,NFI,5,0),1,0)*Table_NFI[[#This Row],[Blanket]],Table_NFI[[#This Row],[Blanket]])</f>
        <v>0</v>
      </c>
      <c r="AC791" s="436">
        <f>IF(NFI_Expiration=1,IF($A791&lt;VLOOKUP(N$5,NFI,5,0),1,0)*Table_NFI[[#This Row],[Kitchen Set]],Table_NFI[Kitchen Set])</f>
        <v>0</v>
      </c>
      <c r="AD791" s="436">
        <f>IF(NFI_Expiration=1,IF($A791&lt;VLOOKUP(O$5,NFI,5,0),1,0)*Table_NFI[[#This Row],[Clothes Kit]],Table_NFI[Clothes Kit])</f>
        <v>0</v>
      </c>
      <c r="AE791" s="436">
        <f>IF(NFI_Expiration=1,IF($A791&lt;VLOOKUP(P$5,NFI,5,0),1,0)*Table_NFI[[#This Row],[Plastic Bucket]],Table_NFI[Plastic Bucket])</f>
        <v>0</v>
      </c>
      <c r="AF791" s="436">
        <f>IF(NFI_Expiration=1,IF($A791&lt;VLOOKUP(Q$5,NFI,5,0),1,0)*Table_NFI[[#This Row],[Plastic Mat]],Table_NFI[Plastic Mat])*IF(Table_NFI[[#This Row],[Distribution Date]]&gt;"2014-04-01",1,2.5)</f>
        <v>0</v>
      </c>
      <c r="AG791" s="436">
        <f>IF(NFI_Expiration=1,IF($A791&lt;VLOOKUP(R$5,NFI,5,0),1,0)*Table_NFI[[#This Row],[Winter Clothes Adult]],Table_NFI[Winter Clothes Adult])</f>
        <v>0</v>
      </c>
      <c r="AH791" s="436">
        <f>IF(NFI_Expiration=1,IF($A791&lt;VLOOKUP(S$5,NFI,5,0),1,0)*Table_NFI[[#This Row],[Winter Clothes Children]],Table_NFI[Winter Clothes Children])</f>
        <v>0</v>
      </c>
      <c r="AI791" s="436">
        <f>IF(NFI_Expiration=1,IF($A791&lt;VLOOKUP(T$5,NFI,5,0),1,0)*Table_NFI[[#This Row],[Winter Items Other]],Table_NFI[Winter Items Other])</f>
        <v>0</v>
      </c>
      <c r="AJ791" s="436">
        <f>IF(NFI_Expiration=1,IF($A791&lt;VLOOKUP(M$5,NFI,5,0),1,0)*Table_NFI[[#This Row],[Winter Blanket]],Table_NFI[[#This Row],[Winter Blanket]])</f>
        <v>0</v>
      </c>
      <c r="AK791" s="436">
        <f>IF(Table_NFI[[#This Row],[Winter Clothes Adult]]+Table_NFI[[#This Row],[Winter Clothes Children]]+Table_NFI[[#This Row],[Winter Items Other]]+Table_NFI[[#This Row],[Winter Blanket]]&gt;0,1,0)</f>
        <v>0</v>
      </c>
      <c r="AL791" s="439">
        <f>IF(NFI_Expiration=1,IF($A791&lt;VLOOKUP(V$5,NFI,5,0),1,0)*Table_NFI[[#This Row],[Jerry Can]],Table_NFI[Jerry Can])</f>
        <v>0</v>
      </c>
      <c r="AM791" s="781" t="str">
        <f>IFERROR(VLOOKUP(Table_NFI[[#This Row],[Camp Name]],CL,2,0),"")</f>
        <v>MMR001CMP032</v>
      </c>
      <c r="AN791" s="782">
        <f ca="1">IF(Table_NFI[[#This Row],[Pcode]]="","",IF(OFFSET(CampList[Opening Date],MATCH(Table_NFI[[#This Row],[Pcode]],CampList[CP_Pcode],0)-1,0,1,1)&gt;=NFI_Monitor_Date,1,0))</f>
        <v>0</v>
      </c>
      <c r="AO791" s="781" t="str">
        <f>IFERROR(VLOOKUP(Table_NFI[[#This Row],[Camp Name]],CL,3,0),"")</f>
        <v>Open</v>
      </c>
      <c r="AP791" s="436" t="str">
        <f ca="1">IF(Table_NFI[[#This Row],[Pcode]]="","",OFFSET(CampList[Priority],MATCH(Table_NFI[[#This Row],[Pcode]],CampList[CP_Pcode],0)-1,0,1,1))</f>
        <v>P4</v>
      </c>
      <c r="AQ791" s="438">
        <f>IFERROR(Table_NFI[[#This Row],[Kitchen Set]]/VLOOKUP(Table_NFI[[#This Row],[Camp Name]],CL,4,0),"")</f>
        <v>0.37234042553191488</v>
      </c>
      <c r="AR791" s="779" t="s">
        <v>1099</v>
      </c>
      <c r="AS791" s="783"/>
    </row>
    <row r="792" spans="1:45" x14ac:dyDescent="0.25">
      <c r="A792" s="455">
        <f t="shared" si="12"/>
        <v>40.43333333333333</v>
      </c>
      <c r="B792" s="778">
        <v>41096</v>
      </c>
      <c r="C792" s="779" t="s">
        <v>454</v>
      </c>
      <c r="D792" s="779" t="s">
        <v>454</v>
      </c>
      <c r="E792" s="779" t="s">
        <v>380</v>
      </c>
      <c r="F792" s="779" t="s">
        <v>310</v>
      </c>
      <c r="G792" s="435" t="s">
        <v>316</v>
      </c>
      <c r="H792" s="436"/>
      <c r="I792" s="436"/>
      <c r="J792" s="436"/>
      <c r="K792" s="436">
        <v>17</v>
      </c>
      <c r="L792" s="437">
        <v>17</v>
      </c>
      <c r="M792" s="437">
        <v>17</v>
      </c>
      <c r="N792" s="437">
        <v>17</v>
      </c>
      <c r="O792" s="437">
        <v>17</v>
      </c>
      <c r="P792" s="437">
        <v>17</v>
      </c>
      <c r="Q792" s="437">
        <v>17</v>
      </c>
      <c r="R792" s="436"/>
      <c r="S792" s="436"/>
      <c r="T792" s="436"/>
      <c r="U792" s="436"/>
      <c r="V792" s="436"/>
      <c r="W792" s="436">
        <f>IF(NFI_Expiration=1,IF($A792&lt;VLOOKUP(H$5,NFI,5,0),1,0)*Table_NFI[[#This Row],[Hygiene Kit]],Table_NFI[Hygiene Kit])</f>
        <v>0</v>
      </c>
      <c r="X792" s="436">
        <f>IF(NFI_Expiration=1,IF($A792&lt;VLOOKUP(I$5,NFI,5,0),1,0)*Table_NFI[[#This Row],[NFI Core Kit]],Table_NFI[NFI Core Kit])</f>
        <v>0</v>
      </c>
      <c r="Y792" s="436">
        <f>IF(NFI_Expiration=1,IF($A792&lt;VLOOKUP(J$5,NFI,5,0),1,0)*Table_NFI[[#This Row],[Sanitary Kit]],Table_NFI[Sanitary Kit])</f>
        <v>0</v>
      </c>
      <c r="Z792" s="436">
        <f>IF(NFI_Expiration=1,IF($A792&lt;VLOOKUP(K$5,NFI,5,0),1,0)*Table_NFI[[#This Row],[Mosquito net]],Table_NFI[Mosquito net])</f>
        <v>0</v>
      </c>
      <c r="AA792" s="436">
        <f>IF(NFI_Expiration=1,IF($A792&lt;VLOOKUP(L$5,NFI,5,0),1,0)*Table_NFI[[#This Row],[Tarpaulin]],Table_NFI[[#This Row],[Tarpaulin]])</f>
        <v>0</v>
      </c>
      <c r="AB792" s="436">
        <f>IF(NFI_Expiration=1,IF($A792&lt;VLOOKUP(M$5,NFI,5,0),1,0)*Table_NFI[[#This Row],[Blanket]],Table_NFI[[#This Row],[Blanket]])</f>
        <v>0</v>
      </c>
      <c r="AC792" s="436">
        <f>IF(NFI_Expiration=1,IF($A792&lt;VLOOKUP(N$5,NFI,5,0),1,0)*Table_NFI[[#This Row],[Kitchen Set]],Table_NFI[Kitchen Set])</f>
        <v>0</v>
      </c>
      <c r="AD792" s="436">
        <f>IF(NFI_Expiration=1,IF($A792&lt;VLOOKUP(O$5,NFI,5,0),1,0)*Table_NFI[[#This Row],[Clothes Kit]],Table_NFI[Clothes Kit])</f>
        <v>0</v>
      </c>
      <c r="AE792" s="436">
        <f>IF(NFI_Expiration=1,IF($A792&lt;VLOOKUP(P$5,NFI,5,0),1,0)*Table_NFI[[#This Row],[Plastic Bucket]],Table_NFI[Plastic Bucket])</f>
        <v>0</v>
      </c>
      <c r="AF792" s="436">
        <f>IF(NFI_Expiration=1,IF($A792&lt;VLOOKUP(Q$5,NFI,5,0),1,0)*Table_NFI[[#This Row],[Plastic Mat]],Table_NFI[Plastic Mat])*IF(Table_NFI[[#This Row],[Distribution Date]]&gt;"2014-04-01",1,2.5)</f>
        <v>0</v>
      </c>
      <c r="AG792" s="436">
        <f>IF(NFI_Expiration=1,IF($A792&lt;VLOOKUP(R$5,NFI,5,0),1,0)*Table_NFI[[#This Row],[Winter Clothes Adult]],Table_NFI[Winter Clothes Adult])</f>
        <v>0</v>
      </c>
      <c r="AH792" s="436">
        <f>IF(NFI_Expiration=1,IF($A792&lt;VLOOKUP(S$5,NFI,5,0),1,0)*Table_NFI[[#This Row],[Winter Clothes Children]],Table_NFI[Winter Clothes Children])</f>
        <v>0</v>
      </c>
      <c r="AI792" s="436">
        <f>IF(NFI_Expiration=1,IF($A792&lt;VLOOKUP(T$5,NFI,5,0),1,0)*Table_NFI[[#This Row],[Winter Items Other]],Table_NFI[Winter Items Other])</f>
        <v>0</v>
      </c>
      <c r="AJ792" s="436">
        <f>IF(NFI_Expiration=1,IF($A792&lt;VLOOKUP(M$5,NFI,5,0),1,0)*Table_NFI[[#This Row],[Winter Blanket]],Table_NFI[[#This Row],[Winter Blanket]])</f>
        <v>0</v>
      </c>
      <c r="AK792" s="436">
        <f>IF(Table_NFI[[#This Row],[Winter Clothes Adult]]+Table_NFI[[#This Row],[Winter Clothes Children]]+Table_NFI[[#This Row],[Winter Items Other]]+Table_NFI[[#This Row],[Winter Blanket]]&gt;0,1,0)</f>
        <v>0</v>
      </c>
      <c r="AL792" s="439">
        <f>IF(NFI_Expiration=1,IF($A792&lt;VLOOKUP(V$5,NFI,5,0),1,0)*Table_NFI[[#This Row],[Jerry Can]],Table_NFI[Jerry Can])</f>
        <v>0</v>
      </c>
      <c r="AM792" s="781" t="str">
        <f>IFERROR(VLOOKUP(Table_NFI[[#This Row],[Camp Name]],CL,2,0),"")</f>
        <v>MMR001CMP038</v>
      </c>
      <c r="AN792" s="782">
        <f ca="1">IF(Table_NFI[[#This Row],[Pcode]]="","",IF(OFFSET(CampList[Opening Date],MATCH(Table_NFI[[#This Row],[Pcode]],CampList[CP_Pcode],0)-1,0,1,1)&gt;=NFI_Monitor_Date,1,0))</f>
        <v>0</v>
      </c>
      <c r="AO792" s="781" t="str">
        <f>IFERROR(VLOOKUP(Table_NFI[[#This Row],[Camp Name]],CL,3,0),"")</f>
        <v>Open</v>
      </c>
      <c r="AP792" s="436" t="str">
        <f ca="1">IF(Table_NFI[[#This Row],[Pcode]]="","",OFFSET(CampList[Priority],MATCH(Table_NFI[[#This Row],[Pcode]],CampList[CP_Pcode],0)-1,0,1,1))</f>
        <v>P4</v>
      </c>
      <c r="AQ792" s="438">
        <f>IFERROR(Table_NFI[[#This Row],[Kitchen Set]]/VLOOKUP(Table_NFI[[#This Row],[Camp Name]],CL,4,0),"")</f>
        <v>0.18681318681318682</v>
      </c>
      <c r="AR792" s="779" t="s">
        <v>1099</v>
      </c>
      <c r="AS792" s="783"/>
    </row>
    <row r="793" spans="1:45" x14ac:dyDescent="0.25">
      <c r="A793" s="455">
        <f t="shared" si="12"/>
        <v>40.466666666666669</v>
      </c>
      <c r="B793" s="778">
        <v>41095</v>
      </c>
      <c r="C793" s="779" t="s">
        <v>454</v>
      </c>
      <c r="D793" s="779" t="s">
        <v>454</v>
      </c>
      <c r="E793" s="779" t="s">
        <v>380</v>
      </c>
      <c r="F793" s="435" t="s">
        <v>5</v>
      </c>
      <c r="G793" s="435" t="s">
        <v>24</v>
      </c>
      <c r="H793" s="436"/>
      <c r="I793" s="436"/>
      <c r="J793" s="436"/>
      <c r="K793" s="436">
        <v>36</v>
      </c>
      <c r="L793" s="437">
        <v>14</v>
      </c>
      <c r="M793" s="437">
        <v>36</v>
      </c>
      <c r="N793" s="437">
        <v>14</v>
      </c>
      <c r="O793" s="437">
        <v>14</v>
      </c>
      <c r="P793" s="439">
        <v>14</v>
      </c>
      <c r="Q793" s="439">
        <v>14</v>
      </c>
      <c r="R793" s="436"/>
      <c r="S793" s="436"/>
      <c r="T793" s="436"/>
      <c r="U793" s="436"/>
      <c r="V793" s="436"/>
      <c r="W793" s="436">
        <f>IF(NFI_Expiration=1,IF($A793&lt;VLOOKUP(H$5,NFI,5,0),1,0)*Table_NFI[[#This Row],[Hygiene Kit]],Table_NFI[Hygiene Kit])</f>
        <v>0</v>
      </c>
      <c r="X793" s="436">
        <f>IF(NFI_Expiration=1,IF($A793&lt;VLOOKUP(I$5,NFI,5,0),1,0)*Table_NFI[[#This Row],[NFI Core Kit]],Table_NFI[NFI Core Kit])</f>
        <v>0</v>
      </c>
      <c r="Y793" s="436">
        <f>IF(NFI_Expiration=1,IF($A793&lt;VLOOKUP(J$5,NFI,5,0),1,0)*Table_NFI[[#This Row],[Sanitary Kit]],Table_NFI[Sanitary Kit])</f>
        <v>0</v>
      </c>
      <c r="Z793" s="436">
        <f>IF(NFI_Expiration=1,IF($A793&lt;VLOOKUP(K$5,NFI,5,0),1,0)*Table_NFI[[#This Row],[Mosquito net]],Table_NFI[Mosquito net])</f>
        <v>0</v>
      </c>
      <c r="AA793" s="436">
        <f>IF(NFI_Expiration=1,IF($A793&lt;VLOOKUP(L$5,NFI,5,0),1,0)*Table_NFI[[#This Row],[Tarpaulin]],Table_NFI[[#This Row],[Tarpaulin]])</f>
        <v>0</v>
      </c>
      <c r="AB793" s="436">
        <f>IF(NFI_Expiration=1,IF($A793&lt;VLOOKUP(M$5,NFI,5,0),1,0)*Table_NFI[[#This Row],[Blanket]],Table_NFI[[#This Row],[Blanket]])</f>
        <v>0</v>
      </c>
      <c r="AC793" s="436">
        <f>IF(NFI_Expiration=1,IF($A793&lt;VLOOKUP(N$5,NFI,5,0),1,0)*Table_NFI[[#This Row],[Kitchen Set]],Table_NFI[Kitchen Set])</f>
        <v>0</v>
      </c>
      <c r="AD793" s="436">
        <f>IF(NFI_Expiration=1,IF($A793&lt;VLOOKUP(O$5,NFI,5,0),1,0)*Table_NFI[[#This Row],[Clothes Kit]],Table_NFI[Clothes Kit])</f>
        <v>0</v>
      </c>
      <c r="AE793" s="436">
        <f>IF(NFI_Expiration=1,IF($A793&lt;VLOOKUP(P$5,NFI,5,0),1,0)*Table_NFI[[#This Row],[Plastic Bucket]],Table_NFI[Plastic Bucket])</f>
        <v>0</v>
      </c>
      <c r="AF793" s="436">
        <f>IF(NFI_Expiration=1,IF($A793&lt;VLOOKUP(Q$5,NFI,5,0),1,0)*Table_NFI[[#This Row],[Plastic Mat]],Table_NFI[Plastic Mat])*IF(Table_NFI[[#This Row],[Distribution Date]]&gt;"2014-04-01",1,2.5)</f>
        <v>0</v>
      </c>
      <c r="AG793" s="436">
        <f>IF(NFI_Expiration=1,IF($A793&lt;VLOOKUP(R$5,NFI,5,0),1,0)*Table_NFI[[#This Row],[Winter Clothes Adult]],Table_NFI[Winter Clothes Adult])</f>
        <v>0</v>
      </c>
      <c r="AH793" s="436">
        <f>IF(NFI_Expiration=1,IF($A793&lt;VLOOKUP(S$5,NFI,5,0),1,0)*Table_NFI[[#This Row],[Winter Clothes Children]],Table_NFI[Winter Clothes Children])</f>
        <v>0</v>
      </c>
      <c r="AI793" s="436">
        <f>IF(NFI_Expiration=1,IF($A793&lt;VLOOKUP(T$5,NFI,5,0),1,0)*Table_NFI[[#This Row],[Winter Items Other]],Table_NFI[Winter Items Other])</f>
        <v>0</v>
      </c>
      <c r="AJ793" s="436">
        <f>IF(NFI_Expiration=1,IF($A793&lt;VLOOKUP(M$5,NFI,5,0),1,0)*Table_NFI[[#This Row],[Winter Blanket]],Table_NFI[[#This Row],[Winter Blanket]])</f>
        <v>0</v>
      </c>
      <c r="AK793" s="436">
        <f>IF(Table_NFI[[#This Row],[Winter Clothes Adult]]+Table_NFI[[#This Row],[Winter Clothes Children]]+Table_NFI[[#This Row],[Winter Items Other]]+Table_NFI[[#This Row],[Winter Blanket]]&gt;0,1,0)</f>
        <v>0</v>
      </c>
      <c r="AL793" s="439">
        <f>IF(NFI_Expiration=1,IF($A793&lt;VLOOKUP(V$5,NFI,5,0),1,0)*Table_NFI[[#This Row],[Jerry Can]],Table_NFI[Jerry Can])</f>
        <v>0</v>
      </c>
      <c r="AM793" s="781" t="str">
        <f>IFERROR(VLOOKUP(Table_NFI[[#This Row],[Camp Name]],CL,2,0),"")</f>
        <v>MMR001CMP055</v>
      </c>
      <c r="AN793" s="782">
        <f ca="1">IF(Table_NFI[[#This Row],[Pcode]]="","",IF(OFFSET(CampList[Opening Date],MATCH(Table_NFI[[#This Row],[Pcode]],CampList[CP_Pcode],0)-1,0,1,1)&gt;=NFI_Monitor_Date,1,0))</f>
        <v>0</v>
      </c>
      <c r="AO793" s="781" t="str">
        <f>IFERROR(VLOOKUP(Table_NFI[[#This Row],[Camp Name]],CL,3,0),"")</f>
        <v>Open</v>
      </c>
      <c r="AP793" s="436" t="str">
        <f ca="1">IF(Table_NFI[[#This Row],[Pcode]]="","",OFFSET(CampList[Priority],MATCH(Table_NFI[[#This Row],[Pcode]],CampList[CP_Pcode],0)-1,0,1,1))</f>
        <v>P4</v>
      </c>
      <c r="AQ793" s="438">
        <f>IFERROR(Table_NFI[[#This Row],[Kitchen Set]]/VLOOKUP(Table_NFI[[#This Row],[Camp Name]],CL,4,0),"")</f>
        <v>0.56000000000000005</v>
      </c>
      <c r="AR793" s="779" t="s">
        <v>1099</v>
      </c>
      <c r="AS793" s="783"/>
    </row>
    <row r="794" spans="1:45" x14ac:dyDescent="0.25">
      <c r="A794" s="455">
        <f t="shared" si="12"/>
        <v>40.799999999999997</v>
      </c>
      <c r="B794" s="778">
        <v>41085</v>
      </c>
      <c r="C794" s="779" t="s">
        <v>454</v>
      </c>
      <c r="D794" s="780" t="s">
        <v>454</v>
      </c>
      <c r="E794" s="779" t="s">
        <v>380</v>
      </c>
      <c r="F794" s="435" t="s">
        <v>185</v>
      </c>
      <c r="G794" s="435" t="s">
        <v>209</v>
      </c>
      <c r="H794" s="436"/>
      <c r="I794" s="441"/>
      <c r="J794" s="434"/>
      <c r="K794" s="434">
        <v>290</v>
      </c>
      <c r="L794" s="434">
        <v>145</v>
      </c>
      <c r="M794" s="434">
        <v>290</v>
      </c>
      <c r="N794" s="434">
        <v>145</v>
      </c>
      <c r="O794" s="434">
        <v>145</v>
      </c>
      <c r="P794" s="437">
        <v>145</v>
      </c>
      <c r="Q794" s="437">
        <v>145</v>
      </c>
      <c r="R794" s="436"/>
      <c r="S794" s="436"/>
      <c r="T794" s="436"/>
      <c r="U794" s="436"/>
      <c r="V794" s="436"/>
      <c r="W794" s="436">
        <f>IF(NFI_Expiration=1,IF($A794&lt;VLOOKUP(H$5,NFI,5,0),1,0)*Table_NFI[[#This Row],[Hygiene Kit]],Table_NFI[Hygiene Kit])</f>
        <v>0</v>
      </c>
      <c r="X794" s="436">
        <f>IF(NFI_Expiration=1,IF($A794&lt;VLOOKUP(I$5,NFI,5,0),1,0)*Table_NFI[[#This Row],[NFI Core Kit]],Table_NFI[NFI Core Kit])</f>
        <v>0</v>
      </c>
      <c r="Y794" s="436">
        <f>IF(NFI_Expiration=1,IF($A794&lt;VLOOKUP(J$5,NFI,5,0),1,0)*Table_NFI[[#This Row],[Sanitary Kit]],Table_NFI[Sanitary Kit])</f>
        <v>0</v>
      </c>
      <c r="Z794" s="436">
        <f>IF(NFI_Expiration=1,IF($A794&lt;VLOOKUP(K$5,NFI,5,0),1,0)*Table_NFI[[#This Row],[Mosquito net]],Table_NFI[Mosquito net])</f>
        <v>0</v>
      </c>
      <c r="AA794" s="436">
        <f>IF(NFI_Expiration=1,IF($A794&lt;VLOOKUP(L$5,NFI,5,0),1,0)*Table_NFI[[#This Row],[Tarpaulin]],Table_NFI[[#This Row],[Tarpaulin]])</f>
        <v>0</v>
      </c>
      <c r="AB794" s="436">
        <f>IF(NFI_Expiration=1,IF($A794&lt;VLOOKUP(M$5,NFI,5,0),1,0)*Table_NFI[[#This Row],[Blanket]],Table_NFI[[#This Row],[Blanket]])</f>
        <v>0</v>
      </c>
      <c r="AC794" s="436">
        <f>IF(NFI_Expiration=1,IF($A794&lt;VLOOKUP(N$5,NFI,5,0),1,0)*Table_NFI[[#This Row],[Kitchen Set]],Table_NFI[Kitchen Set])</f>
        <v>0</v>
      </c>
      <c r="AD794" s="436">
        <f>IF(NFI_Expiration=1,IF($A794&lt;VLOOKUP(O$5,NFI,5,0),1,0)*Table_NFI[[#This Row],[Clothes Kit]],Table_NFI[Clothes Kit])</f>
        <v>0</v>
      </c>
      <c r="AE794" s="436">
        <f>IF(NFI_Expiration=1,IF($A794&lt;VLOOKUP(P$5,NFI,5,0),1,0)*Table_NFI[[#This Row],[Plastic Bucket]],Table_NFI[Plastic Bucket])</f>
        <v>0</v>
      </c>
      <c r="AF794" s="436">
        <f>IF(NFI_Expiration=1,IF($A794&lt;VLOOKUP(Q$5,NFI,5,0),1,0)*Table_NFI[[#This Row],[Plastic Mat]],Table_NFI[Plastic Mat])*IF(Table_NFI[[#This Row],[Distribution Date]]&gt;"2014-04-01",1,2.5)</f>
        <v>0</v>
      </c>
      <c r="AG794" s="436">
        <f>IF(NFI_Expiration=1,IF($A794&lt;VLOOKUP(R$5,NFI,5,0),1,0)*Table_NFI[[#This Row],[Winter Clothes Adult]],Table_NFI[Winter Clothes Adult])</f>
        <v>0</v>
      </c>
      <c r="AH794" s="436">
        <f>IF(NFI_Expiration=1,IF($A794&lt;VLOOKUP(S$5,NFI,5,0),1,0)*Table_NFI[[#This Row],[Winter Clothes Children]],Table_NFI[Winter Clothes Children])</f>
        <v>0</v>
      </c>
      <c r="AI794" s="436">
        <f>IF(NFI_Expiration=1,IF($A794&lt;VLOOKUP(T$5,NFI,5,0),1,0)*Table_NFI[[#This Row],[Winter Items Other]],Table_NFI[Winter Items Other])</f>
        <v>0</v>
      </c>
      <c r="AJ794" s="436">
        <f>IF(NFI_Expiration=1,IF($A794&lt;VLOOKUP(M$5,NFI,5,0),1,0)*Table_NFI[[#This Row],[Winter Blanket]],Table_NFI[[#This Row],[Winter Blanket]])</f>
        <v>0</v>
      </c>
      <c r="AK794" s="436">
        <f>IF(Table_NFI[[#This Row],[Winter Clothes Adult]]+Table_NFI[[#This Row],[Winter Clothes Children]]+Table_NFI[[#This Row],[Winter Items Other]]+Table_NFI[[#This Row],[Winter Blanket]]&gt;0,1,0)</f>
        <v>0</v>
      </c>
      <c r="AL794" s="439">
        <f>IF(NFI_Expiration=1,IF($A794&lt;VLOOKUP(V$5,NFI,5,0),1,0)*Table_NFI[[#This Row],[Jerry Can]],Table_NFI[Jerry Can])</f>
        <v>0</v>
      </c>
      <c r="AM794" s="781" t="str">
        <f>IFERROR(VLOOKUP(Table_NFI[[#This Row],[Camp Name]],CL,2,0),"")</f>
        <v>MMR001CMP056</v>
      </c>
      <c r="AN794" s="782">
        <f ca="1">IF(Table_NFI[[#This Row],[Pcode]]="","",IF(OFFSET(CampList[Opening Date],MATCH(Table_NFI[[#This Row],[Pcode]],CampList[CP_Pcode],0)-1,0,1,1)&gt;=NFI_Monitor_Date,1,0))</f>
        <v>0</v>
      </c>
      <c r="AO794" s="781" t="str">
        <f>IFERROR(VLOOKUP(Table_NFI[[#This Row],[Camp Name]],CL,3,0),"")</f>
        <v>Open</v>
      </c>
      <c r="AP794" s="436" t="str">
        <f ca="1">IF(Table_NFI[[#This Row],[Pcode]]="","",OFFSET(CampList[Priority],MATCH(Table_NFI[[#This Row],[Pcode]],CampList[CP_Pcode],0)-1,0,1,1))</f>
        <v>P4</v>
      </c>
      <c r="AQ794" s="438">
        <f>IFERROR(Table_NFI[[#This Row],[Kitchen Set]]/VLOOKUP(Table_NFI[[#This Row],[Camp Name]],CL,4,0),"")</f>
        <v>0.70048309178743962</v>
      </c>
      <c r="AR794" s="779" t="s">
        <v>1099</v>
      </c>
      <c r="AS794" s="783"/>
    </row>
    <row r="795" spans="1:45" x14ac:dyDescent="0.25">
      <c r="A795" s="455">
        <f t="shared" si="12"/>
        <v>40.866666666666667</v>
      </c>
      <c r="B795" s="778">
        <v>41083</v>
      </c>
      <c r="C795" s="779" t="s">
        <v>454</v>
      </c>
      <c r="D795" s="780" t="s">
        <v>454</v>
      </c>
      <c r="E795" s="779" t="s">
        <v>380</v>
      </c>
      <c r="F795" s="435" t="s">
        <v>185</v>
      </c>
      <c r="G795" s="435" t="s">
        <v>192</v>
      </c>
      <c r="H795" s="436"/>
      <c r="I795" s="441"/>
      <c r="J795" s="434"/>
      <c r="K795" s="434">
        <v>24</v>
      </c>
      <c r="L795" s="434">
        <v>13</v>
      </c>
      <c r="M795" s="434">
        <v>24</v>
      </c>
      <c r="N795" s="434">
        <v>13</v>
      </c>
      <c r="O795" s="434">
        <v>13</v>
      </c>
      <c r="P795" s="437">
        <v>13</v>
      </c>
      <c r="Q795" s="437">
        <v>13</v>
      </c>
      <c r="R795" s="436"/>
      <c r="S795" s="436"/>
      <c r="T795" s="436"/>
      <c r="U795" s="436"/>
      <c r="V795" s="436"/>
      <c r="W795" s="436">
        <f>IF(NFI_Expiration=1,IF($A795&lt;VLOOKUP(H$5,NFI,5,0),1,0)*Table_NFI[[#This Row],[Hygiene Kit]],Table_NFI[Hygiene Kit])</f>
        <v>0</v>
      </c>
      <c r="X795" s="436">
        <f>IF(NFI_Expiration=1,IF($A795&lt;VLOOKUP(I$5,NFI,5,0),1,0)*Table_NFI[[#This Row],[NFI Core Kit]],Table_NFI[NFI Core Kit])</f>
        <v>0</v>
      </c>
      <c r="Y795" s="436">
        <f>IF(NFI_Expiration=1,IF($A795&lt;VLOOKUP(J$5,NFI,5,0),1,0)*Table_NFI[[#This Row],[Sanitary Kit]],Table_NFI[Sanitary Kit])</f>
        <v>0</v>
      </c>
      <c r="Z795" s="436">
        <f>IF(NFI_Expiration=1,IF($A795&lt;VLOOKUP(K$5,NFI,5,0),1,0)*Table_NFI[[#This Row],[Mosquito net]],Table_NFI[Mosquito net])</f>
        <v>0</v>
      </c>
      <c r="AA795" s="436">
        <f>IF(NFI_Expiration=1,IF($A795&lt;VLOOKUP(L$5,NFI,5,0),1,0)*Table_NFI[[#This Row],[Tarpaulin]],Table_NFI[[#This Row],[Tarpaulin]])</f>
        <v>0</v>
      </c>
      <c r="AB795" s="436">
        <f>IF(NFI_Expiration=1,IF($A795&lt;VLOOKUP(M$5,NFI,5,0),1,0)*Table_NFI[[#This Row],[Blanket]],Table_NFI[[#This Row],[Blanket]])</f>
        <v>0</v>
      </c>
      <c r="AC795" s="436">
        <f>IF(NFI_Expiration=1,IF($A795&lt;VLOOKUP(N$5,NFI,5,0),1,0)*Table_NFI[[#This Row],[Kitchen Set]],Table_NFI[Kitchen Set])</f>
        <v>0</v>
      </c>
      <c r="AD795" s="436">
        <f>IF(NFI_Expiration=1,IF($A795&lt;VLOOKUP(O$5,NFI,5,0),1,0)*Table_NFI[[#This Row],[Clothes Kit]],Table_NFI[Clothes Kit])</f>
        <v>0</v>
      </c>
      <c r="AE795" s="436">
        <f>IF(NFI_Expiration=1,IF($A795&lt;VLOOKUP(P$5,NFI,5,0),1,0)*Table_NFI[[#This Row],[Plastic Bucket]],Table_NFI[Plastic Bucket])</f>
        <v>0</v>
      </c>
      <c r="AF795" s="436">
        <f>IF(NFI_Expiration=1,IF($A795&lt;VLOOKUP(Q$5,NFI,5,0),1,0)*Table_NFI[[#This Row],[Plastic Mat]],Table_NFI[Plastic Mat])*IF(Table_NFI[[#This Row],[Distribution Date]]&gt;"2014-04-01",1,2.5)</f>
        <v>0</v>
      </c>
      <c r="AG795" s="436">
        <f>IF(NFI_Expiration=1,IF($A795&lt;VLOOKUP(R$5,NFI,5,0),1,0)*Table_NFI[[#This Row],[Winter Clothes Adult]],Table_NFI[Winter Clothes Adult])</f>
        <v>0</v>
      </c>
      <c r="AH795" s="436">
        <f>IF(NFI_Expiration=1,IF($A795&lt;VLOOKUP(S$5,NFI,5,0),1,0)*Table_NFI[[#This Row],[Winter Clothes Children]],Table_NFI[Winter Clothes Children])</f>
        <v>0</v>
      </c>
      <c r="AI795" s="436">
        <f>IF(NFI_Expiration=1,IF($A795&lt;VLOOKUP(T$5,NFI,5,0),1,0)*Table_NFI[[#This Row],[Winter Items Other]],Table_NFI[Winter Items Other])</f>
        <v>0</v>
      </c>
      <c r="AJ795" s="436">
        <f>IF(NFI_Expiration=1,IF($A795&lt;VLOOKUP(M$5,NFI,5,0),1,0)*Table_NFI[[#This Row],[Winter Blanket]],Table_NFI[[#This Row],[Winter Blanket]])</f>
        <v>0</v>
      </c>
      <c r="AK795" s="436">
        <f>IF(Table_NFI[[#This Row],[Winter Clothes Adult]]+Table_NFI[[#This Row],[Winter Clothes Children]]+Table_NFI[[#This Row],[Winter Items Other]]+Table_NFI[[#This Row],[Winter Blanket]]&gt;0,1,0)</f>
        <v>0</v>
      </c>
      <c r="AL795" s="439">
        <f>IF(NFI_Expiration=1,IF($A795&lt;VLOOKUP(V$5,NFI,5,0),1,0)*Table_NFI[[#This Row],[Jerry Can]],Table_NFI[Jerry Can])</f>
        <v>0</v>
      </c>
      <c r="AM795" s="781" t="str">
        <f>IFERROR(VLOOKUP(Table_NFI[[#This Row],[Camp Name]],CL,2,0),"")</f>
        <v>MMR001CMP123</v>
      </c>
      <c r="AN795" s="782">
        <f ca="1">IF(Table_NFI[[#This Row],[Pcode]]="","",IF(OFFSET(CampList[Opening Date],MATCH(Table_NFI[[#This Row],[Pcode]],CampList[CP_Pcode],0)-1,0,1,1)&gt;=NFI_Monitor_Date,1,0))</f>
        <v>0</v>
      </c>
      <c r="AO795" s="781" t="str">
        <f>IFERROR(VLOOKUP(Table_NFI[[#This Row],[Camp Name]],CL,3,0),"")</f>
        <v>Open</v>
      </c>
      <c r="AP795" s="436" t="str">
        <f ca="1">IF(Table_NFI[[#This Row],[Pcode]]="","",OFFSET(CampList[Priority],MATCH(Table_NFI[[#This Row],[Pcode]],CampList[CP_Pcode],0)-1,0,1,1))</f>
        <v>P2</v>
      </c>
      <c r="AQ795" s="438">
        <f>IFERROR(Table_NFI[[#This Row],[Kitchen Set]]/VLOOKUP(Table_NFI[[#This Row],[Camp Name]],CL,4,0),"")</f>
        <v>0.11304347826086956</v>
      </c>
      <c r="AR795" s="779" t="s">
        <v>1099</v>
      </c>
      <c r="AS795" s="783"/>
    </row>
    <row r="796" spans="1:45" x14ac:dyDescent="0.25">
      <c r="A796" s="455">
        <f t="shared" si="12"/>
        <v>40.9</v>
      </c>
      <c r="B796" s="778">
        <v>41082</v>
      </c>
      <c r="C796" s="779" t="s">
        <v>454</v>
      </c>
      <c r="D796" s="779" t="s">
        <v>454</v>
      </c>
      <c r="E796" s="779" t="s">
        <v>380</v>
      </c>
      <c r="F796" s="435" t="s">
        <v>185</v>
      </c>
      <c r="G796" s="435" t="s">
        <v>215</v>
      </c>
      <c r="H796" s="436"/>
      <c r="I796" s="436"/>
      <c r="J796" s="436"/>
      <c r="K796" s="436">
        <v>140</v>
      </c>
      <c r="L796" s="437">
        <v>70</v>
      </c>
      <c r="M796" s="437">
        <v>140</v>
      </c>
      <c r="N796" s="437">
        <v>70</v>
      </c>
      <c r="O796" s="437">
        <v>70</v>
      </c>
      <c r="P796" s="439">
        <v>70</v>
      </c>
      <c r="Q796" s="439">
        <v>70</v>
      </c>
      <c r="R796" s="436"/>
      <c r="S796" s="436"/>
      <c r="T796" s="436"/>
      <c r="U796" s="436"/>
      <c r="V796" s="436"/>
      <c r="W796" s="436">
        <f>IF(NFI_Expiration=1,IF($A796&lt;VLOOKUP(H$5,NFI,5,0),1,0)*Table_NFI[[#This Row],[Hygiene Kit]],Table_NFI[Hygiene Kit])</f>
        <v>0</v>
      </c>
      <c r="X796" s="436">
        <f>IF(NFI_Expiration=1,IF($A796&lt;VLOOKUP(I$5,NFI,5,0),1,0)*Table_NFI[[#This Row],[NFI Core Kit]],Table_NFI[NFI Core Kit])</f>
        <v>0</v>
      </c>
      <c r="Y796" s="436">
        <f>IF(NFI_Expiration=1,IF($A796&lt;VLOOKUP(J$5,NFI,5,0),1,0)*Table_NFI[[#This Row],[Sanitary Kit]],Table_NFI[Sanitary Kit])</f>
        <v>0</v>
      </c>
      <c r="Z796" s="436">
        <f>IF(NFI_Expiration=1,IF($A796&lt;VLOOKUP(K$5,NFI,5,0),1,0)*Table_NFI[[#This Row],[Mosquito net]],Table_NFI[Mosquito net])</f>
        <v>0</v>
      </c>
      <c r="AA796" s="436">
        <f>IF(NFI_Expiration=1,IF($A796&lt;VLOOKUP(L$5,NFI,5,0),1,0)*Table_NFI[[#This Row],[Tarpaulin]],Table_NFI[[#This Row],[Tarpaulin]])</f>
        <v>0</v>
      </c>
      <c r="AB796" s="436">
        <f>IF(NFI_Expiration=1,IF($A796&lt;VLOOKUP(M$5,NFI,5,0),1,0)*Table_NFI[[#This Row],[Blanket]],Table_NFI[[#This Row],[Blanket]])</f>
        <v>0</v>
      </c>
      <c r="AC796" s="436">
        <f>IF(NFI_Expiration=1,IF($A796&lt;VLOOKUP(N$5,NFI,5,0),1,0)*Table_NFI[[#This Row],[Kitchen Set]],Table_NFI[Kitchen Set])</f>
        <v>0</v>
      </c>
      <c r="AD796" s="436">
        <f>IF(NFI_Expiration=1,IF($A796&lt;VLOOKUP(O$5,NFI,5,0),1,0)*Table_NFI[[#This Row],[Clothes Kit]],Table_NFI[Clothes Kit])</f>
        <v>0</v>
      </c>
      <c r="AE796" s="436">
        <f>IF(NFI_Expiration=1,IF($A796&lt;VLOOKUP(P$5,NFI,5,0),1,0)*Table_NFI[[#This Row],[Plastic Bucket]],Table_NFI[Plastic Bucket])</f>
        <v>0</v>
      </c>
      <c r="AF796" s="436">
        <f>IF(NFI_Expiration=1,IF($A796&lt;VLOOKUP(Q$5,NFI,5,0),1,0)*Table_NFI[[#This Row],[Plastic Mat]],Table_NFI[Plastic Mat])*IF(Table_NFI[[#This Row],[Distribution Date]]&gt;"2014-04-01",1,2.5)</f>
        <v>0</v>
      </c>
      <c r="AG796" s="436">
        <f>IF(NFI_Expiration=1,IF($A796&lt;VLOOKUP(R$5,NFI,5,0),1,0)*Table_NFI[[#This Row],[Winter Clothes Adult]],Table_NFI[Winter Clothes Adult])</f>
        <v>0</v>
      </c>
      <c r="AH796" s="436">
        <f>IF(NFI_Expiration=1,IF($A796&lt;VLOOKUP(S$5,NFI,5,0),1,0)*Table_NFI[[#This Row],[Winter Clothes Children]],Table_NFI[Winter Clothes Children])</f>
        <v>0</v>
      </c>
      <c r="AI796" s="436">
        <f>IF(NFI_Expiration=1,IF($A796&lt;VLOOKUP(T$5,NFI,5,0),1,0)*Table_NFI[[#This Row],[Winter Items Other]],Table_NFI[Winter Items Other])</f>
        <v>0</v>
      </c>
      <c r="AJ796" s="436">
        <f>IF(NFI_Expiration=1,IF($A796&lt;VLOOKUP(M$5,NFI,5,0),1,0)*Table_NFI[[#This Row],[Winter Blanket]],Table_NFI[[#This Row],[Winter Blanket]])</f>
        <v>0</v>
      </c>
      <c r="AK796" s="436">
        <f>IF(Table_NFI[[#This Row],[Winter Clothes Adult]]+Table_NFI[[#This Row],[Winter Clothes Children]]+Table_NFI[[#This Row],[Winter Items Other]]+Table_NFI[[#This Row],[Winter Blanket]]&gt;0,1,0)</f>
        <v>0</v>
      </c>
      <c r="AL796" s="439">
        <f>IF(NFI_Expiration=1,IF($A796&lt;VLOOKUP(V$5,NFI,5,0),1,0)*Table_NFI[[#This Row],[Jerry Can]],Table_NFI[Jerry Can])</f>
        <v>0</v>
      </c>
      <c r="AM796" s="781" t="str">
        <f>IFERROR(VLOOKUP(Table_NFI[[#This Row],[Camp Name]],CL,2,0),"")</f>
        <v>MMR001CMP131</v>
      </c>
      <c r="AN796" s="782">
        <f ca="1">IF(Table_NFI[[#This Row],[Pcode]]="","",IF(OFFSET(CampList[Opening Date],MATCH(Table_NFI[[#This Row],[Pcode]],CampList[CP_Pcode],0)-1,0,1,1)&gt;=NFI_Monitor_Date,1,0))</f>
        <v>0</v>
      </c>
      <c r="AO796" s="781" t="str">
        <f>IFERROR(VLOOKUP(Table_NFI[[#This Row],[Camp Name]],CL,3,0),"")</f>
        <v>Open</v>
      </c>
      <c r="AP796" s="436" t="str">
        <f ca="1">IF(Table_NFI[[#This Row],[Pcode]]="","",OFFSET(CampList[Priority],MATCH(Table_NFI[[#This Row],[Pcode]],CampList[CP_Pcode],0)-1,0,1,1))</f>
        <v>P1</v>
      </c>
      <c r="AQ796" s="438">
        <f>IFERROR(Table_NFI[[#This Row],[Kitchen Set]]/VLOOKUP(Table_NFI[[#This Row],[Camp Name]],CL,4,0),"")</f>
        <v>0.16990291262135923</v>
      </c>
      <c r="AR796" s="779" t="s">
        <v>1099</v>
      </c>
      <c r="AS796" s="783"/>
    </row>
    <row r="797" spans="1:45" x14ac:dyDescent="0.25">
      <c r="A797" s="455">
        <f t="shared" si="12"/>
        <v>40.966666666666669</v>
      </c>
      <c r="B797" s="778">
        <v>41080</v>
      </c>
      <c r="C797" s="779" t="s">
        <v>454</v>
      </c>
      <c r="D797" s="780" t="s">
        <v>454</v>
      </c>
      <c r="E797" s="779" t="s">
        <v>380</v>
      </c>
      <c r="F797" s="435" t="s">
        <v>310</v>
      </c>
      <c r="G797" s="435" t="s">
        <v>311</v>
      </c>
      <c r="H797" s="436"/>
      <c r="I797" s="436"/>
      <c r="J797" s="436"/>
      <c r="K797" s="436">
        <v>141</v>
      </c>
      <c r="L797" s="437">
        <v>81</v>
      </c>
      <c r="M797" s="437">
        <v>148</v>
      </c>
      <c r="N797" s="437">
        <v>84</v>
      </c>
      <c r="O797" s="437">
        <v>78</v>
      </c>
      <c r="P797" s="437">
        <v>78</v>
      </c>
      <c r="Q797" s="437">
        <v>78</v>
      </c>
      <c r="R797" s="436"/>
      <c r="S797" s="436"/>
      <c r="T797" s="436"/>
      <c r="U797" s="436"/>
      <c r="V797" s="436"/>
      <c r="W797" s="436">
        <f>IF(NFI_Expiration=1,IF($A797&lt;VLOOKUP(H$5,NFI,5,0),1,0)*Table_NFI[[#This Row],[Hygiene Kit]],Table_NFI[Hygiene Kit])</f>
        <v>0</v>
      </c>
      <c r="X797" s="436">
        <f>IF(NFI_Expiration=1,IF($A797&lt;VLOOKUP(I$5,NFI,5,0),1,0)*Table_NFI[[#This Row],[NFI Core Kit]],Table_NFI[NFI Core Kit])</f>
        <v>0</v>
      </c>
      <c r="Y797" s="436">
        <f>IF(NFI_Expiration=1,IF($A797&lt;VLOOKUP(J$5,NFI,5,0),1,0)*Table_NFI[[#This Row],[Sanitary Kit]],Table_NFI[Sanitary Kit])</f>
        <v>0</v>
      </c>
      <c r="Z797" s="436">
        <f>IF(NFI_Expiration=1,IF($A797&lt;VLOOKUP(K$5,NFI,5,0),1,0)*Table_NFI[[#This Row],[Mosquito net]],Table_NFI[Mosquito net])</f>
        <v>0</v>
      </c>
      <c r="AA797" s="436">
        <f>IF(NFI_Expiration=1,IF($A797&lt;VLOOKUP(L$5,NFI,5,0),1,0)*Table_NFI[[#This Row],[Tarpaulin]],Table_NFI[[#This Row],[Tarpaulin]])</f>
        <v>0</v>
      </c>
      <c r="AB797" s="436">
        <f>IF(NFI_Expiration=1,IF($A797&lt;VLOOKUP(M$5,NFI,5,0),1,0)*Table_NFI[[#This Row],[Blanket]],Table_NFI[[#This Row],[Blanket]])</f>
        <v>0</v>
      </c>
      <c r="AC797" s="436">
        <f>IF(NFI_Expiration=1,IF($A797&lt;VLOOKUP(N$5,NFI,5,0),1,0)*Table_NFI[[#This Row],[Kitchen Set]],Table_NFI[Kitchen Set])</f>
        <v>0</v>
      </c>
      <c r="AD797" s="436">
        <f>IF(NFI_Expiration=1,IF($A797&lt;VLOOKUP(O$5,NFI,5,0),1,0)*Table_NFI[[#This Row],[Clothes Kit]],Table_NFI[Clothes Kit])</f>
        <v>0</v>
      </c>
      <c r="AE797" s="436">
        <f>IF(NFI_Expiration=1,IF($A797&lt;VLOOKUP(P$5,NFI,5,0),1,0)*Table_NFI[[#This Row],[Plastic Bucket]],Table_NFI[Plastic Bucket])</f>
        <v>0</v>
      </c>
      <c r="AF797" s="436">
        <f>IF(NFI_Expiration=1,IF($A797&lt;VLOOKUP(Q$5,NFI,5,0),1,0)*Table_NFI[[#This Row],[Plastic Mat]],Table_NFI[Plastic Mat])*IF(Table_NFI[[#This Row],[Distribution Date]]&gt;"2014-04-01",1,2.5)</f>
        <v>0</v>
      </c>
      <c r="AG797" s="436">
        <f>IF(NFI_Expiration=1,IF($A797&lt;VLOOKUP(R$5,NFI,5,0),1,0)*Table_NFI[[#This Row],[Winter Clothes Adult]],Table_NFI[Winter Clothes Adult])</f>
        <v>0</v>
      </c>
      <c r="AH797" s="436">
        <f>IF(NFI_Expiration=1,IF($A797&lt;VLOOKUP(S$5,NFI,5,0),1,0)*Table_NFI[[#This Row],[Winter Clothes Children]],Table_NFI[Winter Clothes Children])</f>
        <v>0</v>
      </c>
      <c r="AI797" s="436">
        <f>IF(NFI_Expiration=1,IF($A797&lt;VLOOKUP(T$5,NFI,5,0),1,0)*Table_NFI[[#This Row],[Winter Items Other]],Table_NFI[Winter Items Other])</f>
        <v>0</v>
      </c>
      <c r="AJ797" s="436">
        <f>IF(NFI_Expiration=1,IF($A797&lt;VLOOKUP(M$5,NFI,5,0),1,0)*Table_NFI[[#This Row],[Winter Blanket]],Table_NFI[[#This Row],[Winter Blanket]])</f>
        <v>0</v>
      </c>
      <c r="AK797" s="436">
        <f>IF(Table_NFI[[#This Row],[Winter Clothes Adult]]+Table_NFI[[#This Row],[Winter Clothes Children]]+Table_NFI[[#This Row],[Winter Items Other]]+Table_NFI[[#This Row],[Winter Blanket]]&gt;0,1,0)</f>
        <v>0</v>
      </c>
      <c r="AL797" s="439">
        <f>IF(NFI_Expiration=1,IF($A797&lt;VLOOKUP(V$5,NFI,5,0),1,0)*Table_NFI[[#This Row],[Jerry Can]],Table_NFI[Jerry Can])</f>
        <v>0</v>
      </c>
      <c r="AM797" s="781" t="str">
        <f>IFERROR(VLOOKUP(Table_NFI[[#This Row],[Camp Name]],CL,2,0),"")</f>
        <v>MMR001CMP036</v>
      </c>
      <c r="AN797" s="782">
        <f ca="1">IF(Table_NFI[[#This Row],[Pcode]]="","",IF(OFFSET(CampList[Opening Date],MATCH(Table_NFI[[#This Row],[Pcode]],CampList[CP_Pcode],0)-1,0,1,1)&gt;=NFI_Monitor_Date,1,0))</f>
        <v>0</v>
      </c>
      <c r="AO797" s="781" t="str">
        <f>IFERROR(VLOOKUP(Table_NFI[[#This Row],[Camp Name]],CL,3,0),"")</f>
        <v>Open</v>
      </c>
      <c r="AP797" s="436" t="str">
        <f ca="1">IF(Table_NFI[[#This Row],[Pcode]]="","",OFFSET(CampList[Priority],MATCH(Table_NFI[[#This Row],[Pcode]],CampList[CP_Pcode],0)-1,0,1,1))</f>
        <v>P4</v>
      </c>
      <c r="AQ797" s="438" t="str">
        <f>IFERROR(Table_NFI[[#This Row],[Kitchen Set]]/VLOOKUP(Table_NFI[[#This Row],[Camp Name]],CL,4,0),"")</f>
        <v/>
      </c>
      <c r="AR797" s="779" t="s">
        <v>1099</v>
      </c>
      <c r="AS797" s="783"/>
    </row>
    <row r="798" spans="1:45" x14ac:dyDescent="0.25">
      <c r="A798" s="455">
        <f t="shared" si="12"/>
        <v>41</v>
      </c>
      <c r="B798" s="778">
        <v>41079</v>
      </c>
      <c r="C798" s="779" t="s">
        <v>454</v>
      </c>
      <c r="D798" s="780" t="s">
        <v>454</v>
      </c>
      <c r="E798" s="779" t="s">
        <v>380</v>
      </c>
      <c r="F798" s="435" t="s">
        <v>310</v>
      </c>
      <c r="G798" s="435" t="s">
        <v>324</v>
      </c>
      <c r="H798" s="436"/>
      <c r="I798" s="436"/>
      <c r="J798" s="436"/>
      <c r="K798" s="436">
        <v>32</v>
      </c>
      <c r="L798" s="437">
        <v>17</v>
      </c>
      <c r="M798" s="437">
        <v>32</v>
      </c>
      <c r="N798" s="437">
        <v>17</v>
      </c>
      <c r="O798" s="437">
        <v>17</v>
      </c>
      <c r="P798" s="437">
        <v>17</v>
      </c>
      <c r="Q798" s="437">
        <v>17</v>
      </c>
      <c r="R798" s="436"/>
      <c r="S798" s="436"/>
      <c r="T798" s="436"/>
      <c r="U798" s="436"/>
      <c r="V798" s="436"/>
      <c r="W798" s="436">
        <f>IF(NFI_Expiration=1,IF($A798&lt;VLOOKUP(H$5,NFI,5,0),1,0)*Table_NFI[[#This Row],[Hygiene Kit]],Table_NFI[Hygiene Kit])</f>
        <v>0</v>
      </c>
      <c r="X798" s="436">
        <f>IF(NFI_Expiration=1,IF($A798&lt;VLOOKUP(I$5,NFI,5,0),1,0)*Table_NFI[[#This Row],[NFI Core Kit]],Table_NFI[NFI Core Kit])</f>
        <v>0</v>
      </c>
      <c r="Y798" s="436">
        <f>IF(NFI_Expiration=1,IF($A798&lt;VLOOKUP(J$5,NFI,5,0),1,0)*Table_NFI[[#This Row],[Sanitary Kit]],Table_NFI[Sanitary Kit])</f>
        <v>0</v>
      </c>
      <c r="Z798" s="436">
        <f>IF(NFI_Expiration=1,IF($A798&lt;VLOOKUP(K$5,NFI,5,0),1,0)*Table_NFI[[#This Row],[Mosquito net]],Table_NFI[Mosquito net])</f>
        <v>0</v>
      </c>
      <c r="AA798" s="436">
        <f>IF(NFI_Expiration=1,IF($A798&lt;VLOOKUP(L$5,NFI,5,0),1,0)*Table_NFI[[#This Row],[Tarpaulin]],Table_NFI[[#This Row],[Tarpaulin]])</f>
        <v>0</v>
      </c>
      <c r="AB798" s="436">
        <f>IF(NFI_Expiration=1,IF($A798&lt;VLOOKUP(M$5,NFI,5,0),1,0)*Table_NFI[[#This Row],[Blanket]],Table_NFI[[#This Row],[Blanket]])</f>
        <v>0</v>
      </c>
      <c r="AC798" s="436">
        <f>IF(NFI_Expiration=1,IF($A798&lt;VLOOKUP(N$5,NFI,5,0),1,0)*Table_NFI[[#This Row],[Kitchen Set]],Table_NFI[Kitchen Set])</f>
        <v>0</v>
      </c>
      <c r="AD798" s="436">
        <f>IF(NFI_Expiration=1,IF($A798&lt;VLOOKUP(O$5,NFI,5,0),1,0)*Table_NFI[[#This Row],[Clothes Kit]],Table_NFI[Clothes Kit])</f>
        <v>0</v>
      </c>
      <c r="AE798" s="436">
        <f>IF(NFI_Expiration=1,IF($A798&lt;VLOOKUP(P$5,NFI,5,0),1,0)*Table_NFI[[#This Row],[Plastic Bucket]],Table_NFI[Plastic Bucket])</f>
        <v>0</v>
      </c>
      <c r="AF798" s="436">
        <f>IF(NFI_Expiration=1,IF($A798&lt;VLOOKUP(Q$5,NFI,5,0),1,0)*Table_NFI[[#This Row],[Plastic Mat]],Table_NFI[Plastic Mat])*IF(Table_NFI[[#This Row],[Distribution Date]]&gt;"2014-04-01",1,2.5)</f>
        <v>0</v>
      </c>
      <c r="AG798" s="436">
        <f>IF(NFI_Expiration=1,IF($A798&lt;VLOOKUP(R$5,NFI,5,0),1,0)*Table_NFI[[#This Row],[Winter Clothes Adult]],Table_NFI[Winter Clothes Adult])</f>
        <v>0</v>
      </c>
      <c r="AH798" s="436">
        <f>IF(NFI_Expiration=1,IF($A798&lt;VLOOKUP(S$5,NFI,5,0),1,0)*Table_NFI[[#This Row],[Winter Clothes Children]],Table_NFI[Winter Clothes Children])</f>
        <v>0</v>
      </c>
      <c r="AI798" s="436">
        <f>IF(NFI_Expiration=1,IF($A798&lt;VLOOKUP(T$5,NFI,5,0),1,0)*Table_NFI[[#This Row],[Winter Items Other]],Table_NFI[Winter Items Other])</f>
        <v>0</v>
      </c>
      <c r="AJ798" s="436">
        <f>IF(NFI_Expiration=1,IF($A798&lt;VLOOKUP(M$5,NFI,5,0),1,0)*Table_NFI[[#This Row],[Winter Blanket]],Table_NFI[[#This Row],[Winter Blanket]])</f>
        <v>0</v>
      </c>
      <c r="AK798" s="436">
        <f>IF(Table_NFI[[#This Row],[Winter Clothes Adult]]+Table_NFI[[#This Row],[Winter Clothes Children]]+Table_NFI[[#This Row],[Winter Items Other]]+Table_NFI[[#This Row],[Winter Blanket]]&gt;0,1,0)</f>
        <v>0</v>
      </c>
      <c r="AL798" s="439">
        <f>IF(NFI_Expiration=1,IF($A798&lt;VLOOKUP(V$5,NFI,5,0),1,0)*Table_NFI[[#This Row],[Jerry Can]],Table_NFI[Jerry Can])</f>
        <v>0</v>
      </c>
      <c r="AM798" s="781" t="str">
        <f>IFERROR(VLOOKUP(Table_NFI[[#This Row],[Camp Name]],CL,2,0),"")</f>
        <v>MMR001CMP040</v>
      </c>
      <c r="AN798" s="782">
        <f ca="1">IF(Table_NFI[[#This Row],[Pcode]]="","",IF(OFFSET(CampList[Opening Date],MATCH(Table_NFI[[#This Row],[Pcode]],CampList[CP_Pcode],0)-1,0,1,1)&gt;=NFI_Monitor_Date,1,0))</f>
        <v>0</v>
      </c>
      <c r="AO798" s="781" t="str">
        <f>IFERROR(VLOOKUP(Table_NFI[[#This Row],[Camp Name]],CL,3,0),"")</f>
        <v>Open</v>
      </c>
      <c r="AP798" s="436" t="str">
        <f ca="1">IF(Table_NFI[[#This Row],[Pcode]]="","",OFFSET(CampList[Priority],MATCH(Table_NFI[[#This Row],[Pcode]],CampList[CP_Pcode],0)-1,0,1,1))</f>
        <v>P4</v>
      </c>
      <c r="AQ798" s="438">
        <f>IFERROR(Table_NFI[[#This Row],[Kitchen Set]]/VLOOKUP(Table_NFI[[#This Row],[Camp Name]],CL,4,0),"")</f>
        <v>3.9719626168224297E-2</v>
      </c>
      <c r="AR798" s="779" t="s">
        <v>1099</v>
      </c>
      <c r="AS798" s="783"/>
    </row>
    <row r="799" spans="1:45" x14ac:dyDescent="0.25">
      <c r="A799" s="455">
        <f t="shared" si="12"/>
        <v>41</v>
      </c>
      <c r="B799" s="778">
        <v>41079</v>
      </c>
      <c r="C799" s="779" t="s">
        <v>454</v>
      </c>
      <c r="D799" s="780" t="s">
        <v>454</v>
      </c>
      <c r="E799" s="779" t="s">
        <v>380</v>
      </c>
      <c r="F799" s="435" t="s">
        <v>310</v>
      </c>
      <c r="G799" s="435" t="s">
        <v>349</v>
      </c>
      <c r="H799" s="436"/>
      <c r="I799" s="436"/>
      <c r="J799" s="436"/>
      <c r="K799" s="436">
        <v>31</v>
      </c>
      <c r="L799" s="437">
        <v>15</v>
      </c>
      <c r="M799" s="437">
        <v>31</v>
      </c>
      <c r="N799" s="437">
        <v>15</v>
      </c>
      <c r="O799" s="437">
        <v>15</v>
      </c>
      <c r="P799" s="437">
        <v>15</v>
      </c>
      <c r="Q799" s="437">
        <v>15</v>
      </c>
      <c r="R799" s="436"/>
      <c r="S799" s="436"/>
      <c r="T799" s="436"/>
      <c r="U799" s="436"/>
      <c r="V799" s="436"/>
      <c r="W799" s="436">
        <f>IF(NFI_Expiration=1,IF($A799&lt;VLOOKUP(H$5,NFI,5,0),1,0)*Table_NFI[[#This Row],[Hygiene Kit]],Table_NFI[Hygiene Kit])</f>
        <v>0</v>
      </c>
      <c r="X799" s="436">
        <f>IF(NFI_Expiration=1,IF($A799&lt;VLOOKUP(I$5,NFI,5,0),1,0)*Table_NFI[[#This Row],[NFI Core Kit]],Table_NFI[NFI Core Kit])</f>
        <v>0</v>
      </c>
      <c r="Y799" s="436">
        <f>IF(NFI_Expiration=1,IF($A799&lt;VLOOKUP(J$5,NFI,5,0),1,0)*Table_NFI[[#This Row],[Sanitary Kit]],Table_NFI[Sanitary Kit])</f>
        <v>0</v>
      </c>
      <c r="Z799" s="436">
        <f>IF(NFI_Expiration=1,IF($A799&lt;VLOOKUP(K$5,NFI,5,0),1,0)*Table_NFI[[#This Row],[Mosquito net]],Table_NFI[Mosquito net])</f>
        <v>0</v>
      </c>
      <c r="AA799" s="436">
        <f>IF(NFI_Expiration=1,IF($A799&lt;VLOOKUP(L$5,NFI,5,0),1,0)*Table_NFI[[#This Row],[Tarpaulin]],Table_NFI[[#This Row],[Tarpaulin]])</f>
        <v>0</v>
      </c>
      <c r="AB799" s="436">
        <f>IF(NFI_Expiration=1,IF($A799&lt;VLOOKUP(M$5,NFI,5,0),1,0)*Table_NFI[[#This Row],[Blanket]],Table_NFI[[#This Row],[Blanket]])</f>
        <v>0</v>
      </c>
      <c r="AC799" s="436">
        <f>IF(NFI_Expiration=1,IF($A799&lt;VLOOKUP(N$5,NFI,5,0),1,0)*Table_NFI[[#This Row],[Kitchen Set]],Table_NFI[Kitchen Set])</f>
        <v>0</v>
      </c>
      <c r="AD799" s="436">
        <f>IF(NFI_Expiration=1,IF($A799&lt;VLOOKUP(O$5,NFI,5,0),1,0)*Table_NFI[[#This Row],[Clothes Kit]],Table_NFI[Clothes Kit])</f>
        <v>0</v>
      </c>
      <c r="AE799" s="436">
        <f>IF(NFI_Expiration=1,IF($A799&lt;VLOOKUP(P$5,NFI,5,0),1,0)*Table_NFI[[#This Row],[Plastic Bucket]],Table_NFI[Plastic Bucket])</f>
        <v>0</v>
      </c>
      <c r="AF799" s="436">
        <f>IF(NFI_Expiration=1,IF($A799&lt;VLOOKUP(Q$5,NFI,5,0),1,0)*Table_NFI[[#This Row],[Plastic Mat]],Table_NFI[Plastic Mat])*IF(Table_NFI[[#This Row],[Distribution Date]]&gt;"2014-04-01",1,2.5)</f>
        <v>0</v>
      </c>
      <c r="AG799" s="436">
        <f>IF(NFI_Expiration=1,IF($A799&lt;VLOOKUP(R$5,NFI,5,0),1,0)*Table_NFI[[#This Row],[Winter Clothes Adult]],Table_NFI[Winter Clothes Adult])</f>
        <v>0</v>
      </c>
      <c r="AH799" s="436">
        <f>IF(NFI_Expiration=1,IF($A799&lt;VLOOKUP(S$5,NFI,5,0),1,0)*Table_NFI[[#This Row],[Winter Clothes Children]],Table_NFI[Winter Clothes Children])</f>
        <v>0</v>
      </c>
      <c r="AI799" s="436">
        <f>IF(NFI_Expiration=1,IF($A799&lt;VLOOKUP(T$5,NFI,5,0),1,0)*Table_NFI[[#This Row],[Winter Items Other]],Table_NFI[Winter Items Other])</f>
        <v>0</v>
      </c>
      <c r="AJ799" s="436">
        <f>IF(NFI_Expiration=1,IF($A799&lt;VLOOKUP(M$5,NFI,5,0),1,0)*Table_NFI[[#This Row],[Winter Blanket]],Table_NFI[[#This Row],[Winter Blanket]])</f>
        <v>0</v>
      </c>
      <c r="AK799" s="436">
        <f>IF(Table_NFI[[#This Row],[Winter Clothes Adult]]+Table_NFI[[#This Row],[Winter Clothes Children]]+Table_NFI[[#This Row],[Winter Items Other]]+Table_NFI[[#This Row],[Winter Blanket]]&gt;0,1,0)</f>
        <v>0</v>
      </c>
      <c r="AL799" s="439">
        <f>IF(NFI_Expiration=1,IF($A799&lt;VLOOKUP(V$5,NFI,5,0),1,0)*Table_NFI[[#This Row],[Jerry Can]],Table_NFI[Jerry Can])</f>
        <v>0</v>
      </c>
      <c r="AM799" s="781" t="str">
        <f>IFERROR(VLOOKUP(Table_NFI[[#This Row],[Camp Name]],CL,2,0),"")</f>
        <v>MMR001CMP037</v>
      </c>
      <c r="AN799" s="782">
        <f ca="1">IF(Table_NFI[[#This Row],[Pcode]]="","",IF(OFFSET(CampList[Opening Date],MATCH(Table_NFI[[#This Row],[Pcode]],CampList[CP_Pcode],0)-1,0,1,1)&gt;=NFI_Monitor_Date,1,0))</f>
        <v>0</v>
      </c>
      <c r="AO799" s="781" t="str">
        <f>IFERROR(VLOOKUP(Table_NFI[[#This Row],[Camp Name]],CL,3,0),"")</f>
        <v>Open</v>
      </c>
      <c r="AP799" s="436" t="str">
        <f ca="1">IF(Table_NFI[[#This Row],[Pcode]]="","",OFFSET(CampList[Priority],MATCH(Table_NFI[[#This Row],[Pcode]],CampList[CP_Pcode],0)-1,0,1,1))</f>
        <v>P4</v>
      </c>
      <c r="AQ799" s="438">
        <f>IFERROR(Table_NFI[[#This Row],[Kitchen Set]]/VLOOKUP(Table_NFI[[#This Row],[Camp Name]],CL,4,0),"")</f>
        <v>0.35714285714285715</v>
      </c>
      <c r="AR799" s="779" t="s">
        <v>1099</v>
      </c>
      <c r="AS799" s="783"/>
    </row>
    <row r="800" spans="1:45" x14ac:dyDescent="0.25">
      <c r="A800" s="455">
        <f t="shared" si="12"/>
        <v>41</v>
      </c>
      <c r="B800" s="778">
        <v>41079</v>
      </c>
      <c r="C800" s="779" t="s">
        <v>454</v>
      </c>
      <c r="D800" s="780" t="s">
        <v>454</v>
      </c>
      <c r="E800" s="779" t="s">
        <v>380</v>
      </c>
      <c r="F800" s="435" t="s">
        <v>310</v>
      </c>
      <c r="G800" s="435" t="s">
        <v>316</v>
      </c>
      <c r="H800" s="436"/>
      <c r="I800" s="436"/>
      <c r="J800" s="436"/>
      <c r="K800" s="436">
        <v>28</v>
      </c>
      <c r="L800" s="437">
        <v>15</v>
      </c>
      <c r="M800" s="437">
        <v>28</v>
      </c>
      <c r="N800" s="437">
        <v>15</v>
      </c>
      <c r="O800" s="437">
        <v>15</v>
      </c>
      <c r="P800" s="437">
        <v>15</v>
      </c>
      <c r="Q800" s="437">
        <v>15</v>
      </c>
      <c r="R800" s="436"/>
      <c r="S800" s="436"/>
      <c r="T800" s="436"/>
      <c r="U800" s="436"/>
      <c r="V800" s="436"/>
      <c r="W800" s="436">
        <f>IF(NFI_Expiration=1,IF($A800&lt;VLOOKUP(H$5,NFI,5,0),1,0)*Table_NFI[[#This Row],[Hygiene Kit]],Table_NFI[Hygiene Kit])</f>
        <v>0</v>
      </c>
      <c r="X800" s="436">
        <f>IF(NFI_Expiration=1,IF($A800&lt;VLOOKUP(I$5,NFI,5,0),1,0)*Table_NFI[[#This Row],[NFI Core Kit]],Table_NFI[NFI Core Kit])</f>
        <v>0</v>
      </c>
      <c r="Y800" s="436">
        <f>IF(NFI_Expiration=1,IF($A800&lt;VLOOKUP(J$5,NFI,5,0),1,0)*Table_NFI[[#This Row],[Sanitary Kit]],Table_NFI[Sanitary Kit])</f>
        <v>0</v>
      </c>
      <c r="Z800" s="436">
        <f>IF(NFI_Expiration=1,IF($A800&lt;VLOOKUP(K$5,NFI,5,0),1,0)*Table_NFI[[#This Row],[Mosquito net]],Table_NFI[Mosquito net])</f>
        <v>0</v>
      </c>
      <c r="AA800" s="436">
        <f>IF(NFI_Expiration=1,IF($A800&lt;VLOOKUP(L$5,NFI,5,0),1,0)*Table_NFI[[#This Row],[Tarpaulin]],Table_NFI[[#This Row],[Tarpaulin]])</f>
        <v>0</v>
      </c>
      <c r="AB800" s="436">
        <f>IF(NFI_Expiration=1,IF($A800&lt;VLOOKUP(M$5,NFI,5,0),1,0)*Table_NFI[[#This Row],[Blanket]],Table_NFI[[#This Row],[Blanket]])</f>
        <v>0</v>
      </c>
      <c r="AC800" s="436">
        <f>IF(NFI_Expiration=1,IF($A800&lt;VLOOKUP(N$5,NFI,5,0),1,0)*Table_NFI[[#This Row],[Kitchen Set]],Table_NFI[Kitchen Set])</f>
        <v>0</v>
      </c>
      <c r="AD800" s="436">
        <f>IF(NFI_Expiration=1,IF($A800&lt;VLOOKUP(O$5,NFI,5,0),1,0)*Table_NFI[[#This Row],[Clothes Kit]],Table_NFI[Clothes Kit])</f>
        <v>0</v>
      </c>
      <c r="AE800" s="436">
        <f>IF(NFI_Expiration=1,IF($A800&lt;VLOOKUP(P$5,NFI,5,0),1,0)*Table_NFI[[#This Row],[Plastic Bucket]],Table_NFI[Plastic Bucket])</f>
        <v>0</v>
      </c>
      <c r="AF800" s="436">
        <f>IF(NFI_Expiration=1,IF($A800&lt;VLOOKUP(Q$5,NFI,5,0),1,0)*Table_NFI[[#This Row],[Plastic Mat]],Table_NFI[Plastic Mat])*IF(Table_NFI[[#This Row],[Distribution Date]]&gt;"2014-04-01",1,2.5)</f>
        <v>0</v>
      </c>
      <c r="AG800" s="436">
        <f>IF(NFI_Expiration=1,IF($A800&lt;VLOOKUP(R$5,NFI,5,0),1,0)*Table_NFI[[#This Row],[Winter Clothes Adult]],Table_NFI[Winter Clothes Adult])</f>
        <v>0</v>
      </c>
      <c r="AH800" s="436">
        <f>IF(NFI_Expiration=1,IF($A800&lt;VLOOKUP(S$5,NFI,5,0),1,0)*Table_NFI[[#This Row],[Winter Clothes Children]],Table_NFI[Winter Clothes Children])</f>
        <v>0</v>
      </c>
      <c r="AI800" s="436">
        <f>IF(NFI_Expiration=1,IF($A800&lt;VLOOKUP(T$5,NFI,5,0),1,0)*Table_NFI[[#This Row],[Winter Items Other]],Table_NFI[Winter Items Other])</f>
        <v>0</v>
      </c>
      <c r="AJ800" s="436">
        <f>IF(NFI_Expiration=1,IF($A800&lt;VLOOKUP(M$5,NFI,5,0),1,0)*Table_NFI[[#This Row],[Winter Blanket]],Table_NFI[[#This Row],[Winter Blanket]])</f>
        <v>0</v>
      </c>
      <c r="AK800" s="436">
        <f>IF(Table_NFI[[#This Row],[Winter Clothes Adult]]+Table_NFI[[#This Row],[Winter Clothes Children]]+Table_NFI[[#This Row],[Winter Items Other]]+Table_NFI[[#This Row],[Winter Blanket]]&gt;0,1,0)</f>
        <v>0</v>
      </c>
      <c r="AL800" s="439">
        <f>IF(NFI_Expiration=1,IF($A800&lt;VLOOKUP(V$5,NFI,5,0),1,0)*Table_NFI[[#This Row],[Jerry Can]],Table_NFI[Jerry Can])</f>
        <v>0</v>
      </c>
      <c r="AM800" s="781" t="str">
        <f>IFERROR(VLOOKUP(Table_NFI[[#This Row],[Camp Name]],CL,2,0),"")</f>
        <v>MMR001CMP038</v>
      </c>
      <c r="AN800" s="782">
        <f ca="1">IF(Table_NFI[[#This Row],[Pcode]]="","",IF(OFFSET(CampList[Opening Date],MATCH(Table_NFI[[#This Row],[Pcode]],CampList[CP_Pcode],0)-1,0,1,1)&gt;=NFI_Monitor_Date,1,0))</f>
        <v>0</v>
      </c>
      <c r="AO800" s="781" t="str">
        <f>IFERROR(VLOOKUP(Table_NFI[[#This Row],[Camp Name]],CL,3,0),"")</f>
        <v>Open</v>
      </c>
      <c r="AP800" s="436" t="str">
        <f ca="1">IF(Table_NFI[[#This Row],[Pcode]]="","",OFFSET(CampList[Priority],MATCH(Table_NFI[[#This Row],[Pcode]],CampList[CP_Pcode],0)-1,0,1,1))</f>
        <v>P4</v>
      </c>
      <c r="AQ800" s="438">
        <f>IFERROR(Table_NFI[[#This Row],[Kitchen Set]]/VLOOKUP(Table_NFI[[#This Row],[Camp Name]],CL,4,0),"")</f>
        <v>0.16483516483516483</v>
      </c>
      <c r="AR800" s="779" t="s">
        <v>1099</v>
      </c>
      <c r="AS800" s="783"/>
    </row>
    <row r="801" spans="1:45" x14ac:dyDescent="0.25">
      <c r="A801" s="455">
        <f t="shared" si="12"/>
        <v>41.3</v>
      </c>
      <c r="B801" s="778">
        <v>41070</v>
      </c>
      <c r="C801" s="779" t="s">
        <v>454</v>
      </c>
      <c r="D801" s="780" t="s">
        <v>454</v>
      </c>
      <c r="E801" s="779" t="s">
        <v>380</v>
      </c>
      <c r="F801" s="435" t="s">
        <v>27</v>
      </c>
      <c r="G801" s="435" t="s">
        <v>365</v>
      </c>
      <c r="H801" s="436"/>
      <c r="I801" s="436"/>
      <c r="J801" s="436"/>
      <c r="K801" s="436">
        <v>200</v>
      </c>
      <c r="L801" s="437">
        <v>100</v>
      </c>
      <c r="M801" s="437">
        <v>150</v>
      </c>
      <c r="N801" s="437">
        <v>100</v>
      </c>
      <c r="O801" s="437">
        <v>100</v>
      </c>
      <c r="P801" s="437">
        <v>100</v>
      </c>
      <c r="Q801" s="437">
        <v>100</v>
      </c>
      <c r="R801" s="436"/>
      <c r="S801" s="436"/>
      <c r="T801" s="436"/>
      <c r="U801" s="436"/>
      <c r="V801" s="436"/>
      <c r="W801" s="436">
        <f>IF(NFI_Expiration=1,IF($A801&lt;VLOOKUP(H$5,NFI,5,0),1,0)*Table_NFI[[#This Row],[Hygiene Kit]],Table_NFI[Hygiene Kit])</f>
        <v>0</v>
      </c>
      <c r="X801" s="436">
        <f>IF(NFI_Expiration=1,IF($A801&lt;VLOOKUP(I$5,NFI,5,0),1,0)*Table_NFI[[#This Row],[NFI Core Kit]],Table_NFI[NFI Core Kit])</f>
        <v>0</v>
      </c>
      <c r="Y801" s="436">
        <f>IF(NFI_Expiration=1,IF($A801&lt;VLOOKUP(J$5,NFI,5,0),1,0)*Table_NFI[[#This Row],[Sanitary Kit]],Table_NFI[Sanitary Kit])</f>
        <v>0</v>
      </c>
      <c r="Z801" s="436">
        <f>IF(NFI_Expiration=1,IF($A801&lt;VLOOKUP(K$5,NFI,5,0),1,0)*Table_NFI[[#This Row],[Mosquito net]],Table_NFI[Mosquito net])</f>
        <v>0</v>
      </c>
      <c r="AA801" s="436">
        <f>IF(NFI_Expiration=1,IF($A801&lt;VLOOKUP(L$5,NFI,5,0),1,0)*Table_NFI[[#This Row],[Tarpaulin]],Table_NFI[[#This Row],[Tarpaulin]])</f>
        <v>0</v>
      </c>
      <c r="AB801" s="436">
        <f>IF(NFI_Expiration=1,IF($A801&lt;VLOOKUP(M$5,NFI,5,0),1,0)*Table_NFI[[#This Row],[Blanket]],Table_NFI[[#This Row],[Blanket]])</f>
        <v>0</v>
      </c>
      <c r="AC801" s="436">
        <f>IF(NFI_Expiration=1,IF($A801&lt;VLOOKUP(N$5,NFI,5,0),1,0)*Table_NFI[[#This Row],[Kitchen Set]],Table_NFI[Kitchen Set])</f>
        <v>0</v>
      </c>
      <c r="AD801" s="436">
        <f>IF(NFI_Expiration=1,IF($A801&lt;VLOOKUP(O$5,NFI,5,0),1,0)*Table_NFI[[#This Row],[Clothes Kit]],Table_NFI[Clothes Kit])</f>
        <v>0</v>
      </c>
      <c r="AE801" s="436">
        <f>IF(NFI_Expiration=1,IF($A801&lt;VLOOKUP(P$5,NFI,5,0),1,0)*Table_NFI[[#This Row],[Plastic Bucket]],Table_NFI[Plastic Bucket])</f>
        <v>0</v>
      </c>
      <c r="AF801" s="436">
        <f>IF(NFI_Expiration=1,IF($A801&lt;VLOOKUP(Q$5,NFI,5,0),1,0)*Table_NFI[[#This Row],[Plastic Mat]],Table_NFI[Plastic Mat])*IF(Table_NFI[[#This Row],[Distribution Date]]&gt;"2014-04-01",1,2.5)</f>
        <v>0</v>
      </c>
      <c r="AG801" s="436">
        <f>IF(NFI_Expiration=1,IF($A801&lt;VLOOKUP(R$5,NFI,5,0),1,0)*Table_NFI[[#This Row],[Winter Clothes Adult]],Table_NFI[Winter Clothes Adult])</f>
        <v>0</v>
      </c>
      <c r="AH801" s="436">
        <f>IF(NFI_Expiration=1,IF($A801&lt;VLOOKUP(S$5,NFI,5,0),1,0)*Table_NFI[[#This Row],[Winter Clothes Children]],Table_NFI[Winter Clothes Children])</f>
        <v>0</v>
      </c>
      <c r="AI801" s="436">
        <f>IF(NFI_Expiration=1,IF($A801&lt;VLOOKUP(T$5,NFI,5,0),1,0)*Table_NFI[[#This Row],[Winter Items Other]],Table_NFI[Winter Items Other])</f>
        <v>0</v>
      </c>
      <c r="AJ801" s="436">
        <f>IF(NFI_Expiration=1,IF($A801&lt;VLOOKUP(M$5,NFI,5,0),1,0)*Table_NFI[[#This Row],[Winter Blanket]],Table_NFI[[#This Row],[Winter Blanket]])</f>
        <v>0</v>
      </c>
      <c r="AK801" s="436">
        <f>IF(Table_NFI[[#This Row],[Winter Clothes Adult]]+Table_NFI[[#This Row],[Winter Clothes Children]]+Table_NFI[[#This Row],[Winter Items Other]]+Table_NFI[[#This Row],[Winter Blanket]]&gt;0,1,0)</f>
        <v>0</v>
      </c>
      <c r="AL801" s="439">
        <f>IF(NFI_Expiration=1,IF($A801&lt;VLOOKUP(V$5,NFI,5,0),1,0)*Table_NFI[[#This Row],[Jerry Can]],Table_NFI[Jerry Can])</f>
        <v>0</v>
      </c>
      <c r="AM801" s="781" t="str">
        <f>IFERROR(VLOOKUP(Table_NFI[[#This Row],[Camp Name]],CL,2,0),"")</f>
        <v>MMR001CMP195</v>
      </c>
      <c r="AN801" s="782">
        <f ca="1">IF(Table_NFI[[#This Row],[Pcode]]="","",IF(OFFSET(CampList[Opening Date],MATCH(Table_NFI[[#This Row],[Pcode]],CampList[CP_Pcode],0)-1,0,1,1)&gt;=NFI_Monitor_Date,1,0))</f>
        <v>0</v>
      </c>
      <c r="AO801" s="781" t="str">
        <f>IFERROR(VLOOKUP(Table_NFI[[#This Row],[Camp Name]],CL,3,0),"")</f>
        <v>Open</v>
      </c>
      <c r="AP801" s="436" t="str">
        <f ca="1">IF(Table_NFI[[#This Row],[Pcode]]="","",OFFSET(CampList[Priority],MATCH(Table_NFI[[#This Row],[Pcode]],CampList[CP_Pcode],0)-1,0,1,1))</f>
        <v>P1</v>
      </c>
      <c r="AQ801" s="438">
        <f>IFERROR(Table_NFI[[#This Row],[Kitchen Set]]/VLOOKUP(Table_NFI[[#This Row],[Camp Name]],CL,4,0),"")</f>
        <v>0.69444444444444442</v>
      </c>
      <c r="AR801" s="779" t="s">
        <v>1099</v>
      </c>
      <c r="AS801" s="783"/>
    </row>
    <row r="802" spans="1:45" x14ac:dyDescent="0.25">
      <c r="A802" s="455">
        <f t="shared" si="12"/>
        <v>41.366666666666667</v>
      </c>
      <c r="B802" s="778">
        <v>41068</v>
      </c>
      <c r="C802" s="779" t="s">
        <v>454</v>
      </c>
      <c r="D802" s="779" t="s">
        <v>454</v>
      </c>
      <c r="E802" s="779" t="s">
        <v>380</v>
      </c>
      <c r="F802" s="435" t="s">
        <v>5</v>
      </c>
      <c r="G802" s="435" t="s">
        <v>20</v>
      </c>
      <c r="H802" s="436"/>
      <c r="I802" s="436"/>
      <c r="J802" s="436"/>
      <c r="K802" s="436">
        <v>12</v>
      </c>
      <c r="L802" s="437">
        <v>6</v>
      </c>
      <c r="M802" s="437">
        <v>12</v>
      </c>
      <c r="N802" s="437">
        <v>6</v>
      </c>
      <c r="O802" s="437">
        <v>6</v>
      </c>
      <c r="P802" s="439">
        <v>6</v>
      </c>
      <c r="Q802" s="439">
        <v>6</v>
      </c>
      <c r="R802" s="436"/>
      <c r="S802" s="436"/>
      <c r="T802" s="436"/>
      <c r="U802" s="436"/>
      <c r="V802" s="436"/>
      <c r="W802" s="436">
        <f>IF(NFI_Expiration=1,IF($A802&lt;VLOOKUP(H$5,NFI,5,0),1,0)*Table_NFI[[#This Row],[Hygiene Kit]],Table_NFI[Hygiene Kit])</f>
        <v>0</v>
      </c>
      <c r="X802" s="436">
        <f>IF(NFI_Expiration=1,IF($A802&lt;VLOOKUP(I$5,NFI,5,0),1,0)*Table_NFI[[#This Row],[NFI Core Kit]],Table_NFI[NFI Core Kit])</f>
        <v>0</v>
      </c>
      <c r="Y802" s="436">
        <f>IF(NFI_Expiration=1,IF($A802&lt;VLOOKUP(J$5,NFI,5,0),1,0)*Table_NFI[[#This Row],[Sanitary Kit]],Table_NFI[Sanitary Kit])</f>
        <v>0</v>
      </c>
      <c r="Z802" s="436">
        <f>IF(NFI_Expiration=1,IF($A802&lt;VLOOKUP(K$5,NFI,5,0),1,0)*Table_NFI[[#This Row],[Mosquito net]],Table_NFI[Mosquito net])</f>
        <v>0</v>
      </c>
      <c r="AA802" s="436">
        <f>IF(NFI_Expiration=1,IF($A802&lt;VLOOKUP(L$5,NFI,5,0),1,0)*Table_NFI[[#This Row],[Tarpaulin]],Table_NFI[[#This Row],[Tarpaulin]])</f>
        <v>0</v>
      </c>
      <c r="AB802" s="436">
        <f>IF(NFI_Expiration=1,IF($A802&lt;VLOOKUP(M$5,NFI,5,0),1,0)*Table_NFI[[#This Row],[Blanket]],Table_NFI[[#This Row],[Blanket]])</f>
        <v>0</v>
      </c>
      <c r="AC802" s="436">
        <f>IF(NFI_Expiration=1,IF($A802&lt;VLOOKUP(N$5,NFI,5,0),1,0)*Table_NFI[[#This Row],[Kitchen Set]],Table_NFI[Kitchen Set])</f>
        <v>0</v>
      </c>
      <c r="AD802" s="436">
        <f>IF(NFI_Expiration=1,IF($A802&lt;VLOOKUP(O$5,NFI,5,0),1,0)*Table_NFI[[#This Row],[Clothes Kit]],Table_NFI[Clothes Kit])</f>
        <v>0</v>
      </c>
      <c r="AE802" s="436">
        <f>IF(NFI_Expiration=1,IF($A802&lt;VLOOKUP(P$5,NFI,5,0),1,0)*Table_NFI[[#This Row],[Plastic Bucket]],Table_NFI[Plastic Bucket])</f>
        <v>0</v>
      </c>
      <c r="AF802" s="436">
        <f>IF(NFI_Expiration=1,IF($A802&lt;VLOOKUP(Q$5,NFI,5,0),1,0)*Table_NFI[[#This Row],[Plastic Mat]],Table_NFI[Plastic Mat])*IF(Table_NFI[[#This Row],[Distribution Date]]&gt;"2014-04-01",1,2.5)</f>
        <v>0</v>
      </c>
      <c r="AG802" s="436">
        <f>IF(NFI_Expiration=1,IF($A802&lt;VLOOKUP(R$5,NFI,5,0),1,0)*Table_NFI[[#This Row],[Winter Clothes Adult]],Table_NFI[Winter Clothes Adult])</f>
        <v>0</v>
      </c>
      <c r="AH802" s="436">
        <f>IF(NFI_Expiration=1,IF($A802&lt;VLOOKUP(S$5,NFI,5,0),1,0)*Table_NFI[[#This Row],[Winter Clothes Children]],Table_NFI[Winter Clothes Children])</f>
        <v>0</v>
      </c>
      <c r="AI802" s="436">
        <f>IF(NFI_Expiration=1,IF($A802&lt;VLOOKUP(T$5,NFI,5,0),1,0)*Table_NFI[[#This Row],[Winter Items Other]],Table_NFI[Winter Items Other])</f>
        <v>0</v>
      </c>
      <c r="AJ802" s="436">
        <f>IF(NFI_Expiration=1,IF($A802&lt;VLOOKUP(M$5,NFI,5,0),1,0)*Table_NFI[[#This Row],[Winter Blanket]],Table_NFI[[#This Row],[Winter Blanket]])</f>
        <v>0</v>
      </c>
      <c r="AK802" s="436">
        <f>IF(Table_NFI[[#This Row],[Winter Clothes Adult]]+Table_NFI[[#This Row],[Winter Clothes Children]]+Table_NFI[[#This Row],[Winter Items Other]]+Table_NFI[[#This Row],[Winter Blanket]]&gt;0,1,0)</f>
        <v>0</v>
      </c>
      <c r="AL802" s="439">
        <f>IF(NFI_Expiration=1,IF($A802&lt;VLOOKUP(V$5,NFI,5,0),1,0)*Table_NFI[[#This Row],[Jerry Can]],Table_NFI[Jerry Can])</f>
        <v>0</v>
      </c>
      <c r="AM802" s="781" t="str">
        <f>IFERROR(VLOOKUP(Table_NFI[[#This Row],[Camp Name]],CL,2,0),"")</f>
        <v>MMR001CMP054</v>
      </c>
      <c r="AN802" s="782">
        <f ca="1">IF(Table_NFI[[#This Row],[Pcode]]="","",IF(OFFSET(CampList[Opening Date],MATCH(Table_NFI[[#This Row],[Pcode]],CampList[CP_Pcode],0)-1,0,1,1)&gt;=NFI_Monitor_Date,1,0))</f>
        <v>0</v>
      </c>
      <c r="AO802" s="781" t="str">
        <f>IFERROR(VLOOKUP(Table_NFI[[#This Row],[Camp Name]],CL,3,0),"")</f>
        <v>Open</v>
      </c>
      <c r="AP802" s="436" t="str">
        <f ca="1">IF(Table_NFI[[#This Row],[Pcode]]="","",OFFSET(CampList[Priority],MATCH(Table_NFI[[#This Row],[Pcode]],CampList[CP_Pcode],0)-1,0,1,1))</f>
        <v>P4</v>
      </c>
      <c r="AQ802" s="438">
        <f>IFERROR(Table_NFI[[#This Row],[Kitchen Set]]/VLOOKUP(Table_NFI[[#This Row],[Camp Name]],CL,4,0),"")</f>
        <v>0.2608695652173913</v>
      </c>
      <c r="AR802" s="779" t="s">
        <v>1099</v>
      </c>
      <c r="AS802" s="783"/>
    </row>
    <row r="803" spans="1:45" x14ac:dyDescent="0.25">
      <c r="A803" s="455">
        <f t="shared" si="12"/>
        <v>41.43333333333333</v>
      </c>
      <c r="B803" s="778">
        <v>41066</v>
      </c>
      <c r="C803" s="779" t="s">
        <v>454</v>
      </c>
      <c r="D803" s="780" t="s">
        <v>575</v>
      </c>
      <c r="E803" s="779" t="s">
        <v>380</v>
      </c>
      <c r="F803" s="435" t="s">
        <v>185</v>
      </c>
      <c r="G803" s="435" t="s">
        <v>194</v>
      </c>
      <c r="H803" s="436"/>
      <c r="I803" s="436"/>
      <c r="J803" s="436"/>
      <c r="K803" s="436">
        <v>0</v>
      </c>
      <c r="L803" s="437">
        <v>200</v>
      </c>
      <c r="M803" s="437">
        <v>0</v>
      </c>
      <c r="N803" s="437">
        <v>0</v>
      </c>
      <c r="O803" s="437">
        <v>0</v>
      </c>
      <c r="P803" s="437"/>
      <c r="Q803" s="437"/>
      <c r="R803" s="436"/>
      <c r="S803" s="436"/>
      <c r="T803" s="436"/>
      <c r="U803" s="436"/>
      <c r="V803" s="436"/>
      <c r="W803" s="436">
        <f>IF(NFI_Expiration=1,IF($A803&lt;VLOOKUP(H$5,NFI,5,0),1,0)*Table_NFI[[#This Row],[Hygiene Kit]],Table_NFI[Hygiene Kit])</f>
        <v>0</v>
      </c>
      <c r="X803" s="436">
        <f>IF(NFI_Expiration=1,IF($A803&lt;VLOOKUP(I$5,NFI,5,0),1,0)*Table_NFI[[#This Row],[NFI Core Kit]],Table_NFI[NFI Core Kit])</f>
        <v>0</v>
      </c>
      <c r="Y803" s="436">
        <f>IF(NFI_Expiration=1,IF($A803&lt;VLOOKUP(J$5,NFI,5,0),1,0)*Table_NFI[[#This Row],[Sanitary Kit]],Table_NFI[Sanitary Kit])</f>
        <v>0</v>
      </c>
      <c r="Z803" s="436">
        <f>IF(NFI_Expiration=1,IF($A803&lt;VLOOKUP(K$5,NFI,5,0),1,0)*Table_NFI[[#This Row],[Mosquito net]],Table_NFI[Mosquito net])</f>
        <v>0</v>
      </c>
      <c r="AA803" s="436">
        <f>IF(NFI_Expiration=1,IF($A803&lt;VLOOKUP(L$5,NFI,5,0),1,0)*Table_NFI[[#This Row],[Tarpaulin]],Table_NFI[[#This Row],[Tarpaulin]])</f>
        <v>0</v>
      </c>
      <c r="AB803" s="436">
        <f>IF(NFI_Expiration=1,IF($A803&lt;VLOOKUP(M$5,NFI,5,0),1,0)*Table_NFI[[#This Row],[Blanket]],Table_NFI[[#This Row],[Blanket]])</f>
        <v>0</v>
      </c>
      <c r="AC803" s="436">
        <f>IF(NFI_Expiration=1,IF($A803&lt;VLOOKUP(N$5,NFI,5,0),1,0)*Table_NFI[[#This Row],[Kitchen Set]],Table_NFI[Kitchen Set])</f>
        <v>0</v>
      </c>
      <c r="AD803" s="436">
        <f>IF(NFI_Expiration=1,IF($A803&lt;VLOOKUP(O$5,NFI,5,0),1,0)*Table_NFI[[#This Row],[Clothes Kit]],Table_NFI[Clothes Kit])</f>
        <v>0</v>
      </c>
      <c r="AE803" s="436">
        <f>IF(NFI_Expiration=1,IF($A803&lt;VLOOKUP(P$5,NFI,5,0),1,0)*Table_NFI[[#This Row],[Plastic Bucket]],Table_NFI[Plastic Bucket])</f>
        <v>0</v>
      </c>
      <c r="AF803" s="436">
        <f>IF(NFI_Expiration=1,IF($A803&lt;VLOOKUP(Q$5,NFI,5,0),1,0)*Table_NFI[[#This Row],[Plastic Mat]],Table_NFI[Plastic Mat])*IF(Table_NFI[[#This Row],[Distribution Date]]&gt;"2014-04-01",1,2.5)</f>
        <v>0</v>
      </c>
      <c r="AG803" s="436">
        <f>IF(NFI_Expiration=1,IF($A803&lt;VLOOKUP(R$5,NFI,5,0),1,0)*Table_NFI[[#This Row],[Winter Clothes Adult]],Table_NFI[Winter Clothes Adult])</f>
        <v>0</v>
      </c>
      <c r="AH803" s="436">
        <f>IF(NFI_Expiration=1,IF($A803&lt;VLOOKUP(S$5,NFI,5,0),1,0)*Table_NFI[[#This Row],[Winter Clothes Children]],Table_NFI[Winter Clothes Children])</f>
        <v>0</v>
      </c>
      <c r="AI803" s="436">
        <f>IF(NFI_Expiration=1,IF($A803&lt;VLOOKUP(T$5,NFI,5,0),1,0)*Table_NFI[[#This Row],[Winter Items Other]],Table_NFI[Winter Items Other])</f>
        <v>0</v>
      </c>
      <c r="AJ803" s="436">
        <f>IF(NFI_Expiration=1,IF($A803&lt;VLOOKUP(M$5,NFI,5,0),1,0)*Table_NFI[[#This Row],[Winter Blanket]],Table_NFI[[#This Row],[Winter Blanket]])</f>
        <v>0</v>
      </c>
      <c r="AK803" s="436">
        <f>IF(Table_NFI[[#This Row],[Winter Clothes Adult]]+Table_NFI[[#This Row],[Winter Clothes Children]]+Table_NFI[[#This Row],[Winter Items Other]]+Table_NFI[[#This Row],[Winter Blanket]]&gt;0,1,0)</f>
        <v>0</v>
      </c>
      <c r="AL803" s="439">
        <f>IF(NFI_Expiration=1,IF($A803&lt;VLOOKUP(V$5,NFI,5,0),1,0)*Table_NFI[[#This Row],[Jerry Can]],Table_NFI[Jerry Can])</f>
        <v>0</v>
      </c>
      <c r="AM803" s="781" t="str">
        <f>IFERROR(VLOOKUP(Table_NFI[[#This Row],[Camp Name]],CL,2,0),"")</f>
        <v>MMR001CMP122</v>
      </c>
      <c r="AN803" s="782">
        <f ca="1">IF(Table_NFI[[#This Row],[Pcode]]="","",IF(OFFSET(CampList[Opening Date],MATCH(Table_NFI[[#This Row],[Pcode]],CampList[CP_Pcode],0)-1,0,1,1)&gt;=NFI_Monitor_Date,1,0))</f>
        <v>0</v>
      </c>
      <c r="AO803" s="781" t="str">
        <f>IFERROR(VLOOKUP(Table_NFI[[#This Row],[Camp Name]],CL,3,0),"")</f>
        <v>Open</v>
      </c>
      <c r="AP803" s="436" t="str">
        <f ca="1">IF(Table_NFI[[#This Row],[Pcode]]="","",OFFSET(CampList[Priority],MATCH(Table_NFI[[#This Row],[Pcode]],CampList[CP_Pcode],0)-1,0,1,1))</f>
        <v>P2</v>
      </c>
      <c r="AQ803" s="438">
        <f>IFERROR(Table_NFI[[#This Row],[Kitchen Set]]/VLOOKUP(Table_NFI[[#This Row],[Camp Name]],CL,4,0),"")</f>
        <v>0</v>
      </c>
      <c r="AR803" s="779" t="s">
        <v>1099</v>
      </c>
      <c r="AS803" s="783"/>
    </row>
    <row r="804" spans="1:45" x14ac:dyDescent="0.25">
      <c r="A804" s="455">
        <f t="shared" si="12"/>
        <v>41.43333333333333</v>
      </c>
      <c r="B804" s="778">
        <v>41066</v>
      </c>
      <c r="C804" s="779" t="s">
        <v>454</v>
      </c>
      <c r="D804" s="780" t="s">
        <v>454</v>
      </c>
      <c r="E804" s="779" t="s">
        <v>380</v>
      </c>
      <c r="F804" s="435" t="s">
        <v>185</v>
      </c>
      <c r="G804" s="435" t="s">
        <v>219</v>
      </c>
      <c r="H804" s="436"/>
      <c r="I804" s="436"/>
      <c r="J804" s="436"/>
      <c r="K804" s="436">
        <v>144</v>
      </c>
      <c r="L804" s="437">
        <v>76</v>
      </c>
      <c r="M804" s="437">
        <v>143</v>
      </c>
      <c r="N804" s="437">
        <v>76</v>
      </c>
      <c r="O804" s="437">
        <v>78</v>
      </c>
      <c r="P804" s="437">
        <v>78</v>
      </c>
      <c r="Q804" s="437">
        <v>78</v>
      </c>
      <c r="R804" s="436"/>
      <c r="S804" s="436"/>
      <c r="T804" s="436"/>
      <c r="U804" s="436"/>
      <c r="V804" s="436"/>
      <c r="W804" s="436">
        <f>IF(NFI_Expiration=1,IF($A804&lt;VLOOKUP(H$5,NFI,5,0),1,0)*Table_NFI[[#This Row],[Hygiene Kit]],Table_NFI[Hygiene Kit])</f>
        <v>0</v>
      </c>
      <c r="X804" s="436">
        <f>IF(NFI_Expiration=1,IF($A804&lt;VLOOKUP(I$5,NFI,5,0),1,0)*Table_NFI[[#This Row],[NFI Core Kit]],Table_NFI[NFI Core Kit])</f>
        <v>0</v>
      </c>
      <c r="Y804" s="436">
        <f>IF(NFI_Expiration=1,IF($A804&lt;VLOOKUP(J$5,NFI,5,0),1,0)*Table_NFI[[#This Row],[Sanitary Kit]],Table_NFI[Sanitary Kit])</f>
        <v>0</v>
      </c>
      <c r="Z804" s="436">
        <f>IF(NFI_Expiration=1,IF($A804&lt;VLOOKUP(K$5,NFI,5,0),1,0)*Table_NFI[[#This Row],[Mosquito net]],Table_NFI[Mosquito net])</f>
        <v>0</v>
      </c>
      <c r="AA804" s="436">
        <f>IF(NFI_Expiration=1,IF($A804&lt;VLOOKUP(L$5,NFI,5,0),1,0)*Table_NFI[[#This Row],[Tarpaulin]],Table_NFI[[#This Row],[Tarpaulin]])</f>
        <v>0</v>
      </c>
      <c r="AB804" s="436">
        <f>IF(NFI_Expiration=1,IF($A804&lt;VLOOKUP(M$5,NFI,5,0),1,0)*Table_NFI[[#This Row],[Blanket]],Table_NFI[[#This Row],[Blanket]])</f>
        <v>0</v>
      </c>
      <c r="AC804" s="436">
        <f>IF(NFI_Expiration=1,IF($A804&lt;VLOOKUP(N$5,NFI,5,0),1,0)*Table_NFI[[#This Row],[Kitchen Set]],Table_NFI[Kitchen Set])</f>
        <v>0</v>
      </c>
      <c r="AD804" s="436">
        <f>IF(NFI_Expiration=1,IF($A804&lt;VLOOKUP(O$5,NFI,5,0),1,0)*Table_NFI[[#This Row],[Clothes Kit]],Table_NFI[Clothes Kit])</f>
        <v>0</v>
      </c>
      <c r="AE804" s="436">
        <f>IF(NFI_Expiration=1,IF($A804&lt;VLOOKUP(P$5,NFI,5,0),1,0)*Table_NFI[[#This Row],[Plastic Bucket]],Table_NFI[Plastic Bucket])</f>
        <v>0</v>
      </c>
      <c r="AF804" s="436">
        <f>IF(NFI_Expiration=1,IF($A804&lt;VLOOKUP(Q$5,NFI,5,0),1,0)*Table_NFI[[#This Row],[Plastic Mat]],Table_NFI[Plastic Mat])*IF(Table_NFI[[#This Row],[Distribution Date]]&gt;"2014-04-01",1,2.5)</f>
        <v>0</v>
      </c>
      <c r="AG804" s="436">
        <f>IF(NFI_Expiration=1,IF($A804&lt;VLOOKUP(R$5,NFI,5,0),1,0)*Table_NFI[[#This Row],[Winter Clothes Adult]],Table_NFI[Winter Clothes Adult])</f>
        <v>0</v>
      </c>
      <c r="AH804" s="436">
        <f>IF(NFI_Expiration=1,IF($A804&lt;VLOOKUP(S$5,NFI,5,0),1,0)*Table_NFI[[#This Row],[Winter Clothes Children]],Table_NFI[Winter Clothes Children])</f>
        <v>0</v>
      </c>
      <c r="AI804" s="436">
        <f>IF(NFI_Expiration=1,IF($A804&lt;VLOOKUP(T$5,NFI,5,0),1,0)*Table_NFI[[#This Row],[Winter Items Other]],Table_NFI[Winter Items Other])</f>
        <v>0</v>
      </c>
      <c r="AJ804" s="436">
        <f>IF(NFI_Expiration=1,IF($A804&lt;VLOOKUP(M$5,NFI,5,0),1,0)*Table_NFI[[#This Row],[Winter Blanket]],Table_NFI[[#This Row],[Winter Blanket]])</f>
        <v>0</v>
      </c>
      <c r="AK804" s="436">
        <f>IF(Table_NFI[[#This Row],[Winter Clothes Adult]]+Table_NFI[[#This Row],[Winter Clothes Children]]+Table_NFI[[#This Row],[Winter Items Other]]+Table_NFI[[#This Row],[Winter Blanket]]&gt;0,1,0)</f>
        <v>0</v>
      </c>
      <c r="AL804" s="439">
        <f>IF(NFI_Expiration=1,IF($A804&lt;VLOOKUP(V$5,NFI,5,0),1,0)*Table_NFI[[#This Row],[Jerry Can]],Table_NFI[Jerry Can])</f>
        <v>0</v>
      </c>
      <c r="AM804" s="781" t="str">
        <f>IFERROR(VLOOKUP(Table_NFI[[#This Row],[Camp Name]],CL,2,0),"")</f>
        <v>MMR001CMP126</v>
      </c>
      <c r="AN804" s="782">
        <f ca="1">IF(Table_NFI[[#This Row],[Pcode]]="","",IF(OFFSET(CampList[Opening Date],MATCH(Table_NFI[[#This Row],[Pcode]],CampList[CP_Pcode],0)-1,0,1,1)&gt;=NFI_Monitor_Date,1,0))</f>
        <v>0</v>
      </c>
      <c r="AO804" s="781" t="str">
        <f>IFERROR(VLOOKUP(Table_NFI[[#This Row],[Camp Name]],CL,3,0),"")</f>
        <v>Open</v>
      </c>
      <c r="AP804" s="436" t="str">
        <f ca="1">IF(Table_NFI[[#This Row],[Pcode]]="","",OFFSET(CampList[Priority],MATCH(Table_NFI[[#This Row],[Pcode]],CampList[CP_Pcode],0)-1,0,1,1))</f>
        <v>P2</v>
      </c>
      <c r="AQ804" s="438">
        <f>IFERROR(Table_NFI[[#This Row],[Kitchen Set]]/VLOOKUP(Table_NFI[[#This Row],[Camp Name]],CL,4,0),"")</f>
        <v>9.0476190476190474E-2</v>
      </c>
      <c r="AR804" s="779" t="s">
        <v>1099</v>
      </c>
      <c r="AS804" s="783"/>
    </row>
    <row r="805" spans="1:45" x14ac:dyDescent="0.25">
      <c r="A805" s="455">
        <f t="shared" si="12"/>
        <v>41.466666666666669</v>
      </c>
      <c r="B805" s="778">
        <v>41065</v>
      </c>
      <c r="C805" s="779" t="s">
        <v>454</v>
      </c>
      <c r="D805" s="779" t="s">
        <v>454</v>
      </c>
      <c r="E805" s="779" t="s">
        <v>380</v>
      </c>
      <c r="F805" s="779" t="s">
        <v>185</v>
      </c>
      <c r="G805" s="435" t="s">
        <v>211</v>
      </c>
      <c r="H805" s="436"/>
      <c r="I805" s="436"/>
      <c r="J805" s="436"/>
      <c r="K805" s="436">
        <v>10</v>
      </c>
      <c r="L805" s="437">
        <v>5</v>
      </c>
      <c r="M805" s="437">
        <v>10</v>
      </c>
      <c r="N805" s="437">
        <v>5</v>
      </c>
      <c r="O805" s="437">
        <v>5</v>
      </c>
      <c r="P805" s="439">
        <v>5</v>
      </c>
      <c r="Q805" s="439">
        <v>5</v>
      </c>
      <c r="R805" s="436"/>
      <c r="S805" s="436"/>
      <c r="T805" s="436"/>
      <c r="U805" s="436"/>
      <c r="V805" s="436"/>
      <c r="W805" s="436">
        <f>IF(NFI_Expiration=1,IF($A805&lt;VLOOKUP(H$5,NFI,5,0),1,0)*Table_NFI[[#This Row],[Hygiene Kit]],Table_NFI[Hygiene Kit])</f>
        <v>0</v>
      </c>
      <c r="X805" s="436">
        <f>IF(NFI_Expiration=1,IF($A805&lt;VLOOKUP(I$5,NFI,5,0),1,0)*Table_NFI[[#This Row],[NFI Core Kit]],Table_NFI[NFI Core Kit])</f>
        <v>0</v>
      </c>
      <c r="Y805" s="436">
        <f>IF(NFI_Expiration=1,IF($A805&lt;VLOOKUP(J$5,NFI,5,0),1,0)*Table_NFI[[#This Row],[Sanitary Kit]],Table_NFI[Sanitary Kit])</f>
        <v>0</v>
      </c>
      <c r="Z805" s="436">
        <f>IF(NFI_Expiration=1,IF($A805&lt;VLOOKUP(K$5,NFI,5,0),1,0)*Table_NFI[[#This Row],[Mosquito net]],Table_NFI[Mosquito net])</f>
        <v>0</v>
      </c>
      <c r="AA805" s="436">
        <f>IF(NFI_Expiration=1,IF($A805&lt;VLOOKUP(L$5,NFI,5,0),1,0)*Table_NFI[[#This Row],[Tarpaulin]],Table_NFI[[#This Row],[Tarpaulin]])</f>
        <v>0</v>
      </c>
      <c r="AB805" s="436">
        <f>IF(NFI_Expiration=1,IF($A805&lt;VLOOKUP(M$5,NFI,5,0),1,0)*Table_NFI[[#This Row],[Blanket]],Table_NFI[[#This Row],[Blanket]])</f>
        <v>0</v>
      </c>
      <c r="AC805" s="436">
        <f>IF(NFI_Expiration=1,IF($A805&lt;VLOOKUP(N$5,NFI,5,0),1,0)*Table_NFI[[#This Row],[Kitchen Set]],Table_NFI[Kitchen Set])</f>
        <v>0</v>
      </c>
      <c r="AD805" s="436">
        <f>IF(NFI_Expiration=1,IF($A805&lt;VLOOKUP(O$5,NFI,5,0),1,0)*Table_NFI[[#This Row],[Clothes Kit]],Table_NFI[Clothes Kit])</f>
        <v>0</v>
      </c>
      <c r="AE805" s="436">
        <f>IF(NFI_Expiration=1,IF($A805&lt;VLOOKUP(P$5,NFI,5,0),1,0)*Table_NFI[[#This Row],[Plastic Bucket]],Table_NFI[Plastic Bucket])</f>
        <v>0</v>
      </c>
      <c r="AF805" s="436">
        <f>IF(NFI_Expiration=1,IF($A805&lt;VLOOKUP(Q$5,NFI,5,0),1,0)*Table_NFI[[#This Row],[Plastic Mat]],Table_NFI[Plastic Mat])*IF(Table_NFI[[#This Row],[Distribution Date]]&gt;"2014-04-01",1,2.5)</f>
        <v>0</v>
      </c>
      <c r="AG805" s="436">
        <f>IF(NFI_Expiration=1,IF($A805&lt;VLOOKUP(R$5,NFI,5,0),1,0)*Table_NFI[[#This Row],[Winter Clothes Adult]],Table_NFI[Winter Clothes Adult])</f>
        <v>0</v>
      </c>
      <c r="AH805" s="436">
        <f>IF(NFI_Expiration=1,IF($A805&lt;VLOOKUP(S$5,NFI,5,0),1,0)*Table_NFI[[#This Row],[Winter Clothes Children]],Table_NFI[Winter Clothes Children])</f>
        <v>0</v>
      </c>
      <c r="AI805" s="436">
        <f>IF(NFI_Expiration=1,IF($A805&lt;VLOOKUP(T$5,NFI,5,0),1,0)*Table_NFI[[#This Row],[Winter Items Other]],Table_NFI[Winter Items Other])</f>
        <v>0</v>
      </c>
      <c r="AJ805" s="436">
        <f>IF(NFI_Expiration=1,IF($A805&lt;VLOOKUP(M$5,NFI,5,0),1,0)*Table_NFI[[#This Row],[Winter Blanket]],Table_NFI[[#This Row],[Winter Blanket]])</f>
        <v>0</v>
      </c>
      <c r="AK805" s="436">
        <f>IF(Table_NFI[[#This Row],[Winter Clothes Adult]]+Table_NFI[[#This Row],[Winter Clothes Children]]+Table_NFI[[#This Row],[Winter Items Other]]+Table_NFI[[#This Row],[Winter Blanket]]&gt;0,1,0)</f>
        <v>0</v>
      </c>
      <c r="AL805" s="439">
        <f>IF(NFI_Expiration=1,IF($A805&lt;VLOOKUP(V$5,NFI,5,0),1,0)*Table_NFI[[#This Row],[Jerry Can]],Table_NFI[Jerry Can])</f>
        <v>0</v>
      </c>
      <c r="AM805" s="781" t="str">
        <f>IFERROR(VLOOKUP(Table_NFI[[#This Row],[Camp Name]],CL,2,0),"")</f>
        <v>MMR001CMP057</v>
      </c>
      <c r="AN805" s="782">
        <f ca="1">IF(Table_NFI[[#This Row],[Pcode]]="","",IF(OFFSET(CampList[Opening Date],MATCH(Table_NFI[[#This Row],[Pcode]],CampList[CP_Pcode],0)-1,0,1,1)&gt;=NFI_Monitor_Date,1,0))</f>
        <v>0</v>
      </c>
      <c r="AO805" s="781" t="str">
        <f>IFERROR(VLOOKUP(Table_NFI[[#This Row],[Camp Name]],CL,3,0),"")</f>
        <v>Closed</v>
      </c>
      <c r="AP805" s="436" t="str">
        <f ca="1">IF(Table_NFI[[#This Row],[Pcode]]="","",OFFSET(CampList[Priority],MATCH(Table_NFI[[#This Row],[Pcode]],CampList[CP_Pcode],0)-1,0,1,1))</f>
        <v>P4</v>
      </c>
      <c r="AQ805" s="438" t="str">
        <f>IFERROR(Table_NFI[[#This Row],[Kitchen Set]]/VLOOKUP(Table_NFI[[#This Row],[Camp Name]],CL,4,0),"")</f>
        <v/>
      </c>
      <c r="AR805" s="779" t="s">
        <v>1099</v>
      </c>
      <c r="AS805" s="783"/>
    </row>
    <row r="806" spans="1:45" x14ac:dyDescent="0.25">
      <c r="A806" s="455">
        <f t="shared" si="12"/>
        <v>41.6</v>
      </c>
      <c r="B806" s="778">
        <v>41061</v>
      </c>
      <c r="C806" s="779" t="s">
        <v>454</v>
      </c>
      <c r="D806" s="779" t="s">
        <v>454</v>
      </c>
      <c r="E806" s="779" t="s">
        <v>380</v>
      </c>
      <c r="F806" s="435" t="s">
        <v>237</v>
      </c>
      <c r="G806" s="435" t="s">
        <v>263</v>
      </c>
      <c r="H806" s="436"/>
      <c r="I806" s="436"/>
      <c r="J806" s="436"/>
      <c r="K806" s="436">
        <v>22</v>
      </c>
      <c r="L806" s="437">
        <v>11</v>
      </c>
      <c r="M806" s="437">
        <v>22</v>
      </c>
      <c r="N806" s="437">
        <v>11</v>
      </c>
      <c r="O806" s="437">
        <v>11</v>
      </c>
      <c r="P806" s="439">
        <v>11</v>
      </c>
      <c r="Q806" s="439">
        <v>11</v>
      </c>
      <c r="R806" s="436"/>
      <c r="S806" s="436"/>
      <c r="T806" s="436"/>
      <c r="U806" s="436"/>
      <c r="V806" s="436"/>
      <c r="W806" s="436">
        <f>IF(NFI_Expiration=1,IF($A806&lt;VLOOKUP(H$5,NFI,5,0),1,0)*Table_NFI[[#This Row],[Hygiene Kit]],Table_NFI[Hygiene Kit])</f>
        <v>0</v>
      </c>
      <c r="X806" s="436">
        <f>IF(NFI_Expiration=1,IF($A806&lt;VLOOKUP(I$5,NFI,5,0),1,0)*Table_NFI[[#This Row],[NFI Core Kit]],Table_NFI[NFI Core Kit])</f>
        <v>0</v>
      </c>
      <c r="Y806" s="436">
        <f>IF(NFI_Expiration=1,IF($A806&lt;VLOOKUP(J$5,NFI,5,0),1,0)*Table_NFI[[#This Row],[Sanitary Kit]],Table_NFI[Sanitary Kit])</f>
        <v>0</v>
      </c>
      <c r="Z806" s="436">
        <f>IF(NFI_Expiration=1,IF($A806&lt;VLOOKUP(K$5,NFI,5,0),1,0)*Table_NFI[[#This Row],[Mosquito net]],Table_NFI[Mosquito net])</f>
        <v>0</v>
      </c>
      <c r="AA806" s="436">
        <f>IF(NFI_Expiration=1,IF($A806&lt;VLOOKUP(L$5,NFI,5,0),1,0)*Table_NFI[[#This Row],[Tarpaulin]],Table_NFI[[#This Row],[Tarpaulin]])</f>
        <v>0</v>
      </c>
      <c r="AB806" s="436">
        <f>IF(NFI_Expiration=1,IF($A806&lt;VLOOKUP(M$5,NFI,5,0),1,0)*Table_NFI[[#This Row],[Blanket]],Table_NFI[[#This Row],[Blanket]])</f>
        <v>0</v>
      </c>
      <c r="AC806" s="436">
        <f>IF(NFI_Expiration=1,IF($A806&lt;VLOOKUP(N$5,NFI,5,0),1,0)*Table_NFI[[#This Row],[Kitchen Set]],Table_NFI[Kitchen Set])</f>
        <v>0</v>
      </c>
      <c r="AD806" s="436">
        <f>IF(NFI_Expiration=1,IF($A806&lt;VLOOKUP(O$5,NFI,5,0),1,0)*Table_NFI[[#This Row],[Clothes Kit]],Table_NFI[Clothes Kit])</f>
        <v>0</v>
      </c>
      <c r="AE806" s="436">
        <f>IF(NFI_Expiration=1,IF($A806&lt;VLOOKUP(P$5,NFI,5,0),1,0)*Table_NFI[[#This Row],[Plastic Bucket]],Table_NFI[Plastic Bucket])</f>
        <v>0</v>
      </c>
      <c r="AF806" s="436">
        <f>IF(NFI_Expiration=1,IF($A806&lt;VLOOKUP(Q$5,NFI,5,0),1,0)*Table_NFI[[#This Row],[Plastic Mat]],Table_NFI[Plastic Mat])*IF(Table_NFI[[#This Row],[Distribution Date]]&gt;"2014-04-01",1,2.5)</f>
        <v>0</v>
      </c>
      <c r="AG806" s="436">
        <f>IF(NFI_Expiration=1,IF($A806&lt;VLOOKUP(R$5,NFI,5,0),1,0)*Table_NFI[[#This Row],[Winter Clothes Adult]],Table_NFI[Winter Clothes Adult])</f>
        <v>0</v>
      </c>
      <c r="AH806" s="436">
        <f>IF(NFI_Expiration=1,IF($A806&lt;VLOOKUP(S$5,NFI,5,0),1,0)*Table_NFI[[#This Row],[Winter Clothes Children]],Table_NFI[Winter Clothes Children])</f>
        <v>0</v>
      </c>
      <c r="AI806" s="436">
        <f>IF(NFI_Expiration=1,IF($A806&lt;VLOOKUP(T$5,NFI,5,0),1,0)*Table_NFI[[#This Row],[Winter Items Other]],Table_NFI[Winter Items Other])</f>
        <v>0</v>
      </c>
      <c r="AJ806" s="436">
        <f>IF(NFI_Expiration=1,IF($A806&lt;VLOOKUP(M$5,NFI,5,0),1,0)*Table_NFI[[#This Row],[Winter Blanket]],Table_NFI[[#This Row],[Winter Blanket]])</f>
        <v>0</v>
      </c>
      <c r="AK806" s="436">
        <f>IF(Table_NFI[[#This Row],[Winter Clothes Adult]]+Table_NFI[[#This Row],[Winter Clothes Children]]+Table_NFI[[#This Row],[Winter Items Other]]+Table_NFI[[#This Row],[Winter Blanket]]&gt;0,1,0)</f>
        <v>0</v>
      </c>
      <c r="AL806" s="439">
        <f>IF(NFI_Expiration=1,IF($A806&lt;VLOOKUP(V$5,NFI,5,0),1,0)*Table_NFI[[#This Row],[Jerry Can]],Table_NFI[Jerry Can])</f>
        <v>0</v>
      </c>
      <c r="AM806" s="781" t="str">
        <f>IFERROR(VLOOKUP(Table_NFI[[#This Row],[Camp Name]],CL,2,0),"")</f>
        <v>MMR001CMP020</v>
      </c>
      <c r="AN806" s="782">
        <f ca="1">IF(Table_NFI[[#This Row],[Pcode]]="","",IF(OFFSET(CampList[Opening Date],MATCH(Table_NFI[[#This Row],[Pcode]],CampList[CP_Pcode],0)-1,0,1,1)&gt;=NFI_Monitor_Date,1,0))</f>
        <v>0</v>
      </c>
      <c r="AO806" s="781" t="str">
        <f>IFERROR(VLOOKUP(Table_NFI[[#This Row],[Camp Name]],CL,3,0),"")</f>
        <v>Open</v>
      </c>
      <c r="AP806" s="436" t="str">
        <f ca="1">IF(Table_NFI[[#This Row],[Pcode]]="","",OFFSET(CampList[Priority],MATCH(Table_NFI[[#This Row],[Pcode]],CampList[CP_Pcode],0)-1,0,1,1))</f>
        <v>P4</v>
      </c>
      <c r="AQ806" s="438">
        <f>IFERROR(Table_NFI[[#This Row],[Kitchen Set]]/VLOOKUP(Table_NFI[[#This Row],[Camp Name]],CL,4,0),"")</f>
        <v>0.5</v>
      </c>
      <c r="AR806" s="779" t="s">
        <v>1099</v>
      </c>
      <c r="AS806" s="783"/>
    </row>
    <row r="807" spans="1:45" x14ac:dyDescent="0.25">
      <c r="A807" s="455">
        <f t="shared" si="12"/>
        <v>41.6</v>
      </c>
      <c r="B807" s="778">
        <v>41061</v>
      </c>
      <c r="C807" s="779" t="s">
        <v>454</v>
      </c>
      <c r="D807" s="779" t="s">
        <v>454</v>
      </c>
      <c r="E807" s="779" t="s">
        <v>380</v>
      </c>
      <c r="F807" s="435" t="s">
        <v>237</v>
      </c>
      <c r="G807" s="435" t="s">
        <v>265</v>
      </c>
      <c r="H807" s="436"/>
      <c r="I807" s="436"/>
      <c r="J807" s="436"/>
      <c r="K807" s="436">
        <v>35</v>
      </c>
      <c r="L807" s="437">
        <v>17</v>
      </c>
      <c r="M807" s="437">
        <v>35</v>
      </c>
      <c r="N807" s="437">
        <v>17</v>
      </c>
      <c r="O807" s="437">
        <v>17</v>
      </c>
      <c r="P807" s="439">
        <v>17</v>
      </c>
      <c r="Q807" s="439">
        <v>17</v>
      </c>
      <c r="R807" s="436"/>
      <c r="S807" s="436"/>
      <c r="T807" s="436"/>
      <c r="U807" s="436"/>
      <c r="V807" s="436"/>
      <c r="W807" s="436">
        <f>IF(NFI_Expiration=1,IF($A807&lt;VLOOKUP(H$5,NFI,5,0),1,0)*Table_NFI[[#This Row],[Hygiene Kit]],Table_NFI[Hygiene Kit])</f>
        <v>0</v>
      </c>
      <c r="X807" s="436">
        <f>IF(NFI_Expiration=1,IF($A807&lt;VLOOKUP(I$5,NFI,5,0),1,0)*Table_NFI[[#This Row],[NFI Core Kit]],Table_NFI[NFI Core Kit])</f>
        <v>0</v>
      </c>
      <c r="Y807" s="436">
        <f>IF(NFI_Expiration=1,IF($A807&lt;VLOOKUP(J$5,NFI,5,0),1,0)*Table_NFI[[#This Row],[Sanitary Kit]],Table_NFI[Sanitary Kit])</f>
        <v>0</v>
      </c>
      <c r="Z807" s="436">
        <f>IF(NFI_Expiration=1,IF($A807&lt;VLOOKUP(K$5,NFI,5,0),1,0)*Table_NFI[[#This Row],[Mosquito net]],Table_NFI[Mosquito net])</f>
        <v>0</v>
      </c>
      <c r="AA807" s="436">
        <f>IF(NFI_Expiration=1,IF($A807&lt;VLOOKUP(L$5,NFI,5,0),1,0)*Table_NFI[[#This Row],[Tarpaulin]],Table_NFI[[#This Row],[Tarpaulin]])</f>
        <v>0</v>
      </c>
      <c r="AB807" s="436">
        <f>IF(NFI_Expiration=1,IF($A807&lt;VLOOKUP(M$5,NFI,5,0),1,0)*Table_NFI[[#This Row],[Blanket]],Table_NFI[[#This Row],[Blanket]])</f>
        <v>0</v>
      </c>
      <c r="AC807" s="436">
        <f>IF(NFI_Expiration=1,IF($A807&lt;VLOOKUP(N$5,NFI,5,0),1,0)*Table_NFI[[#This Row],[Kitchen Set]],Table_NFI[Kitchen Set])</f>
        <v>0</v>
      </c>
      <c r="AD807" s="436">
        <f>IF(NFI_Expiration=1,IF($A807&lt;VLOOKUP(O$5,NFI,5,0),1,0)*Table_NFI[[#This Row],[Clothes Kit]],Table_NFI[Clothes Kit])</f>
        <v>0</v>
      </c>
      <c r="AE807" s="436">
        <f>IF(NFI_Expiration=1,IF($A807&lt;VLOOKUP(P$5,NFI,5,0),1,0)*Table_NFI[[#This Row],[Plastic Bucket]],Table_NFI[Plastic Bucket])</f>
        <v>0</v>
      </c>
      <c r="AF807" s="436">
        <f>IF(NFI_Expiration=1,IF($A807&lt;VLOOKUP(Q$5,NFI,5,0),1,0)*Table_NFI[[#This Row],[Plastic Mat]],Table_NFI[Plastic Mat])*IF(Table_NFI[[#This Row],[Distribution Date]]&gt;"2014-04-01",1,2.5)</f>
        <v>0</v>
      </c>
      <c r="AG807" s="436">
        <f>IF(NFI_Expiration=1,IF($A807&lt;VLOOKUP(R$5,NFI,5,0),1,0)*Table_NFI[[#This Row],[Winter Clothes Adult]],Table_NFI[Winter Clothes Adult])</f>
        <v>0</v>
      </c>
      <c r="AH807" s="436">
        <f>IF(NFI_Expiration=1,IF($A807&lt;VLOOKUP(S$5,NFI,5,0),1,0)*Table_NFI[[#This Row],[Winter Clothes Children]],Table_NFI[Winter Clothes Children])</f>
        <v>0</v>
      </c>
      <c r="AI807" s="436">
        <f>IF(NFI_Expiration=1,IF($A807&lt;VLOOKUP(T$5,NFI,5,0),1,0)*Table_NFI[[#This Row],[Winter Items Other]],Table_NFI[Winter Items Other])</f>
        <v>0</v>
      </c>
      <c r="AJ807" s="436">
        <f>IF(NFI_Expiration=1,IF($A807&lt;VLOOKUP(M$5,NFI,5,0),1,0)*Table_NFI[[#This Row],[Winter Blanket]],Table_NFI[[#This Row],[Winter Blanket]])</f>
        <v>0</v>
      </c>
      <c r="AK807" s="436">
        <f>IF(Table_NFI[[#This Row],[Winter Clothes Adult]]+Table_NFI[[#This Row],[Winter Clothes Children]]+Table_NFI[[#This Row],[Winter Items Other]]+Table_NFI[[#This Row],[Winter Blanket]]&gt;0,1,0)</f>
        <v>0</v>
      </c>
      <c r="AL807" s="439">
        <f>IF(NFI_Expiration=1,IF($A807&lt;VLOOKUP(V$5,NFI,5,0),1,0)*Table_NFI[[#This Row],[Jerry Can]],Table_NFI[Jerry Can])</f>
        <v>0</v>
      </c>
      <c r="AM807" s="781" t="str">
        <f>IFERROR(VLOOKUP(Table_NFI[[#This Row],[Camp Name]],CL,2,0),"")</f>
        <v>MMR001CMP021</v>
      </c>
      <c r="AN807" s="782">
        <f ca="1">IF(Table_NFI[[#This Row],[Pcode]]="","",IF(OFFSET(CampList[Opening Date],MATCH(Table_NFI[[#This Row],[Pcode]],CampList[CP_Pcode],0)-1,0,1,1)&gt;=NFI_Monitor_Date,1,0))</f>
        <v>0</v>
      </c>
      <c r="AO807" s="781" t="str">
        <f>IFERROR(VLOOKUP(Table_NFI[[#This Row],[Camp Name]],CL,3,0),"")</f>
        <v>Open</v>
      </c>
      <c r="AP807" s="436" t="str">
        <f ca="1">IF(Table_NFI[[#This Row],[Pcode]]="","",OFFSET(CampList[Priority],MATCH(Table_NFI[[#This Row],[Pcode]],CampList[CP_Pcode],0)-1,0,1,1))</f>
        <v>P4</v>
      </c>
      <c r="AQ807" s="438">
        <f>IFERROR(Table_NFI[[#This Row],[Kitchen Set]]/VLOOKUP(Table_NFI[[#This Row],[Camp Name]],CL,4,0),"")</f>
        <v>1.2142857142857142</v>
      </c>
      <c r="AR807" s="779" t="s">
        <v>1099</v>
      </c>
      <c r="AS807" s="783"/>
    </row>
    <row r="808" spans="1:45" x14ac:dyDescent="0.25">
      <c r="A808" s="455">
        <f t="shared" si="12"/>
        <v>41.633333333333333</v>
      </c>
      <c r="B808" s="778">
        <v>41060</v>
      </c>
      <c r="C808" s="779" t="s">
        <v>454</v>
      </c>
      <c r="D808" s="779" t="s">
        <v>462</v>
      </c>
      <c r="E808" s="779" t="s">
        <v>380</v>
      </c>
      <c r="F808" s="435" t="s">
        <v>5</v>
      </c>
      <c r="G808" s="435" t="s">
        <v>22</v>
      </c>
      <c r="H808" s="436"/>
      <c r="I808" s="436"/>
      <c r="J808" s="436"/>
      <c r="K808" s="436">
        <v>0</v>
      </c>
      <c r="L808" s="437">
        <v>20</v>
      </c>
      <c r="M808" s="437">
        <v>0</v>
      </c>
      <c r="N808" s="437">
        <v>0</v>
      </c>
      <c r="O808" s="437">
        <v>0</v>
      </c>
      <c r="P808" s="439"/>
      <c r="Q808" s="439"/>
      <c r="R808" s="436"/>
      <c r="S808" s="436"/>
      <c r="T808" s="436"/>
      <c r="U808" s="436"/>
      <c r="V808" s="436"/>
      <c r="W808" s="436">
        <f>IF(NFI_Expiration=1,IF($A808&lt;VLOOKUP(H$5,NFI,5,0),1,0)*Table_NFI[[#This Row],[Hygiene Kit]],Table_NFI[Hygiene Kit])</f>
        <v>0</v>
      </c>
      <c r="X808" s="436">
        <f>IF(NFI_Expiration=1,IF($A808&lt;VLOOKUP(I$5,NFI,5,0),1,0)*Table_NFI[[#This Row],[NFI Core Kit]],Table_NFI[NFI Core Kit])</f>
        <v>0</v>
      </c>
      <c r="Y808" s="436">
        <f>IF(NFI_Expiration=1,IF($A808&lt;VLOOKUP(J$5,NFI,5,0),1,0)*Table_NFI[[#This Row],[Sanitary Kit]],Table_NFI[Sanitary Kit])</f>
        <v>0</v>
      </c>
      <c r="Z808" s="436">
        <f>IF(NFI_Expiration=1,IF($A808&lt;VLOOKUP(K$5,NFI,5,0),1,0)*Table_NFI[[#This Row],[Mosquito net]],Table_NFI[Mosquito net])</f>
        <v>0</v>
      </c>
      <c r="AA808" s="436">
        <f>IF(NFI_Expiration=1,IF($A808&lt;VLOOKUP(L$5,NFI,5,0),1,0)*Table_NFI[[#This Row],[Tarpaulin]],Table_NFI[[#This Row],[Tarpaulin]])</f>
        <v>0</v>
      </c>
      <c r="AB808" s="436">
        <f>IF(NFI_Expiration=1,IF($A808&lt;VLOOKUP(M$5,NFI,5,0),1,0)*Table_NFI[[#This Row],[Blanket]],Table_NFI[[#This Row],[Blanket]])</f>
        <v>0</v>
      </c>
      <c r="AC808" s="436">
        <f>IF(NFI_Expiration=1,IF($A808&lt;VLOOKUP(N$5,NFI,5,0),1,0)*Table_NFI[[#This Row],[Kitchen Set]],Table_NFI[Kitchen Set])</f>
        <v>0</v>
      </c>
      <c r="AD808" s="436">
        <f>IF(NFI_Expiration=1,IF($A808&lt;VLOOKUP(O$5,NFI,5,0),1,0)*Table_NFI[[#This Row],[Clothes Kit]],Table_NFI[Clothes Kit])</f>
        <v>0</v>
      </c>
      <c r="AE808" s="436">
        <f>IF(NFI_Expiration=1,IF($A808&lt;VLOOKUP(P$5,NFI,5,0),1,0)*Table_NFI[[#This Row],[Plastic Bucket]],Table_NFI[Plastic Bucket])</f>
        <v>0</v>
      </c>
      <c r="AF808" s="436">
        <f>IF(NFI_Expiration=1,IF($A808&lt;VLOOKUP(Q$5,NFI,5,0),1,0)*Table_NFI[[#This Row],[Plastic Mat]],Table_NFI[Plastic Mat])*IF(Table_NFI[[#This Row],[Distribution Date]]&gt;"2014-04-01",1,2.5)</f>
        <v>0</v>
      </c>
      <c r="AG808" s="436">
        <f>IF(NFI_Expiration=1,IF($A808&lt;VLOOKUP(R$5,NFI,5,0),1,0)*Table_NFI[[#This Row],[Winter Clothes Adult]],Table_NFI[Winter Clothes Adult])</f>
        <v>0</v>
      </c>
      <c r="AH808" s="436">
        <f>IF(NFI_Expiration=1,IF($A808&lt;VLOOKUP(S$5,NFI,5,0),1,0)*Table_NFI[[#This Row],[Winter Clothes Children]],Table_NFI[Winter Clothes Children])</f>
        <v>0</v>
      </c>
      <c r="AI808" s="436">
        <f>IF(NFI_Expiration=1,IF($A808&lt;VLOOKUP(T$5,NFI,5,0),1,0)*Table_NFI[[#This Row],[Winter Items Other]],Table_NFI[Winter Items Other])</f>
        <v>0</v>
      </c>
      <c r="AJ808" s="436">
        <f>IF(NFI_Expiration=1,IF($A808&lt;VLOOKUP(M$5,NFI,5,0),1,0)*Table_NFI[[#This Row],[Winter Blanket]],Table_NFI[[#This Row],[Winter Blanket]])</f>
        <v>0</v>
      </c>
      <c r="AK808" s="436">
        <f>IF(Table_NFI[[#This Row],[Winter Clothes Adult]]+Table_NFI[[#This Row],[Winter Clothes Children]]+Table_NFI[[#This Row],[Winter Items Other]]+Table_NFI[[#This Row],[Winter Blanket]]&gt;0,1,0)</f>
        <v>0</v>
      </c>
      <c r="AL808" s="439">
        <f>IF(NFI_Expiration=1,IF($A808&lt;VLOOKUP(V$5,NFI,5,0),1,0)*Table_NFI[[#This Row],[Jerry Can]],Table_NFI[Jerry Can])</f>
        <v>0</v>
      </c>
      <c r="AM808" s="781" t="str">
        <f>IFERROR(VLOOKUP(Table_NFI[[#This Row],[Camp Name]],CL,2,0),"")</f>
        <v>MMR001CMP047</v>
      </c>
      <c r="AN808" s="782">
        <f ca="1">IF(Table_NFI[[#This Row],[Pcode]]="","",IF(OFFSET(CampList[Opening Date],MATCH(Table_NFI[[#This Row],[Pcode]],CampList[CP_Pcode],0)-1,0,1,1)&gt;=NFI_Monitor_Date,1,0))</f>
        <v>0</v>
      </c>
      <c r="AO808" s="781" t="str">
        <f>IFERROR(VLOOKUP(Table_NFI[[#This Row],[Camp Name]],CL,3,0),"")</f>
        <v>Open</v>
      </c>
      <c r="AP808" s="436" t="str">
        <f ca="1">IF(Table_NFI[[#This Row],[Pcode]]="","",OFFSET(CampList[Priority],MATCH(Table_NFI[[#This Row],[Pcode]],CampList[CP_Pcode],0)-1,0,1,1))</f>
        <v>P4</v>
      </c>
      <c r="AQ808" s="438">
        <f>IFERROR(Table_NFI[[#This Row],[Kitchen Set]]/VLOOKUP(Table_NFI[[#This Row],[Camp Name]],CL,4,0),"")</f>
        <v>0</v>
      </c>
      <c r="AR808" s="779" t="s">
        <v>1099</v>
      </c>
      <c r="AS808" s="783"/>
    </row>
    <row r="809" spans="1:45" x14ac:dyDescent="0.25">
      <c r="A809" s="455">
        <f t="shared" si="12"/>
        <v>41.733333333333334</v>
      </c>
      <c r="B809" s="778">
        <v>41057</v>
      </c>
      <c r="C809" s="779" t="s">
        <v>454</v>
      </c>
      <c r="D809" s="779" t="s">
        <v>454</v>
      </c>
      <c r="E809" s="779" t="s">
        <v>380</v>
      </c>
      <c r="F809" s="435" t="s">
        <v>310</v>
      </c>
      <c r="G809" s="435" t="s">
        <v>338</v>
      </c>
      <c r="H809" s="436"/>
      <c r="I809" s="436"/>
      <c r="J809" s="436"/>
      <c r="K809" s="436">
        <v>0</v>
      </c>
      <c r="L809" s="437">
        <v>11</v>
      </c>
      <c r="M809" s="437">
        <v>0</v>
      </c>
      <c r="N809" s="437">
        <v>0</v>
      </c>
      <c r="O809" s="437">
        <v>0</v>
      </c>
      <c r="P809" s="439"/>
      <c r="Q809" s="439"/>
      <c r="R809" s="436"/>
      <c r="S809" s="436"/>
      <c r="T809" s="436"/>
      <c r="U809" s="436"/>
      <c r="V809" s="436"/>
      <c r="W809" s="436">
        <f>IF(NFI_Expiration=1,IF($A809&lt;VLOOKUP(H$5,NFI,5,0),1,0)*Table_NFI[[#This Row],[Hygiene Kit]],Table_NFI[Hygiene Kit])</f>
        <v>0</v>
      </c>
      <c r="X809" s="436">
        <f>IF(NFI_Expiration=1,IF($A809&lt;VLOOKUP(I$5,NFI,5,0),1,0)*Table_NFI[[#This Row],[NFI Core Kit]],Table_NFI[NFI Core Kit])</f>
        <v>0</v>
      </c>
      <c r="Y809" s="436">
        <f>IF(NFI_Expiration=1,IF($A809&lt;VLOOKUP(J$5,NFI,5,0),1,0)*Table_NFI[[#This Row],[Sanitary Kit]],Table_NFI[Sanitary Kit])</f>
        <v>0</v>
      </c>
      <c r="Z809" s="436">
        <f>IF(NFI_Expiration=1,IF($A809&lt;VLOOKUP(K$5,NFI,5,0),1,0)*Table_NFI[[#This Row],[Mosquito net]],Table_NFI[Mosquito net])</f>
        <v>0</v>
      </c>
      <c r="AA809" s="436">
        <f>IF(NFI_Expiration=1,IF($A809&lt;VLOOKUP(L$5,NFI,5,0),1,0)*Table_NFI[[#This Row],[Tarpaulin]],Table_NFI[[#This Row],[Tarpaulin]])</f>
        <v>0</v>
      </c>
      <c r="AB809" s="436">
        <f>IF(NFI_Expiration=1,IF($A809&lt;VLOOKUP(M$5,NFI,5,0),1,0)*Table_NFI[[#This Row],[Blanket]],Table_NFI[[#This Row],[Blanket]])</f>
        <v>0</v>
      </c>
      <c r="AC809" s="436">
        <f>IF(NFI_Expiration=1,IF($A809&lt;VLOOKUP(N$5,NFI,5,0),1,0)*Table_NFI[[#This Row],[Kitchen Set]],Table_NFI[Kitchen Set])</f>
        <v>0</v>
      </c>
      <c r="AD809" s="436">
        <f>IF(NFI_Expiration=1,IF($A809&lt;VLOOKUP(O$5,NFI,5,0),1,0)*Table_NFI[[#This Row],[Clothes Kit]],Table_NFI[Clothes Kit])</f>
        <v>0</v>
      </c>
      <c r="AE809" s="436">
        <f>IF(NFI_Expiration=1,IF($A809&lt;VLOOKUP(P$5,NFI,5,0),1,0)*Table_NFI[[#This Row],[Plastic Bucket]],Table_NFI[Plastic Bucket])</f>
        <v>0</v>
      </c>
      <c r="AF809" s="436">
        <f>IF(NFI_Expiration=1,IF($A809&lt;VLOOKUP(Q$5,NFI,5,0),1,0)*Table_NFI[[#This Row],[Plastic Mat]],Table_NFI[Plastic Mat])*IF(Table_NFI[[#This Row],[Distribution Date]]&gt;"2014-04-01",1,2.5)</f>
        <v>0</v>
      </c>
      <c r="AG809" s="436">
        <f>IF(NFI_Expiration=1,IF($A809&lt;VLOOKUP(R$5,NFI,5,0),1,0)*Table_NFI[[#This Row],[Winter Clothes Adult]],Table_NFI[Winter Clothes Adult])</f>
        <v>0</v>
      </c>
      <c r="AH809" s="436">
        <f>IF(NFI_Expiration=1,IF($A809&lt;VLOOKUP(S$5,NFI,5,0),1,0)*Table_NFI[[#This Row],[Winter Clothes Children]],Table_NFI[Winter Clothes Children])</f>
        <v>0</v>
      </c>
      <c r="AI809" s="436">
        <f>IF(NFI_Expiration=1,IF($A809&lt;VLOOKUP(T$5,NFI,5,0),1,0)*Table_NFI[[#This Row],[Winter Items Other]],Table_NFI[Winter Items Other])</f>
        <v>0</v>
      </c>
      <c r="AJ809" s="436">
        <f>IF(NFI_Expiration=1,IF($A809&lt;VLOOKUP(M$5,NFI,5,0),1,0)*Table_NFI[[#This Row],[Winter Blanket]],Table_NFI[[#This Row],[Winter Blanket]])</f>
        <v>0</v>
      </c>
      <c r="AK809" s="436">
        <f>IF(Table_NFI[[#This Row],[Winter Clothes Adult]]+Table_NFI[[#This Row],[Winter Clothes Children]]+Table_NFI[[#This Row],[Winter Items Other]]+Table_NFI[[#This Row],[Winter Blanket]]&gt;0,1,0)</f>
        <v>0</v>
      </c>
      <c r="AL809" s="439">
        <f>IF(NFI_Expiration=1,IF($A809&lt;VLOOKUP(V$5,NFI,5,0),1,0)*Table_NFI[[#This Row],[Jerry Can]],Table_NFI[Jerry Can])</f>
        <v>0</v>
      </c>
      <c r="AM809" s="781" t="str">
        <f>IFERROR(VLOOKUP(Table_NFI[[#This Row],[Camp Name]],CL,2,0),"")</f>
        <v>MMR001CMP030</v>
      </c>
      <c r="AN809" s="782">
        <f ca="1">IF(Table_NFI[[#This Row],[Pcode]]="","",IF(OFFSET(CampList[Opening Date],MATCH(Table_NFI[[#This Row],[Pcode]],CampList[CP_Pcode],0)-1,0,1,1)&gt;=NFI_Monitor_Date,1,0))</f>
        <v>0</v>
      </c>
      <c r="AO809" s="781" t="str">
        <f>IFERROR(VLOOKUP(Table_NFI[[#This Row],[Camp Name]],CL,3,0),"")</f>
        <v>Open</v>
      </c>
      <c r="AP809" s="436" t="str">
        <f ca="1">IF(Table_NFI[[#This Row],[Pcode]]="","",OFFSET(CampList[Priority],MATCH(Table_NFI[[#This Row],[Pcode]],CampList[CP_Pcode],0)-1,0,1,1))</f>
        <v>P4</v>
      </c>
      <c r="AQ809" s="438">
        <f>IFERROR(Table_NFI[[#This Row],[Kitchen Set]]/VLOOKUP(Table_NFI[[#This Row],[Camp Name]],CL,4,0),"")</f>
        <v>0</v>
      </c>
      <c r="AR809" s="779" t="s">
        <v>1099</v>
      </c>
      <c r="AS809" s="783"/>
    </row>
    <row r="810" spans="1:45" x14ac:dyDescent="0.25">
      <c r="A810" s="455">
        <f t="shared" si="12"/>
        <v>41.8</v>
      </c>
      <c r="B810" s="778">
        <v>41055</v>
      </c>
      <c r="C810" s="779" t="s">
        <v>454</v>
      </c>
      <c r="D810" s="780" t="s">
        <v>462</v>
      </c>
      <c r="E810" s="779" t="s">
        <v>380</v>
      </c>
      <c r="F810" s="435" t="s">
        <v>302</v>
      </c>
      <c r="G810" s="435" t="s">
        <v>304</v>
      </c>
      <c r="H810" s="436"/>
      <c r="I810" s="436"/>
      <c r="J810" s="436"/>
      <c r="K810" s="436">
        <v>200</v>
      </c>
      <c r="L810" s="437">
        <v>200</v>
      </c>
      <c r="M810" s="437">
        <v>0</v>
      </c>
      <c r="N810" s="437">
        <v>0</v>
      </c>
      <c r="O810" s="437">
        <v>0</v>
      </c>
      <c r="P810" s="437"/>
      <c r="Q810" s="437"/>
      <c r="R810" s="436"/>
      <c r="S810" s="436"/>
      <c r="T810" s="436"/>
      <c r="U810" s="436"/>
      <c r="V810" s="436"/>
      <c r="W810" s="436">
        <f>IF(NFI_Expiration=1,IF($A810&lt;VLOOKUP(H$5,NFI,5,0),1,0)*Table_NFI[[#This Row],[Hygiene Kit]],Table_NFI[Hygiene Kit])</f>
        <v>0</v>
      </c>
      <c r="X810" s="436">
        <f>IF(NFI_Expiration=1,IF($A810&lt;VLOOKUP(I$5,NFI,5,0),1,0)*Table_NFI[[#This Row],[NFI Core Kit]],Table_NFI[NFI Core Kit])</f>
        <v>0</v>
      </c>
      <c r="Y810" s="436">
        <f>IF(NFI_Expiration=1,IF($A810&lt;VLOOKUP(J$5,NFI,5,0),1,0)*Table_NFI[[#This Row],[Sanitary Kit]],Table_NFI[Sanitary Kit])</f>
        <v>0</v>
      </c>
      <c r="Z810" s="436">
        <f>IF(NFI_Expiration=1,IF($A810&lt;VLOOKUP(K$5,NFI,5,0),1,0)*Table_NFI[[#This Row],[Mosquito net]],Table_NFI[Mosquito net])</f>
        <v>0</v>
      </c>
      <c r="AA810" s="436">
        <f>IF(NFI_Expiration=1,IF($A810&lt;VLOOKUP(L$5,NFI,5,0),1,0)*Table_NFI[[#This Row],[Tarpaulin]],Table_NFI[[#This Row],[Tarpaulin]])</f>
        <v>0</v>
      </c>
      <c r="AB810" s="436">
        <f>IF(NFI_Expiration=1,IF($A810&lt;VLOOKUP(M$5,NFI,5,0),1,0)*Table_NFI[[#This Row],[Blanket]],Table_NFI[[#This Row],[Blanket]])</f>
        <v>0</v>
      </c>
      <c r="AC810" s="436">
        <f>IF(NFI_Expiration=1,IF($A810&lt;VLOOKUP(N$5,NFI,5,0),1,0)*Table_NFI[[#This Row],[Kitchen Set]],Table_NFI[Kitchen Set])</f>
        <v>0</v>
      </c>
      <c r="AD810" s="436">
        <f>IF(NFI_Expiration=1,IF($A810&lt;VLOOKUP(O$5,NFI,5,0),1,0)*Table_NFI[[#This Row],[Clothes Kit]],Table_NFI[Clothes Kit])</f>
        <v>0</v>
      </c>
      <c r="AE810" s="436">
        <f>IF(NFI_Expiration=1,IF($A810&lt;VLOOKUP(P$5,NFI,5,0),1,0)*Table_NFI[[#This Row],[Plastic Bucket]],Table_NFI[Plastic Bucket])</f>
        <v>0</v>
      </c>
      <c r="AF810" s="436">
        <f>IF(NFI_Expiration=1,IF($A810&lt;VLOOKUP(Q$5,NFI,5,0),1,0)*Table_NFI[[#This Row],[Plastic Mat]],Table_NFI[Plastic Mat])*IF(Table_NFI[[#This Row],[Distribution Date]]&gt;"2014-04-01",1,2.5)</f>
        <v>0</v>
      </c>
      <c r="AG810" s="436">
        <f>IF(NFI_Expiration=1,IF($A810&lt;VLOOKUP(R$5,NFI,5,0),1,0)*Table_NFI[[#This Row],[Winter Clothes Adult]],Table_NFI[Winter Clothes Adult])</f>
        <v>0</v>
      </c>
      <c r="AH810" s="436">
        <f>IF(NFI_Expiration=1,IF($A810&lt;VLOOKUP(S$5,NFI,5,0),1,0)*Table_NFI[[#This Row],[Winter Clothes Children]],Table_NFI[Winter Clothes Children])</f>
        <v>0</v>
      </c>
      <c r="AI810" s="436">
        <f>IF(NFI_Expiration=1,IF($A810&lt;VLOOKUP(T$5,NFI,5,0),1,0)*Table_NFI[[#This Row],[Winter Items Other]],Table_NFI[Winter Items Other])</f>
        <v>0</v>
      </c>
      <c r="AJ810" s="436">
        <f>IF(NFI_Expiration=1,IF($A810&lt;VLOOKUP(M$5,NFI,5,0),1,0)*Table_NFI[[#This Row],[Winter Blanket]],Table_NFI[[#This Row],[Winter Blanket]])</f>
        <v>0</v>
      </c>
      <c r="AK810" s="436">
        <f>IF(Table_NFI[[#This Row],[Winter Clothes Adult]]+Table_NFI[[#This Row],[Winter Clothes Children]]+Table_NFI[[#This Row],[Winter Items Other]]+Table_NFI[[#This Row],[Winter Blanket]]&gt;0,1,0)</f>
        <v>0</v>
      </c>
      <c r="AL810" s="439">
        <f>IF(NFI_Expiration=1,IF($A810&lt;VLOOKUP(V$5,NFI,5,0),1,0)*Table_NFI[[#This Row],[Jerry Can]],Table_NFI[Jerry Can])</f>
        <v>0</v>
      </c>
      <c r="AM810" s="781" t="str">
        <f>IFERROR(VLOOKUP(Table_NFI[[#This Row],[Camp Name]],CL,2,0),"")</f>
        <v>MMR001CMP147</v>
      </c>
      <c r="AN810" s="782">
        <f ca="1">IF(Table_NFI[[#This Row],[Pcode]]="","",IF(OFFSET(CampList[Opening Date],MATCH(Table_NFI[[#This Row],[Pcode]],CampList[CP_Pcode],0)-1,0,1,1)&gt;=NFI_Monitor_Date,1,0))</f>
        <v>0</v>
      </c>
      <c r="AO810" s="781" t="str">
        <f>IFERROR(VLOOKUP(Table_NFI[[#This Row],[Camp Name]],CL,3,0),"")</f>
        <v>Open</v>
      </c>
      <c r="AP810" s="436" t="str">
        <f ca="1">IF(Table_NFI[[#This Row],[Pcode]]="","",OFFSET(CampList[Priority],MATCH(Table_NFI[[#This Row],[Pcode]],CampList[CP_Pcode],0)-1,0,1,1))</f>
        <v>P4</v>
      </c>
      <c r="AQ810" s="438">
        <f>IFERROR(Table_NFI[[#This Row],[Kitchen Set]]/VLOOKUP(Table_NFI[[#This Row],[Camp Name]],CL,4,0),"")</f>
        <v>0</v>
      </c>
      <c r="AR810" s="779" t="s">
        <v>1099</v>
      </c>
      <c r="AS810" s="783"/>
    </row>
    <row r="811" spans="1:45" x14ac:dyDescent="0.25">
      <c r="A811" s="455">
        <f t="shared" si="12"/>
        <v>41.833333333333336</v>
      </c>
      <c r="B811" s="778">
        <v>41054</v>
      </c>
      <c r="C811" s="779" t="s">
        <v>454</v>
      </c>
      <c r="D811" s="780" t="s">
        <v>454</v>
      </c>
      <c r="E811" s="779" t="s">
        <v>380</v>
      </c>
      <c r="F811" s="435" t="s">
        <v>237</v>
      </c>
      <c r="G811" s="435" t="s">
        <v>281</v>
      </c>
      <c r="H811" s="436"/>
      <c r="I811" s="436"/>
      <c r="J811" s="436"/>
      <c r="K811" s="436">
        <v>0</v>
      </c>
      <c r="L811" s="437">
        <v>25</v>
      </c>
      <c r="M811" s="437">
        <v>0</v>
      </c>
      <c r="N811" s="437">
        <v>0</v>
      </c>
      <c r="O811" s="437">
        <v>0</v>
      </c>
      <c r="P811" s="437"/>
      <c r="Q811" s="437"/>
      <c r="R811" s="436"/>
      <c r="S811" s="436"/>
      <c r="T811" s="436"/>
      <c r="U811" s="436"/>
      <c r="V811" s="436"/>
      <c r="W811" s="436">
        <f>IF(NFI_Expiration=1,IF($A811&lt;VLOOKUP(H$5,NFI,5,0),1,0)*Table_NFI[[#This Row],[Hygiene Kit]],Table_NFI[Hygiene Kit])</f>
        <v>0</v>
      </c>
      <c r="X811" s="436">
        <f>IF(NFI_Expiration=1,IF($A811&lt;VLOOKUP(I$5,NFI,5,0),1,0)*Table_NFI[[#This Row],[NFI Core Kit]],Table_NFI[NFI Core Kit])</f>
        <v>0</v>
      </c>
      <c r="Y811" s="436">
        <f>IF(NFI_Expiration=1,IF($A811&lt;VLOOKUP(J$5,NFI,5,0),1,0)*Table_NFI[[#This Row],[Sanitary Kit]],Table_NFI[Sanitary Kit])</f>
        <v>0</v>
      </c>
      <c r="Z811" s="436">
        <f>IF(NFI_Expiration=1,IF($A811&lt;VLOOKUP(K$5,NFI,5,0),1,0)*Table_NFI[[#This Row],[Mosquito net]],Table_NFI[Mosquito net])</f>
        <v>0</v>
      </c>
      <c r="AA811" s="436">
        <f>IF(NFI_Expiration=1,IF($A811&lt;VLOOKUP(L$5,NFI,5,0),1,0)*Table_NFI[[#This Row],[Tarpaulin]],Table_NFI[[#This Row],[Tarpaulin]])</f>
        <v>0</v>
      </c>
      <c r="AB811" s="436">
        <f>IF(NFI_Expiration=1,IF($A811&lt;VLOOKUP(M$5,NFI,5,0),1,0)*Table_NFI[[#This Row],[Blanket]],Table_NFI[[#This Row],[Blanket]])</f>
        <v>0</v>
      </c>
      <c r="AC811" s="436">
        <f>IF(NFI_Expiration=1,IF($A811&lt;VLOOKUP(N$5,NFI,5,0),1,0)*Table_NFI[[#This Row],[Kitchen Set]],Table_NFI[Kitchen Set])</f>
        <v>0</v>
      </c>
      <c r="AD811" s="436">
        <f>IF(NFI_Expiration=1,IF($A811&lt;VLOOKUP(O$5,NFI,5,0),1,0)*Table_NFI[[#This Row],[Clothes Kit]],Table_NFI[Clothes Kit])</f>
        <v>0</v>
      </c>
      <c r="AE811" s="436">
        <f>IF(NFI_Expiration=1,IF($A811&lt;VLOOKUP(P$5,NFI,5,0),1,0)*Table_NFI[[#This Row],[Plastic Bucket]],Table_NFI[Plastic Bucket])</f>
        <v>0</v>
      </c>
      <c r="AF811" s="436">
        <f>IF(NFI_Expiration=1,IF($A811&lt;VLOOKUP(Q$5,NFI,5,0),1,0)*Table_NFI[[#This Row],[Plastic Mat]],Table_NFI[Plastic Mat])*IF(Table_NFI[[#This Row],[Distribution Date]]&gt;"2014-04-01",1,2.5)</f>
        <v>0</v>
      </c>
      <c r="AG811" s="436">
        <f>IF(NFI_Expiration=1,IF($A811&lt;VLOOKUP(R$5,NFI,5,0),1,0)*Table_NFI[[#This Row],[Winter Clothes Adult]],Table_NFI[Winter Clothes Adult])</f>
        <v>0</v>
      </c>
      <c r="AH811" s="436">
        <f>IF(NFI_Expiration=1,IF($A811&lt;VLOOKUP(S$5,NFI,5,0),1,0)*Table_NFI[[#This Row],[Winter Clothes Children]],Table_NFI[Winter Clothes Children])</f>
        <v>0</v>
      </c>
      <c r="AI811" s="436">
        <f>IF(NFI_Expiration=1,IF($A811&lt;VLOOKUP(T$5,NFI,5,0),1,0)*Table_NFI[[#This Row],[Winter Items Other]],Table_NFI[Winter Items Other])</f>
        <v>0</v>
      </c>
      <c r="AJ811" s="436">
        <f>IF(NFI_Expiration=1,IF($A811&lt;VLOOKUP(M$5,NFI,5,0),1,0)*Table_NFI[[#This Row],[Winter Blanket]],Table_NFI[[#This Row],[Winter Blanket]])</f>
        <v>0</v>
      </c>
      <c r="AK811" s="436">
        <f>IF(Table_NFI[[#This Row],[Winter Clothes Adult]]+Table_NFI[[#This Row],[Winter Clothes Children]]+Table_NFI[[#This Row],[Winter Items Other]]+Table_NFI[[#This Row],[Winter Blanket]]&gt;0,1,0)</f>
        <v>0</v>
      </c>
      <c r="AL811" s="439">
        <f>IF(NFI_Expiration=1,IF($A811&lt;VLOOKUP(V$5,NFI,5,0),1,0)*Table_NFI[[#This Row],[Jerry Can]],Table_NFI[Jerry Can])</f>
        <v>0</v>
      </c>
      <c r="AM811" s="781" t="str">
        <f>IFERROR(VLOOKUP(Table_NFI[[#This Row],[Camp Name]],CL,2,0),"")</f>
        <v>MMR001CMP009</v>
      </c>
      <c r="AN811" s="782">
        <f ca="1">IF(Table_NFI[[#This Row],[Pcode]]="","",IF(OFFSET(CampList[Opening Date],MATCH(Table_NFI[[#This Row],[Pcode]],CampList[CP_Pcode],0)-1,0,1,1)&gt;=NFI_Monitor_Date,1,0))</f>
        <v>0</v>
      </c>
      <c r="AO811" s="781" t="str">
        <f>IFERROR(VLOOKUP(Table_NFI[[#This Row],[Camp Name]],CL,3,0),"")</f>
        <v>Open</v>
      </c>
      <c r="AP811" s="436" t="str">
        <f ca="1">IF(Table_NFI[[#This Row],[Pcode]]="","",OFFSET(CampList[Priority],MATCH(Table_NFI[[#This Row],[Pcode]],CampList[CP_Pcode],0)-1,0,1,1))</f>
        <v>P4</v>
      </c>
      <c r="AQ811" s="438">
        <f>IFERROR(Table_NFI[[#This Row],[Kitchen Set]]/VLOOKUP(Table_NFI[[#This Row],[Camp Name]],CL,4,0),"")</f>
        <v>0</v>
      </c>
      <c r="AR811" s="779" t="s">
        <v>1099</v>
      </c>
      <c r="AS811" s="783"/>
    </row>
    <row r="812" spans="1:45" x14ac:dyDescent="0.25">
      <c r="A812" s="455">
        <f t="shared" si="12"/>
        <v>41.9</v>
      </c>
      <c r="B812" s="778">
        <v>41052</v>
      </c>
      <c r="C812" s="779" t="s">
        <v>454</v>
      </c>
      <c r="D812" s="779" t="s">
        <v>454</v>
      </c>
      <c r="E812" s="779" t="s">
        <v>380</v>
      </c>
      <c r="F812" s="435" t="s">
        <v>237</v>
      </c>
      <c r="G812" s="435" t="s">
        <v>253</v>
      </c>
      <c r="H812" s="436"/>
      <c r="I812" s="436"/>
      <c r="J812" s="436"/>
      <c r="K812" s="436">
        <v>22</v>
      </c>
      <c r="L812" s="437">
        <v>15</v>
      </c>
      <c r="M812" s="437">
        <v>22</v>
      </c>
      <c r="N812" s="437">
        <v>15</v>
      </c>
      <c r="O812" s="437">
        <v>15</v>
      </c>
      <c r="P812" s="439">
        <v>15</v>
      </c>
      <c r="Q812" s="439">
        <v>15</v>
      </c>
      <c r="R812" s="436"/>
      <c r="S812" s="436"/>
      <c r="T812" s="436"/>
      <c r="U812" s="436"/>
      <c r="V812" s="436"/>
      <c r="W812" s="436">
        <f>IF(NFI_Expiration=1,IF($A812&lt;VLOOKUP(H$5,NFI,5,0),1,0)*Table_NFI[[#This Row],[Hygiene Kit]],Table_NFI[Hygiene Kit])</f>
        <v>0</v>
      </c>
      <c r="X812" s="436">
        <f>IF(NFI_Expiration=1,IF($A812&lt;VLOOKUP(I$5,NFI,5,0),1,0)*Table_NFI[[#This Row],[NFI Core Kit]],Table_NFI[NFI Core Kit])</f>
        <v>0</v>
      </c>
      <c r="Y812" s="436">
        <f>IF(NFI_Expiration=1,IF($A812&lt;VLOOKUP(J$5,NFI,5,0),1,0)*Table_NFI[[#This Row],[Sanitary Kit]],Table_NFI[Sanitary Kit])</f>
        <v>0</v>
      </c>
      <c r="Z812" s="436">
        <f>IF(NFI_Expiration=1,IF($A812&lt;VLOOKUP(K$5,NFI,5,0),1,0)*Table_NFI[[#This Row],[Mosquito net]],Table_NFI[Mosquito net])</f>
        <v>0</v>
      </c>
      <c r="AA812" s="436">
        <f>IF(NFI_Expiration=1,IF($A812&lt;VLOOKUP(L$5,NFI,5,0),1,0)*Table_NFI[[#This Row],[Tarpaulin]],Table_NFI[[#This Row],[Tarpaulin]])</f>
        <v>0</v>
      </c>
      <c r="AB812" s="436">
        <f>IF(NFI_Expiration=1,IF($A812&lt;VLOOKUP(M$5,NFI,5,0),1,0)*Table_NFI[[#This Row],[Blanket]],Table_NFI[[#This Row],[Blanket]])</f>
        <v>0</v>
      </c>
      <c r="AC812" s="436">
        <f>IF(NFI_Expiration=1,IF($A812&lt;VLOOKUP(N$5,NFI,5,0),1,0)*Table_NFI[[#This Row],[Kitchen Set]],Table_NFI[Kitchen Set])</f>
        <v>0</v>
      </c>
      <c r="AD812" s="436">
        <f>IF(NFI_Expiration=1,IF($A812&lt;VLOOKUP(O$5,NFI,5,0),1,0)*Table_NFI[[#This Row],[Clothes Kit]],Table_NFI[Clothes Kit])</f>
        <v>0</v>
      </c>
      <c r="AE812" s="436">
        <f>IF(NFI_Expiration=1,IF($A812&lt;VLOOKUP(P$5,NFI,5,0),1,0)*Table_NFI[[#This Row],[Plastic Bucket]],Table_NFI[Plastic Bucket])</f>
        <v>0</v>
      </c>
      <c r="AF812" s="436">
        <f>IF(NFI_Expiration=1,IF($A812&lt;VLOOKUP(Q$5,NFI,5,0),1,0)*Table_NFI[[#This Row],[Plastic Mat]],Table_NFI[Plastic Mat])*IF(Table_NFI[[#This Row],[Distribution Date]]&gt;"2014-04-01",1,2.5)</f>
        <v>0</v>
      </c>
      <c r="AG812" s="436">
        <f>IF(NFI_Expiration=1,IF($A812&lt;VLOOKUP(R$5,NFI,5,0),1,0)*Table_NFI[[#This Row],[Winter Clothes Adult]],Table_NFI[Winter Clothes Adult])</f>
        <v>0</v>
      </c>
      <c r="AH812" s="436">
        <f>IF(NFI_Expiration=1,IF($A812&lt;VLOOKUP(S$5,NFI,5,0),1,0)*Table_NFI[[#This Row],[Winter Clothes Children]],Table_NFI[Winter Clothes Children])</f>
        <v>0</v>
      </c>
      <c r="AI812" s="436">
        <f>IF(NFI_Expiration=1,IF($A812&lt;VLOOKUP(T$5,NFI,5,0),1,0)*Table_NFI[[#This Row],[Winter Items Other]],Table_NFI[Winter Items Other])</f>
        <v>0</v>
      </c>
      <c r="AJ812" s="436">
        <f>IF(NFI_Expiration=1,IF($A812&lt;VLOOKUP(M$5,NFI,5,0),1,0)*Table_NFI[[#This Row],[Winter Blanket]],Table_NFI[[#This Row],[Winter Blanket]])</f>
        <v>0</v>
      </c>
      <c r="AK812" s="436">
        <f>IF(Table_NFI[[#This Row],[Winter Clothes Adult]]+Table_NFI[[#This Row],[Winter Clothes Children]]+Table_NFI[[#This Row],[Winter Items Other]]+Table_NFI[[#This Row],[Winter Blanket]]&gt;0,1,0)</f>
        <v>0</v>
      </c>
      <c r="AL812" s="439">
        <f>IF(NFI_Expiration=1,IF($A812&lt;VLOOKUP(V$5,NFI,5,0),1,0)*Table_NFI[[#This Row],[Jerry Can]],Table_NFI[Jerry Can])</f>
        <v>0</v>
      </c>
      <c r="AM812" s="781" t="str">
        <f>IFERROR(VLOOKUP(Table_NFI[[#This Row],[Camp Name]],CL,2,0),"")</f>
        <v>MMR001CMP018</v>
      </c>
      <c r="AN812" s="782">
        <f ca="1">IF(Table_NFI[[#This Row],[Pcode]]="","",IF(OFFSET(CampList[Opening Date],MATCH(Table_NFI[[#This Row],[Pcode]],CampList[CP_Pcode],0)-1,0,1,1)&gt;=NFI_Monitor_Date,1,0))</f>
        <v>0</v>
      </c>
      <c r="AO812" s="781" t="str">
        <f>IFERROR(VLOOKUP(Table_NFI[[#This Row],[Camp Name]],CL,3,0),"")</f>
        <v>Open</v>
      </c>
      <c r="AP812" s="436" t="str">
        <f ca="1">IF(Table_NFI[[#This Row],[Pcode]]="","",OFFSET(CampList[Priority],MATCH(Table_NFI[[#This Row],[Pcode]],CampList[CP_Pcode],0)-1,0,1,1))</f>
        <v>P4</v>
      </c>
      <c r="AQ812" s="438">
        <f>IFERROR(Table_NFI[[#This Row],[Kitchen Set]]/VLOOKUP(Table_NFI[[#This Row],[Camp Name]],CL,4,0),"")</f>
        <v>7.3891625615763554E-2</v>
      </c>
      <c r="AR812" s="779" t="s">
        <v>1099</v>
      </c>
      <c r="AS812" s="783"/>
    </row>
    <row r="813" spans="1:45" x14ac:dyDescent="0.25">
      <c r="A813" s="455">
        <f t="shared" si="12"/>
        <v>41.9</v>
      </c>
      <c r="B813" s="778">
        <v>41052</v>
      </c>
      <c r="C813" s="779" t="s">
        <v>454</v>
      </c>
      <c r="D813" s="779" t="s">
        <v>454</v>
      </c>
      <c r="E813" s="779" t="s">
        <v>380</v>
      </c>
      <c r="F813" s="435" t="s">
        <v>237</v>
      </c>
      <c r="G813" s="435" t="s">
        <v>271</v>
      </c>
      <c r="H813" s="436"/>
      <c r="I813" s="436"/>
      <c r="J813" s="436"/>
      <c r="K813" s="436">
        <v>58</v>
      </c>
      <c r="L813" s="437">
        <v>29</v>
      </c>
      <c r="M813" s="437">
        <v>58</v>
      </c>
      <c r="N813" s="437">
        <v>29</v>
      </c>
      <c r="O813" s="437">
        <v>29</v>
      </c>
      <c r="P813" s="439">
        <v>29</v>
      </c>
      <c r="Q813" s="439">
        <v>29</v>
      </c>
      <c r="R813" s="436"/>
      <c r="S813" s="436"/>
      <c r="T813" s="436"/>
      <c r="U813" s="436"/>
      <c r="V813" s="436"/>
      <c r="W813" s="436">
        <f>IF(NFI_Expiration=1,IF($A813&lt;VLOOKUP(H$5,NFI,5,0),1,0)*Table_NFI[[#This Row],[Hygiene Kit]],Table_NFI[Hygiene Kit])</f>
        <v>0</v>
      </c>
      <c r="X813" s="436">
        <f>IF(NFI_Expiration=1,IF($A813&lt;VLOOKUP(I$5,NFI,5,0),1,0)*Table_NFI[[#This Row],[NFI Core Kit]],Table_NFI[NFI Core Kit])</f>
        <v>0</v>
      </c>
      <c r="Y813" s="436">
        <f>IF(NFI_Expiration=1,IF($A813&lt;VLOOKUP(J$5,NFI,5,0),1,0)*Table_NFI[[#This Row],[Sanitary Kit]],Table_NFI[Sanitary Kit])</f>
        <v>0</v>
      </c>
      <c r="Z813" s="436">
        <f>IF(NFI_Expiration=1,IF($A813&lt;VLOOKUP(K$5,NFI,5,0),1,0)*Table_NFI[[#This Row],[Mosquito net]],Table_NFI[Mosquito net])</f>
        <v>0</v>
      </c>
      <c r="AA813" s="436">
        <f>IF(NFI_Expiration=1,IF($A813&lt;VLOOKUP(L$5,NFI,5,0),1,0)*Table_NFI[[#This Row],[Tarpaulin]],Table_NFI[[#This Row],[Tarpaulin]])</f>
        <v>0</v>
      </c>
      <c r="AB813" s="436">
        <f>IF(NFI_Expiration=1,IF($A813&lt;VLOOKUP(M$5,NFI,5,0),1,0)*Table_NFI[[#This Row],[Blanket]],Table_NFI[[#This Row],[Blanket]])</f>
        <v>0</v>
      </c>
      <c r="AC813" s="436">
        <f>IF(NFI_Expiration=1,IF($A813&lt;VLOOKUP(N$5,NFI,5,0),1,0)*Table_NFI[[#This Row],[Kitchen Set]],Table_NFI[Kitchen Set])</f>
        <v>0</v>
      </c>
      <c r="AD813" s="436">
        <f>IF(NFI_Expiration=1,IF($A813&lt;VLOOKUP(O$5,NFI,5,0),1,0)*Table_NFI[[#This Row],[Clothes Kit]],Table_NFI[Clothes Kit])</f>
        <v>0</v>
      </c>
      <c r="AE813" s="436">
        <f>IF(NFI_Expiration=1,IF($A813&lt;VLOOKUP(P$5,NFI,5,0),1,0)*Table_NFI[[#This Row],[Plastic Bucket]],Table_NFI[Plastic Bucket])</f>
        <v>0</v>
      </c>
      <c r="AF813" s="436">
        <f>IF(NFI_Expiration=1,IF($A813&lt;VLOOKUP(Q$5,NFI,5,0),1,0)*Table_NFI[[#This Row],[Plastic Mat]],Table_NFI[Plastic Mat])*IF(Table_NFI[[#This Row],[Distribution Date]]&gt;"2014-04-01",1,2.5)</f>
        <v>0</v>
      </c>
      <c r="AG813" s="436">
        <f>IF(NFI_Expiration=1,IF($A813&lt;VLOOKUP(R$5,NFI,5,0),1,0)*Table_NFI[[#This Row],[Winter Clothes Adult]],Table_NFI[Winter Clothes Adult])</f>
        <v>0</v>
      </c>
      <c r="AH813" s="436">
        <f>IF(NFI_Expiration=1,IF($A813&lt;VLOOKUP(S$5,NFI,5,0),1,0)*Table_NFI[[#This Row],[Winter Clothes Children]],Table_NFI[Winter Clothes Children])</f>
        <v>0</v>
      </c>
      <c r="AI813" s="436">
        <f>IF(NFI_Expiration=1,IF($A813&lt;VLOOKUP(T$5,NFI,5,0),1,0)*Table_NFI[[#This Row],[Winter Items Other]],Table_NFI[Winter Items Other])</f>
        <v>0</v>
      </c>
      <c r="AJ813" s="436">
        <f>IF(NFI_Expiration=1,IF($A813&lt;VLOOKUP(M$5,NFI,5,0),1,0)*Table_NFI[[#This Row],[Winter Blanket]],Table_NFI[[#This Row],[Winter Blanket]])</f>
        <v>0</v>
      </c>
      <c r="AK813" s="436">
        <f>IF(Table_NFI[[#This Row],[Winter Clothes Adult]]+Table_NFI[[#This Row],[Winter Clothes Children]]+Table_NFI[[#This Row],[Winter Items Other]]+Table_NFI[[#This Row],[Winter Blanket]]&gt;0,1,0)</f>
        <v>0</v>
      </c>
      <c r="AL813" s="439">
        <f>IF(NFI_Expiration=1,IF($A813&lt;VLOOKUP(V$5,NFI,5,0),1,0)*Table_NFI[[#This Row],[Jerry Can]],Table_NFI[Jerry Can])</f>
        <v>0</v>
      </c>
      <c r="AM813" s="781" t="str">
        <f>IFERROR(VLOOKUP(Table_NFI[[#This Row],[Camp Name]],CL,2,0),"")</f>
        <v>MMR001CMP024</v>
      </c>
      <c r="AN813" s="782">
        <f ca="1">IF(Table_NFI[[#This Row],[Pcode]]="","",IF(OFFSET(CampList[Opening Date],MATCH(Table_NFI[[#This Row],[Pcode]],CampList[CP_Pcode],0)-1,0,1,1)&gt;=NFI_Monitor_Date,1,0))</f>
        <v>0</v>
      </c>
      <c r="AO813" s="781" t="str">
        <f>IFERROR(VLOOKUP(Table_NFI[[#This Row],[Camp Name]],CL,3,0),"")</f>
        <v>Open</v>
      </c>
      <c r="AP813" s="436" t="str">
        <f ca="1">IF(Table_NFI[[#This Row],[Pcode]]="","",OFFSET(CampList[Priority],MATCH(Table_NFI[[#This Row],[Pcode]],CampList[CP_Pcode],0)-1,0,1,1))</f>
        <v>P4</v>
      </c>
      <c r="AQ813" s="438">
        <f>IFERROR(Table_NFI[[#This Row],[Kitchen Set]]/VLOOKUP(Table_NFI[[#This Row],[Camp Name]],CL,4,0),"")</f>
        <v>0.41428571428571431</v>
      </c>
      <c r="AR813" s="779" t="s">
        <v>1099</v>
      </c>
      <c r="AS813" s="783"/>
    </row>
    <row r="814" spans="1:45" x14ac:dyDescent="0.25">
      <c r="A814" s="455">
        <f t="shared" si="12"/>
        <v>41.9</v>
      </c>
      <c r="B814" s="778">
        <v>41052</v>
      </c>
      <c r="C814" s="779" t="s">
        <v>454</v>
      </c>
      <c r="D814" s="780" t="s">
        <v>454</v>
      </c>
      <c r="E814" s="779" t="s">
        <v>380</v>
      </c>
      <c r="F814" s="435" t="s">
        <v>237</v>
      </c>
      <c r="G814" s="435" t="s">
        <v>238</v>
      </c>
      <c r="H814" s="436"/>
      <c r="I814" s="436"/>
      <c r="J814" s="436"/>
      <c r="K814" s="436">
        <v>54</v>
      </c>
      <c r="L814" s="437">
        <v>29</v>
      </c>
      <c r="M814" s="437">
        <v>54</v>
      </c>
      <c r="N814" s="437">
        <v>29</v>
      </c>
      <c r="O814" s="437">
        <v>29</v>
      </c>
      <c r="P814" s="437">
        <v>29</v>
      </c>
      <c r="Q814" s="437">
        <v>29</v>
      </c>
      <c r="R814" s="436"/>
      <c r="S814" s="436"/>
      <c r="T814" s="436"/>
      <c r="U814" s="436"/>
      <c r="V814" s="436"/>
      <c r="W814" s="436">
        <f>IF(NFI_Expiration=1,IF($A814&lt;VLOOKUP(H$5,NFI,5,0),1,0)*Table_NFI[[#This Row],[Hygiene Kit]],Table_NFI[Hygiene Kit])</f>
        <v>0</v>
      </c>
      <c r="X814" s="436">
        <f>IF(NFI_Expiration=1,IF($A814&lt;VLOOKUP(I$5,NFI,5,0),1,0)*Table_NFI[[#This Row],[NFI Core Kit]],Table_NFI[NFI Core Kit])</f>
        <v>0</v>
      </c>
      <c r="Y814" s="436">
        <f>IF(NFI_Expiration=1,IF($A814&lt;VLOOKUP(J$5,NFI,5,0),1,0)*Table_NFI[[#This Row],[Sanitary Kit]],Table_NFI[Sanitary Kit])</f>
        <v>0</v>
      </c>
      <c r="Z814" s="436">
        <f>IF(NFI_Expiration=1,IF($A814&lt;VLOOKUP(K$5,NFI,5,0),1,0)*Table_NFI[[#This Row],[Mosquito net]],Table_NFI[Mosquito net])</f>
        <v>0</v>
      </c>
      <c r="AA814" s="436">
        <f>IF(NFI_Expiration=1,IF($A814&lt;VLOOKUP(L$5,NFI,5,0),1,0)*Table_NFI[[#This Row],[Tarpaulin]],Table_NFI[[#This Row],[Tarpaulin]])</f>
        <v>0</v>
      </c>
      <c r="AB814" s="436">
        <f>IF(NFI_Expiration=1,IF($A814&lt;VLOOKUP(M$5,NFI,5,0),1,0)*Table_NFI[[#This Row],[Blanket]],Table_NFI[[#This Row],[Blanket]])</f>
        <v>0</v>
      </c>
      <c r="AC814" s="436">
        <f>IF(NFI_Expiration=1,IF($A814&lt;VLOOKUP(N$5,NFI,5,0),1,0)*Table_NFI[[#This Row],[Kitchen Set]],Table_NFI[Kitchen Set])</f>
        <v>0</v>
      </c>
      <c r="AD814" s="436">
        <f>IF(NFI_Expiration=1,IF($A814&lt;VLOOKUP(O$5,NFI,5,0),1,0)*Table_NFI[[#This Row],[Clothes Kit]],Table_NFI[Clothes Kit])</f>
        <v>0</v>
      </c>
      <c r="AE814" s="436">
        <f>IF(NFI_Expiration=1,IF($A814&lt;VLOOKUP(P$5,NFI,5,0),1,0)*Table_NFI[[#This Row],[Plastic Bucket]],Table_NFI[Plastic Bucket])</f>
        <v>0</v>
      </c>
      <c r="AF814" s="436">
        <f>IF(NFI_Expiration=1,IF($A814&lt;VLOOKUP(Q$5,NFI,5,0),1,0)*Table_NFI[[#This Row],[Plastic Mat]],Table_NFI[Plastic Mat])*IF(Table_NFI[[#This Row],[Distribution Date]]&gt;"2014-04-01",1,2.5)</f>
        <v>0</v>
      </c>
      <c r="AG814" s="436">
        <f>IF(NFI_Expiration=1,IF($A814&lt;VLOOKUP(R$5,NFI,5,0),1,0)*Table_NFI[[#This Row],[Winter Clothes Adult]],Table_NFI[Winter Clothes Adult])</f>
        <v>0</v>
      </c>
      <c r="AH814" s="436">
        <f>IF(NFI_Expiration=1,IF($A814&lt;VLOOKUP(S$5,NFI,5,0),1,0)*Table_NFI[[#This Row],[Winter Clothes Children]],Table_NFI[Winter Clothes Children])</f>
        <v>0</v>
      </c>
      <c r="AI814" s="436">
        <f>IF(NFI_Expiration=1,IF($A814&lt;VLOOKUP(T$5,NFI,5,0),1,0)*Table_NFI[[#This Row],[Winter Items Other]],Table_NFI[Winter Items Other])</f>
        <v>0</v>
      </c>
      <c r="AJ814" s="436">
        <f>IF(NFI_Expiration=1,IF($A814&lt;VLOOKUP(M$5,NFI,5,0),1,0)*Table_NFI[[#This Row],[Winter Blanket]],Table_NFI[[#This Row],[Winter Blanket]])</f>
        <v>0</v>
      </c>
      <c r="AK814" s="436">
        <f>IF(Table_NFI[[#This Row],[Winter Clothes Adult]]+Table_NFI[[#This Row],[Winter Clothes Children]]+Table_NFI[[#This Row],[Winter Items Other]]+Table_NFI[[#This Row],[Winter Blanket]]&gt;0,1,0)</f>
        <v>0</v>
      </c>
      <c r="AL814" s="439">
        <f>IF(NFI_Expiration=1,IF($A814&lt;VLOOKUP(V$5,NFI,5,0),1,0)*Table_NFI[[#This Row],[Jerry Can]],Table_NFI[Jerry Can])</f>
        <v>0</v>
      </c>
      <c r="AM814" s="781" t="str">
        <f>IFERROR(VLOOKUP(Table_NFI[[#This Row],[Camp Name]],CL,2,0),"")</f>
        <v>MMR001CMP001</v>
      </c>
      <c r="AN814" s="782">
        <f ca="1">IF(Table_NFI[[#This Row],[Pcode]]="","",IF(OFFSET(CampList[Opening Date],MATCH(Table_NFI[[#This Row],[Pcode]],CampList[CP_Pcode],0)-1,0,1,1)&gt;=NFI_Monitor_Date,1,0))</f>
        <v>0</v>
      </c>
      <c r="AO814" s="781" t="str">
        <f>IFERROR(VLOOKUP(Table_NFI[[#This Row],[Camp Name]],CL,3,0),"")</f>
        <v>Open</v>
      </c>
      <c r="AP814" s="436" t="str">
        <f ca="1">IF(Table_NFI[[#This Row],[Pcode]]="","",OFFSET(CampList[Priority],MATCH(Table_NFI[[#This Row],[Pcode]],CampList[CP_Pcode],0)-1,0,1,1))</f>
        <v>P4</v>
      </c>
      <c r="AQ814" s="438">
        <f>IFERROR(Table_NFI[[#This Row],[Kitchen Set]]/VLOOKUP(Table_NFI[[#This Row],[Camp Name]],CL,4,0),"")</f>
        <v>0.41428571428571431</v>
      </c>
      <c r="AR814" s="779" t="s">
        <v>1099</v>
      </c>
      <c r="AS814" s="783"/>
    </row>
    <row r="815" spans="1:45" x14ac:dyDescent="0.25">
      <c r="A815" s="455">
        <f t="shared" si="12"/>
        <v>41.966666666666669</v>
      </c>
      <c r="B815" s="778">
        <v>41050</v>
      </c>
      <c r="C815" s="779" t="s">
        <v>454</v>
      </c>
      <c r="D815" s="780" t="s">
        <v>454</v>
      </c>
      <c r="E815" s="779" t="s">
        <v>380</v>
      </c>
      <c r="F815" s="435" t="s">
        <v>5</v>
      </c>
      <c r="G815" s="435" t="s">
        <v>6</v>
      </c>
      <c r="H815" s="436"/>
      <c r="I815" s="436"/>
      <c r="J815" s="436"/>
      <c r="K815" s="436">
        <v>0</v>
      </c>
      <c r="L815" s="437">
        <v>15</v>
      </c>
      <c r="M815" s="437">
        <v>0</v>
      </c>
      <c r="N815" s="437">
        <v>0</v>
      </c>
      <c r="O815" s="437">
        <v>0</v>
      </c>
      <c r="P815" s="437"/>
      <c r="Q815" s="437"/>
      <c r="R815" s="436"/>
      <c r="S815" s="436"/>
      <c r="T815" s="436"/>
      <c r="U815" s="436"/>
      <c r="V815" s="436"/>
      <c r="W815" s="436">
        <f>IF(NFI_Expiration=1,IF($A815&lt;VLOOKUP(H$5,NFI,5,0),1,0)*Table_NFI[[#This Row],[Hygiene Kit]],Table_NFI[Hygiene Kit])</f>
        <v>0</v>
      </c>
      <c r="X815" s="436">
        <f>IF(NFI_Expiration=1,IF($A815&lt;VLOOKUP(I$5,NFI,5,0),1,0)*Table_NFI[[#This Row],[NFI Core Kit]],Table_NFI[NFI Core Kit])</f>
        <v>0</v>
      </c>
      <c r="Y815" s="436">
        <f>IF(NFI_Expiration=1,IF($A815&lt;VLOOKUP(J$5,NFI,5,0),1,0)*Table_NFI[[#This Row],[Sanitary Kit]],Table_NFI[Sanitary Kit])</f>
        <v>0</v>
      </c>
      <c r="Z815" s="436">
        <f>IF(NFI_Expiration=1,IF($A815&lt;VLOOKUP(K$5,NFI,5,0),1,0)*Table_NFI[[#This Row],[Mosquito net]],Table_NFI[Mosquito net])</f>
        <v>0</v>
      </c>
      <c r="AA815" s="436">
        <f>IF(NFI_Expiration=1,IF($A815&lt;VLOOKUP(L$5,NFI,5,0),1,0)*Table_NFI[[#This Row],[Tarpaulin]],Table_NFI[[#This Row],[Tarpaulin]])</f>
        <v>0</v>
      </c>
      <c r="AB815" s="436">
        <f>IF(NFI_Expiration=1,IF($A815&lt;VLOOKUP(M$5,NFI,5,0),1,0)*Table_NFI[[#This Row],[Blanket]],Table_NFI[[#This Row],[Blanket]])</f>
        <v>0</v>
      </c>
      <c r="AC815" s="436">
        <f>IF(NFI_Expiration=1,IF($A815&lt;VLOOKUP(N$5,NFI,5,0),1,0)*Table_NFI[[#This Row],[Kitchen Set]],Table_NFI[Kitchen Set])</f>
        <v>0</v>
      </c>
      <c r="AD815" s="436">
        <f>IF(NFI_Expiration=1,IF($A815&lt;VLOOKUP(O$5,NFI,5,0),1,0)*Table_NFI[[#This Row],[Clothes Kit]],Table_NFI[Clothes Kit])</f>
        <v>0</v>
      </c>
      <c r="AE815" s="436">
        <f>IF(NFI_Expiration=1,IF($A815&lt;VLOOKUP(P$5,NFI,5,0),1,0)*Table_NFI[[#This Row],[Plastic Bucket]],Table_NFI[Plastic Bucket])</f>
        <v>0</v>
      </c>
      <c r="AF815" s="436">
        <f>IF(NFI_Expiration=1,IF($A815&lt;VLOOKUP(Q$5,NFI,5,0),1,0)*Table_NFI[[#This Row],[Plastic Mat]],Table_NFI[Plastic Mat])*IF(Table_NFI[[#This Row],[Distribution Date]]&gt;"2014-04-01",1,2.5)</f>
        <v>0</v>
      </c>
      <c r="AG815" s="436">
        <f>IF(NFI_Expiration=1,IF($A815&lt;VLOOKUP(R$5,NFI,5,0),1,0)*Table_NFI[[#This Row],[Winter Clothes Adult]],Table_NFI[Winter Clothes Adult])</f>
        <v>0</v>
      </c>
      <c r="AH815" s="436">
        <f>IF(NFI_Expiration=1,IF($A815&lt;VLOOKUP(S$5,NFI,5,0),1,0)*Table_NFI[[#This Row],[Winter Clothes Children]],Table_NFI[Winter Clothes Children])</f>
        <v>0</v>
      </c>
      <c r="AI815" s="436">
        <f>IF(NFI_Expiration=1,IF($A815&lt;VLOOKUP(T$5,NFI,5,0),1,0)*Table_NFI[[#This Row],[Winter Items Other]],Table_NFI[Winter Items Other])</f>
        <v>0</v>
      </c>
      <c r="AJ815" s="436">
        <f>IF(NFI_Expiration=1,IF($A815&lt;VLOOKUP(M$5,NFI,5,0),1,0)*Table_NFI[[#This Row],[Winter Blanket]],Table_NFI[[#This Row],[Winter Blanket]])</f>
        <v>0</v>
      </c>
      <c r="AK815" s="436">
        <f>IF(Table_NFI[[#This Row],[Winter Clothes Adult]]+Table_NFI[[#This Row],[Winter Clothes Children]]+Table_NFI[[#This Row],[Winter Items Other]]+Table_NFI[[#This Row],[Winter Blanket]]&gt;0,1,0)</f>
        <v>0</v>
      </c>
      <c r="AL815" s="439">
        <f>IF(NFI_Expiration=1,IF($A815&lt;VLOOKUP(V$5,NFI,5,0),1,0)*Table_NFI[[#This Row],[Jerry Can]],Table_NFI[Jerry Can])</f>
        <v>0</v>
      </c>
      <c r="AM815" s="781" t="str">
        <f>IFERROR(VLOOKUP(Table_NFI[[#This Row],[Camp Name]],CL,2,0),"")</f>
        <v>MMR001CMP050</v>
      </c>
      <c r="AN815" s="782">
        <f ca="1">IF(Table_NFI[[#This Row],[Pcode]]="","",IF(OFFSET(CampList[Opening Date],MATCH(Table_NFI[[#This Row],[Pcode]],CampList[CP_Pcode],0)-1,0,1,1)&gt;=NFI_Monitor_Date,1,0))</f>
        <v>0</v>
      </c>
      <c r="AO815" s="781" t="str">
        <f>IFERROR(VLOOKUP(Table_NFI[[#This Row],[Camp Name]],CL,3,0),"")</f>
        <v>Open</v>
      </c>
      <c r="AP815" s="436" t="str">
        <f ca="1">IF(Table_NFI[[#This Row],[Pcode]]="","",OFFSET(CampList[Priority],MATCH(Table_NFI[[#This Row],[Pcode]],CampList[CP_Pcode],0)-1,0,1,1))</f>
        <v>P4</v>
      </c>
      <c r="AQ815" s="438">
        <f>IFERROR(Table_NFI[[#This Row],[Kitchen Set]]/VLOOKUP(Table_NFI[[#This Row],[Camp Name]],CL,4,0),"")</f>
        <v>0</v>
      </c>
      <c r="AR815" s="779" t="s">
        <v>1099</v>
      </c>
      <c r="AS815" s="783"/>
    </row>
    <row r="816" spans="1:45" x14ac:dyDescent="0.25">
      <c r="A816" s="455">
        <f t="shared" si="12"/>
        <v>42.166666666666664</v>
      </c>
      <c r="B816" s="778">
        <v>41044</v>
      </c>
      <c r="C816" s="779" t="s">
        <v>454</v>
      </c>
      <c r="D816" s="780" t="s">
        <v>461</v>
      </c>
      <c r="E816" s="779" t="s">
        <v>380</v>
      </c>
      <c r="F816" s="435" t="s">
        <v>5</v>
      </c>
      <c r="G816" s="435" t="s">
        <v>6</v>
      </c>
      <c r="H816" s="436"/>
      <c r="I816" s="436"/>
      <c r="J816" s="436"/>
      <c r="K816" s="436">
        <v>90</v>
      </c>
      <c r="L816" s="437">
        <v>0</v>
      </c>
      <c r="M816" s="437">
        <v>0</v>
      </c>
      <c r="N816" s="437">
        <v>0</v>
      </c>
      <c r="O816" s="437">
        <v>0</v>
      </c>
      <c r="P816" s="437"/>
      <c r="Q816" s="437"/>
      <c r="R816" s="436"/>
      <c r="S816" s="436"/>
      <c r="T816" s="436"/>
      <c r="U816" s="436"/>
      <c r="V816" s="436"/>
      <c r="W816" s="436">
        <f>IF(NFI_Expiration=1,IF($A816&lt;VLOOKUP(H$5,NFI,5,0),1,0)*Table_NFI[[#This Row],[Hygiene Kit]],Table_NFI[Hygiene Kit])</f>
        <v>0</v>
      </c>
      <c r="X816" s="436">
        <f>IF(NFI_Expiration=1,IF($A816&lt;VLOOKUP(I$5,NFI,5,0),1,0)*Table_NFI[[#This Row],[NFI Core Kit]],Table_NFI[NFI Core Kit])</f>
        <v>0</v>
      </c>
      <c r="Y816" s="436">
        <f>IF(NFI_Expiration=1,IF($A816&lt;VLOOKUP(J$5,NFI,5,0),1,0)*Table_NFI[[#This Row],[Sanitary Kit]],Table_NFI[Sanitary Kit])</f>
        <v>0</v>
      </c>
      <c r="Z816" s="436">
        <f>IF(NFI_Expiration=1,IF($A816&lt;VLOOKUP(K$5,NFI,5,0),1,0)*Table_NFI[[#This Row],[Mosquito net]],Table_NFI[Mosquito net])</f>
        <v>0</v>
      </c>
      <c r="AA816" s="436">
        <f>IF(NFI_Expiration=1,IF($A816&lt;VLOOKUP(L$5,NFI,5,0),1,0)*Table_NFI[[#This Row],[Tarpaulin]],Table_NFI[[#This Row],[Tarpaulin]])</f>
        <v>0</v>
      </c>
      <c r="AB816" s="436">
        <f>IF(NFI_Expiration=1,IF($A816&lt;VLOOKUP(M$5,NFI,5,0),1,0)*Table_NFI[[#This Row],[Blanket]],Table_NFI[[#This Row],[Blanket]])</f>
        <v>0</v>
      </c>
      <c r="AC816" s="436">
        <f>IF(NFI_Expiration=1,IF($A816&lt;VLOOKUP(N$5,NFI,5,0),1,0)*Table_NFI[[#This Row],[Kitchen Set]],Table_NFI[Kitchen Set])</f>
        <v>0</v>
      </c>
      <c r="AD816" s="436">
        <f>IF(NFI_Expiration=1,IF($A816&lt;VLOOKUP(O$5,NFI,5,0),1,0)*Table_NFI[[#This Row],[Clothes Kit]],Table_NFI[Clothes Kit])</f>
        <v>0</v>
      </c>
      <c r="AE816" s="436">
        <f>IF(NFI_Expiration=1,IF($A816&lt;VLOOKUP(P$5,NFI,5,0),1,0)*Table_NFI[[#This Row],[Plastic Bucket]],Table_NFI[Plastic Bucket])</f>
        <v>0</v>
      </c>
      <c r="AF816" s="436">
        <f>IF(NFI_Expiration=1,IF($A816&lt;VLOOKUP(Q$5,NFI,5,0),1,0)*Table_NFI[[#This Row],[Plastic Mat]],Table_NFI[Plastic Mat])*IF(Table_NFI[[#This Row],[Distribution Date]]&gt;"2014-04-01",1,2.5)</f>
        <v>0</v>
      </c>
      <c r="AG816" s="436">
        <f>IF(NFI_Expiration=1,IF($A816&lt;VLOOKUP(R$5,NFI,5,0),1,0)*Table_NFI[[#This Row],[Winter Clothes Adult]],Table_NFI[Winter Clothes Adult])</f>
        <v>0</v>
      </c>
      <c r="AH816" s="436">
        <f>IF(NFI_Expiration=1,IF($A816&lt;VLOOKUP(S$5,NFI,5,0),1,0)*Table_NFI[[#This Row],[Winter Clothes Children]],Table_NFI[Winter Clothes Children])</f>
        <v>0</v>
      </c>
      <c r="AI816" s="436">
        <f>IF(NFI_Expiration=1,IF($A816&lt;VLOOKUP(T$5,NFI,5,0),1,0)*Table_NFI[[#This Row],[Winter Items Other]],Table_NFI[Winter Items Other])</f>
        <v>0</v>
      </c>
      <c r="AJ816" s="436">
        <f>IF(NFI_Expiration=1,IF($A816&lt;VLOOKUP(M$5,NFI,5,0),1,0)*Table_NFI[[#This Row],[Winter Blanket]],Table_NFI[[#This Row],[Winter Blanket]])</f>
        <v>0</v>
      </c>
      <c r="AK816" s="436">
        <f>IF(Table_NFI[[#This Row],[Winter Clothes Adult]]+Table_NFI[[#This Row],[Winter Clothes Children]]+Table_NFI[[#This Row],[Winter Items Other]]+Table_NFI[[#This Row],[Winter Blanket]]&gt;0,1,0)</f>
        <v>0</v>
      </c>
      <c r="AL816" s="439">
        <f>IF(NFI_Expiration=1,IF($A816&lt;VLOOKUP(V$5,NFI,5,0),1,0)*Table_NFI[[#This Row],[Jerry Can]],Table_NFI[Jerry Can])</f>
        <v>0</v>
      </c>
      <c r="AM816" s="781" t="str">
        <f>IFERROR(VLOOKUP(Table_NFI[[#This Row],[Camp Name]],CL,2,0),"")</f>
        <v>MMR001CMP050</v>
      </c>
      <c r="AN816" s="782">
        <f ca="1">IF(Table_NFI[[#This Row],[Pcode]]="","",IF(OFFSET(CampList[Opening Date],MATCH(Table_NFI[[#This Row],[Pcode]],CampList[CP_Pcode],0)-1,0,1,1)&gt;=NFI_Monitor_Date,1,0))</f>
        <v>0</v>
      </c>
      <c r="AO816" s="781" t="str">
        <f>IFERROR(VLOOKUP(Table_NFI[[#This Row],[Camp Name]],CL,3,0),"")</f>
        <v>Open</v>
      </c>
      <c r="AP816" s="436" t="str">
        <f ca="1">IF(Table_NFI[[#This Row],[Pcode]]="","",OFFSET(CampList[Priority],MATCH(Table_NFI[[#This Row],[Pcode]],CampList[CP_Pcode],0)-1,0,1,1))</f>
        <v>P4</v>
      </c>
      <c r="AQ816" s="438">
        <f>IFERROR(Table_NFI[[#This Row],[Kitchen Set]]/VLOOKUP(Table_NFI[[#This Row],[Camp Name]],CL,4,0),"")</f>
        <v>0</v>
      </c>
      <c r="AR816" s="779" t="s">
        <v>1099</v>
      </c>
      <c r="AS816" s="783"/>
    </row>
    <row r="817" spans="1:45" x14ac:dyDescent="0.25">
      <c r="A817" s="455">
        <f t="shared" si="12"/>
        <v>42.3</v>
      </c>
      <c r="B817" s="778">
        <v>41040</v>
      </c>
      <c r="C817" s="779" t="s">
        <v>454</v>
      </c>
      <c r="D817" s="779" t="s">
        <v>461</v>
      </c>
      <c r="E817" s="779" t="s">
        <v>380</v>
      </c>
      <c r="F817" s="435" t="s">
        <v>302</v>
      </c>
      <c r="G817" s="435" t="s">
        <v>306</v>
      </c>
      <c r="H817" s="436"/>
      <c r="I817" s="436"/>
      <c r="J817" s="436"/>
      <c r="K817" s="436">
        <v>38</v>
      </c>
      <c r="L817" s="437">
        <v>23</v>
      </c>
      <c r="M817" s="437">
        <v>38</v>
      </c>
      <c r="N817" s="437">
        <v>23</v>
      </c>
      <c r="O817" s="437">
        <v>23</v>
      </c>
      <c r="P817" s="439">
        <v>23</v>
      </c>
      <c r="Q817" s="439">
        <v>23</v>
      </c>
      <c r="R817" s="436"/>
      <c r="S817" s="436"/>
      <c r="T817" s="436"/>
      <c r="U817" s="436"/>
      <c r="V817" s="436"/>
      <c r="W817" s="436">
        <f>IF(NFI_Expiration=1,IF($A817&lt;VLOOKUP(H$5,NFI,5,0),1,0)*Table_NFI[[#This Row],[Hygiene Kit]],Table_NFI[Hygiene Kit])</f>
        <v>0</v>
      </c>
      <c r="X817" s="436">
        <f>IF(NFI_Expiration=1,IF($A817&lt;VLOOKUP(I$5,NFI,5,0),1,0)*Table_NFI[[#This Row],[NFI Core Kit]],Table_NFI[NFI Core Kit])</f>
        <v>0</v>
      </c>
      <c r="Y817" s="436">
        <f>IF(NFI_Expiration=1,IF($A817&lt;VLOOKUP(J$5,NFI,5,0),1,0)*Table_NFI[[#This Row],[Sanitary Kit]],Table_NFI[Sanitary Kit])</f>
        <v>0</v>
      </c>
      <c r="Z817" s="436">
        <f>IF(NFI_Expiration=1,IF($A817&lt;VLOOKUP(K$5,NFI,5,0),1,0)*Table_NFI[[#This Row],[Mosquito net]],Table_NFI[Mosquito net])</f>
        <v>0</v>
      </c>
      <c r="AA817" s="436">
        <f>IF(NFI_Expiration=1,IF($A817&lt;VLOOKUP(L$5,NFI,5,0),1,0)*Table_NFI[[#This Row],[Tarpaulin]],Table_NFI[[#This Row],[Tarpaulin]])</f>
        <v>0</v>
      </c>
      <c r="AB817" s="436">
        <f>IF(NFI_Expiration=1,IF($A817&lt;VLOOKUP(M$5,NFI,5,0),1,0)*Table_NFI[[#This Row],[Blanket]],Table_NFI[[#This Row],[Blanket]])</f>
        <v>0</v>
      </c>
      <c r="AC817" s="436">
        <f>IF(NFI_Expiration=1,IF($A817&lt;VLOOKUP(N$5,NFI,5,0),1,0)*Table_NFI[[#This Row],[Kitchen Set]],Table_NFI[Kitchen Set])</f>
        <v>0</v>
      </c>
      <c r="AD817" s="436">
        <f>IF(NFI_Expiration=1,IF($A817&lt;VLOOKUP(O$5,NFI,5,0),1,0)*Table_NFI[[#This Row],[Clothes Kit]],Table_NFI[Clothes Kit])</f>
        <v>0</v>
      </c>
      <c r="AE817" s="436">
        <f>IF(NFI_Expiration=1,IF($A817&lt;VLOOKUP(P$5,NFI,5,0),1,0)*Table_NFI[[#This Row],[Plastic Bucket]],Table_NFI[Plastic Bucket])</f>
        <v>0</v>
      </c>
      <c r="AF817" s="436">
        <f>IF(NFI_Expiration=1,IF($A817&lt;VLOOKUP(Q$5,NFI,5,0),1,0)*Table_NFI[[#This Row],[Plastic Mat]],Table_NFI[Plastic Mat])*IF(Table_NFI[[#This Row],[Distribution Date]]&gt;"2014-04-01",1,2.5)</f>
        <v>0</v>
      </c>
      <c r="AG817" s="436">
        <f>IF(NFI_Expiration=1,IF($A817&lt;VLOOKUP(R$5,NFI,5,0),1,0)*Table_NFI[[#This Row],[Winter Clothes Adult]],Table_NFI[Winter Clothes Adult])</f>
        <v>0</v>
      </c>
      <c r="AH817" s="436">
        <f>IF(NFI_Expiration=1,IF($A817&lt;VLOOKUP(S$5,NFI,5,0),1,0)*Table_NFI[[#This Row],[Winter Clothes Children]],Table_NFI[Winter Clothes Children])</f>
        <v>0</v>
      </c>
      <c r="AI817" s="436">
        <f>IF(NFI_Expiration=1,IF($A817&lt;VLOOKUP(T$5,NFI,5,0),1,0)*Table_NFI[[#This Row],[Winter Items Other]],Table_NFI[Winter Items Other])</f>
        <v>0</v>
      </c>
      <c r="AJ817" s="436">
        <f>IF(NFI_Expiration=1,IF($A817&lt;VLOOKUP(M$5,NFI,5,0),1,0)*Table_NFI[[#This Row],[Winter Blanket]],Table_NFI[[#This Row],[Winter Blanket]])</f>
        <v>0</v>
      </c>
      <c r="AK817" s="436">
        <f>IF(Table_NFI[[#This Row],[Winter Clothes Adult]]+Table_NFI[[#This Row],[Winter Clothes Children]]+Table_NFI[[#This Row],[Winter Items Other]]+Table_NFI[[#This Row],[Winter Blanket]]&gt;0,1,0)</f>
        <v>0</v>
      </c>
      <c r="AL817" s="439">
        <f>IF(NFI_Expiration=1,IF($A817&lt;VLOOKUP(V$5,NFI,5,0),1,0)*Table_NFI[[#This Row],[Jerry Can]],Table_NFI[Jerry Can])</f>
        <v>0</v>
      </c>
      <c r="AM817" s="781" t="str">
        <f>IFERROR(VLOOKUP(Table_NFI[[#This Row],[Camp Name]],CL,2,0),"")</f>
        <v>MMR001CMP067</v>
      </c>
      <c r="AN817" s="782">
        <f ca="1">IF(Table_NFI[[#This Row],[Pcode]]="","",IF(OFFSET(CampList[Opening Date],MATCH(Table_NFI[[#This Row],[Pcode]],CampList[CP_Pcode],0)-1,0,1,1)&gt;=NFI_Monitor_Date,1,0))</f>
        <v>0</v>
      </c>
      <c r="AO817" s="781" t="str">
        <f>IFERROR(VLOOKUP(Table_NFI[[#This Row],[Camp Name]],CL,3,0),"")</f>
        <v>Open</v>
      </c>
      <c r="AP817" s="436" t="str">
        <f ca="1">IF(Table_NFI[[#This Row],[Pcode]]="","",OFFSET(CampList[Priority],MATCH(Table_NFI[[#This Row],[Pcode]],CampList[CP_Pcode],0)-1,0,1,1))</f>
        <v>P4</v>
      </c>
      <c r="AQ817" s="438">
        <f>IFERROR(Table_NFI[[#This Row],[Kitchen Set]]/VLOOKUP(Table_NFI[[#This Row],[Camp Name]],CL,4,0),"")</f>
        <v>0.27710843373493976</v>
      </c>
      <c r="AR817" s="779" t="s">
        <v>1099</v>
      </c>
      <c r="AS817" s="783"/>
    </row>
    <row r="818" spans="1:45" x14ac:dyDescent="0.25">
      <c r="A818" s="455">
        <f t="shared" si="12"/>
        <v>42.3</v>
      </c>
      <c r="B818" s="778">
        <v>41040</v>
      </c>
      <c r="C818" s="779" t="s">
        <v>454</v>
      </c>
      <c r="D818" s="780" t="s">
        <v>454</v>
      </c>
      <c r="E818" s="779" t="s">
        <v>380</v>
      </c>
      <c r="F818" s="435" t="s">
        <v>310</v>
      </c>
      <c r="G818" s="435" t="s">
        <v>330</v>
      </c>
      <c r="H818" s="436"/>
      <c r="I818" s="436"/>
      <c r="J818" s="436"/>
      <c r="K818" s="436">
        <v>57</v>
      </c>
      <c r="L818" s="437">
        <v>29</v>
      </c>
      <c r="M818" s="437">
        <v>57</v>
      </c>
      <c r="N818" s="437">
        <v>29</v>
      </c>
      <c r="O818" s="437">
        <v>29</v>
      </c>
      <c r="P818" s="437">
        <v>29</v>
      </c>
      <c r="Q818" s="437">
        <v>29</v>
      </c>
      <c r="R818" s="436"/>
      <c r="S818" s="436"/>
      <c r="T818" s="436"/>
      <c r="U818" s="436"/>
      <c r="V818" s="436"/>
      <c r="W818" s="436">
        <f>IF(NFI_Expiration=1,IF($A818&lt;VLOOKUP(H$5,NFI,5,0),1,0)*Table_NFI[[#This Row],[Hygiene Kit]],Table_NFI[Hygiene Kit])</f>
        <v>0</v>
      </c>
      <c r="X818" s="436">
        <f>IF(NFI_Expiration=1,IF($A818&lt;VLOOKUP(I$5,NFI,5,0),1,0)*Table_NFI[[#This Row],[NFI Core Kit]],Table_NFI[NFI Core Kit])</f>
        <v>0</v>
      </c>
      <c r="Y818" s="436">
        <f>IF(NFI_Expiration=1,IF($A818&lt;VLOOKUP(J$5,NFI,5,0),1,0)*Table_NFI[[#This Row],[Sanitary Kit]],Table_NFI[Sanitary Kit])</f>
        <v>0</v>
      </c>
      <c r="Z818" s="436">
        <f>IF(NFI_Expiration=1,IF($A818&lt;VLOOKUP(K$5,NFI,5,0),1,0)*Table_NFI[[#This Row],[Mosquito net]],Table_NFI[Mosquito net])</f>
        <v>0</v>
      </c>
      <c r="AA818" s="436">
        <f>IF(NFI_Expiration=1,IF($A818&lt;VLOOKUP(L$5,NFI,5,0),1,0)*Table_NFI[[#This Row],[Tarpaulin]],Table_NFI[[#This Row],[Tarpaulin]])</f>
        <v>0</v>
      </c>
      <c r="AB818" s="436">
        <f>IF(NFI_Expiration=1,IF($A818&lt;VLOOKUP(M$5,NFI,5,0),1,0)*Table_NFI[[#This Row],[Blanket]],Table_NFI[[#This Row],[Blanket]])</f>
        <v>0</v>
      </c>
      <c r="AC818" s="436">
        <f>IF(NFI_Expiration=1,IF($A818&lt;VLOOKUP(N$5,NFI,5,0),1,0)*Table_NFI[[#This Row],[Kitchen Set]],Table_NFI[Kitchen Set])</f>
        <v>0</v>
      </c>
      <c r="AD818" s="436">
        <f>IF(NFI_Expiration=1,IF($A818&lt;VLOOKUP(O$5,NFI,5,0),1,0)*Table_NFI[[#This Row],[Clothes Kit]],Table_NFI[Clothes Kit])</f>
        <v>0</v>
      </c>
      <c r="AE818" s="436">
        <f>IF(NFI_Expiration=1,IF($A818&lt;VLOOKUP(P$5,NFI,5,0),1,0)*Table_NFI[[#This Row],[Plastic Bucket]],Table_NFI[Plastic Bucket])</f>
        <v>0</v>
      </c>
      <c r="AF818" s="436">
        <f>IF(NFI_Expiration=1,IF($A818&lt;VLOOKUP(Q$5,NFI,5,0),1,0)*Table_NFI[[#This Row],[Plastic Mat]],Table_NFI[Plastic Mat])*IF(Table_NFI[[#This Row],[Distribution Date]]&gt;"2014-04-01",1,2.5)</f>
        <v>0</v>
      </c>
      <c r="AG818" s="436">
        <f>IF(NFI_Expiration=1,IF($A818&lt;VLOOKUP(R$5,NFI,5,0),1,0)*Table_NFI[[#This Row],[Winter Clothes Adult]],Table_NFI[Winter Clothes Adult])</f>
        <v>0</v>
      </c>
      <c r="AH818" s="436">
        <f>IF(NFI_Expiration=1,IF($A818&lt;VLOOKUP(S$5,NFI,5,0),1,0)*Table_NFI[[#This Row],[Winter Clothes Children]],Table_NFI[Winter Clothes Children])</f>
        <v>0</v>
      </c>
      <c r="AI818" s="436">
        <f>IF(NFI_Expiration=1,IF($A818&lt;VLOOKUP(T$5,NFI,5,0),1,0)*Table_NFI[[#This Row],[Winter Items Other]],Table_NFI[Winter Items Other])</f>
        <v>0</v>
      </c>
      <c r="AJ818" s="436">
        <f>IF(NFI_Expiration=1,IF($A818&lt;VLOOKUP(M$5,NFI,5,0),1,0)*Table_NFI[[#This Row],[Winter Blanket]],Table_NFI[[#This Row],[Winter Blanket]])</f>
        <v>0</v>
      </c>
      <c r="AK818" s="436">
        <f>IF(Table_NFI[[#This Row],[Winter Clothes Adult]]+Table_NFI[[#This Row],[Winter Clothes Children]]+Table_NFI[[#This Row],[Winter Items Other]]+Table_NFI[[#This Row],[Winter Blanket]]&gt;0,1,0)</f>
        <v>0</v>
      </c>
      <c r="AL818" s="439">
        <f>IF(NFI_Expiration=1,IF($A818&lt;VLOOKUP(V$5,NFI,5,0),1,0)*Table_NFI[[#This Row],[Jerry Can]],Table_NFI[Jerry Can])</f>
        <v>0</v>
      </c>
      <c r="AM818" s="781" t="str">
        <f>IFERROR(VLOOKUP(Table_NFI[[#This Row],[Camp Name]],CL,2,0),"")</f>
        <v>MMR001CMP029</v>
      </c>
      <c r="AN818" s="782">
        <f ca="1">IF(Table_NFI[[#This Row],[Pcode]]="","",IF(OFFSET(CampList[Opening Date],MATCH(Table_NFI[[#This Row],[Pcode]],CampList[CP_Pcode],0)-1,0,1,1)&gt;=NFI_Monitor_Date,1,0))</f>
        <v>0</v>
      </c>
      <c r="AO818" s="781" t="str">
        <f>IFERROR(VLOOKUP(Table_NFI[[#This Row],[Camp Name]],CL,3,0),"")</f>
        <v>Open</v>
      </c>
      <c r="AP818" s="436" t="str">
        <f ca="1">IF(Table_NFI[[#This Row],[Pcode]]="","",OFFSET(CampList[Priority],MATCH(Table_NFI[[#This Row],[Pcode]],CampList[CP_Pcode],0)-1,0,1,1))</f>
        <v>P4</v>
      </c>
      <c r="AQ818" s="438">
        <f>IFERROR(Table_NFI[[#This Row],[Kitchen Set]]/VLOOKUP(Table_NFI[[#This Row],[Camp Name]],CL,4,0),"")</f>
        <v>0.1277533039647577</v>
      </c>
      <c r="AR818" s="779" t="s">
        <v>1099</v>
      </c>
      <c r="AS818" s="783"/>
    </row>
    <row r="819" spans="1:45" x14ac:dyDescent="0.25">
      <c r="A819" s="455">
        <f t="shared" si="12"/>
        <v>42.3</v>
      </c>
      <c r="B819" s="778">
        <v>41040</v>
      </c>
      <c r="C819" s="779" t="s">
        <v>454</v>
      </c>
      <c r="D819" s="780" t="s">
        <v>454</v>
      </c>
      <c r="E819" s="779" t="s">
        <v>380</v>
      </c>
      <c r="F819" s="435" t="s">
        <v>310</v>
      </c>
      <c r="G819" s="435" t="s">
        <v>324</v>
      </c>
      <c r="H819" s="436"/>
      <c r="I819" s="436"/>
      <c r="J819" s="436"/>
      <c r="K819" s="436">
        <v>50</v>
      </c>
      <c r="L819" s="437">
        <v>25</v>
      </c>
      <c r="M819" s="437">
        <v>50</v>
      </c>
      <c r="N819" s="437">
        <v>24</v>
      </c>
      <c r="O819" s="437">
        <v>13</v>
      </c>
      <c r="P819" s="437">
        <v>13</v>
      </c>
      <c r="Q819" s="437">
        <v>13</v>
      </c>
      <c r="R819" s="436"/>
      <c r="S819" s="436"/>
      <c r="T819" s="436"/>
      <c r="U819" s="436"/>
      <c r="V819" s="436"/>
      <c r="W819" s="436">
        <f>IF(NFI_Expiration=1,IF($A819&lt;VLOOKUP(H$5,NFI,5,0),1,0)*Table_NFI[[#This Row],[Hygiene Kit]],Table_NFI[Hygiene Kit])</f>
        <v>0</v>
      </c>
      <c r="X819" s="436">
        <f>IF(NFI_Expiration=1,IF($A819&lt;VLOOKUP(I$5,NFI,5,0),1,0)*Table_NFI[[#This Row],[NFI Core Kit]],Table_NFI[NFI Core Kit])</f>
        <v>0</v>
      </c>
      <c r="Y819" s="436">
        <f>IF(NFI_Expiration=1,IF($A819&lt;VLOOKUP(J$5,NFI,5,0),1,0)*Table_NFI[[#This Row],[Sanitary Kit]],Table_NFI[Sanitary Kit])</f>
        <v>0</v>
      </c>
      <c r="Z819" s="436">
        <f>IF(NFI_Expiration=1,IF($A819&lt;VLOOKUP(K$5,NFI,5,0),1,0)*Table_NFI[[#This Row],[Mosquito net]],Table_NFI[Mosquito net])</f>
        <v>0</v>
      </c>
      <c r="AA819" s="436">
        <f>IF(NFI_Expiration=1,IF($A819&lt;VLOOKUP(L$5,NFI,5,0),1,0)*Table_NFI[[#This Row],[Tarpaulin]],Table_NFI[[#This Row],[Tarpaulin]])</f>
        <v>0</v>
      </c>
      <c r="AB819" s="436">
        <f>IF(NFI_Expiration=1,IF($A819&lt;VLOOKUP(M$5,NFI,5,0),1,0)*Table_NFI[[#This Row],[Blanket]],Table_NFI[[#This Row],[Blanket]])</f>
        <v>0</v>
      </c>
      <c r="AC819" s="436">
        <f>IF(NFI_Expiration=1,IF($A819&lt;VLOOKUP(N$5,NFI,5,0),1,0)*Table_NFI[[#This Row],[Kitchen Set]],Table_NFI[Kitchen Set])</f>
        <v>0</v>
      </c>
      <c r="AD819" s="436">
        <f>IF(NFI_Expiration=1,IF($A819&lt;VLOOKUP(O$5,NFI,5,0),1,0)*Table_NFI[[#This Row],[Clothes Kit]],Table_NFI[Clothes Kit])</f>
        <v>0</v>
      </c>
      <c r="AE819" s="436">
        <f>IF(NFI_Expiration=1,IF($A819&lt;VLOOKUP(P$5,NFI,5,0),1,0)*Table_NFI[[#This Row],[Plastic Bucket]],Table_NFI[Plastic Bucket])</f>
        <v>0</v>
      </c>
      <c r="AF819" s="436">
        <f>IF(NFI_Expiration=1,IF($A819&lt;VLOOKUP(Q$5,NFI,5,0),1,0)*Table_NFI[[#This Row],[Plastic Mat]],Table_NFI[Plastic Mat])*IF(Table_NFI[[#This Row],[Distribution Date]]&gt;"2014-04-01",1,2.5)</f>
        <v>0</v>
      </c>
      <c r="AG819" s="436">
        <f>IF(NFI_Expiration=1,IF($A819&lt;VLOOKUP(R$5,NFI,5,0),1,0)*Table_NFI[[#This Row],[Winter Clothes Adult]],Table_NFI[Winter Clothes Adult])</f>
        <v>0</v>
      </c>
      <c r="AH819" s="436">
        <f>IF(NFI_Expiration=1,IF($A819&lt;VLOOKUP(S$5,NFI,5,0),1,0)*Table_NFI[[#This Row],[Winter Clothes Children]],Table_NFI[Winter Clothes Children])</f>
        <v>0</v>
      </c>
      <c r="AI819" s="436">
        <f>IF(NFI_Expiration=1,IF($A819&lt;VLOOKUP(T$5,NFI,5,0),1,0)*Table_NFI[[#This Row],[Winter Items Other]],Table_NFI[Winter Items Other])</f>
        <v>0</v>
      </c>
      <c r="AJ819" s="436">
        <f>IF(NFI_Expiration=1,IF($A819&lt;VLOOKUP(M$5,NFI,5,0),1,0)*Table_NFI[[#This Row],[Winter Blanket]],Table_NFI[[#This Row],[Winter Blanket]])</f>
        <v>0</v>
      </c>
      <c r="AK819" s="436">
        <f>IF(Table_NFI[[#This Row],[Winter Clothes Adult]]+Table_NFI[[#This Row],[Winter Clothes Children]]+Table_NFI[[#This Row],[Winter Items Other]]+Table_NFI[[#This Row],[Winter Blanket]]&gt;0,1,0)</f>
        <v>0</v>
      </c>
      <c r="AL819" s="439">
        <f>IF(NFI_Expiration=1,IF($A819&lt;VLOOKUP(V$5,NFI,5,0),1,0)*Table_NFI[[#This Row],[Jerry Can]],Table_NFI[Jerry Can])</f>
        <v>0</v>
      </c>
      <c r="AM819" s="781" t="str">
        <f>IFERROR(VLOOKUP(Table_NFI[[#This Row],[Camp Name]],CL,2,0),"")</f>
        <v>MMR001CMP040</v>
      </c>
      <c r="AN819" s="782">
        <f ca="1">IF(Table_NFI[[#This Row],[Pcode]]="","",IF(OFFSET(CampList[Opening Date],MATCH(Table_NFI[[#This Row],[Pcode]],CampList[CP_Pcode],0)-1,0,1,1)&gt;=NFI_Monitor_Date,1,0))</f>
        <v>0</v>
      </c>
      <c r="AO819" s="781" t="str">
        <f>IFERROR(VLOOKUP(Table_NFI[[#This Row],[Camp Name]],CL,3,0),"")</f>
        <v>Open</v>
      </c>
      <c r="AP819" s="436" t="str">
        <f ca="1">IF(Table_NFI[[#This Row],[Pcode]]="","",OFFSET(CampList[Priority],MATCH(Table_NFI[[#This Row],[Pcode]],CampList[CP_Pcode],0)-1,0,1,1))</f>
        <v>P4</v>
      </c>
      <c r="AQ819" s="438">
        <f>IFERROR(Table_NFI[[#This Row],[Kitchen Set]]/VLOOKUP(Table_NFI[[#This Row],[Camp Name]],CL,4,0),"")</f>
        <v>5.6074766355140186E-2</v>
      </c>
      <c r="AR819" s="779" t="s">
        <v>1099</v>
      </c>
      <c r="AS819" s="783"/>
    </row>
    <row r="820" spans="1:45" x14ac:dyDescent="0.25">
      <c r="A820" s="455">
        <f t="shared" si="12"/>
        <v>42.3</v>
      </c>
      <c r="B820" s="778">
        <v>41040</v>
      </c>
      <c r="C820" s="779" t="s">
        <v>454</v>
      </c>
      <c r="D820" s="779" t="s">
        <v>461</v>
      </c>
      <c r="E820" s="779" t="s">
        <v>380</v>
      </c>
      <c r="F820" s="779" t="s">
        <v>302</v>
      </c>
      <c r="G820" s="435" t="s">
        <v>308</v>
      </c>
      <c r="H820" s="436"/>
      <c r="I820" s="436"/>
      <c r="J820" s="436"/>
      <c r="K820" s="436">
        <v>37</v>
      </c>
      <c r="L820" s="437">
        <v>22</v>
      </c>
      <c r="M820" s="437">
        <v>37</v>
      </c>
      <c r="N820" s="437">
        <v>22</v>
      </c>
      <c r="O820" s="437">
        <v>22</v>
      </c>
      <c r="P820" s="439">
        <v>22</v>
      </c>
      <c r="Q820" s="439">
        <v>22</v>
      </c>
      <c r="R820" s="436"/>
      <c r="S820" s="436"/>
      <c r="T820" s="436"/>
      <c r="U820" s="436"/>
      <c r="V820" s="436"/>
      <c r="W820" s="436">
        <f>IF(NFI_Expiration=1,IF($A820&lt;VLOOKUP(H$5,NFI,5,0),1,0)*Table_NFI[[#This Row],[Hygiene Kit]],Table_NFI[Hygiene Kit])</f>
        <v>0</v>
      </c>
      <c r="X820" s="436">
        <f>IF(NFI_Expiration=1,IF($A820&lt;VLOOKUP(I$5,NFI,5,0),1,0)*Table_NFI[[#This Row],[NFI Core Kit]],Table_NFI[NFI Core Kit])</f>
        <v>0</v>
      </c>
      <c r="Y820" s="436">
        <f>IF(NFI_Expiration=1,IF($A820&lt;VLOOKUP(J$5,NFI,5,0),1,0)*Table_NFI[[#This Row],[Sanitary Kit]],Table_NFI[Sanitary Kit])</f>
        <v>0</v>
      </c>
      <c r="Z820" s="436">
        <f>IF(NFI_Expiration=1,IF($A820&lt;VLOOKUP(K$5,NFI,5,0),1,0)*Table_NFI[[#This Row],[Mosquito net]],Table_NFI[Mosquito net])</f>
        <v>0</v>
      </c>
      <c r="AA820" s="436">
        <f>IF(NFI_Expiration=1,IF($A820&lt;VLOOKUP(L$5,NFI,5,0),1,0)*Table_NFI[[#This Row],[Tarpaulin]],Table_NFI[[#This Row],[Tarpaulin]])</f>
        <v>0</v>
      </c>
      <c r="AB820" s="436">
        <f>IF(NFI_Expiration=1,IF($A820&lt;VLOOKUP(M$5,NFI,5,0),1,0)*Table_NFI[[#This Row],[Blanket]],Table_NFI[[#This Row],[Blanket]])</f>
        <v>0</v>
      </c>
      <c r="AC820" s="436">
        <f>IF(NFI_Expiration=1,IF($A820&lt;VLOOKUP(N$5,NFI,5,0),1,0)*Table_NFI[[#This Row],[Kitchen Set]],Table_NFI[Kitchen Set])</f>
        <v>0</v>
      </c>
      <c r="AD820" s="436">
        <f>IF(NFI_Expiration=1,IF($A820&lt;VLOOKUP(O$5,NFI,5,0),1,0)*Table_NFI[[#This Row],[Clothes Kit]],Table_NFI[Clothes Kit])</f>
        <v>0</v>
      </c>
      <c r="AE820" s="436">
        <f>IF(NFI_Expiration=1,IF($A820&lt;VLOOKUP(P$5,NFI,5,0),1,0)*Table_NFI[[#This Row],[Plastic Bucket]],Table_NFI[Plastic Bucket])</f>
        <v>0</v>
      </c>
      <c r="AF820" s="436">
        <f>IF(NFI_Expiration=1,IF($A820&lt;VLOOKUP(Q$5,NFI,5,0),1,0)*Table_NFI[[#This Row],[Plastic Mat]],Table_NFI[Plastic Mat])*IF(Table_NFI[[#This Row],[Distribution Date]]&gt;"2014-04-01",1,2.5)</f>
        <v>0</v>
      </c>
      <c r="AG820" s="436">
        <f>IF(NFI_Expiration=1,IF($A820&lt;VLOOKUP(R$5,NFI,5,0),1,0)*Table_NFI[[#This Row],[Winter Clothes Adult]],Table_NFI[Winter Clothes Adult])</f>
        <v>0</v>
      </c>
      <c r="AH820" s="436">
        <f>IF(NFI_Expiration=1,IF($A820&lt;VLOOKUP(S$5,NFI,5,0),1,0)*Table_NFI[[#This Row],[Winter Clothes Children]],Table_NFI[Winter Clothes Children])</f>
        <v>0</v>
      </c>
      <c r="AI820" s="436">
        <f>IF(NFI_Expiration=1,IF($A820&lt;VLOOKUP(T$5,NFI,5,0),1,0)*Table_NFI[[#This Row],[Winter Items Other]],Table_NFI[Winter Items Other])</f>
        <v>0</v>
      </c>
      <c r="AJ820" s="436">
        <f>IF(NFI_Expiration=1,IF($A820&lt;VLOOKUP(M$5,NFI,5,0),1,0)*Table_NFI[[#This Row],[Winter Blanket]],Table_NFI[[#This Row],[Winter Blanket]])</f>
        <v>0</v>
      </c>
      <c r="AK820" s="436">
        <f>IF(Table_NFI[[#This Row],[Winter Clothes Adult]]+Table_NFI[[#This Row],[Winter Clothes Children]]+Table_NFI[[#This Row],[Winter Items Other]]+Table_NFI[[#This Row],[Winter Blanket]]&gt;0,1,0)</f>
        <v>0</v>
      </c>
      <c r="AL820" s="439">
        <f>IF(NFI_Expiration=1,IF($A820&lt;VLOOKUP(V$5,NFI,5,0),1,0)*Table_NFI[[#This Row],[Jerry Can]],Table_NFI[Jerry Can])</f>
        <v>0</v>
      </c>
      <c r="AM820" s="781" t="str">
        <f>IFERROR(VLOOKUP(Table_NFI[[#This Row],[Camp Name]],CL,2,0),"")</f>
        <v>MMR001CMP068</v>
      </c>
      <c r="AN820" s="782">
        <f ca="1">IF(Table_NFI[[#This Row],[Pcode]]="","",IF(OFFSET(CampList[Opening Date],MATCH(Table_NFI[[#This Row],[Pcode]],CampList[CP_Pcode],0)-1,0,1,1)&gt;=NFI_Monitor_Date,1,0))</f>
        <v>0</v>
      </c>
      <c r="AO820" s="781" t="str">
        <f>IFERROR(VLOOKUP(Table_NFI[[#This Row],[Camp Name]],CL,3,0),"")</f>
        <v>Open</v>
      </c>
      <c r="AP820" s="436" t="str">
        <f ca="1">IF(Table_NFI[[#This Row],[Pcode]]="","",OFFSET(CampList[Priority],MATCH(Table_NFI[[#This Row],[Pcode]],CampList[CP_Pcode],0)-1,0,1,1))</f>
        <v>P4</v>
      </c>
      <c r="AQ820" s="438">
        <f>IFERROR(Table_NFI[[#This Row],[Kitchen Set]]/VLOOKUP(Table_NFI[[#This Row],[Camp Name]],CL,4,0),"")</f>
        <v>0.55000000000000004</v>
      </c>
      <c r="AR820" s="779" t="s">
        <v>1099</v>
      </c>
      <c r="AS820" s="783"/>
    </row>
    <row r="821" spans="1:45" x14ac:dyDescent="0.25">
      <c r="A821" s="455">
        <f t="shared" si="12"/>
        <v>42.366666666666667</v>
      </c>
      <c r="B821" s="778">
        <v>41038</v>
      </c>
      <c r="C821" s="779" t="s">
        <v>454</v>
      </c>
      <c r="D821" s="780" t="s">
        <v>454</v>
      </c>
      <c r="E821" s="779" t="s">
        <v>380</v>
      </c>
      <c r="F821" s="435" t="s">
        <v>310</v>
      </c>
      <c r="G821" s="435" t="s">
        <v>311</v>
      </c>
      <c r="H821" s="436"/>
      <c r="I821" s="436"/>
      <c r="J821" s="436"/>
      <c r="K821" s="436">
        <v>161</v>
      </c>
      <c r="L821" s="437">
        <v>83</v>
      </c>
      <c r="M821" s="437">
        <v>161</v>
      </c>
      <c r="N821" s="437">
        <v>83</v>
      </c>
      <c r="O821" s="437">
        <v>83</v>
      </c>
      <c r="P821" s="437">
        <v>83</v>
      </c>
      <c r="Q821" s="437">
        <v>83</v>
      </c>
      <c r="R821" s="436"/>
      <c r="S821" s="436"/>
      <c r="T821" s="436"/>
      <c r="U821" s="436"/>
      <c r="V821" s="436"/>
      <c r="W821" s="436">
        <f>IF(NFI_Expiration=1,IF($A821&lt;VLOOKUP(H$5,NFI,5,0),1,0)*Table_NFI[[#This Row],[Hygiene Kit]],Table_NFI[Hygiene Kit])</f>
        <v>0</v>
      </c>
      <c r="X821" s="436">
        <f>IF(NFI_Expiration=1,IF($A821&lt;VLOOKUP(I$5,NFI,5,0),1,0)*Table_NFI[[#This Row],[NFI Core Kit]],Table_NFI[NFI Core Kit])</f>
        <v>0</v>
      </c>
      <c r="Y821" s="436">
        <f>IF(NFI_Expiration=1,IF($A821&lt;VLOOKUP(J$5,NFI,5,0),1,0)*Table_NFI[[#This Row],[Sanitary Kit]],Table_NFI[Sanitary Kit])</f>
        <v>0</v>
      </c>
      <c r="Z821" s="436">
        <f>IF(NFI_Expiration=1,IF($A821&lt;VLOOKUP(K$5,NFI,5,0),1,0)*Table_NFI[[#This Row],[Mosquito net]],Table_NFI[Mosquito net])</f>
        <v>0</v>
      </c>
      <c r="AA821" s="436">
        <f>IF(NFI_Expiration=1,IF($A821&lt;VLOOKUP(L$5,NFI,5,0),1,0)*Table_NFI[[#This Row],[Tarpaulin]],Table_NFI[[#This Row],[Tarpaulin]])</f>
        <v>0</v>
      </c>
      <c r="AB821" s="436">
        <f>IF(NFI_Expiration=1,IF($A821&lt;VLOOKUP(M$5,NFI,5,0),1,0)*Table_NFI[[#This Row],[Blanket]],Table_NFI[[#This Row],[Blanket]])</f>
        <v>0</v>
      </c>
      <c r="AC821" s="436">
        <f>IF(NFI_Expiration=1,IF($A821&lt;VLOOKUP(N$5,NFI,5,0),1,0)*Table_NFI[[#This Row],[Kitchen Set]],Table_NFI[Kitchen Set])</f>
        <v>0</v>
      </c>
      <c r="AD821" s="436">
        <f>IF(NFI_Expiration=1,IF($A821&lt;VLOOKUP(O$5,NFI,5,0),1,0)*Table_NFI[[#This Row],[Clothes Kit]],Table_NFI[Clothes Kit])</f>
        <v>0</v>
      </c>
      <c r="AE821" s="436">
        <f>IF(NFI_Expiration=1,IF($A821&lt;VLOOKUP(P$5,NFI,5,0),1,0)*Table_NFI[[#This Row],[Plastic Bucket]],Table_NFI[Plastic Bucket])</f>
        <v>0</v>
      </c>
      <c r="AF821" s="436">
        <f>IF(NFI_Expiration=1,IF($A821&lt;VLOOKUP(Q$5,NFI,5,0),1,0)*Table_NFI[[#This Row],[Plastic Mat]],Table_NFI[Plastic Mat])*IF(Table_NFI[[#This Row],[Distribution Date]]&gt;"2014-04-01",1,2.5)</f>
        <v>0</v>
      </c>
      <c r="AG821" s="436">
        <f>IF(NFI_Expiration=1,IF($A821&lt;VLOOKUP(R$5,NFI,5,0),1,0)*Table_NFI[[#This Row],[Winter Clothes Adult]],Table_NFI[Winter Clothes Adult])</f>
        <v>0</v>
      </c>
      <c r="AH821" s="436">
        <f>IF(NFI_Expiration=1,IF($A821&lt;VLOOKUP(S$5,NFI,5,0),1,0)*Table_NFI[[#This Row],[Winter Clothes Children]],Table_NFI[Winter Clothes Children])</f>
        <v>0</v>
      </c>
      <c r="AI821" s="436">
        <f>IF(NFI_Expiration=1,IF($A821&lt;VLOOKUP(T$5,NFI,5,0),1,0)*Table_NFI[[#This Row],[Winter Items Other]],Table_NFI[Winter Items Other])</f>
        <v>0</v>
      </c>
      <c r="AJ821" s="436">
        <f>IF(NFI_Expiration=1,IF($A821&lt;VLOOKUP(M$5,NFI,5,0),1,0)*Table_NFI[[#This Row],[Winter Blanket]],Table_NFI[[#This Row],[Winter Blanket]])</f>
        <v>0</v>
      </c>
      <c r="AK821" s="436">
        <f>IF(Table_NFI[[#This Row],[Winter Clothes Adult]]+Table_NFI[[#This Row],[Winter Clothes Children]]+Table_NFI[[#This Row],[Winter Items Other]]+Table_NFI[[#This Row],[Winter Blanket]]&gt;0,1,0)</f>
        <v>0</v>
      </c>
      <c r="AL821" s="439">
        <f>IF(NFI_Expiration=1,IF($A821&lt;VLOOKUP(V$5,NFI,5,0),1,0)*Table_NFI[[#This Row],[Jerry Can]],Table_NFI[Jerry Can])</f>
        <v>0</v>
      </c>
      <c r="AM821" s="781" t="str">
        <f>IFERROR(VLOOKUP(Table_NFI[[#This Row],[Camp Name]],CL,2,0),"")</f>
        <v>MMR001CMP036</v>
      </c>
      <c r="AN821" s="782">
        <f ca="1">IF(Table_NFI[[#This Row],[Pcode]]="","",IF(OFFSET(CampList[Opening Date],MATCH(Table_NFI[[#This Row],[Pcode]],CampList[CP_Pcode],0)-1,0,1,1)&gt;=NFI_Monitor_Date,1,0))</f>
        <v>0</v>
      </c>
      <c r="AO821" s="781" t="str">
        <f>IFERROR(VLOOKUP(Table_NFI[[#This Row],[Camp Name]],CL,3,0),"")</f>
        <v>Open</v>
      </c>
      <c r="AP821" s="436" t="str">
        <f ca="1">IF(Table_NFI[[#This Row],[Pcode]]="","",OFFSET(CampList[Priority],MATCH(Table_NFI[[#This Row],[Pcode]],CampList[CP_Pcode],0)-1,0,1,1))</f>
        <v>P4</v>
      </c>
      <c r="AQ821" s="438" t="str">
        <f>IFERROR(Table_NFI[[#This Row],[Kitchen Set]]/VLOOKUP(Table_NFI[[#This Row],[Camp Name]],CL,4,0),"")</f>
        <v/>
      </c>
      <c r="AR821" s="779" t="s">
        <v>1099</v>
      </c>
      <c r="AS821" s="783"/>
    </row>
    <row r="822" spans="1:45" x14ac:dyDescent="0.25">
      <c r="A822" s="455">
        <f t="shared" si="12"/>
        <v>42.56666666666667</v>
      </c>
      <c r="B822" s="778">
        <v>41032</v>
      </c>
      <c r="C822" s="779" t="s">
        <v>454</v>
      </c>
      <c r="D822" s="780" t="s">
        <v>454</v>
      </c>
      <c r="E822" s="779" t="s">
        <v>380</v>
      </c>
      <c r="F822" s="435" t="s">
        <v>310</v>
      </c>
      <c r="G822" s="435" t="s">
        <v>328</v>
      </c>
      <c r="H822" s="436"/>
      <c r="I822" s="436"/>
      <c r="J822" s="436"/>
      <c r="K822" s="436">
        <v>42</v>
      </c>
      <c r="L822" s="437">
        <v>0</v>
      </c>
      <c r="M822" s="437">
        <v>42</v>
      </c>
      <c r="N822" s="437">
        <v>0</v>
      </c>
      <c r="O822" s="437">
        <v>20</v>
      </c>
      <c r="P822" s="437">
        <v>20</v>
      </c>
      <c r="Q822" s="437">
        <v>20</v>
      </c>
      <c r="R822" s="436"/>
      <c r="S822" s="436"/>
      <c r="T822" s="436"/>
      <c r="U822" s="436"/>
      <c r="V822" s="436"/>
      <c r="W822" s="436">
        <f>IF(NFI_Expiration=1,IF($A822&lt;VLOOKUP(H$5,NFI,5,0),1,0)*Table_NFI[[#This Row],[Hygiene Kit]],Table_NFI[Hygiene Kit])</f>
        <v>0</v>
      </c>
      <c r="X822" s="436">
        <f>IF(NFI_Expiration=1,IF($A822&lt;VLOOKUP(I$5,NFI,5,0),1,0)*Table_NFI[[#This Row],[NFI Core Kit]],Table_NFI[NFI Core Kit])</f>
        <v>0</v>
      </c>
      <c r="Y822" s="436">
        <f>IF(NFI_Expiration=1,IF($A822&lt;VLOOKUP(J$5,NFI,5,0),1,0)*Table_NFI[[#This Row],[Sanitary Kit]],Table_NFI[Sanitary Kit])</f>
        <v>0</v>
      </c>
      <c r="Z822" s="436">
        <f>IF(NFI_Expiration=1,IF($A822&lt;VLOOKUP(K$5,NFI,5,0),1,0)*Table_NFI[[#This Row],[Mosquito net]],Table_NFI[Mosquito net])</f>
        <v>0</v>
      </c>
      <c r="AA822" s="436">
        <f>IF(NFI_Expiration=1,IF($A822&lt;VLOOKUP(L$5,NFI,5,0),1,0)*Table_NFI[[#This Row],[Tarpaulin]],Table_NFI[[#This Row],[Tarpaulin]])</f>
        <v>0</v>
      </c>
      <c r="AB822" s="436">
        <f>IF(NFI_Expiration=1,IF($A822&lt;VLOOKUP(M$5,NFI,5,0),1,0)*Table_NFI[[#This Row],[Blanket]],Table_NFI[[#This Row],[Blanket]])</f>
        <v>0</v>
      </c>
      <c r="AC822" s="436">
        <f>IF(NFI_Expiration=1,IF($A822&lt;VLOOKUP(N$5,NFI,5,0),1,0)*Table_NFI[[#This Row],[Kitchen Set]],Table_NFI[Kitchen Set])</f>
        <v>0</v>
      </c>
      <c r="AD822" s="436">
        <f>IF(NFI_Expiration=1,IF($A822&lt;VLOOKUP(O$5,NFI,5,0),1,0)*Table_NFI[[#This Row],[Clothes Kit]],Table_NFI[Clothes Kit])</f>
        <v>0</v>
      </c>
      <c r="AE822" s="436">
        <f>IF(NFI_Expiration=1,IF($A822&lt;VLOOKUP(P$5,NFI,5,0),1,0)*Table_NFI[[#This Row],[Plastic Bucket]],Table_NFI[Plastic Bucket])</f>
        <v>0</v>
      </c>
      <c r="AF822" s="436">
        <f>IF(NFI_Expiration=1,IF($A822&lt;VLOOKUP(Q$5,NFI,5,0),1,0)*Table_NFI[[#This Row],[Plastic Mat]],Table_NFI[Plastic Mat])*IF(Table_NFI[[#This Row],[Distribution Date]]&gt;"2014-04-01",1,2.5)</f>
        <v>0</v>
      </c>
      <c r="AG822" s="436">
        <f>IF(NFI_Expiration=1,IF($A822&lt;VLOOKUP(R$5,NFI,5,0),1,0)*Table_NFI[[#This Row],[Winter Clothes Adult]],Table_NFI[Winter Clothes Adult])</f>
        <v>0</v>
      </c>
      <c r="AH822" s="436">
        <f>IF(NFI_Expiration=1,IF($A822&lt;VLOOKUP(S$5,NFI,5,0),1,0)*Table_NFI[[#This Row],[Winter Clothes Children]],Table_NFI[Winter Clothes Children])</f>
        <v>0</v>
      </c>
      <c r="AI822" s="436">
        <f>IF(NFI_Expiration=1,IF($A822&lt;VLOOKUP(T$5,NFI,5,0),1,0)*Table_NFI[[#This Row],[Winter Items Other]],Table_NFI[Winter Items Other])</f>
        <v>0</v>
      </c>
      <c r="AJ822" s="436">
        <f>IF(NFI_Expiration=1,IF($A822&lt;VLOOKUP(M$5,NFI,5,0),1,0)*Table_NFI[[#This Row],[Winter Blanket]],Table_NFI[[#This Row],[Winter Blanket]])</f>
        <v>0</v>
      </c>
      <c r="AK822" s="436">
        <f>IF(Table_NFI[[#This Row],[Winter Clothes Adult]]+Table_NFI[[#This Row],[Winter Clothes Children]]+Table_NFI[[#This Row],[Winter Items Other]]+Table_NFI[[#This Row],[Winter Blanket]]&gt;0,1,0)</f>
        <v>0</v>
      </c>
      <c r="AL822" s="439">
        <f>IF(NFI_Expiration=1,IF($A822&lt;VLOOKUP(V$5,NFI,5,0),1,0)*Table_NFI[[#This Row],[Jerry Can]],Table_NFI[Jerry Can])</f>
        <v>0</v>
      </c>
      <c r="AM822" s="781" t="str">
        <f>IFERROR(VLOOKUP(Table_NFI[[#This Row],[Camp Name]],CL,2,0),"")</f>
        <v>MMR001CMP031</v>
      </c>
      <c r="AN822" s="782">
        <f ca="1">IF(Table_NFI[[#This Row],[Pcode]]="","",IF(OFFSET(CampList[Opening Date],MATCH(Table_NFI[[#This Row],[Pcode]],CampList[CP_Pcode],0)-1,0,1,1)&gt;=NFI_Monitor_Date,1,0))</f>
        <v>0</v>
      </c>
      <c r="AO822" s="781" t="str">
        <f>IFERROR(VLOOKUP(Table_NFI[[#This Row],[Camp Name]],CL,3,0),"")</f>
        <v>Open</v>
      </c>
      <c r="AP822" s="436" t="str">
        <f ca="1">IF(Table_NFI[[#This Row],[Pcode]]="","",OFFSET(CampList[Priority],MATCH(Table_NFI[[#This Row],[Pcode]],CampList[CP_Pcode],0)-1,0,1,1))</f>
        <v>P4</v>
      </c>
      <c r="AQ822" s="438">
        <f>IFERROR(Table_NFI[[#This Row],[Kitchen Set]]/VLOOKUP(Table_NFI[[#This Row],[Camp Name]],CL,4,0),"")</f>
        <v>0</v>
      </c>
      <c r="AR822" s="779" t="s">
        <v>1099</v>
      </c>
      <c r="AS822" s="783"/>
    </row>
    <row r="823" spans="1:45" x14ac:dyDescent="0.25">
      <c r="A823" s="455">
        <f t="shared" si="12"/>
        <v>42.56666666666667</v>
      </c>
      <c r="B823" s="778">
        <v>41032</v>
      </c>
      <c r="C823" s="779" t="s">
        <v>454</v>
      </c>
      <c r="D823" s="780" t="s">
        <v>454</v>
      </c>
      <c r="E823" s="779" t="s">
        <v>380</v>
      </c>
      <c r="F823" s="435" t="s">
        <v>237</v>
      </c>
      <c r="G823" s="435" t="s">
        <v>267</v>
      </c>
      <c r="H823" s="436"/>
      <c r="I823" s="436"/>
      <c r="J823" s="436"/>
      <c r="K823" s="436">
        <v>0</v>
      </c>
      <c r="L823" s="437">
        <v>0</v>
      </c>
      <c r="M823" s="437">
        <v>0</v>
      </c>
      <c r="N823" s="437">
        <v>0</v>
      </c>
      <c r="O823" s="437">
        <v>5</v>
      </c>
      <c r="P823" s="437">
        <v>5</v>
      </c>
      <c r="Q823" s="437">
        <v>5</v>
      </c>
      <c r="R823" s="436"/>
      <c r="S823" s="436"/>
      <c r="T823" s="436"/>
      <c r="U823" s="436"/>
      <c r="V823" s="436"/>
      <c r="W823" s="436">
        <f>IF(NFI_Expiration=1,IF($A823&lt;VLOOKUP(H$5,NFI,5,0),1,0)*Table_NFI[[#This Row],[Hygiene Kit]],Table_NFI[Hygiene Kit])</f>
        <v>0</v>
      </c>
      <c r="X823" s="436">
        <f>IF(NFI_Expiration=1,IF($A823&lt;VLOOKUP(I$5,NFI,5,0),1,0)*Table_NFI[[#This Row],[NFI Core Kit]],Table_NFI[NFI Core Kit])</f>
        <v>0</v>
      </c>
      <c r="Y823" s="436">
        <f>IF(NFI_Expiration=1,IF($A823&lt;VLOOKUP(J$5,NFI,5,0),1,0)*Table_NFI[[#This Row],[Sanitary Kit]],Table_NFI[Sanitary Kit])</f>
        <v>0</v>
      </c>
      <c r="Z823" s="436">
        <f>IF(NFI_Expiration=1,IF($A823&lt;VLOOKUP(K$5,NFI,5,0),1,0)*Table_NFI[[#This Row],[Mosquito net]],Table_NFI[Mosquito net])</f>
        <v>0</v>
      </c>
      <c r="AA823" s="436">
        <f>IF(NFI_Expiration=1,IF($A823&lt;VLOOKUP(L$5,NFI,5,0),1,0)*Table_NFI[[#This Row],[Tarpaulin]],Table_NFI[[#This Row],[Tarpaulin]])</f>
        <v>0</v>
      </c>
      <c r="AB823" s="436">
        <f>IF(NFI_Expiration=1,IF($A823&lt;VLOOKUP(M$5,NFI,5,0),1,0)*Table_NFI[[#This Row],[Blanket]],Table_NFI[[#This Row],[Blanket]])</f>
        <v>0</v>
      </c>
      <c r="AC823" s="436">
        <f>IF(NFI_Expiration=1,IF($A823&lt;VLOOKUP(N$5,NFI,5,0),1,0)*Table_NFI[[#This Row],[Kitchen Set]],Table_NFI[Kitchen Set])</f>
        <v>0</v>
      </c>
      <c r="AD823" s="436">
        <f>IF(NFI_Expiration=1,IF($A823&lt;VLOOKUP(O$5,NFI,5,0),1,0)*Table_NFI[[#This Row],[Clothes Kit]],Table_NFI[Clothes Kit])</f>
        <v>0</v>
      </c>
      <c r="AE823" s="436">
        <f>IF(NFI_Expiration=1,IF($A823&lt;VLOOKUP(P$5,NFI,5,0),1,0)*Table_NFI[[#This Row],[Plastic Bucket]],Table_NFI[Plastic Bucket])</f>
        <v>0</v>
      </c>
      <c r="AF823" s="436">
        <f>IF(NFI_Expiration=1,IF($A823&lt;VLOOKUP(Q$5,NFI,5,0),1,0)*Table_NFI[[#This Row],[Plastic Mat]],Table_NFI[Plastic Mat])*IF(Table_NFI[[#This Row],[Distribution Date]]&gt;"2014-04-01",1,2.5)</f>
        <v>0</v>
      </c>
      <c r="AG823" s="436">
        <f>IF(NFI_Expiration=1,IF($A823&lt;VLOOKUP(R$5,NFI,5,0),1,0)*Table_NFI[[#This Row],[Winter Clothes Adult]],Table_NFI[Winter Clothes Adult])</f>
        <v>0</v>
      </c>
      <c r="AH823" s="436">
        <f>IF(NFI_Expiration=1,IF($A823&lt;VLOOKUP(S$5,NFI,5,0),1,0)*Table_NFI[[#This Row],[Winter Clothes Children]],Table_NFI[Winter Clothes Children])</f>
        <v>0</v>
      </c>
      <c r="AI823" s="436">
        <f>IF(NFI_Expiration=1,IF($A823&lt;VLOOKUP(T$5,NFI,5,0),1,0)*Table_NFI[[#This Row],[Winter Items Other]],Table_NFI[Winter Items Other])</f>
        <v>0</v>
      </c>
      <c r="AJ823" s="436">
        <f>IF(NFI_Expiration=1,IF($A823&lt;VLOOKUP(M$5,NFI,5,0),1,0)*Table_NFI[[#This Row],[Winter Blanket]],Table_NFI[[#This Row],[Winter Blanket]])</f>
        <v>0</v>
      </c>
      <c r="AK823" s="436">
        <f>IF(Table_NFI[[#This Row],[Winter Clothes Adult]]+Table_NFI[[#This Row],[Winter Clothes Children]]+Table_NFI[[#This Row],[Winter Items Other]]+Table_NFI[[#This Row],[Winter Blanket]]&gt;0,1,0)</f>
        <v>0</v>
      </c>
      <c r="AL823" s="439">
        <f>IF(NFI_Expiration=1,IF($A823&lt;VLOOKUP(V$5,NFI,5,0),1,0)*Table_NFI[[#This Row],[Jerry Can]],Table_NFI[Jerry Can])</f>
        <v>0</v>
      </c>
      <c r="AM823" s="781" t="str">
        <f>IFERROR(VLOOKUP(Table_NFI[[#This Row],[Camp Name]],CL,2,0),"")</f>
        <v>MMR001CMP017</v>
      </c>
      <c r="AN823" s="782">
        <f ca="1">IF(Table_NFI[[#This Row],[Pcode]]="","",IF(OFFSET(CampList[Opening Date],MATCH(Table_NFI[[#This Row],[Pcode]],CampList[CP_Pcode],0)-1,0,1,1)&gt;=NFI_Monitor_Date,1,0))</f>
        <v>0</v>
      </c>
      <c r="AO823" s="781" t="str">
        <f>IFERROR(VLOOKUP(Table_NFI[[#This Row],[Camp Name]],CL,3,0),"")</f>
        <v>Closed</v>
      </c>
      <c r="AP823" s="436" t="str">
        <f ca="1">IF(Table_NFI[[#This Row],[Pcode]]="","",OFFSET(CampList[Priority],MATCH(Table_NFI[[#This Row],[Pcode]],CampList[CP_Pcode],0)-1,0,1,1))</f>
        <v>P4</v>
      </c>
      <c r="AQ823" s="438" t="str">
        <f>IFERROR(Table_NFI[[#This Row],[Kitchen Set]]/VLOOKUP(Table_NFI[[#This Row],[Camp Name]],CL,4,0),"")</f>
        <v/>
      </c>
      <c r="AR823" s="779" t="s">
        <v>1099</v>
      </c>
      <c r="AS823" s="783"/>
    </row>
    <row r="824" spans="1:45" x14ac:dyDescent="0.25">
      <c r="A824" s="455">
        <f t="shared" si="12"/>
        <v>42.56666666666667</v>
      </c>
      <c r="B824" s="778">
        <v>41032</v>
      </c>
      <c r="C824" s="779" t="s">
        <v>454</v>
      </c>
      <c r="D824" s="779" t="s">
        <v>454</v>
      </c>
      <c r="E824" s="779" t="s">
        <v>380</v>
      </c>
      <c r="F824" s="435" t="s">
        <v>310</v>
      </c>
      <c r="G824" s="435" t="s">
        <v>338</v>
      </c>
      <c r="H824" s="436"/>
      <c r="I824" s="436"/>
      <c r="J824" s="436"/>
      <c r="K824" s="436">
        <v>12</v>
      </c>
      <c r="L824" s="437">
        <v>0</v>
      </c>
      <c r="M824" s="437">
        <v>12</v>
      </c>
      <c r="N824" s="437">
        <v>6</v>
      </c>
      <c r="O824" s="437">
        <v>6</v>
      </c>
      <c r="P824" s="439">
        <v>6</v>
      </c>
      <c r="Q824" s="439">
        <v>6</v>
      </c>
      <c r="R824" s="436"/>
      <c r="S824" s="436"/>
      <c r="T824" s="436"/>
      <c r="U824" s="436"/>
      <c r="V824" s="436"/>
      <c r="W824" s="436">
        <f>IF(NFI_Expiration=1,IF($A824&lt;VLOOKUP(H$5,NFI,5,0),1,0)*Table_NFI[[#This Row],[Hygiene Kit]],Table_NFI[Hygiene Kit])</f>
        <v>0</v>
      </c>
      <c r="X824" s="436">
        <f>IF(NFI_Expiration=1,IF($A824&lt;VLOOKUP(I$5,NFI,5,0),1,0)*Table_NFI[[#This Row],[NFI Core Kit]],Table_NFI[NFI Core Kit])</f>
        <v>0</v>
      </c>
      <c r="Y824" s="436">
        <f>IF(NFI_Expiration=1,IF($A824&lt;VLOOKUP(J$5,NFI,5,0),1,0)*Table_NFI[[#This Row],[Sanitary Kit]],Table_NFI[Sanitary Kit])</f>
        <v>0</v>
      </c>
      <c r="Z824" s="436">
        <f>IF(NFI_Expiration=1,IF($A824&lt;VLOOKUP(K$5,NFI,5,0),1,0)*Table_NFI[[#This Row],[Mosquito net]],Table_NFI[Mosquito net])</f>
        <v>0</v>
      </c>
      <c r="AA824" s="436">
        <f>IF(NFI_Expiration=1,IF($A824&lt;VLOOKUP(L$5,NFI,5,0),1,0)*Table_NFI[[#This Row],[Tarpaulin]],Table_NFI[[#This Row],[Tarpaulin]])</f>
        <v>0</v>
      </c>
      <c r="AB824" s="436">
        <f>IF(NFI_Expiration=1,IF($A824&lt;VLOOKUP(M$5,NFI,5,0),1,0)*Table_NFI[[#This Row],[Blanket]],Table_NFI[[#This Row],[Blanket]])</f>
        <v>0</v>
      </c>
      <c r="AC824" s="436">
        <f>IF(NFI_Expiration=1,IF($A824&lt;VLOOKUP(N$5,NFI,5,0),1,0)*Table_NFI[[#This Row],[Kitchen Set]],Table_NFI[Kitchen Set])</f>
        <v>0</v>
      </c>
      <c r="AD824" s="436">
        <f>IF(NFI_Expiration=1,IF($A824&lt;VLOOKUP(O$5,NFI,5,0),1,0)*Table_NFI[[#This Row],[Clothes Kit]],Table_NFI[Clothes Kit])</f>
        <v>0</v>
      </c>
      <c r="AE824" s="436">
        <f>IF(NFI_Expiration=1,IF($A824&lt;VLOOKUP(P$5,NFI,5,0),1,0)*Table_NFI[[#This Row],[Plastic Bucket]],Table_NFI[Plastic Bucket])</f>
        <v>0</v>
      </c>
      <c r="AF824" s="436">
        <f>IF(NFI_Expiration=1,IF($A824&lt;VLOOKUP(Q$5,NFI,5,0),1,0)*Table_NFI[[#This Row],[Plastic Mat]],Table_NFI[Plastic Mat])*IF(Table_NFI[[#This Row],[Distribution Date]]&gt;"2014-04-01",1,2.5)</f>
        <v>0</v>
      </c>
      <c r="AG824" s="436">
        <f>IF(NFI_Expiration=1,IF($A824&lt;VLOOKUP(R$5,NFI,5,0),1,0)*Table_NFI[[#This Row],[Winter Clothes Adult]],Table_NFI[Winter Clothes Adult])</f>
        <v>0</v>
      </c>
      <c r="AH824" s="436">
        <f>IF(NFI_Expiration=1,IF($A824&lt;VLOOKUP(S$5,NFI,5,0),1,0)*Table_NFI[[#This Row],[Winter Clothes Children]],Table_NFI[Winter Clothes Children])</f>
        <v>0</v>
      </c>
      <c r="AI824" s="436">
        <f>IF(NFI_Expiration=1,IF($A824&lt;VLOOKUP(T$5,NFI,5,0),1,0)*Table_NFI[[#This Row],[Winter Items Other]],Table_NFI[Winter Items Other])</f>
        <v>0</v>
      </c>
      <c r="AJ824" s="436">
        <f>IF(NFI_Expiration=1,IF($A824&lt;VLOOKUP(M$5,NFI,5,0),1,0)*Table_NFI[[#This Row],[Winter Blanket]],Table_NFI[[#This Row],[Winter Blanket]])</f>
        <v>0</v>
      </c>
      <c r="AK824" s="436">
        <f>IF(Table_NFI[[#This Row],[Winter Clothes Adult]]+Table_NFI[[#This Row],[Winter Clothes Children]]+Table_NFI[[#This Row],[Winter Items Other]]+Table_NFI[[#This Row],[Winter Blanket]]&gt;0,1,0)</f>
        <v>0</v>
      </c>
      <c r="AL824" s="439">
        <f>IF(NFI_Expiration=1,IF($A824&lt;VLOOKUP(V$5,NFI,5,0),1,0)*Table_NFI[[#This Row],[Jerry Can]],Table_NFI[Jerry Can])</f>
        <v>0</v>
      </c>
      <c r="AM824" s="781" t="str">
        <f>IFERROR(VLOOKUP(Table_NFI[[#This Row],[Camp Name]],CL,2,0),"")</f>
        <v>MMR001CMP030</v>
      </c>
      <c r="AN824" s="782">
        <f ca="1">IF(Table_NFI[[#This Row],[Pcode]]="","",IF(OFFSET(CampList[Opening Date],MATCH(Table_NFI[[#This Row],[Pcode]],CampList[CP_Pcode],0)-1,0,1,1)&gt;=NFI_Monitor_Date,1,0))</f>
        <v>0</v>
      </c>
      <c r="AO824" s="781" t="str">
        <f>IFERROR(VLOOKUP(Table_NFI[[#This Row],[Camp Name]],CL,3,0),"")</f>
        <v>Open</v>
      </c>
      <c r="AP824" s="436" t="str">
        <f ca="1">IF(Table_NFI[[#This Row],[Pcode]]="","",OFFSET(CampList[Priority],MATCH(Table_NFI[[#This Row],[Pcode]],CampList[CP_Pcode],0)-1,0,1,1))</f>
        <v>P4</v>
      </c>
      <c r="AQ824" s="438">
        <f>IFERROR(Table_NFI[[#This Row],[Kitchen Set]]/VLOOKUP(Table_NFI[[#This Row],[Camp Name]],CL,4,0),"")</f>
        <v>0.19354838709677419</v>
      </c>
      <c r="AR824" s="779" t="s">
        <v>1099</v>
      </c>
      <c r="AS824" s="783"/>
    </row>
    <row r="825" spans="1:45" x14ac:dyDescent="0.25">
      <c r="A825" s="455">
        <f t="shared" si="12"/>
        <v>42.56666666666667</v>
      </c>
      <c r="B825" s="778">
        <v>41032</v>
      </c>
      <c r="C825" s="779" t="s">
        <v>454</v>
      </c>
      <c r="D825" s="779" t="s">
        <v>454</v>
      </c>
      <c r="E825" s="779" t="s">
        <v>380</v>
      </c>
      <c r="F825" s="435" t="s">
        <v>310</v>
      </c>
      <c r="G825" s="435" t="s">
        <v>351</v>
      </c>
      <c r="H825" s="436"/>
      <c r="I825" s="436"/>
      <c r="J825" s="436"/>
      <c r="K825" s="436">
        <v>34</v>
      </c>
      <c r="L825" s="437">
        <v>0</v>
      </c>
      <c r="M825" s="437">
        <v>34</v>
      </c>
      <c r="N825" s="437">
        <v>0</v>
      </c>
      <c r="O825" s="437">
        <v>18</v>
      </c>
      <c r="P825" s="439">
        <v>18</v>
      </c>
      <c r="Q825" s="439">
        <v>18</v>
      </c>
      <c r="R825" s="436"/>
      <c r="S825" s="436"/>
      <c r="T825" s="436"/>
      <c r="U825" s="436"/>
      <c r="V825" s="436"/>
      <c r="W825" s="436">
        <f>IF(NFI_Expiration=1,IF($A825&lt;VLOOKUP(H$5,NFI,5,0),1,0)*Table_NFI[[#This Row],[Hygiene Kit]],Table_NFI[Hygiene Kit])</f>
        <v>0</v>
      </c>
      <c r="X825" s="436">
        <f>IF(NFI_Expiration=1,IF($A825&lt;VLOOKUP(I$5,NFI,5,0),1,0)*Table_NFI[[#This Row],[NFI Core Kit]],Table_NFI[NFI Core Kit])</f>
        <v>0</v>
      </c>
      <c r="Y825" s="436">
        <f>IF(NFI_Expiration=1,IF($A825&lt;VLOOKUP(J$5,NFI,5,0),1,0)*Table_NFI[[#This Row],[Sanitary Kit]],Table_NFI[Sanitary Kit])</f>
        <v>0</v>
      </c>
      <c r="Z825" s="436">
        <f>IF(NFI_Expiration=1,IF($A825&lt;VLOOKUP(K$5,NFI,5,0),1,0)*Table_NFI[[#This Row],[Mosquito net]],Table_NFI[Mosquito net])</f>
        <v>0</v>
      </c>
      <c r="AA825" s="436">
        <f>IF(NFI_Expiration=1,IF($A825&lt;VLOOKUP(L$5,NFI,5,0),1,0)*Table_NFI[[#This Row],[Tarpaulin]],Table_NFI[[#This Row],[Tarpaulin]])</f>
        <v>0</v>
      </c>
      <c r="AB825" s="436">
        <f>IF(NFI_Expiration=1,IF($A825&lt;VLOOKUP(M$5,NFI,5,0),1,0)*Table_NFI[[#This Row],[Blanket]],Table_NFI[[#This Row],[Blanket]])</f>
        <v>0</v>
      </c>
      <c r="AC825" s="436">
        <f>IF(NFI_Expiration=1,IF($A825&lt;VLOOKUP(N$5,NFI,5,0),1,0)*Table_NFI[[#This Row],[Kitchen Set]],Table_NFI[Kitchen Set])</f>
        <v>0</v>
      </c>
      <c r="AD825" s="436">
        <f>IF(NFI_Expiration=1,IF($A825&lt;VLOOKUP(O$5,NFI,5,0),1,0)*Table_NFI[[#This Row],[Clothes Kit]],Table_NFI[Clothes Kit])</f>
        <v>0</v>
      </c>
      <c r="AE825" s="436">
        <f>IF(NFI_Expiration=1,IF($A825&lt;VLOOKUP(P$5,NFI,5,0),1,0)*Table_NFI[[#This Row],[Plastic Bucket]],Table_NFI[Plastic Bucket])</f>
        <v>0</v>
      </c>
      <c r="AF825" s="436">
        <f>IF(NFI_Expiration=1,IF($A825&lt;VLOOKUP(Q$5,NFI,5,0),1,0)*Table_NFI[[#This Row],[Plastic Mat]],Table_NFI[Plastic Mat])*IF(Table_NFI[[#This Row],[Distribution Date]]&gt;"2014-04-01",1,2.5)</f>
        <v>0</v>
      </c>
      <c r="AG825" s="436">
        <f>IF(NFI_Expiration=1,IF($A825&lt;VLOOKUP(R$5,NFI,5,0),1,0)*Table_NFI[[#This Row],[Winter Clothes Adult]],Table_NFI[Winter Clothes Adult])</f>
        <v>0</v>
      </c>
      <c r="AH825" s="436">
        <f>IF(NFI_Expiration=1,IF($A825&lt;VLOOKUP(S$5,NFI,5,0),1,0)*Table_NFI[[#This Row],[Winter Clothes Children]],Table_NFI[Winter Clothes Children])</f>
        <v>0</v>
      </c>
      <c r="AI825" s="436">
        <f>IF(NFI_Expiration=1,IF($A825&lt;VLOOKUP(T$5,NFI,5,0),1,0)*Table_NFI[[#This Row],[Winter Items Other]],Table_NFI[Winter Items Other])</f>
        <v>0</v>
      </c>
      <c r="AJ825" s="436">
        <f>IF(NFI_Expiration=1,IF($A825&lt;VLOOKUP(M$5,NFI,5,0),1,0)*Table_NFI[[#This Row],[Winter Blanket]],Table_NFI[[#This Row],[Winter Blanket]])</f>
        <v>0</v>
      </c>
      <c r="AK825" s="436">
        <f>IF(Table_NFI[[#This Row],[Winter Clothes Adult]]+Table_NFI[[#This Row],[Winter Clothes Children]]+Table_NFI[[#This Row],[Winter Items Other]]+Table_NFI[[#This Row],[Winter Blanket]]&gt;0,1,0)</f>
        <v>0</v>
      </c>
      <c r="AL825" s="439">
        <f>IF(NFI_Expiration=1,IF($A825&lt;VLOOKUP(V$5,NFI,5,0),1,0)*Table_NFI[[#This Row],[Jerry Can]],Table_NFI[Jerry Can])</f>
        <v>0</v>
      </c>
      <c r="AM825" s="781" t="str">
        <f>IFERROR(VLOOKUP(Table_NFI[[#This Row],[Camp Name]],CL,2,0),"")</f>
        <v>MMR001CMP026</v>
      </c>
      <c r="AN825" s="782">
        <f ca="1">IF(Table_NFI[[#This Row],[Pcode]]="","",IF(OFFSET(CampList[Opening Date],MATCH(Table_NFI[[#This Row],[Pcode]],CampList[CP_Pcode],0)-1,0,1,1)&gt;=NFI_Monitor_Date,1,0))</f>
        <v>0</v>
      </c>
      <c r="AO825" s="781" t="str">
        <f>IFERROR(VLOOKUP(Table_NFI[[#This Row],[Camp Name]],CL,3,0),"")</f>
        <v>Open</v>
      </c>
      <c r="AP825" s="436" t="str">
        <f ca="1">IF(Table_NFI[[#This Row],[Pcode]]="","",OFFSET(CampList[Priority],MATCH(Table_NFI[[#This Row],[Pcode]],CampList[CP_Pcode],0)-1,0,1,1))</f>
        <v>P4</v>
      </c>
      <c r="AQ825" s="438">
        <f>IFERROR(Table_NFI[[#This Row],[Kitchen Set]]/VLOOKUP(Table_NFI[[#This Row],[Camp Name]],CL,4,0),"")</f>
        <v>0</v>
      </c>
      <c r="AR825" s="779" t="s">
        <v>1099</v>
      </c>
      <c r="AS825" s="783"/>
    </row>
    <row r="826" spans="1:45" x14ac:dyDescent="0.25">
      <c r="A826" s="455">
        <f t="shared" si="12"/>
        <v>42.633333333333333</v>
      </c>
      <c r="B826" s="778">
        <v>41030</v>
      </c>
      <c r="C826" s="779" t="s">
        <v>454</v>
      </c>
      <c r="D826" s="780" t="s">
        <v>454</v>
      </c>
      <c r="E826" s="779" t="s">
        <v>380</v>
      </c>
      <c r="F826" s="435" t="s">
        <v>310</v>
      </c>
      <c r="G826" s="435" t="s">
        <v>351</v>
      </c>
      <c r="H826" s="436"/>
      <c r="I826" s="436"/>
      <c r="J826" s="436"/>
      <c r="K826" s="436">
        <v>52</v>
      </c>
      <c r="L826" s="437">
        <v>0</v>
      </c>
      <c r="M826" s="437">
        <v>52</v>
      </c>
      <c r="N826" s="437">
        <v>0</v>
      </c>
      <c r="O826" s="437">
        <v>24</v>
      </c>
      <c r="P826" s="437">
        <v>24</v>
      </c>
      <c r="Q826" s="437">
        <v>24</v>
      </c>
      <c r="R826" s="436"/>
      <c r="S826" s="436"/>
      <c r="T826" s="436"/>
      <c r="U826" s="436"/>
      <c r="V826" s="436"/>
      <c r="W826" s="436">
        <f>IF(NFI_Expiration=1,IF($A826&lt;VLOOKUP(H$5,NFI,5,0),1,0)*Table_NFI[[#This Row],[Hygiene Kit]],Table_NFI[Hygiene Kit])</f>
        <v>0</v>
      </c>
      <c r="X826" s="436">
        <f>IF(NFI_Expiration=1,IF($A826&lt;VLOOKUP(I$5,NFI,5,0),1,0)*Table_NFI[[#This Row],[NFI Core Kit]],Table_NFI[NFI Core Kit])</f>
        <v>0</v>
      </c>
      <c r="Y826" s="436">
        <f>IF(NFI_Expiration=1,IF($A826&lt;VLOOKUP(J$5,NFI,5,0),1,0)*Table_NFI[[#This Row],[Sanitary Kit]],Table_NFI[Sanitary Kit])</f>
        <v>0</v>
      </c>
      <c r="Z826" s="436">
        <f>IF(NFI_Expiration=1,IF($A826&lt;VLOOKUP(K$5,NFI,5,0),1,0)*Table_NFI[[#This Row],[Mosquito net]],Table_NFI[Mosquito net])</f>
        <v>0</v>
      </c>
      <c r="AA826" s="436">
        <f>IF(NFI_Expiration=1,IF($A826&lt;VLOOKUP(L$5,NFI,5,0),1,0)*Table_NFI[[#This Row],[Tarpaulin]],Table_NFI[[#This Row],[Tarpaulin]])</f>
        <v>0</v>
      </c>
      <c r="AB826" s="436">
        <f>IF(NFI_Expiration=1,IF($A826&lt;VLOOKUP(M$5,NFI,5,0),1,0)*Table_NFI[[#This Row],[Blanket]],Table_NFI[[#This Row],[Blanket]])</f>
        <v>0</v>
      </c>
      <c r="AC826" s="436">
        <f>IF(NFI_Expiration=1,IF($A826&lt;VLOOKUP(N$5,NFI,5,0),1,0)*Table_NFI[[#This Row],[Kitchen Set]],Table_NFI[Kitchen Set])</f>
        <v>0</v>
      </c>
      <c r="AD826" s="436">
        <f>IF(NFI_Expiration=1,IF($A826&lt;VLOOKUP(O$5,NFI,5,0),1,0)*Table_NFI[[#This Row],[Clothes Kit]],Table_NFI[Clothes Kit])</f>
        <v>0</v>
      </c>
      <c r="AE826" s="436">
        <f>IF(NFI_Expiration=1,IF($A826&lt;VLOOKUP(P$5,NFI,5,0),1,0)*Table_NFI[[#This Row],[Plastic Bucket]],Table_NFI[Plastic Bucket])</f>
        <v>0</v>
      </c>
      <c r="AF826" s="436">
        <f>IF(NFI_Expiration=1,IF($A826&lt;VLOOKUP(Q$5,NFI,5,0),1,0)*Table_NFI[[#This Row],[Plastic Mat]],Table_NFI[Plastic Mat])*IF(Table_NFI[[#This Row],[Distribution Date]]&gt;"2014-04-01",1,2.5)</f>
        <v>0</v>
      </c>
      <c r="AG826" s="436">
        <f>IF(NFI_Expiration=1,IF($A826&lt;VLOOKUP(R$5,NFI,5,0),1,0)*Table_NFI[[#This Row],[Winter Clothes Adult]],Table_NFI[Winter Clothes Adult])</f>
        <v>0</v>
      </c>
      <c r="AH826" s="436">
        <f>IF(NFI_Expiration=1,IF($A826&lt;VLOOKUP(S$5,NFI,5,0),1,0)*Table_NFI[[#This Row],[Winter Clothes Children]],Table_NFI[Winter Clothes Children])</f>
        <v>0</v>
      </c>
      <c r="AI826" s="436">
        <f>IF(NFI_Expiration=1,IF($A826&lt;VLOOKUP(T$5,NFI,5,0),1,0)*Table_NFI[[#This Row],[Winter Items Other]],Table_NFI[Winter Items Other])</f>
        <v>0</v>
      </c>
      <c r="AJ826" s="436">
        <f>IF(NFI_Expiration=1,IF($A826&lt;VLOOKUP(M$5,NFI,5,0),1,0)*Table_NFI[[#This Row],[Winter Blanket]],Table_NFI[[#This Row],[Winter Blanket]])</f>
        <v>0</v>
      </c>
      <c r="AK826" s="436">
        <f>IF(Table_NFI[[#This Row],[Winter Clothes Adult]]+Table_NFI[[#This Row],[Winter Clothes Children]]+Table_NFI[[#This Row],[Winter Items Other]]+Table_NFI[[#This Row],[Winter Blanket]]&gt;0,1,0)</f>
        <v>0</v>
      </c>
      <c r="AL826" s="439">
        <f>IF(NFI_Expiration=1,IF($A826&lt;VLOOKUP(V$5,NFI,5,0),1,0)*Table_NFI[[#This Row],[Jerry Can]],Table_NFI[Jerry Can])</f>
        <v>0</v>
      </c>
      <c r="AM826" s="781" t="str">
        <f>IFERROR(VLOOKUP(Table_NFI[[#This Row],[Camp Name]],CL,2,0),"")</f>
        <v>MMR001CMP026</v>
      </c>
      <c r="AN826" s="782">
        <f ca="1">IF(Table_NFI[[#This Row],[Pcode]]="","",IF(OFFSET(CampList[Opening Date],MATCH(Table_NFI[[#This Row],[Pcode]],CampList[CP_Pcode],0)-1,0,1,1)&gt;=NFI_Monitor_Date,1,0))</f>
        <v>0</v>
      </c>
      <c r="AO826" s="781" t="str">
        <f>IFERROR(VLOOKUP(Table_NFI[[#This Row],[Camp Name]],CL,3,0),"")</f>
        <v>Open</v>
      </c>
      <c r="AP826" s="436" t="str">
        <f ca="1">IF(Table_NFI[[#This Row],[Pcode]]="","",OFFSET(CampList[Priority],MATCH(Table_NFI[[#This Row],[Pcode]],CampList[CP_Pcode],0)-1,0,1,1))</f>
        <v>P4</v>
      </c>
      <c r="AQ826" s="438">
        <f>IFERROR(Table_NFI[[#This Row],[Kitchen Set]]/VLOOKUP(Table_NFI[[#This Row],[Camp Name]],CL,4,0),"")</f>
        <v>0</v>
      </c>
      <c r="AR826" s="779" t="s">
        <v>1099</v>
      </c>
      <c r="AS826" s="783"/>
    </row>
    <row r="827" spans="1:45" x14ac:dyDescent="0.25">
      <c r="A827" s="455">
        <f t="shared" si="12"/>
        <v>42.833333333333336</v>
      </c>
      <c r="B827" s="778">
        <v>41024</v>
      </c>
      <c r="C827" s="779" t="s">
        <v>454</v>
      </c>
      <c r="D827" s="779" t="s">
        <v>454</v>
      </c>
      <c r="E827" s="779" t="s">
        <v>380</v>
      </c>
      <c r="F827" s="435" t="s">
        <v>185</v>
      </c>
      <c r="G827" s="435" t="s">
        <v>192</v>
      </c>
      <c r="H827" s="436"/>
      <c r="I827" s="436"/>
      <c r="J827" s="436"/>
      <c r="K827" s="436">
        <v>198</v>
      </c>
      <c r="L827" s="437">
        <v>99</v>
      </c>
      <c r="M827" s="437">
        <v>198</v>
      </c>
      <c r="N827" s="437">
        <v>99</v>
      </c>
      <c r="O827" s="437">
        <v>99</v>
      </c>
      <c r="P827" s="439">
        <v>99</v>
      </c>
      <c r="Q827" s="439">
        <v>99</v>
      </c>
      <c r="R827" s="436"/>
      <c r="S827" s="436"/>
      <c r="T827" s="436"/>
      <c r="U827" s="436"/>
      <c r="V827" s="436"/>
      <c r="W827" s="436">
        <f>IF(NFI_Expiration=1,IF($A827&lt;VLOOKUP(H$5,NFI,5,0),1,0)*Table_NFI[[#This Row],[Hygiene Kit]],Table_NFI[Hygiene Kit])</f>
        <v>0</v>
      </c>
      <c r="X827" s="436">
        <f>IF(NFI_Expiration=1,IF($A827&lt;VLOOKUP(I$5,NFI,5,0),1,0)*Table_NFI[[#This Row],[NFI Core Kit]],Table_NFI[NFI Core Kit])</f>
        <v>0</v>
      </c>
      <c r="Y827" s="436">
        <f>IF(NFI_Expiration=1,IF($A827&lt;VLOOKUP(J$5,NFI,5,0),1,0)*Table_NFI[[#This Row],[Sanitary Kit]],Table_NFI[Sanitary Kit])</f>
        <v>0</v>
      </c>
      <c r="Z827" s="436">
        <f>IF(NFI_Expiration=1,IF($A827&lt;VLOOKUP(K$5,NFI,5,0),1,0)*Table_NFI[[#This Row],[Mosquito net]],Table_NFI[Mosquito net])</f>
        <v>0</v>
      </c>
      <c r="AA827" s="436">
        <f>IF(NFI_Expiration=1,IF($A827&lt;VLOOKUP(L$5,NFI,5,0),1,0)*Table_NFI[[#This Row],[Tarpaulin]],Table_NFI[[#This Row],[Tarpaulin]])</f>
        <v>0</v>
      </c>
      <c r="AB827" s="436">
        <f>IF(NFI_Expiration=1,IF($A827&lt;VLOOKUP(M$5,NFI,5,0),1,0)*Table_NFI[[#This Row],[Blanket]],Table_NFI[[#This Row],[Blanket]])</f>
        <v>0</v>
      </c>
      <c r="AC827" s="436">
        <f>IF(NFI_Expiration=1,IF($A827&lt;VLOOKUP(N$5,NFI,5,0),1,0)*Table_NFI[[#This Row],[Kitchen Set]],Table_NFI[Kitchen Set])</f>
        <v>0</v>
      </c>
      <c r="AD827" s="436">
        <f>IF(NFI_Expiration=1,IF($A827&lt;VLOOKUP(O$5,NFI,5,0),1,0)*Table_NFI[[#This Row],[Clothes Kit]],Table_NFI[Clothes Kit])</f>
        <v>0</v>
      </c>
      <c r="AE827" s="436">
        <f>IF(NFI_Expiration=1,IF($A827&lt;VLOOKUP(P$5,NFI,5,0),1,0)*Table_NFI[[#This Row],[Plastic Bucket]],Table_NFI[Plastic Bucket])</f>
        <v>0</v>
      </c>
      <c r="AF827" s="436">
        <f>IF(NFI_Expiration=1,IF($A827&lt;VLOOKUP(Q$5,NFI,5,0),1,0)*Table_NFI[[#This Row],[Plastic Mat]],Table_NFI[Plastic Mat])*IF(Table_NFI[[#This Row],[Distribution Date]]&gt;"2014-04-01",1,2.5)</f>
        <v>0</v>
      </c>
      <c r="AG827" s="436">
        <f>IF(NFI_Expiration=1,IF($A827&lt;VLOOKUP(R$5,NFI,5,0),1,0)*Table_NFI[[#This Row],[Winter Clothes Adult]],Table_NFI[Winter Clothes Adult])</f>
        <v>0</v>
      </c>
      <c r="AH827" s="436">
        <f>IF(NFI_Expiration=1,IF($A827&lt;VLOOKUP(S$5,NFI,5,0),1,0)*Table_NFI[[#This Row],[Winter Clothes Children]],Table_NFI[Winter Clothes Children])</f>
        <v>0</v>
      </c>
      <c r="AI827" s="436">
        <f>IF(NFI_Expiration=1,IF($A827&lt;VLOOKUP(T$5,NFI,5,0),1,0)*Table_NFI[[#This Row],[Winter Items Other]],Table_NFI[Winter Items Other])</f>
        <v>0</v>
      </c>
      <c r="AJ827" s="436">
        <f>IF(NFI_Expiration=1,IF($A827&lt;VLOOKUP(M$5,NFI,5,0),1,0)*Table_NFI[[#This Row],[Winter Blanket]],Table_NFI[[#This Row],[Winter Blanket]])</f>
        <v>0</v>
      </c>
      <c r="AK827" s="436">
        <f>IF(Table_NFI[[#This Row],[Winter Clothes Adult]]+Table_NFI[[#This Row],[Winter Clothes Children]]+Table_NFI[[#This Row],[Winter Items Other]]+Table_NFI[[#This Row],[Winter Blanket]]&gt;0,1,0)</f>
        <v>0</v>
      </c>
      <c r="AL827" s="439">
        <f>IF(NFI_Expiration=1,IF($A827&lt;VLOOKUP(V$5,NFI,5,0),1,0)*Table_NFI[[#This Row],[Jerry Can]],Table_NFI[Jerry Can])</f>
        <v>0</v>
      </c>
      <c r="AM827" s="781" t="str">
        <f>IFERROR(VLOOKUP(Table_NFI[[#This Row],[Camp Name]],CL,2,0),"")</f>
        <v>MMR001CMP123</v>
      </c>
      <c r="AN827" s="782">
        <f ca="1">IF(Table_NFI[[#This Row],[Pcode]]="","",IF(OFFSET(CampList[Opening Date],MATCH(Table_NFI[[#This Row],[Pcode]],CampList[CP_Pcode],0)-1,0,1,1)&gt;=NFI_Monitor_Date,1,0))</f>
        <v>0</v>
      </c>
      <c r="AO827" s="781" t="str">
        <f>IFERROR(VLOOKUP(Table_NFI[[#This Row],[Camp Name]],CL,3,0),"")</f>
        <v>Open</v>
      </c>
      <c r="AP827" s="436" t="str">
        <f ca="1">IF(Table_NFI[[#This Row],[Pcode]]="","",OFFSET(CampList[Priority],MATCH(Table_NFI[[#This Row],[Pcode]],CampList[CP_Pcode],0)-1,0,1,1))</f>
        <v>P2</v>
      </c>
      <c r="AQ827" s="438">
        <f>IFERROR(Table_NFI[[#This Row],[Kitchen Set]]/VLOOKUP(Table_NFI[[#This Row],[Camp Name]],CL,4,0),"")</f>
        <v>0.86086956521739133</v>
      </c>
      <c r="AR827" s="779" t="s">
        <v>1099</v>
      </c>
      <c r="AS827" s="783"/>
    </row>
    <row r="828" spans="1:45" x14ac:dyDescent="0.25">
      <c r="A828" s="455">
        <f t="shared" si="12"/>
        <v>42.833333333333336</v>
      </c>
      <c r="B828" s="778">
        <v>41024</v>
      </c>
      <c r="C828" s="779" t="s">
        <v>454</v>
      </c>
      <c r="D828" s="779" t="s">
        <v>454</v>
      </c>
      <c r="E828" s="779" t="s">
        <v>380</v>
      </c>
      <c r="F828" s="435" t="s">
        <v>237</v>
      </c>
      <c r="G828" s="435" t="s">
        <v>283</v>
      </c>
      <c r="H828" s="436"/>
      <c r="I828" s="436"/>
      <c r="J828" s="436"/>
      <c r="K828" s="436">
        <v>39</v>
      </c>
      <c r="L828" s="437">
        <v>19</v>
      </c>
      <c r="M828" s="437">
        <v>78</v>
      </c>
      <c r="N828" s="437">
        <v>19</v>
      </c>
      <c r="O828" s="437">
        <v>0</v>
      </c>
      <c r="P828" s="439"/>
      <c r="Q828" s="439"/>
      <c r="R828" s="436"/>
      <c r="S828" s="436"/>
      <c r="T828" s="436"/>
      <c r="U828" s="436"/>
      <c r="V828" s="436"/>
      <c r="W828" s="436">
        <f>IF(NFI_Expiration=1,IF($A828&lt;VLOOKUP(H$5,NFI,5,0),1,0)*Table_NFI[[#This Row],[Hygiene Kit]],Table_NFI[Hygiene Kit])</f>
        <v>0</v>
      </c>
      <c r="X828" s="436">
        <f>IF(NFI_Expiration=1,IF($A828&lt;VLOOKUP(I$5,NFI,5,0),1,0)*Table_NFI[[#This Row],[NFI Core Kit]],Table_NFI[NFI Core Kit])</f>
        <v>0</v>
      </c>
      <c r="Y828" s="436">
        <f>IF(NFI_Expiration=1,IF($A828&lt;VLOOKUP(J$5,NFI,5,0),1,0)*Table_NFI[[#This Row],[Sanitary Kit]],Table_NFI[Sanitary Kit])</f>
        <v>0</v>
      </c>
      <c r="Z828" s="436">
        <f>IF(NFI_Expiration=1,IF($A828&lt;VLOOKUP(K$5,NFI,5,0),1,0)*Table_NFI[[#This Row],[Mosquito net]],Table_NFI[Mosquito net])</f>
        <v>0</v>
      </c>
      <c r="AA828" s="436">
        <f>IF(NFI_Expiration=1,IF($A828&lt;VLOOKUP(L$5,NFI,5,0),1,0)*Table_NFI[[#This Row],[Tarpaulin]],Table_NFI[[#This Row],[Tarpaulin]])</f>
        <v>0</v>
      </c>
      <c r="AB828" s="436">
        <f>IF(NFI_Expiration=1,IF($A828&lt;VLOOKUP(M$5,NFI,5,0),1,0)*Table_NFI[[#This Row],[Blanket]],Table_NFI[[#This Row],[Blanket]])</f>
        <v>0</v>
      </c>
      <c r="AC828" s="436">
        <f>IF(NFI_Expiration=1,IF($A828&lt;VLOOKUP(N$5,NFI,5,0),1,0)*Table_NFI[[#This Row],[Kitchen Set]],Table_NFI[Kitchen Set])</f>
        <v>0</v>
      </c>
      <c r="AD828" s="436">
        <f>IF(NFI_Expiration=1,IF($A828&lt;VLOOKUP(O$5,NFI,5,0),1,0)*Table_NFI[[#This Row],[Clothes Kit]],Table_NFI[Clothes Kit])</f>
        <v>0</v>
      </c>
      <c r="AE828" s="436">
        <f>IF(NFI_Expiration=1,IF($A828&lt;VLOOKUP(P$5,NFI,5,0),1,0)*Table_NFI[[#This Row],[Plastic Bucket]],Table_NFI[Plastic Bucket])</f>
        <v>0</v>
      </c>
      <c r="AF828" s="436">
        <f>IF(NFI_Expiration=1,IF($A828&lt;VLOOKUP(Q$5,NFI,5,0),1,0)*Table_NFI[[#This Row],[Plastic Mat]],Table_NFI[Plastic Mat])*IF(Table_NFI[[#This Row],[Distribution Date]]&gt;"2014-04-01",1,2.5)</f>
        <v>0</v>
      </c>
      <c r="AG828" s="436">
        <f>IF(NFI_Expiration=1,IF($A828&lt;VLOOKUP(R$5,NFI,5,0),1,0)*Table_NFI[[#This Row],[Winter Clothes Adult]],Table_NFI[Winter Clothes Adult])</f>
        <v>0</v>
      </c>
      <c r="AH828" s="436">
        <f>IF(NFI_Expiration=1,IF($A828&lt;VLOOKUP(S$5,NFI,5,0),1,0)*Table_NFI[[#This Row],[Winter Clothes Children]],Table_NFI[Winter Clothes Children])</f>
        <v>0</v>
      </c>
      <c r="AI828" s="436">
        <f>IF(NFI_Expiration=1,IF($A828&lt;VLOOKUP(T$5,NFI,5,0),1,0)*Table_NFI[[#This Row],[Winter Items Other]],Table_NFI[Winter Items Other])</f>
        <v>0</v>
      </c>
      <c r="AJ828" s="436">
        <f>IF(NFI_Expiration=1,IF($A828&lt;VLOOKUP(M$5,NFI,5,0),1,0)*Table_NFI[[#This Row],[Winter Blanket]],Table_NFI[[#This Row],[Winter Blanket]])</f>
        <v>0</v>
      </c>
      <c r="AK828" s="436">
        <f>IF(Table_NFI[[#This Row],[Winter Clothes Adult]]+Table_NFI[[#This Row],[Winter Clothes Children]]+Table_NFI[[#This Row],[Winter Items Other]]+Table_NFI[[#This Row],[Winter Blanket]]&gt;0,1,0)</f>
        <v>0</v>
      </c>
      <c r="AL828" s="439">
        <f>IF(NFI_Expiration=1,IF($A828&lt;VLOOKUP(V$5,NFI,5,0),1,0)*Table_NFI[[#This Row],[Jerry Can]],Table_NFI[Jerry Can])</f>
        <v>0</v>
      </c>
      <c r="AM828" s="781" t="str">
        <f>IFERROR(VLOOKUP(Table_NFI[[#This Row],[Camp Name]],CL,2,0),"")</f>
        <v>MMR001CMP022</v>
      </c>
      <c r="AN828" s="782">
        <f ca="1">IF(Table_NFI[[#This Row],[Pcode]]="","",IF(OFFSET(CampList[Opening Date],MATCH(Table_NFI[[#This Row],[Pcode]],CampList[CP_Pcode],0)-1,0,1,1)&gt;=NFI_Monitor_Date,1,0))</f>
        <v>0</v>
      </c>
      <c r="AO828" s="781" t="str">
        <f>IFERROR(VLOOKUP(Table_NFI[[#This Row],[Camp Name]],CL,3,0),"")</f>
        <v>Open</v>
      </c>
      <c r="AP828" s="436" t="str">
        <f ca="1">IF(Table_NFI[[#This Row],[Pcode]]="","",OFFSET(CampList[Priority],MATCH(Table_NFI[[#This Row],[Pcode]],CampList[CP_Pcode],0)-1,0,1,1))</f>
        <v>P4</v>
      </c>
      <c r="AQ828" s="438">
        <f>IFERROR(Table_NFI[[#This Row],[Kitchen Set]]/VLOOKUP(Table_NFI[[#This Row],[Camp Name]],CL,4,0),"")</f>
        <v>2.7142857142857144</v>
      </c>
      <c r="AR828" s="779" t="s">
        <v>1099</v>
      </c>
      <c r="AS828" s="783"/>
    </row>
    <row r="829" spans="1:45" x14ac:dyDescent="0.25">
      <c r="A829" s="455">
        <f t="shared" si="12"/>
        <v>42.93333333333333</v>
      </c>
      <c r="B829" s="778">
        <v>41021</v>
      </c>
      <c r="C829" s="779" t="s">
        <v>454</v>
      </c>
      <c r="D829" s="779" t="s">
        <v>454</v>
      </c>
      <c r="E829" s="779" t="s">
        <v>380</v>
      </c>
      <c r="F829" s="435" t="s">
        <v>185</v>
      </c>
      <c r="G829" s="435" t="s">
        <v>914</v>
      </c>
      <c r="H829" s="436"/>
      <c r="I829" s="436"/>
      <c r="J829" s="436"/>
      <c r="K829" s="436">
        <v>846</v>
      </c>
      <c r="L829" s="437">
        <v>423</v>
      </c>
      <c r="M829" s="437">
        <v>846</v>
      </c>
      <c r="N829" s="437">
        <v>423</v>
      </c>
      <c r="O829" s="437">
        <v>423</v>
      </c>
      <c r="P829" s="439">
        <v>423</v>
      </c>
      <c r="Q829" s="439">
        <v>423</v>
      </c>
      <c r="R829" s="436"/>
      <c r="S829" s="436"/>
      <c r="T829" s="436"/>
      <c r="U829" s="436"/>
      <c r="V829" s="436"/>
      <c r="W829" s="436">
        <f>IF(NFI_Expiration=1,IF($A829&lt;VLOOKUP(H$5,NFI,5,0),1,0)*Table_NFI[[#This Row],[Hygiene Kit]],Table_NFI[Hygiene Kit])</f>
        <v>0</v>
      </c>
      <c r="X829" s="436">
        <f>IF(NFI_Expiration=1,IF($A829&lt;VLOOKUP(I$5,NFI,5,0),1,0)*Table_NFI[[#This Row],[NFI Core Kit]],Table_NFI[NFI Core Kit])</f>
        <v>0</v>
      </c>
      <c r="Y829" s="436">
        <f>IF(NFI_Expiration=1,IF($A829&lt;VLOOKUP(J$5,NFI,5,0),1,0)*Table_NFI[[#This Row],[Sanitary Kit]],Table_NFI[Sanitary Kit])</f>
        <v>0</v>
      </c>
      <c r="Z829" s="436">
        <f>IF(NFI_Expiration=1,IF($A829&lt;VLOOKUP(K$5,NFI,5,0),1,0)*Table_NFI[[#This Row],[Mosquito net]],Table_NFI[Mosquito net])</f>
        <v>0</v>
      </c>
      <c r="AA829" s="436">
        <f>IF(NFI_Expiration=1,IF($A829&lt;VLOOKUP(L$5,NFI,5,0),1,0)*Table_NFI[[#This Row],[Tarpaulin]],Table_NFI[[#This Row],[Tarpaulin]])</f>
        <v>0</v>
      </c>
      <c r="AB829" s="436">
        <f>IF(NFI_Expiration=1,IF($A829&lt;VLOOKUP(M$5,NFI,5,0),1,0)*Table_NFI[[#This Row],[Blanket]],Table_NFI[[#This Row],[Blanket]])</f>
        <v>0</v>
      </c>
      <c r="AC829" s="436">
        <f>IF(NFI_Expiration=1,IF($A829&lt;VLOOKUP(N$5,NFI,5,0),1,0)*Table_NFI[[#This Row],[Kitchen Set]],Table_NFI[Kitchen Set])</f>
        <v>0</v>
      </c>
      <c r="AD829" s="436">
        <f>IF(NFI_Expiration=1,IF($A829&lt;VLOOKUP(O$5,NFI,5,0),1,0)*Table_NFI[[#This Row],[Clothes Kit]],Table_NFI[Clothes Kit])</f>
        <v>0</v>
      </c>
      <c r="AE829" s="436">
        <f>IF(NFI_Expiration=1,IF($A829&lt;VLOOKUP(P$5,NFI,5,0),1,0)*Table_NFI[[#This Row],[Plastic Bucket]],Table_NFI[Plastic Bucket])</f>
        <v>0</v>
      </c>
      <c r="AF829" s="436">
        <f>IF(NFI_Expiration=1,IF($A829&lt;VLOOKUP(Q$5,NFI,5,0),1,0)*Table_NFI[[#This Row],[Plastic Mat]],Table_NFI[Plastic Mat])*IF(Table_NFI[[#This Row],[Distribution Date]]&gt;"2014-04-01",1,2.5)</f>
        <v>0</v>
      </c>
      <c r="AG829" s="436">
        <f>IF(NFI_Expiration=1,IF($A829&lt;VLOOKUP(R$5,NFI,5,0),1,0)*Table_NFI[[#This Row],[Winter Clothes Adult]],Table_NFI[Winter Clothes Adult])</f>
        <v>0</v>
      </c>
      <c r="AH829" s="436">
        <f>IF(NFI_Expiration=1,IF($A829&lt;VLOOKUP(S$5,NFI,5,0),1,0)*Table_NFI[[#This Row],[Winter Clothes Children]],Table_NFI[Winter Clothes Children])</f>
        <v>0</v>
      </c>
      <c r="AI829" s="436">
        <f>IF(NFI_Expiration=1,IF($A829&lt;VLOOKUP(T$5,NFI,5,0),1,0)*Table_NFI[[#This Row],[Winter Items Other]],Table_NFI[Winter Items Other])</f>
        <v>0</v>
      </c>
      <c r="AJ829" s="436">
        <f>IF(NFI_Expiration=1,IF($A829&lt;VLOOKUP(M$5,NFI,5,0),1,0)*Table_NFI[[#This Row],[Winter Blanket]],Table_NFI[[#This Row],[Winter Blanket]])</f>
        <v>0</v>
      </c>
      <c r="AK829" s="436">
        <f>IF(Table_NFI[[#This Row],[Winter Clothes Adult]]+Table_NFI[[#This Row],[Winter Clothes Children]]+Table_NFI[[#This Row],[Winter Items Other]]+Table_NFI[[#This Row],[Winter Blanket]]&gt;0,1,0)</f>
        <v>0</v>
      </c>
      <c r="AL829" s="439">
        <f>IF(NFI_Expiration=1,IF($A829&lt;VLOOKUP(V$5,NFI,5,0),1,0)*Table_NFI[[#This Row],[Jerry Can]],Table_NFI[Jerry Can])</f>
        <v>0</v>
      </c>
      <c r="AM829" s="781" t="str">
        <f>IFERROR(VLOOKUP(Table_NFI[[#This Row],[Camp Name]],CL,2,0),"")</f>
        <v/>
      </c>
      <c r="AN829" s="782" t="str">
        <f ca="1">IF(Table_NFI[[#This Row],[Pcode]]="","",IF(OFFSET(CampList[Opening Date],MATCH(Table_NFI[[#This Row],[Pcode]],CampList[CP_Pcode],0)-1,0,1,1)&gt;=NFI_Monitor_Date,1,0))</f>
        <v/>
      </c>
      <c r="AO829" s="781" t="str">
        <f>IFERROR(VLOOKUP(Table_NFI[[#This Row],[Camp Name]],CL,3,0),"")</f>
        <v/>
      </c>
      <c r="AP829" s="436" t="str">
        <f ca="1">IF(Table_NFI[[#This Row],[Pcode]]="","",OFFSET(CampList[Priority],MATCH(Table_NFI[[#This Row],[Pcode]],CampList[CP_Pcode],0)-1,0,1,1))</f>
        <v/>
      </c>
      <c r="AQ829" s="438" t="str">
        <f>IFERROR(Table_NFI[[#This Row],[Kitchen Set]]/VLOOKUP(Table_NFI[[#This Row],[Camp Name]],CL,4,0),"")</f>
        <v/>
      </c>
      <c r="AR829" s="779" t="s">
        <v>1099</v>
      </c>
      <c r="AS829" s="783"/>
    </row>
    <row r="830" spans="1:45" x14ac:dyDescent="0.25">
      <c r="A830" s="455">
        <f t="shared" si="12"/>
        <v>43.266666666666666</v>
      </c>
      <c r="B830" s="778">
        <v>41011</v>
      </c>
      <c r="C830" s="779" t="s">
        <v>454</v>
      </c>
      <c r="D830" s="780" t="s">
        <v>454</v>
      </c>
      <c r="E830" s="779" t="s">
        <v>380</v>
      </c>
      <c r="F830" s="435" t="s">
        <v>310</v>
      </c>
      <c r="G830" s="435" t="s">
        <v>355</v>
      </c>
      <c r="H830" s="436"/>
      <c r="I830" s="436"/>
      <c r="J830" s="436"/>
      <c r="K830" s="436">
        <v>123</v>
      </c>
      <c r="L830" s="437">
        <v>95</v>
      </c>
      <c r="M830" s="437">
        <v>123</v>
      </c>
      <c r="N830" s="437">
        <v>95</v>
      </c>
      <c r="O830" s="437">
        <v>95</v>
      </c>
      <c r="P830" s="437">
        <v>95</v>
      </c>
      <c r="Q830" s="437">
        <v>95</v>
      </c>
      <c r="R830" s="436"/>
      <c r="S830" s="436"/>
      <c r="T830" s="436"/>
      <c r="U830" s="436"/>
      <c r="V830" s="436"/>
      <c r="W830" s="436">
        <f>IF(NFI_Expiration=1,IF($A830&lt;VLOOKUP(H$5,NFI,5,0),1,0)*Table_NFI[[#This Row],[Hygiene Kit]],Table_NFI[Hygiene Kit])</f>
        <v>0</v>
      </c>
      <c r="X830" s="436">
        <f>IF(NFI_Expiration=1,IF($A830&lt;VLOOKUP(I$5,NFI,5,0),1,0)*Table_NFI[[#This Row],[NFI Core Kit]],Table_NFI[NFI Core Kit])</f>
        <v>0</v>
      </c>
      <c r="Y830" s="436">
        <f>IF(NFI_Expiration=1,IF($A830&lt;VLOOKUP(J$5,NFI,5,0),1,0)*Table_NFI[[#This Row],[Sanitary Kit]],Table_NFI[Sanitary Kit])</f>
        <v>0</v>
      </c>
      <c r="Z830" s="436">
        <f>IF(NFI_Expiration=1,IF($A830&lt;VLOOKUP(K$5,NFI,5,0),1,0)*Table_NFI[[#This Row],[Mosquito net]],Table_NFI[Mosquito net])</f>
        <v>0</v>
      </c>
      <c r="AA830" s="436">
        <f>IF(NFI_Expiration=1,IF($A830&lt;VLOOKUP(L$5,NFI,5,0),1,0)*Table_NFI[[#This Row],[Tarpaulin]],Table_NFI[[#This Row],[Tarpaulin]])</f>
        <v>0</v>
      </c>
      <c r="AB830" s="436">
        <f>IF(NFI_Expiration=1,IF($A830&lt;VLOOKUP(M$5,NFI,5,0),1,0)*Table_NFI[[#This Row],[Blanket]],Table_NFI[[#This Row],[Blanket]])</f>
        <v>0</v>
      </c>
      <c r="AC830" s="436">
        <f>IF(NFI_Expiration=1,IF($A830&lt;VLOOKUP(N$5,NFI,5,0),1,0)*Table_NFI[[#This Row],[Kitchen Set]],Table_NFI[Kitchen Set])</f>
        <v>0</v>
      </c>
      <c r="AD830" s="436">
        <f>IF(NFI_Expiration=1,IF($A830&lt;VLOOKUP(O$5,NFI,5,0),1,0)*Table_NFI[[#This Row],[Clothes Kit]],Table_NFI[Clothes Kit])</f>
        <v>0</v>
      </c>
      <c r="AE830" s="436">
        <f>IF(NFI_Expiration=1,IF($A830&lt;VLOOKUP(P$5,NFI,5,0),1,0)*Table_NFI[[#This Row],[Plastic Bucket]],Table_NFI[Plastic Bucket])</f>
        <v>0</v>
      </c>
      <c r="AF830" s="436">
        <f>IF(NFI_Expiration=1,IF($A830&lt;VLOOKUP(Q$5,NFI,5,0),1,0)*Table_NFI[[#This Row],[Plastic Mat]],Table_NFI[Plastic Mat])*IF(Table_NFI[[#This Row],[Distribution Date]]&gt;"2014-04-01",1,2.5)</f>
        <v>0</v>
      </c>
      <c r="AG830" s="436">
        <f>IF(NFI_Expiration=1,IF($A830&lt;VLOOKUP(R$5,NFI,5,0),1,0)*Table_NFI[[#This Row],[Winter Clothes Adult]],Table_NFI[Winter Clothes Adult])</f>
        <v>0</v>
      </c>
      <c r="AH830" s="436">
        <f>IF(NFI_Expiration=1,IF($A830&lt;VLOOKUP(S$5,NFI,5,0),1,0)*Table_NFI[[#This Row],[Winter Clothes Children]],Table_NFI[Winter Clothes Children])</f>
        <v>0</v>
      </c>
      <c r="AI830" s="436">
        <f>IF(NFI_Expiration=1,IF($A830&lt;VLOOKUP(T$5,NFI,5,0),1,0)*Table_NFI[[#This Row],[Winter Items Other]],Table_NFI[Winter Items Other])</f>
        <v>0</v>
      </c>
      <c r="AJ830" s="436">
        <f>IF(NFI_Expiration=1,IF($A830&lt;VLOOKUP(M$5,NFI,5,0),1,0)*Table_NFI[[#This Row],[Winter Blanket]],Table_NFI[[#This Row],[Winter Blanket]])</f>
        <v>0</v>
      </c>
      <c r="AK830" s="436">
        <f>IF(Table_NFI[[#This Row],[Winter Clothes Adult]]+Table_NFI[[#This Row],[Winter Clothes Children]]+Table_NFI[[#This Row],[Winter Items Other]]+Table_NFI[[#This Row],[Winter Blanket]]&gt;0,1,0)</f>
        <v>0</v>
      </c>
      <c r="AL830" s="439">
        <f>IF(NFI_Expiration=1,IF($A830&lt;VLOOKUP(V$5,NFI,5,0),1,0)*Table_NFI[[#This Row],[Jerry Can]],Table_NFI[Jerry Can])</f>
        <v>0</v>
      </c>
      <c r="AM830" s="781" t="str">
        <f>IFERROR(VLOOKUP(Table_NFI[[#This Row],[Camp Name]],CL,2,0),"")</f>
        <v>MMR001CMP160</v>
      </c>
      <c r="AN830" s="782">
        <f ca="1">IF(Table_NFI[[#This Row],[Pcode]]="","",IF(OFFSET(CampList[Opening Date],MATCH(Table_NFI[[#This Row],[Pcode]],CampList[CP_Pcode],0)-1,0,1,1)&gt;=NFI_Monitor_Date,1,0))</f>
        <v>0</v>
      </c>
      <c r="AO830" s="781" t="str">
        <f>IFERROR(VLOOKUP(Table_NFI[[#This Row],[Camp Name]],CL,3,0),"")</f>
        <v>Open</v>
      </c>
      <c r="AP830" s="436" t="str">
        <f ca="1">IF(Table_NFI[[#This Row],[Pcode]]="","",OFFSET(CampList[Priority],MATCH(Table_NFI[[#This Row],[Pcode]],CampList[CP_Pcode],0)-1,0,1,1))</f>
        <v>P1</v>
      </c>
      <c r="AQ830" s="438">
        <f>IFERROR(Table_NFI[[#This Row],[Kitchen Set]]/VLOOKUP(Table_NFI[[#This Row],[Camp Name]],CL,4,0),"")</f>
        <v>0.87962962962962965</v>
      </c>
      <c r="AR830" s="779" t="s">
        <v>1099</v>
      </c>
      <c r="AS830" s="783"/>
    </row>
    <row r="831" spans="1:45" x14ac:dyDescent="0.25">
      <c r="A831" s="455">
        <f t="shared" si="12"/>
        <v>43.333333333333336</v>
      </c>
      <c r="B831" s="778">
        <v>41009</v>
      </c>
      <c r="C831" s="779" t="s">
        <v>454</v>
      </c>
      <c r="D831" s="779" t="s">
        <v>461</v>
      </c>
      <c r="E831" s="779" t="s">
        <v>380</v>
      </c>
      <c r="F831" s="779" t="s">
        <v>302</v>
      </c>
      <c r="G831" s="435" t="s">
        <v>306</v>
      </c>
      <c r="H831" s="436"/>
      <c r="I831" s="436"/>
      <c r="J831" s="436"/>
      <c r="K831" s="436">
        <v>46</v>
      </c>
      <c r="L831" s="437">
        <v>27</v>
      </c>
      <c r="M831" s="437">
        <v>46</v>
      </c>
      <c r="N831" s="437">
        <v>27</v>
      </c>
      <c r="O831" s="437">
        <v>27</v>
      </c>
      <c r="P831" s="439">
        <v>27</v>
      </c>
      <c r="Q831" s="439">
        <v>27</v>
      </c>
      <c r="R831" s="436"/>
      <c r="S831" s="436"/>
      <c r="T831" s="436"/>
      <c r="U831" s="436"/>
      <c r="V831" s="436"/>
      <c r="W831" s="436">
        <f>IF(NFI_Expiration=1,IF($A831&lt;VLOOKUP(H$5,NFI,5,0),1,0)*Table_NFI[[#This Row],[Hygiene Kit]],Table_NFI[Hygiene Kit])</f>
        <v>0</v>
      </c>
      <c r="X831" s="436">
        <f>IF(NFI_Expiration=1,IF($A831&lt;VLOOKUP(I$5,NFI,5,0),1,0)*Table_NFI[[#This Row],[NFI Core Kit]],Table_NFI[NFI Core Kit])</f>
        <v>0</v>
      </c>
      <c r="Y831" s="436">
        <f>IF(NFI_Expiration=1,IF($A831&lt;VLOOKUP(J$5,NFI,5,0),1,0)*Table_NFI[[#This Row],[Sanitary Kit]],Table_NFI[Sanitary Kit])</f>
        <v>0</v>
      </c>
      <c r="Z831" s="436">
        <f>IF(NFI_Expiration=1,IF($A831&lt;VLOOKUP(K$5,NFI,5,0),1,0)*Table_NFI[[#This Row],[Mosquito net]],Table_NFI[Mosquito net])</f>
        <v>0</v>
      </c>
      <c r="AA831" s="436">
        <f>IF(NFI_Expiration=1,IF($A831&lt;VLOOKUP(L$5,NFI,5,0),1,0)*Table_NFI[[#This Row],[Tarpaulin]],Table_NFI[[#This Row],[Tarpaulin]])</f>
        <v>0</v>
      </c>
      <c r="AB831" s="436">
        <f>IF(NFI_Expiration=1,IF($A831&lt;VLOOKUP(M$5,NFI,5,0),1,0)*Table_NFI[[#This Row],[Blanket]],Table_NFI[[#This Row],[Blanket]])</f>
        <v>0</v>
      </c>
      <c r="AC831" s="436">
        <f>IF(NFI_Expiration=1,IF($A831&lt;VLOOKUP(N$5,NFI,5,0),1,0)*Table_NFI[[#This Row],[Kitchen Set]],Table_NFI[Kitchen Set])</f>
        <v>0</v>
      </c>
      <c r="AD831" s="436">
        <f>IF(NFI_Expiration=1,IF($A831&lt;VLOOKUP(O$5,NFI,5,0),1,0)*Table_NFI[[#This Row],[Clothes Kit]],Table_NFI[Clothes Kit])</f>
        <v>0</v>
      </c>
      <c r="AE831" s="436">
        <f>IF(NFI_Expiration=1,IF($A831&lt;VLOOKUP(P$5,NFI,5,0),1,0)*Table_NFI[[#This Row],[Plastic Bucket]],Table_NFI[Plastic Bucket])</f>
        <v>0</v>
      </c>
      <c r="AF831" s="436">
        <f>IF(NFI_Expiration=1,IF($A831&lt;VLOOKUP(Q$5,NFI,5,0),1,0)*Table_NFI[[#This Row],[Plastic Mat]],Table_NFI[Plastic Mat])*IF(Table_NFI[[#This Row],[Distribution Date]]&gt;"2014-04-01",1,2.5)</f>
        <v>0</v>
      </c>
      <c r="AG831" s="436">
        <f>IF(NFI_Expiration=1,IF($A831&lt;VLOOKUP(R$5,NFI,5,0),1,0)*Table_NFI[[#This Row],[Winter Clothes Adult]],Table_NFI[Winter Clothes Adult])</f>
        <v>0</v>
      </c>
      <c r="AH831" s="436">
        <f>IF(NFI_Expiration=1,IF($A831&lt;VLOOKUP(S$5,NFI,5,0),1,0)*Table_NFI[[#This Row],[Winter Clothes Children]],Table_NFI[Winter Clothes Children])</f>
        <v>0</v>
      </c>
      <c r="AI831" s="436">
        <f>IF(NFI_Expiration=1,IF($A831&lt;VLOOKUP(T$5,NFI,5,0),1,0)*Table_NFI[[#This Row],[Winter Items Other]],Table_NFI[Winter Items Other])</f>
        <v>0</v>
      </c>
      <c r="AJ831" s="436">
        <f>IF(NFI_Expiration=1,IF($A831&lt;VLOOKUP(M$5,NFI,5,0),1,0)*Table_NFI[[#This Row],[Winter Blanket]],Table_NFI[[#This Row],[Winter Blanket]])</f>
        <v>0</v>
      </c>
      <c r="AK831" s="436">
        <f>IF(Table_NFI[[#This Row],[Winter Clothes Adult]]+Table_NFI[[#This Row],[Winter Clothes Children]]+Table_NFI[[#This Row],[Winter Items Other]]+Table_NFI[[#This Row],[Winter Blanket]]&gt;0,1,0)</f>
        <v>0</v>
      </c>
      <c r="AL831" s="439">
        <f>IF(NFI_Expiration=1,IF($A831&lt;VLOOKUP(V$5,NFI,5,0),1,0)*Table_NFI[[#This Row],[Jerry Can]],Table_NFI[Jerry Can])</f>
        <v>0</v>
      </c>
      <c r="AM831" s="781" t="str">
        <f>IFERROR(VLOOKUP(Table_NFI[[#This Row],[Camp Name]],CL,2,0),"")</f>
        <v>MMR001CMP067</v>
      </c>
      <c r="AN831" s="782">
        <f ca="1">IF(Table_NFI[[#This Row],[Pcode]]="","",IF(OFFSET(CampList[Opening Date],MATCH(Table_NFI[[#This Row],[Pcode]],CampList[CP_Pcode],0)-1,0,1,1)&gt;=NFI_Monitor_Date,1,0))</f>
        <v>0</v>
      </c>
      <c r="AO831" s="781" t="str">
        <f>IFERROR(VLOOKUP(Table_NFI[[#This Row],[Camp Name]],CL,3,0),"")</f>
        <v>Open</v>
      </c>
      <c r="AP831" s="436" t="str">
        <f ca="1">IF(Table_NFI[[#This Row],[Pcode]]="","",OFFSET(CampList[Priority],MATCH(Table_NFI[[#This Row],[Pcode]],CampList[CP_Pcode],0)-1,0,1,1))</f>
        <v>P4</v>
      </c>
      <c r="AQ831" s="438">
        <f>IFERROR(Table_NFI[[#This Row],[Kitchen Set]]/VLOOKUP(Table_NFI[[#This Row],[Camp Name]],CL,4,0),"")</f>
        <v>0.3253012048192771</v>
      </c>
      <c r="AR831" s="779" t="s">
        <v>1099</v>
      </c>
      <c r="AS831" s="783"/>
    </row>
    <row r="832" spans="1:45" x14ac:dyDescent="0.25">
      <c r="A832" s="455">
        <f t="shared" si="12"/>
        <v>43.333333333333336</v>
      </c>
      <c r="B832" s="778">
        <v>41009</v>
      </c>
      <c r="C832" s="779" t="s">
        <v>454</v>
      </c>
      <c r="D832" s="779" t="s">
        <v>461</v>
      </c>
      <c r="E832" s="779" t="s">
        <v>380</v>
      </c>
      <c r="F832" s="435" t="s">
        <v>302</v>
      </c>
      <c r="G832" s="435" t="s">
        <v>308</v>
      </c>
      <c r="H832" s="436"/>
      <c r="I832" s="436"/>
      <c r="J832" s="436"/>
      <c r="K832" s="436">
        <v>43</v>
      </c>
      <c r="L832" s="437">
        <v>25</v>
      </c>
      <c r="M832" s="437">
        <v>43</v>
      </c>
      <c r="N832" s="437">
        <v>25</v>
      </c>
      <c r="O832" s="437">
        <v>25</v>
      </c>
      <c r="P832" s="439">
        <v>25</v>
      </c>
      <c r="Q832" s="439">
        <v>25</v>
      </c>
      <c r="R832" s="436"/>
      <c r="S832" s="436"/>
      <c r="T832" s="436"/>
      <c r="U832" s="436"/>
      <c r="V832" s="436"/>
      <c r="W832" s="436">
        <f>IF(NFI_Expiration=1,IF($A832&lt;VLOOKUP(H$5,NFI,5,0),1,0)*Table_NFI[[#This Row],[Hygiene Kit]],Table_NFI[Hygiene Kit])</f>
        <v>0</v>
      </c>
      <c r="X832" s="436">
        <f>IF(NFI_Expiration=1,IF($A832&lt;VLOOKUP(I$5,NFI,5,0),1,0)*Table_NFI[[#This Row],[NFI Core Kit]],Table_NFI[NFI Core Kit])</f>
        <v>0</v>
      </c>
      <c r="Y832" s="436">
        <f>IF(NFI_Expiration=1,IF($A832&lt;VLOOKUP(J$5,NFI,5,0),1,0)*Table_NFI[[#This Row],[Sanitary Kit]],Table_NFI[Sanitary Kit])</f>
        <v>0</v>
      </c>
      <c r="Z832" s="436">
        <f>IF(NFI_Expiration=1,IF($A832&lt;VLOOKUP(K$5,NFI,5,0),1,0)*Table_NFI[[#This Row],[Mosquito net]],Table_NFI[Mosquito net])</f>
        <v>0</v>
      </c>
      <c r="AA832" s="436">
        <f>IF(NFI_Expiration=1,IF($A832&lt;VLOOKUP(L$5,NFI,5,0),1,0)*Table_NFI[[#This Row],[Tarpaulin]],Table_NFI[[#This Row],[Tarpaulin]])</f>
        <v>0</v>
      </c>
      <c r="AB832" s="436">
        <f>IF(NFI_Expiration=1,IF($A832&lt;VLOOKUP(M$5,NFI,5,0),1,0)*Table_NFI[[#This Row],[Blanket]],Table_NFI[[#This Row],[Blanket]])</f>
        <v>0</v>
      </c>
      <c r="AC832" s="436">
        <f>IF(NFI_Expiration=1,IF($A832&lt;VLOOKUP(N$5,NFI,5,0),1,0)*Table_NFI[[#This Row],[Kitchen Set]],Table_NFI[Kitchen Set])</f>
        <v>0</v>
      </c>
      <c r="AD832" s="436">
        <f>IF(NFI_Expiration=1,IF($A832&lt;VLOOKUP(O$5,NFI,5,0),1,0)*Table_NFI[[#This Row],[Clothes Kit]],Table_NFI[Clothes Kit])</f>
        <v>0</v>
      </c>
      <c r="AE832" s="436">
        <f>IF(NFI_Expiration=1,IF($A832&lt;VLOOKUP(P$5,NFI,5,0),1,0)*Table_NFI[[#This Row],[Plastic Bucket]],Table_NFI[Plastic Bucket])</f>
        <v>0</v>
      </c>
      <c r="AF832" s="436">
        <f>IF(NFI_Expiration=1,IF($A832&lt;VLOOKUP(Q$5,NFI,5,0),1,0)*Table_NFI[[#This Row],[Plastic Mat]],Table_NFI[Plastic Mat])*IF(Table_NFI[[#This Row],[Distribution Date]]&gt;"2014-04-01",1,2.5)</f>
        <v>0</v>
      </c>
      <c r="AG832" s="436">
        <f>IF(NFI_Expiration=1,IF($A832&lt;VLOOKUP(R$5,NFI,5,0),1,0)*Table_NFI[[#This Row],[Winter Clothes Adult]],Table_NFI[Winter Clothes Adult])</f>
        <v>0</v>
      </c>
      <c r="AH832" s="436">
        <f>IF(NFI_Expiration=1,IF($A832&lt;VLOOKUP(S$5,NFI,5,0),1,0)*Table_NFI[[#This Row],[Winter Clothes Children]],Table_NFI[Winter Clothes Children])</f>
        <v>0</v>
      </c>
      <c r="AI832" s="436">
        <f>IF(NFI_Expiration=1,IF($A832&lt;VLOOKUP(T$5,NFI,5,0),1,0)*Table_NFI[[#This Row],[Winter Items Other]],Table_NFI[Winter Items Other])</f>
        <v>0</v>
      </c>
      <c r="AJ832" s="436">
        <f>IF(NFI_Expiration=1,IF($A832&lt;VLOOKUP(M$5,NFI,5,0),1,0)*Table_NFI[[#This Row],[Winter Blanket]],Table_NFI[[#This Row],[Winter Blanket]])</f>
        <v>0</v>
      </c>
      <c r="AK832" s="436">
        <f>IF(Table_NFI[[#This Row],[Winter Clothes Adult]]+Table_NFI[[#This Row],[Winter Clothes Children]]+Table_NFI[[#This Row],[Winter Items Other]]+Table_NFI[[#This Row],[Winter Blanket]]&gt;0,1,0)</f>
        <v>0</v>
      </c>
      <c r="AL832" s="439">
        <f>IF(NFI_Expiration=1,IF($A832&lt;VLOOKUP(V$5,NFI,5,0),1,0)*Table_NFI[[#This Row],[Jerry Can]],Table_NFI[Jerry Can])</f>
        <v>0</v>
      </c>
      <c r="AM832" s="781" t="str">
        <f>IFERROR(VLOOKUP(Table_NFI[[#This Row],[Camp Name]],CL,2,0),"")</f>
        <v>MMR001CMP068</v>
      </c>
      <c r="AN832" s="782">
        <f ca="1">IF(Table_NFI[[#This Row],[Pcode]]="","",IF(OFFSET(CampList[Opening Date],MATCH(Table_NFI[[#This Row],[Pcode]],CampList[CP_Pcode],0)-1,0,1,1)&gt;=NFI_Monitor_Date,1,0))</f>
        <v>0</v>
      </c>
      <c r="AO832" s="781" t="str">
        <f>IFERROR(VLOOKUP(Table_NFI[[#This Row],[Camp Name]],CL,3,0),"")</f>
        <v>Open</v>
      </c>
      <c r="AP832" s="436" t="str">
        <f ca="1">IF(Table_NFI[[#This Row],[Pcode]]="","",OFFSET(CampList[Priority],MATCH(Table_NFI[[#This Row],[Pcode]],CampList[CP_Pcode],0)-1,0,1,1))</f>
        <v>P4</v>
      </c>
      <c r="AQ832" s="438">
        <f>IFERROR(Table_NFI[[#This Row],[Kitchen Set]]/VLOOKUP(Table_NFI[[#This Row],[Camp Name]],CL,4,0),"")</f>
        <v>0.625</v>
      </c>
      <c r="AR832" s="779" t="s">
        <v>1099</v>
      </c>
      <c r="AS832" s="783"/>
    </row>
    <row r="833" spans="1:45" x14ac:dyDescent="0.25">
      <c r="A833" s="455">
        <f t="shared" si="12"/>
        <v>43.5</v>
      </c>
      <c r="B833" s="778">
        <v>41004</v>
      </c>
      <c r="C833" s="779" t="s">
        <v>454</v>
      </c>
      <c r="D833" s="780" t="s">
        <v>454</v>
      </c>
      <c r="E833" s="779" t="s">
        <v>380</v>
      </c>
      <c r="F833" s="435" t="s">
        <v>185</v>
      </c>
      <c r="G833" s="435" t="s">
        <v>211</v>
      </c>
      <c r="H833" s="436"/>
      <c r="I833" s="436"/>
      <c r="J833" s="436"/>
      <c r="K833" s="436">
        <v>0</v>
      </c>
      <c r="L833" s="437">
        <v>50</v>
      </c>
      <c r="M833" s="437">
        <v>0</v>
      </c>
      <c r="N833" s="437">
        <v>0</v>
      </c>
      <c r="O833" s="437">
        <v>0</v>
      </c>
      <c r="P833" s="437"/>
      <c r="Q833" s="437"/>
      <c r="R833" s="436"/>
      <c r="S833" s="436"/>
      <c r="T833" s="436"/>
      <c r="U833" s="436"/>
      <c r="V833" s="436"/>
      <c r="W833" s="436">
        <f>IF(NFI_Expiration=1,IF($A833&lt;VLOOKUP(H$5,NFI,5,0),1,0)*Table_NFI[[#This Row],[Hygiene Kit]],Table_NFI[Hygiene Kit])</f>
        <v>0</v>
      </c>
      <c r="X833" s="436">
        <f>IF(NFI_Expiration=1,IF($A833&lt;VLOOKUP(I$5,NFI,5,0),1,0)*Table_NFI[[#This Row],[NFI Core Kit]],Table_NFI[NFI Core Kit])</f>
        <v>0</v>
      </c>
      <c r="Y833" s="436">
        <f>IF(NFI_Expiration=1,IF($A833&lt;VLOOKUP(J$5,NFI,5,0),1,0)*Table_NFI[[#This Row],[Sanitary Kit]],Table_NFI[Sanitary Kit])</f>
        <v>0</v>
      </c>
      <c r="Z833" s="436">
        <f>IF(NFI_Expiration=1,IF($A833&lt;VLOOKUP(K$5,NFI,5,0),1,0)*Table_NFI[[#This Row],[Mosquito net]],Table_NFI[Mosquito net])</f>
        <v>0</v>
      </c>
      <c r="AA833" s="436">
        <f>IF(NFI_Expiration=1,IF($A833&lt;VLOOKUP(L$5,NFI,5,0),1,0)*Table_NFI[[#This Row],[Tarpaulin]],Table_NFI[[#This Row],[Tarpaulin]])</f>
        <v>0</v>
      </c>
      <c r="AB833" s="436">
        <f>IF(NFI_Expiration=1,IF($A833&lt;VLOOKUP(M$5,NFI,5,0),1,0)*Table_NFI[[#This Row],[Blanket]],Table_NFI[[#This Row],[Blanket]])</f>
        <v>0</v>
      </c>
      <c r="AC833" s="436">
        <f>IF(NFI_Expiration=1,IF($A833&lt;VLOOKUP(N$5,NFI,5,0),1,0)*Table_NFI[[#This Row],[Kitchen Set]],Table_NFI[Kitchen Set])</f>
        <v>0</v>
      </c>
      <c r="AD833" s="436">
        <f>IF(NFI_Expiration=1,IF($A833&lt;VLOOKUP(O$5,NFI,5,0),1,0)*Table_NFI[[#This Row],[Clothes Kit]],Table_NFI[Clothes Kit])</f>
        <v>0</v>
      </c>
      <c r="AE833" s="436">
        <f>IF(NFI_Expiration=1,IF($A833&lt;VLOOKUP(P$5,NFI,5,0),1,0)*Table_NFI[[#This Row],[Plastic Bucket]],Table_NFI[Plastic Bucket])</f>
        <v>0</v>
      </c>
      <c r="AF833" s="436">
        <f>IF(NFI_Expiration=1,IF($A833&lt;VLOOKUP(Q$5,NFI,5,0),1,0)*Table_NFI[[#This Row],[Plastic Mat]],Table_NFI[Plastic Mat])*IF(Table_NFI[[#This Row],[Distribution Date]]&gt;"2014-04-01",1,2.5)</f>
        <v>0</v>
      </c>
      <c r="AG833" s="436">
        <f>IF(NFI_Expiration=1,IF($A833&lt;VLOOKUP(R$5,NFI,5,0),1,0)*Table_NFI[[#This Row],[Winter Clothes Adult]],Table_NFI[Winter Clothes Adult])</f>
        <v>0</v>
      </c>
      <c r="AH833" s="436">
        <f>IF(NFI_Expiration=1,IF($A833&lt;VLOOKUP(S$5,NFI,5,0),1,0)*Table_NFI[[#This Row],[Winter Clothes Children]],Table_NFI[Winter Clothes Children])</f>
        <v>0</v>
      </c>
      <c r="AI833" s="436">
        <f>IF(NFI_Expiration=1,IF($A833&lt;VLOOKUP(T$5,NFI,5,0),1,0)*Table_NFI[[#This Row],[Winter Items Other]],Table_NFI[Winter Items Other])</f>
        <v>0</v>
      </c>
      <c r="AJ833" s="436">
        <f>IF(NFI_Expiration=1,IF($A833&lt;VLOOKUP(M$5,NFI,5,0),1,0)*Table_NFI[[#This Row],[Winter Blanket]],Table_NFI[[#This Row],[Winter Blanket]])</f>
        <v>0</v>
      </c>
      <c r="AK833" s="436">
        <f>IF(Table_NFI[[#This Row],[Winter Clothes Adult]]+Table_NFI[[#This Row],[Winter Clothes Children]]+Table_NFI[[#This Row],[Winter Items Other]]+Table_NFI[[#This Row],[Winter Blanket]]&gt;0,1,0)</f>
        <v>0</v>
      </c>
      <c r="AL833" s="439">
        <f>IF(NFI_Expiration=1,IF($A833&lt;VLOOKUP(V$5,NFI,5,0),1,0)*Table_NFI[[#This Row],[Jerry Can]],Table_NFI[Jerry Can])</f>
        <v>0</v>
      </c>
      <c r="AM833" s="781" t="str">
        <f>IFERROR(VLOOKUP(Table_NFI[[#This Row],[Camp Name]],CL,2,0),"")</f>
        <v>MMR001CMP057</v>
      </c>
      <c r="AN833" s="782">
        <f ca="1">IF(Table_NFI[[#This Row],[Pcode]]="","",IF(OFFSET(CampList[Opening Date],MATCH(Table_NFI[[#This Row],[Pcode]],CampList[CP_Pcode],0)-1,0,1,1)&gt;=NFI_Monitor_Date,1,0))</f>
        <v>0</v>
      </c>
      <c r="AO833" s="781" t="str">
        <f>IFERROR(VLOOKUP(Table_NFI[[#This Row],[Camp Name]],CL,3,0),"")</f>
        <v>Closed</v>
      </c>
      <c r="AP833" s="436" t="str">
        <f ca="1">IF(Table_NFI[[#This Row],[Pcode]]="","",OFFSET(CampList[Priority],MATCH(Table_NFI[[#This Row],[Pcode]],CampList[CP_Pcode],0)-1,0,1,1))</f>
        <v>P4</v>
      </c>
      <c r="AQ833" s="438" t="str">
        <f>IFERROR(Table_NFI[[#This Row],[Kitchen Set]]/VLOOKUP(Table_NFI[[#This Row],[Camp Name]],CL,4,0),"")</f>
        <v/>
      </c>
      <c r="AR833" s="779" t="s">
        <v>1099</v>
      </c>
      <c r="AS833" s="783"/>
    </row>
    <row r="834" spans="1:45" x14ac:dyDescent="0.25">
      <c r="A834" s="455">
        <f t="shared" si="12"/>
        <v>43.533333333333331</v>
      </c>
      <c r="B834" s="778">
        <v>41003</v>
      </c>
      <c r="C834" s="779" t="s">
        <v>454</v>
      </c>
      <c r="D834" s="779" t="s">
        <v>454</v>
      </c>
      <c r="E834" s="779" t="s">
        <v>380</v>
      </c>
      <c r="F834" s="435" t="s">
        <v>151</v>
      </c>
      <c r="G834" s="435" t="s">
        <v>188</v>
      </c>
      <c r="H834" s="436"/>
      <c r="I834" s="436"/>
      <c r="J834" s="436"/>
      <c r="K834" s="436">
        <v>216</v>
      </c>
      <c r="L834" s="437">
        <v>108</v>
      </c>
      <c r="M834" s="437">
        <v>216</v>
      </c>
      <c r="N834" s="437">
        <v>108</v>
      </c>
      <c r="O834" s="437">
        <v>108</v>
      </c>
      <c r="P834" s="439">
        <v>108</v>
      </c>
      <c r="Q834" s="439">
        <v>108</v>
      </c>
      <c r="R834" s="436"/>
      <c r="S834" s="436"/>
      <c r="T834" s="436"/>
      <c r="U834" s="436"/>
      <c r="V834" s="436"/>
      <c r="W834" s="436">
        <f>IF(NFI_Expiration=1,IF($A834&lt;VLOOKUP(H$5,NFI,5,0),1,0)*Table_NFI[[#This Row],[Hygiene Kit]],Table_NFI[Hygiene Kit])</f>
        <v>0</v>
      </c>
      <c r="X834" s="436">
        <f>IF(NFI_Expiration=1,IF($A834&lt;VLOOKUP(I$5,NFI,5,0),1,0)*Table_NFI[[#This Row],[NFI Core Kit]],Table_NFI[NFI Core Kit])</f>
        <v>0</v>
      </c>
      <c r="Y834" s="436">
        <f>IF(NFI_Expiration=1,IF($A834&lt;VLOOKUP(J$5,NFI,5,0),1,0)*Table_NFI[[#This Row],[Sanitary Kit]],Table_NFI[Sanitary Kit])</f>
        <v>0</v>
      </c>
      <c r="Z834" s="436">
        <f>IF(NFI_Expiration=1,IF($A834&lt;VLOOKUP(K$5,NFI,5,0),1,0)*Table_NFI[[#This Row],[Mosquito net]],Table_NFI[Mosquito net])</f>
        <v>0</v>
      </c>
      <c r="AA834" s="436">
        <f>IF(NFI_Expiration=1,IF($A834&lt;VLOOKUP(L$5,NFI,5,0),1,0)*Table_NFI[[#This Row],[Tarpaulin]],Table_NFI[[#This Row],[Tarpaulin]])</f>
        <v>0</v>
      </c>
      <c r="AB834" s="436">
        <f>IF(NFI_Expiration=1,IF($A834&lt;VLOOKUP(M$5,NFI,5,0),1,0)*Table_NFI[[#This Row],[Blanket]],Table_NFI[[#This Row],[Blanket]])</f>
        <v>0</v>
      </c>
      <c r="AC834" s="436">
        <f>IF(NFI_Expiration=1,IF($A834&lt;VLOOKUP(N$5,NFI,5,0),1,0)*Table_NFI[[#This Row],[Kitchen Set]],Table_NFI[Kitchen Set])</f>
        <v>0</v>
      </c>
      <c r="AD834" s="436">
        <f>IF(NFI_Expiration=1,IF($A834&lt;VLOOKUP(O$5,NFI,5,0),1,0)*Table_NFI[[#This Row],[Clothes Kit]],Table_NFI[Clothes Kit])</f>
        <v>0</v>
      </c>
      <c r="AE834" s="436">
        <f>IF(NFI_Expiration=1,IF($A834&lt;VLOOKUP(P$5,NFI,5,0),1,0)*Table_NFI[[#This Row],[Plastic Bucket]],Table_NFI[Plastic Bucket])</f>
        <v>0</v>
      </c>
      <c r="AF834" s="436">
        <f>IF(NFI_Expiration=1,IF($A834&lt;VLOOKUP(Q$5,NFI,5,0),1,0)*Table_NFI[[#This Row],[Plastic Mat]],Table_NFI[Plastic Mat])*IF(Table_NFI[[#This Row],[Distribution Date]]&gt;"2014-04-01",1,2.5)</f>
        <v>0</v>
      </c>
      <c r="AG834" s="436">
        <f>IF(NFI_Expiration=1,IF($A834&lt;VLOOKUP(R$5,NFI,5,0),1,0)*Table_NFI[[#This Row],[Winter Clothes Adult]],Table_NFI[Winter Clothes Adult])</f>
        <v>0</v>
      </c>
      <c r="AH834" s="436">
        <f>IF(NFI_Expiration=1,IF($A834&lt;VLOOKUP(S$5,NFI,5,0),1,0)*Table_NFI[[#This Row],[Winter Clothes Children]],Table_NFI[Winter Clothes Children])</f>
        <v>0</v>
      </c>
      <c r="AI834" s="436">
        <f>IF(NFI_Expiration=1,IF($A834&lt;VLOOKUP(T$5,NFI,5,0),1,0)*Table_NFI[[#This Row],[Winter Items Other]],Table_NFI[Winter Items Other])</f>
        <v>0</v>
      </c>
      <c r="AJ834" s="436">
        <f>IF(NFI_Expiration=1,IF($A834&lt;VLOOKUP(M$5,NFI,5,0),1,0)*Table_NFI[[#This Row],[Winter Blanket]],Table_NFI[[#This Row],[Winter Blanket]])</f>
        <v>0</v>
      </c>
      <c r="AK834" s="436">
        <f>IF(Table_NFI[[#This Row],[Winter Clothes Adult]]+Table_NFI[[#This Row],[Winter Clothes Children]]+Table_NFI[[#This Row],[Winter Items Other]]+Table_NFI[[#This Row],[Winter Blanket]]&gt;0,1,0)</f>
        <v>0</v>
      </c>
      <c r="AL834" s="439">
        <f>IF(NFI_Expiration=1,IF($A834&lt;VLOOKUP(V$5,NFI,5,0),1,0)*Table_NFI[[#This Row],[Jerry Can]],Table_NFI[Jerry Can])</f>
        <v>0</v>
      </c>
      <c r="AM834" s="781" t="str">
        <f>IFERROR(VLOOKUP(Table_NFI[[#This Row],[Camp Name]],CL,2,0),"")</f>
        <v>MMR001CMP129</v>
      </c>
      <c r="AN834" s="782">
        <f ca="1">IF(Table_NFI[[#This Row],[Pcode]]="","",IF(OFFSET(CampList[Opening Date],MATCH(Table_NFI[[#This Row],[Pcode]],CampList[CP_Pcode],0)-1,0,1,1)&gt;=NFI_Monitor_Date,1,0))</f>
        <v>0</v>
      </c>
      <c r="AO834" s="781" t="str">
        <f>IFERROR(VLOOKUP(Table_NFI[[#This Row],[Camp Name]],CL,3,0),"")</f>
        <v>Open</v>
      </c>
      <c r="AP834" s="436" t="str">
        <f ca="1">IF(Table_NFI[[#This Row],[Pcode]]="","",OFFSET(CampList[Priority],MATCH(Table_NFI[[#This Row],[Pcode]],CampList[CP_Pcode],0)-1,0,1,1))</f>
        <v>P2</v>
      </c>
      <c r="AQ834" s="438">
        <f>IFERROR(Table_NFI[[#This Row],[Kitchen Set]]/VLOOKUP(Table_NFI[[#This Row],[Camp Name]],CL,4,0),"")</f>
        <v>0.62068965517241381</v>
      </c>
      <c r="AR834" s="779" t="s">
        <v>1099</v>
      </c>
      <c r="AS834" s="783"/>
    </row>
    <row r="835" spans="1:45" x14ac:dyDescent="0.25">
      <c r="A835" s="455">
        <f t="shared" si="12"/>
        <v>43.56666666666667</v>
      </c>
      <c r="B835" s="778">
        <v>41002</v>
      </c>
      <c r="C835" s="779" t="s">
        <v>454</v>
      </c>
      <c r="D835" s="779" t="s">
        <v>454</v>
      </c>
      <c r="E835" s="779" t="s">
        <v>380</v>
      </c>
      <c r="F835" s="435" t="s">
        <v>151</v>
      </c>
      <c r="G835" s="435" t="s">
        <v>198</v>
      </c>
      <c r="H835" s="436"/>
      <c r="I835" s="436"/>
      <c r="J835" s="436"/>
      <c r="K835" s="436">
        <v>510</v>
      </c>
      <c r="L835" s="437">
        <v>0</v>
      </c>
      <c r="M835" s="437">
        <v>510</v>
      </c>
      <c r="N835" s="437">
        <v>255</v>
      </c>
      <c r="O835" s="437">
        <v>255</v>
      </c>
      <c r="P835" s="439">
        <v>255</v>
      </c>
      <c r="Q835" s="439">
        <v>255</v>
      </c>
      <c r="R835" s="436"/>
      <c r="S835" s="436"/>
      <c r="T835" s="436"/>
      <c r="U835" s="436"/>
      <c r="V835" s="436"/>
      <c r="W835" s="436">
        <f>IF(NFI_Expiration=1,IF($A835&lt;VLOOKUP(H$5,NFI,5,0),1,0)*Table_NFI[[#This Row],[Hygiene Kit]],Table_NFI[Hygiene Kit])</f>
        <v>0</v>
      </c>
      <c r="X835" s="436">
        <f>IF(NFI_Expiration=1,IF($A835&lt;VLOOKUP(I$5,NFI,5,0),1,0)*Table_NFI[[#This Row],[NFI Core Kit]],Table_NFI[NFI Core Kit])</f>
        <v>0</v>
      </c>
      <c r="Y835" s="436">
        <f>IF(NFI_Expiration=1,IF($A835&lt;VLOOKUP(J$5,NFI,5,0),1,0)*Table_NFI[[#This Row],[Sanitary Kit]],Table_NFI[Sanitary Kit])</f>
        <v>0</v>
      </c>
      <c r="Z835" s="436">
        <f>IF(NFI_Expiration=1,IF($A835&lt;VLOOKUP(K$5,NFI,5,0),1,0)*Table_NFI[[#This Row],[Mosquito net]],Table_NFI[Mosquito net])</f>
        <v>0</v>
      </c>
      <c r="AA835" s="436">
        <f>IF(NFI_Expiration=1,IF($A835&lt;VLOOKUP(L$5,NFI,5,0),1,0)*Table_NFI[[#This Row],[Tarpaulin]],Table_NFI[[#This Row],[Tarpaulin]])</f>
        <v>0</v>
      </c>
      <c r="AB835" s="436">
        <f>IF(NFI_Expiration=1,IF($A835&lt;VLOOKUP(M$5,NFI,5,0),1,0)*Table_NFI[[#This Row],[Blanket]],Table_NFI[[#This Row],[Blanket]])</f>
        <v>0</v>
      </c>
      <c r="AC835" s="436">
        <f>IF(NFI_Expiration=1,IF($A835&lt;VLOOKUP(N$5,NFI,5,0),1,0)*Table_NFI[[#This Row],[Kitchen Set]],Table_NFI[Kitchen Set])</f>
        <v>0</v>
      </c>
      <c r="AD835" s="436">
        <f>IF(NFI_Expiration=1,IF($A835&lt;VLOOKUP(O$5,NFI,5,0),1,0)*Table_NFI[[#This Row],[Clothes Kit]],Table_NFI[Clothes Kit])</f>
        <v>0</v>
      </c>
      <c r="AE835" s="436">
        <f>IF(NFI_Expiration=1,IF($A835&lt;VLOOKUP(P$5,NFI,5,0),1,0)*Table_NFI[[#This Row],[Plastic Bucket]],Table_NFI[Plastic Bucket])</f>
        <v>0</v>
      </c>
      <c r="AF835" s="436">
        <f>IF(NFI_Expiration=1,IF($A835&lt;VLOOKUP(Q$5,NFI,5,0),1,0)*Table_NFI[[#This Row],[Plastic Mat]],Table_NFI[Plastic Mat])*IF(Table_NFI[[#This Row],[Distribution Date]]&gt;"2014-04-01",1,2.5)</f>
        <v>0</v>
      </c>
      <c r="AG835" s="436">
        <f>IF(NFI_Expiration=1,IF($A835&lt;VLOOKUP(R$5,NFI,5,0),1,0)*Table_NFI[[#This Row],[Winter Clothes Adult]],Table_NFI[Winter Clothes Adult])</f>
        <v>0</v>
      </c>
      <c r="AH835" s="436">
        <f>IF(NFI_Expiration=1,IF($A835&lt;VLOOKUP(S$5,NFI,5,0),1,0)*Table_NFI[[#This Row],[Winter Clothes Children]],Table_NFI[Winter Clothes Children])</f>
        <v>0</v>
      </c>
      <c r="AI835" s="436">
        <f>IF(NFI_Expiration=1,IF($A835&lt;VLOOKUP(T$5,NFI,5,0),1,0)*Table_NFI[[#This Row],[Winter Items Other]],Table_NFI[Winter Items Other])</f>
        <v>0</v>
      </c>
      <c r="AJ835" s="436">
        <f>IF(NFI_Expiration=1,IF($A835&lt;VLOOKUP(M$5,NFI,5,0),1,0)*Table_NFI[[#This Row],[Winter Blanket]],Table_NFI[[#This Row],[Winter Blanket]])</f>
        <v>0</v>
      </c>
      <c r="AK835" s="436">
        <f>IF(Table_NFI[[#This Row],[Winter Clothes Adult]]+Table_NFI[[#This Row],[Winter Clothes Children]]+Table_NFI[[#This Row],[Winter Items Other]]+Table_NFI[[#This Row],[Winter Blanket]]&gt;0,1,0)</f>
        <v>0</v>
      </c>
      <c r="AL835" s="439">
        <f>IF(NFI_Expiration=1,IF($A835&lt;VLOOKUP(V$5,NFI,5,0),1,0)*Table_NFI[[#This Row],[Jerry Can]],Table_NFI[Jerry Can])</f>
        <v>0</v>
      </c>
      <c r="AM835" s="781" t="str">
        <f>IFERROR(VLOOKUP(Table_NFI[[#This Row],[Camp Name]],CL,2,0),"")</f>
        <v>MMR001CMP128</v>
      </c>
      <c r="AN835" s="782">
        <f ca="1">IF(Table_NFI[[#This Row],[Pcode]]="","",IF(OFFSET(CampList[Opening Date],MATCH(Table_NFI[[#This Row],[Pcode]],CampList[CP_Pcode],0)-1,0,1,1)&gt;=NFI_Monitor_Date,1,0))</f>
        <v>0</v>
      </c>
      <c r="AO835" s="781" t="str">
        <f>IFERROR(VLOOKUP(Table_NFI[[#This Row],[Camp Name]],CL,3,0),"")</f>
        <v>Open</v>
      </c>
      <c r="AP835" s="436" t="str">
        <f ca="1">IF(Table_NFI[[#This Row],[Pcode]]="","",OFFSET(CampList[Priority],MATCH(Table_NFI[[#This Row],[Pcode]],CampList[CP_Pcode],0)-1,0,1,1))</f>
        <v>P2</v>
      </c>
      <c r="AQ835" s="438">
        <f>IFERROR(Table_NFI[[#This Row],[Kitchen Set]]/VLOOKUP(Table_NFI[[#This Row],[Camp Name]],CL,4,0),"")</f>
        <v>0.4713493530499076</v>
      </c>
      <c r="AR835" s="779" t="s">
        <v>1099</v>
      </c>
      <c r="AS835" s="783"/>
    </row>
    <row r="836" spans="1:45" x14ac:dyDescent="0.25">
      <c r="A836" s="455">
        <f t="shared" si="12"/>
        <v>43.733333333333334</v>
      </c>
      <c r="B836" s="778">
        <v>40997</v>
      </c>
      <c r="C836" s="779" t="s">
        <v>454</v>
      </c>
      <c r="D836" s="780" t="s">
        <v>454</v>
      </c>
      <c r="E836" s="779" t="s">
        <v>380</v>
      </c>
      <c r="F836" s="435" t="s">
        <v>151</v>
      </c>
      <c r="G836" s="435" t="s">
        <v>188</v>
      </c>
      <c r="H836" s="436"/>
      <c r="I836" s="436"/>
      <c r="J836" s="436"/>
      <c r="K836" s="436">
        <v>66</v>
      </c>
      <c r="L836" s="437">
        <v>66</v>
      </c>
      <c r="M836" s="437">
        <v>0</v>
      </c>
      <c r="N836" s="437">
        <v>0</v>
      </c>
      <c r="O836" s="437">
        <v>0</v>
      </c>
      <c r="P836" s="437"/>
      <c r="Q836" s="437"/>
      <c r="R836" s="436"/>
      <c r="S836" s="436"/>
      <c r="T836" s="436"/>
      <c r="U836" s="436"/>
      <c r="V836" s="436"/>
      <c r="W836" s="436">
        <f>IF(NFI_Expiration=1,IF($A836&lt;VLOOKUP(H$5,NFI,5,0),1,0)*Table_NFI[[#This Row],[Hygiene Kit]],Table_NFI[Hygiene Kit])</f>
        <v>0</v>
      </c>
      <c r="X836" s="436">
        <f>IF(NFI_Expiration=1,IF($A836&lt;VLOOKUP(I$5,NFI,5,0),1,0)*Table_NFI[[#This Row],[NFI Core Kit]],Table_NFI[NFI Core Kit])</f>
        <v>0</v>
      </c>
      <c r="Y836" s="436">
        <f>IF(NFI_Expiration=1,IF($A836&lt;VLOOKUP(J$5,NFI,5,0),1,0)*Table_NFI[[#This Row],[Sanitary Kit]],Table_NFI[Sanitary Kit])</f>
        <v>0</v>
      </c>
      <c r="Z836" s="436">
        <f>IF(NFI_Expiration=1,IF($A836&lt;VLOOKUP(K$5,NFI,5,0),1,0)*Table_NFI[[#This Row],[Mosquito net]],Table_NFI[Mosquito net])</f>
        <v>0</v>
      </c>
      <c r="AA836" s="436">
        <f>IF(NFI_Expiration=1,IF($A836&lt;VLOOKUP(L$5,NFI,5,0),1,0)*Table_NFI[[#This Row],[Tarpaulin]],Table_NFI[[#This Row],[Tarpaulin]])</f>
        <v>0</v>
      </c>
      <c r="AB836" s="436">
        <f>IF(NFI_Expiration=1,IF($A836&lt;VLOOKUP(M$5,NFI,5,0),1,0)*Table_NFI[[#This Row],[Blanket]],Table_NFI[[#This Row],[Blanket]])</f>
        <v>0</v>
      </c>
      <c r="AC836" s="436">
        <f>IF(NFI_Expiration=1,IF($A836&lt;VLOOKUP(N$5,NFI,5,0),1,0)*Table_NFI[[#This Row],[Kitchen Set]],Table_NFI[Kitchen Set])</f>
        <v>0</v>
      </c>
      <c r="AD836" s="436">
        <f>IF(NFI_Expiration=1,IF($A836&lt;VLOOKUP(O$5,NFI,5,0),1,0)*Table_NFI[[#This Row],[Clothes Kit]],Table_NFI[Clothes Kit])</f>
        <v>0</v>
      </c>
      <c r="AE836" s="436">
        <f>IF(NFI_Expiration=1,IF($A836&lt;VLOOKUP(P$5,NFI,5,0),1,0)*Table_NFI[[#This Row],[Plastic Bucket]],Table_NFI[Plastic Bucket])</f>
        <v>0</v>
      </c>
      <c r="AF836" s="436">
        <f>IF(NFI_Expiration=1,IF($A836&lt;VLOOKUP(Q$5,NFI,5,0),1,0)*Table_NFI[[#This Row],[Plastic Mat]],Table_NFI[Plastic Mat])*IF(Table_NFI[[#This Row],[Distribution Date]]&gt;"2014-04-01",1,2.5)</f>
        <v>0</v>
      </c>
      <c r="AG836" s="436">
        <f>IF(NFI_Expiration=1,IF($A836&lt;VLOOKUP(R$5,NFI,5,0),1,0)*Table_NFI[[#This Row],[Winter Clothes Adult]],Table_NFI[Winter Clothes Adult])</f>
        <v>0</v>
      </c>
      <c r="AH836" s="436">
        <f>IF(NFI_Expiration=1,IF($A836&lt;VLOOKUP(S$5,NFI,5,0),1,0)*Table_NFI[[#This Row],[Winter Clothes Children]],Table_NFI[Winter Clothes Children])</f>
        <v>0</v>
      </c>
      <c r="AI836" s="436">
        <f>IF(NFI_Expiration=1,IF($A836&lt;VLOOKUP(T$5,NFI,5,0),1,0)*Table_NFI[[#This Row],[Winter Items Other]],Table_NFI[Winter Items Other])</f>
        <v>0</v>
      </c>
      <c r="AJ836" s="436">
        <f>IF(NFI_Expiration=1,IF($A836&lt;VLOOKUP(M$5,NFI,5,0),1,0)*Table_NFI[[#This Row],[Winter Blanket]],Table_NFI[[#This Row],[Winter Blanket]])</f>
        <v>0</v>
      </c>
      <c r="AK836" s="436">
        <f>IF(Table_NFI[[#This Row],[Winter Clothes Adult]]+Table_NFI[[#This Row],[Winter Clothes Children]]+Table_NFI[[#This Row],[Winter Items Other]]+Table_NFI[[#This Row],[Winter Blanket]]&gt;0,1,0)</f>
        <v>0</v>
      </c>
      <c r="AL836" s="439">
        <f>IF(NFI_Expiration=1,IF($A836&lt;VLOOKUP(V$5,NFI,5,0),1,0)*Table_NFI[[#This Row],[Jerry Can]],Table_NFI[Jerry Can])</f>
        <v>0</v>
      </c>
      <c r="AM836" s="781" t="str">
        <f>IFERROR(VLOOKUP(Table_NFI[[#This Row],[Camp Name]],CL,2,0),"")</f>
        <v>MMR001CMP129</v>
      </c>
      <c r="AN836" s="782">
        <f ca="1">IF(Table_NFI[[#This Row],[Pcode]]="","",IF(OFFSET(CampList[Opening Date],MATCH(Table_NFI[[#This Row],[Pcode]],CampList[CP_Pcode],0)-1,0,1,1)&gt;=NFI_Monitor_Date,1,0))</f>
        <v>0</v>
      </c>
      <c r="AO836" s="781" t="str">
        <f>IFERROR(VLOOKUP(Table_NFI[[#This Row],[Camp Name]],CL,3,0),"")</f>
        <v>Open</v>
      </c>
      <c r="AP836" s="436" t="str">
        <f ca="1">IF(Table_NFI[[#This Row],[Pcode]]="","",OFFSET(CampList[Priority],MATCH(Table_NFI[[#This Row],[Pcode]],CampList[CP_Pcode],0)-1,0,1,1))</f>
        <v>P2</v>
      </c>
      <c r="AQ836" s="438">
        <f>IFERROR(Table_NFI[[#This Row],[Kitchen Set]]/VLOOKUP(Table_NFI[[#This Row],[Camp Name]],CL,4,0),"")</f>
        <v>0</v>
      </c>
      <c r="AR836" s="779" t="s">
        <v>1099</v>
      </c>
      <c r="AS836" s="783"/>
    </row>
    <row r="837" spans="1:45" x14ac:dyDescent="0.25">
      <c r="A837" s="455">
        <f t="shared" si="12"/>
        <v>43.733333333333334</v>
      </c>
      <c r="B837" s="778">
        <v>40997</v>
      </c>
      <c r="C837" s="779" t="s">
        <v>454</v>
      </c>
      <c r="D837" s="780" t="s">
        <v>454</v>
      </c>
      <c r="E837" s="779" t="s">
        <v>380</v>
      </c>
      <c r="F837" s="435" t="s">
        <v>185</v>
      </c>
      <c r="G837" s="435" t="s">
        <v>219</v>
      </c>
      <c r="H837" s="436"/>
      <c r="I837" s="436"/>
      <c r="J837" s="436"/>
      <c r="K837" s="436">
        <v>0</v>
      </c>
      <c r="L837" s="437">
        <v>50</v>
      </c>
      <c r="M837" s="437">
        <v>0</v>
      </c>
      <c r="N837" s="437">
        <v>0</v>
      </c>
      <c r="O837" s="437">
        <v>0</v>
      </c>
      <c r="P837" s="437"/>
      <c r="Q837" s="437"/>
      <c r="R837" s="436"/>
      <c r="S837" s="436"/>
      <c r="T837" s="436"/>
      <c r="U837" s="436"/>
      <c r="V837" s="436"/>
      <c r="W837" s="436">
        <f>IF(NFI_Expiration=1,IF($A837&lt;VLOOKUP(H$5,NFI,5,0),1,0)*Table_NFI[[#This Row],[Hygiene Kit]],Table_NFI[Hygiene Kit])</f>
        <v>0</v>
      </c>
      <c r="X837" s="436">
        <f>IF(NFI_Expiration=1,IF($A837&lt;VLOOKUP(I$5,NFI,5,0),1,0)*Table_NFI[[#This Row],[NFI Core Kit]],Table_NFI[NFI Core Kit])</f>
        <v>0</v>
      </c>
      <c r="Y837" s="436">
        <f>IF(NFI_Expiration=1,IF($A837&lt;VLOOKUP(J$5,NFI,5,0),1,0)*Table_NFI[[#This Row],[Sanitary Kit]],Table_NFI[Sanitary Kit])</f>
        <v>0</v>
      </c>
      <c r="Z837" s="436">
        <f>IF(NFI_Expiration=1,IF($A837&lt;VLOOKUP(K$5,NFI,5,0),1,0)*Table_NFI[[#This Row],[Mosquito net]],Table_NFI[Mosquito net])</f>
        <v>0</v>
      </c>
      <c r="AA837" s="436">
        <f>IF(NFI_Expiration=1,IF($A837&lt;VLOOKUP(L$5,NFI,5,0),1,0)*Table_NFI[[#This Row],[Tarpaulin]],Table_NFI[[#This Row],[Tarpaulin]])</f>
        <v>0</v>
      </c>
      <c r="AB837" s="436">
        <f>IF(NFI_Expiration=1,IF($A837&lt;VLOOKUP(M$5,NFI,5,0),1,0)*Table_NFI[[#This Row],[Blanket]],Table_NFI[[#This Row],[Blanket]])</f>
        <v>0</v>
      </c>
      <c r="AC837" s="436">
        <f>IF(NFI_Expiration=1,IF($A837&lt;VLOOKUP(N$5,NFI,5,0),1,0)*Table_NFI[[#This Row],[Kitchen Set]],Table_NFI[Kitchen Set])</f>
        <v>0</v>
      </c>
      <c r="AD837" s="436">
        <f>IF(NFI_Expiration=1,IF($A837&lt;VLOOKUP(O$5,NFI,5,0),1,0)*Table_NFI[[#This Row],[Clothes Kit]],Table_NFI[Clothes Kit])</f>
        <v>0</v>
      </c>
      <c r="AE837" s="436">
        <f>IF(NFI_Expiration=1,IF($A837&lt;VLOOKUP(P$5,NFI,5,0),1,0)*Table_NFI[[#This Row],[Plastic Bucket]],Table_NFI[Plastic Bucket])</f>
        <v>0</v>
      </c>
      <c r="AF837" s="436">
        <f>IF(NFI_Expiration=1,IF($A837&lt;VLOOKUP(Q$5,NFI,5,0),1,0)*Table_NFI[[#This Row],[Plastic Mat]],Table_NFI[Plastic Mat])*IF(Table_NFI[[#This Row],[Distribution Date]]&gt;"2014-04-01",1,2.5)</f>
        <v>0</v>
      </c>
      <c r="AG837" s="436">
        <f>IF(NFI_Expiration=1,IF($A837&lt;VLOOKUP(R$5,NFI,5,0),1,0)*Table_NFI[[#This Row],[Winter Clothes Adult]],Table_NFI[Winter Clothes Adult])</f>
        <v>0</v>
      </c>
      <c r="AH837" s="436">
        <f>IF(NFI_Expiration=1,IF($A837&lt;VLOOKUP(S$5,NFI,5,0),1,0)*Table_NFI[[#This Row],[Winter Clothes Children]],Table_NFI[Winter Clothes Children])</f>
        <v>0</v>
      </c>
      <c r="AI837" s="436">
        <f>IF(NFI_Expiration=1,IF($A837&lt;VLOOKUP(T$5,NFI,5,0),1,0)*Table_NFI[[#This Row],[Winter Items Other]],Table_NFI[Winter Items Other])</f>
        <v>0</v>
      </c>
      <c r="AJ837" s="436">
        <f>IF(NFI_Expiration=1,IF($A837&lt;VLOOKUP(M$5,NFI,5,0),1,0)*Table_NFI[[#This Row],[Winter Blanket]],Table_NFI[[#This Row],[Winter Blanket]])</f>
        <v>0</v>
      </c>
      <c r="AK837" s="436">
        <f>IF(Table_NFI[[#This Row],[Winter Clothes Adult]]+Table_NFI[[#This Row],[Winter Clothes Children]]+Table_NFI[[#This Row],[Winter Items Other]]+Table_NFI[[#This Row],[Winter Blanket]]&gt;0,1,0)</f>
        <v>0</v>
      </c>
      <c r="AL837" s="439">
        <f>IF(NFI_Expiration=1,IF($A837&lt;VLOOKUP(V$5,NFI,5,0),1,0)*Table_NFI[[#This Row],[Jerry Can]],Table_NFI[Jerry Can])</f>
        <v>0</v>
      </c>
      <c r="AM837" s="781" t="str">
        <f>IFERROR(VLOOKUP(Table_NFI[[#This Row],[Camp Name]],CL,2,0),"")</f>
        <v>MMR001CMP126</v>
      </c>
      <c r="AN837" s="782">
        <f ca="1">IF(Table_NFI[[#This Row],[Pcode]]="","",IF(OFFSET(CampList[Opening Date],MATCH(Table_NFI[[#This Row],[Pcode]],CampList[CP_Pcode],0)-1,0,1,1)&gt;=NFI_Monitor_Date,1,0))</f>
        <v>0</v>
      </c>
      <c r="AO837" s="781" t="str">
        <f>IFERROR(VLOOKUP(Table_NFI[[#This Row],[Camp Name]],CL,3,0),"")</f>
        <v>Open</v>
      </c>
      <c r="AP837" s="436" t="str">
        <f ca="1">IF(Table_NFI[[#This Row],[Pcode]]="","",OFFSET(CampList[Priority],MATCH(Table_NFI[[#This Row],[Pcode]],CampList[CP_Pcode],0)-1,0,1,1))</f>
        <v>P2</v>
      </c>
      <c r="AQ837" s="438">
        <f>IFERROR(Table_NFI[[#This Row],[Kitchen Set]]/VLOOKUP(Table_NFI[[#This Row],[Camp Name]],CL,4,0),"")</f>
        <v>0</v>
      </c>
      <c r="AR837" s="779" t="s">
        <v>1099</v>
      </c>
      <c r="AS837" s="783"/>
    </row>
    <row r="838" spans="1:45" s="784" customFormat="1" x14ac:dyDescent="0.25">
      <c r="A838" s="455">
        <f t="shared" ref="A838:A901" si="13">IF(ISBLANK(B838),"",(Report_Date-B838)/30)</f>
        <v>43.733333333333334</v>
      </c>
      <c r="B838" s="778">
        <v>40997</v>
      </c>
      <c r="C838" s="779" t="s">
        <v>454</v>
      </c>
      <c r="D838" s="780" t="s">
        <v>454</v>
      </c>
      <c r="E838" s="779" t="s">
        <v>380</v>
      </c>
      <c r="F838" s="435" t="s">
        <v>185</v>
      </c>
      <c r="G838" s="435" t="s">
        <v>225</v>
      </c>
      <c r="H838" s="436"/>
      <c r="I838" s="436"/>
      <c r="J838" s="436"/>
      <c r="K838" s="436">
        <v>66</v>
      </c>
      <c r="L838" s="437">
        <v>66</v>
      </c>
      <c r="M838" s="437">
        <v>0</v>
      </c>
      <c r="N838" s="437">
        <v>0</v>
      </c>
      <c r="O838" s="437">
        <v>0</v>
      </c>
      <c r="P838" s="437"/>
      <c r="Q838" s="437"/>
      <c r="R838" s="436"/>
      <c r="S838" s="436"/>
      <c r="T838" s="436"/>
      <c r="U838" s="436"/>
      <c r="V838" s="436"/>
      <c r="W838" s="436">
        <f>IF(NFI_Expiration=1,IF($A838&lt;VLOOKUP(H$5,NFI,5,0),1,0)*Table_NFI[[#This Row],[Hygiene Kit]],Table_NFI[Hygiene Kit])</f>
        <v>0</v>
      </c>
      <c r="X838" s="436">
        <f>IF(NFI_Expiration=1,IF($A838&lt;VLOOKUP(I$5,NFI,5,0),1,0)*Table_NFI[[#This Row],[NFI Core Kit]],Table_NFI[NFI Core Kit])</f>
        <v>0</v>
      </c>
      <c r="Y838" s="436">
        <f>IF(NFI_Expiration=1,IF($A838&lt;VLOOKUP(J$5,NFI,5,0),1,0)*Table_NFI[[#This Row],[Sanitary Kit]],Table_NFI[Sanitary Kit])</f>
        <v>0</v>
      </c>
      <c r="Z838" s="436">
        <f>IF(NFI_Expiration=1,IF($A838&lt;VLOOKUP(K$5,NFI,5,0),1,0)*Table_NFI[[#This Row],[Mosquito net]],Table_NFI[Mosquito net])</f>
        <v>0</v>
      </c>
      <c r="AA838" s="436">
        <f>IF(NFI_Expiration=1,IF($A838&lt;VLOOKUP(L$5,NFI,5,0),1,0)*Table_NFI[[#This Row],[Tarpaulin]],Table_NFI[[#This Row],[Tarpaulin]])</f>
        <v>0</v>
      </c>
      <c r="AB838" s="436">
        <f>IF(NFI_Expiration=1,IF($A838&lt;VLOOKUP(M$5,NFI,5,0),1,0)*Table_NFI[[#This Row],[Blanket]],Table_NFI[[#This Row],[Blanket]])</f>
        <v>0</v>
      </c>
      <c r="AC838" s="436">
        <f>IF(NFI_Expiration=1,IF($A838&lt;VLOOKUP(N$5,NFI,5,0),1,0)*Table_NFI[[#This Row],[Kitchen Set]],Table_NFI[Kitchen Set])</f>
        <v>0</v>
      </c>
      <c r="AD838" s="436">
        <f>IF(NFI_Expiration=1,IF($A838&lt;VLOOKUP(O$5,NFI,5,0),1,0)*Table_NFI[[#This Row],[Clothes Kit]],Table_NFI[Clothes Kit])</f>
        <v>0</v>
      </c>
      <c r="AE838" s="436">
        <f>IF(NFI_Expiration=1,IF($A838&lt;VLOOKUP(P$5,NFI,5,0),1,0)*Table_NFI[[#This Row],[Plastic Bucket]],Table_NFI[Plastic Bucket])</f>
        <v>0</v>
      </c>
      <c r="AF838" s="436">
        <f>IF(NFI_Expiration=1,IF($A838&lt;VLOOKUP(Q$5,NFI,5,0),1,0)*Table_NFI[[#This Row],[Plastic Mat]],Table_NFI[Plastic Mat])*IF(Table_NFI[[#This Row],[Distribution Date]]&gt;"2014-04-01",1,2.5)</f>
        <v>0</v>
      </c>
      <c r="AG838" s="436">
        <f>IF(NFI_Expiration=1,IF($A838&lt;VLOOKUP(R$5,NFI,5,0),1,0)*Table_NFI[[#This Row],[Winter Clothes Adult]],Table_NFI[Winter Clothes Adult])</f>
        <v>0</v>
      </c>
      <c r="AH838" s="436">
        <f>IF(NFI_Expiration=1,IF($A838&lt;VLOOKUP(S$5,NFI,5,0),1,0)*Table_NFI[[#This Row],[Winter Clothes Children]],Table_NFI[Winter Clothes Children])</f>
        <v>0</v>
      </c>
      <c r="AI838" s="436">
        <f>IF(NFI_Expiration=1,IF($A838&lt;VLOOKUP(T$5,NFI,5,0),1,0)*Table_NFI[[#This Row],[Winter Items Other]],Table_NFI[Winter Items Other])</f>
        <v>0</v>
      </c>
      <c r="AJ838" s="436">
        <f>IF(NFI_Expiration=1,IF($A838&lt;VLOOKUP(M$5,NFI,5,0),1,0)*Table_NFI[[#This Row],[Winter Blanket]],Table_NFI[[#This Row],[Winter Blanket]])</f>
        <v>0</v>
      </c>
      <c r="AK838" s="436">
        <f>IF(Table_NFI[[#This Row],[Winter Clothes Adult]]+Table_NFI[[#This Row],[Winter Clothes Children]]+Table_NFI[[#This Row],[Winter Items Other]]+Table_NFI[[#This Row],[Winter Blanket]]&gt;0,1,0)</f>
        <v>0</v>
      </c>
      <c r="AL838" s="439">
        <f>IF(NFI_Expiration=1,IF($A838&lt;VLOOKUP(V$5,NFI,5,0),1,0)*Table_NFI[[#This Row],[Jerry Can]],Table_NFI[Jerry Can])</f>
        <v>0</v>
      </c>
      <c r="AM838" s="781" t="str">
        <f>IFERROR(VLOOKUP(Table_NFI[[#This Row],[Camp Name]],CL,2,0),"")</f>
        <v>MMR001CMP073</v>
      </c>
      <c r="AN838" s="782">
        <f ca="1">IF(Table_NFI[[#This Row],[Pcode]]="","",IF(OFFSET(CampList[Opening Date],MATCH(Table_NFI[[#This Row],[Pcode]],CampList[CP_Pcode],0)-1,0,1,1)&gt;=NFI_Monitor_Date,1,0))</f>
        <v>0</v>
      </c>
      <c r="AO838" s="781" t="str">
        <f>IFERROR(VLOOKUP(Table_NFI[[#This Row],[Camp Name]],CL,3,0),"")</f>
        <v>Open</v>
      </c>
      <c r="AP838" s="436" t="str">
        <f ca="1">IF(Table_NFI[[#This Row],[Pcode]]="","",OFFSET(CampList[Priority],MATCH(Table_NFI[[#This Row],[Pcode]],CampList[CP_Pcode],0)-1,0,1,1))</f>
        <v>P3</v>
      </c>
      <c r="AQ838" s="438">
        <f>IFERROR(Table_NFI[[#This Row],[Kitchen Set]]/VLOOKUP(Table_NFI[[#This Row],[Camp Name]],CL,4,0),"")</f>
        <v>0</v>
      </c>
      <c r="AR838" s="779" t="s">
        <v>1099</v>
      </c>
      <c r="AS838" s="783"/>
    </row>
    <row r="839" spans="1:45" s="784" customFormat="1" x14ac:dyDescent="0.25">
      <c r="A839" s="455">
        <f t="shared" si="13"/>
        <v>43.766666666666666</v>
      </c>
      <c r="B839" s="778">
        <v>40996</v>
      </c>
      <c r="C839" s="779" t="s">
        <v>454</v>
      </c>
      <c r="D839" s="780" t="s">
        <v>454</v>
      </c>
      <c r="E839" s="779" t="s">
        <v>380</v>
      </c>
      <c r="F839" s="435" t="s">
        <v>185</v>
      </c>
      <c r="G839" s="435" t="s">
        <v>920</v>
      </c>
      <c r="H839" s="436"/>
      <c r="I839" s="436"/>
      <c r="J839" s="436"/>
      <c r="K839" s="436">
        <v>217</v>
      </c>
      <c r="L839" s="437">
        <v>217</v>
      </c>
      <c r="M839" s="437">
        <v>0</v>
      </c>
      <c r="N839" s="437">
        <v>0</v>
      </c>
      <c r="O839" s="437">
        <v>0</v>
      </c>
      <c r="P839" s="437"/>
      <c r="Q839" s="437"/>
      <c r="R839" s="436"/>
      <c r="S839" s="436"/>
      <c r="T839" s="436"/>
      <c r="U839" s="436"/>
      <c r="V839" s="436"/>
      <c r="W839" s="436">
        <f>IF(NFI_Expiration=1,IF($A839&lt;VLOOKUP(H$5,NFI,5,0),1,0)*Table_NFI[[#This Row],[Hygiene Kit]],Table_NFI[Hygiene Kit])</f>
        <v>0</v>
      </c>
      <c r="X839" s="436">
        <f>IF(NFI_Expiration=1,IF($A839&lt;VLOOKUP(I$5,NFI,5,0),1,0)*Table_NFI[[#This Row],[NFI Core Kit]],Table_NFI[NFI Core Kit])</f>
        <v>0</v>
      </c>
      <c r="Y839" s="436">
        <f>IF(NFI_Expiration=1,IF($A839&lt;VLOOKUP(J$5,NFI,5,0),1,0)*Table_NFI[[#This Row],[Sanitary Kit]],Table_NFI[Sanitary Kit])</f>
        <v>0</v>
      </c>
      <c r="Z839" s="436">
        <f>IF(NFI_Expiration=1,IF($A839&lt;VLOOKUP(K$5,NFI,5,0),1,0)*Table_NFI[[#This Row],[Mosquito net]],Table_NFI[Mosquito net])</f>
        <v>0</v>
      </c>
      <c r="AA839" s="436">
        <f>IF(NFI_Expiration=1,IF($A839&lt;VLOOKUP(L$5,NFI,5,0),1,0)*Table_NFI[[#This Row],[Tarpaulin]],Table_NFI[[#This Row],[Tarpaulin]])</f>
        <v>0</v>
      </c>
      <c r="AB839" s="436">
        <f>IF(NFI_Expiration=1,IF($A839&lt;VLOOKUP(M$5,NFI,5,0),1,0)*Table_NFI[[#This Row],[Blanket]],Table_NFI[[#This Row],[Blanket]])</f>
        <v>0</v>
      </c>
      <c r="AC839" s="436">
        <f>IF(NFI_Expiration=1,IF($A839&lt;VLOOKUP(N$5,NFI,5,0),1,0)*Table_NFI[[#This Row],[Kitchen Set]],Table_NFI[Kitchen Set])</f>
        <v>0</v>
      </c>
      <c r="AD839" s="436">
        <f>IF(NFI_Expiration=1,IF($A839&lt;VLOOKUP(O$5,NFI,5,0),1,0)*Table_NFI[[#This Row],[Clothes Kit]],Table_NFI[Clothes Kit])</f>
        <v>0</v>
      </c>
      <c r="AE839" s="436">
        <f>IF(NFI_Expiration=1,IF($A839&lt;VLOOKUP(P$5,NFI,5,0),1,0)*Table_NFI[[#This Row],[Plastic Bucket]],Table_NFI[Plastic Bucket])</f>
        <v>0</v>
      </c>
      <c r="AF839" s="436">
        <f>IF(NFI_Expiration=1,IF($A839&lt;VLOOKUP(Q$5,NFI,5,0),1,0)*Table_NFI[[#This Row],[Plastic Mat]],Table_NFI[Plastic Mat])*IF(Table_NFI[[#This Row],[Distribution Date]]&gt;"2014-04-01",1,2.5)</f>
        <v>0</v>
      </c>
      <c r="AG839" s="436">
        <f>IF(NFI_Expiration=1,IF($A839&lt;VLOOKUP(R$5,NFI,5,0),1,0)*Table_NFI[[#This Row],[Winter Clothes Adult]],Table_NFI[Winter Clothes Adult])</f>
        <v>0</v>
      </c>
      <c r="AH839" s="436">
        <f>IF(NFI_Expiration=1,IF($A839&lt;VLOOKUP(S$5,NFI,5,0),1,0)*Table_NFI[[#This Row],[Winter Clothes Children]],Table_NFI[Winter Clothes Children])</f>
        <v>0</v>
      </c>
      <c r="AI839" s="436">
        <f>IF(NFI_Expiration=1,IF($A839&lt;VLOOKUP(T$5,NFI,5,0),1,0)*Table_NFI[[#This Row],[Winter Items Other]],Table_NFI[Winter Items Other])</f>
        <v>0</v>
      </c>
      <c r="AJ839" s="436">
        <f>IF(NFI_Expiration=1,IF($A839&lt;VLOOKUP(M$5,NFI,5,0),1,0)*Table_NFI[[#This Row],[Winter Blanket]],Table_NFI[[#This Row],[Winter Blanket]])</f>
        <v>0</v>
      </c>
      <c r="AK839" s="436">
        <f>IF(Table_NFI[[#This Row],[Winter Clothes Adult]]+Table_NFI[[#This Row],[Winter Clothes Children]]+Table_NFI[[#This Row],[Winter Items Other]]+Table_NFI[[#This Row],[Winter Blanket]]&gt;0,1,0)</f>
        <v>0</v>
      </c>
      <c r="AL839" s="439">
        <f>IF(NFI_Expiration=1,IF($A839&lt;VLOOKUP(V$5,NFI,5,0),1,0)*Table_NFI[[#This Row],[Jerry Can]],Table_NFI[Jerry Can])</f>
        <v>0</v>
      </c>
      <c r="AM839" s="781" t="str">
        <f>IFERROR(VLOOKUP(Table_NFI[[#This Row],[Camp Name]],CL,2,0),"")</f>
        <v/>
      </c>
      <c r="AN839" s="782" t="str">
        <f ca="1">IF(Table_NFI[[#This Row],[Pcode]]="","",IF(OFFSET(CampList[Opening Date],MATCH(Table_NFI[[#This Row],[Pcode]],CampList[CP_Pcode],0)-1,0,1,1)&gt;=NFI_Monitor_Date,1,0))</f>
        <v/>
      </c>
      <c r="AO839" s="781" t="str">
        <f>IFERROR(VLOOKUP(Table_NFI[[#This Row],[Camp Name]],CL,3,0),"")</f>
        <v/>
      </c>
      <c r="AP839" s="436" t="str">
        <f ca="1">IF(Table_NFI[[#This Row],[Pcode]]="","",OFFSET(CampList[Priority],MATCH(Table_NFI[[#This Row],[Pcode]],CampList[CP_Pcode],0)-1,0,1,1))</f>
        <v/>
      </c>
      <c r="AQ839" s="438" t="str">
        <f>IFERROR(Table_NFI[[#This Row],[Kitchen Set]]/VLOOKUP(Table_NFI[[#This Row],[Camp Name]],CL,4,0),"")</f>
        <v/>
      </c>
      <c r="AR839" s="779" t="s">
        <v>1099</v>
      </c>
      <c r="AS839" s="783"/>
    </row>
    <row r="840" spans="1:45" s="784" customFormat="1" x14ac:dyDescent="0.25">
      <c r="A840" s="455">
        <f t="shared" si="13"/>
        <v>43.8</v>
      </c>
      <c r="B840" s="778">
        <v>40995</v>
      </c>
      <c r="C840" s="779" t="s">
        <v>454</v>
      </c>
      <c r="D840" s="780" t="s">
        <v>454</v>
      </c>
      <c r="E840" s="779" t="s">
        <v>380</v>
      </c>
      <c r="F840" s="435" t="s">
        <v>185</v>
      </c>
      <c r="G840" s="435" t="s">
        <v>919</v>
      </c>
      <c r="H840" s="436"/>
      <c r="I840" s="436"/>
      <c r="J840" s="436"/>
      <c r="K840" s="436">
        <v>52</v>
      </c>
      <c r="L840" s="437">
        <v>52</v>
      </c>
      <c r="M840" s="437">
        <v>0</v>
      </c>
      <c r="N840" s="437">
        <v>0</v>
      </c>
      <c r="O840" s="437">
        <v>0</v>
      </c>
      <c r="P840" s="437"/>
      <c r="Q840" s="437"/>
      <c r="R840" s="436"/>
      <c r="S840" s="436"/>
      <c r="T840" s="436"/>
      <c r="U840" s="436"/>
      <c r="V840" s="436"/>
      <c r="W840" s="436">
        <f>IF(NFI_Expiration=1,IF($A840&lt;VLOOKUP(H$5,NFI,5,0),1,0)*Table_NFI[[#This Row],[Hygiene Kit]],Table_NFI[Hygiene Kit])</f>
        <v>0</v>
      </c>
      <c r="X840" s="436">
        <f>IF(NFI_Expiration=1,IF($A840&lt;VLOOKUP(I$5,NFI,5,0),1,0)*Table_NFI[[#This Row],[NFI Core Kit]],Table_NFI[NFI Core Kit])</f>
        <v>0</v>
      </c>
      <c r="Y840" s="436">
        <f>IF(NFI_Expiration=1,IF($A840&lt;VLOOKUP(J$5,NFI,5,0),1,0)*Table_NFI[[#This Row],[Sanitary Kit]],Table_NFI[Sanitary Kit])</f>
        <v>0</v>
      </c>
      <c r="Z840" s="436">
        <f>IF(NFI_Expiration=1,IF($A840&lt;VLOOKUP(K$5,NFI,5,0),1,0)*Table_NFI[[#This Row],[Mosquito net]],Table_NFI[Mosquito net])</f>
        <v>0</v>
      </c>
      <c r="AA840" s="436">
        <f>IF(NFI_Expiration=1,IF($A840&lt;VLOOKUP(L$5,NFI,5,0),1,0)*Table_NFI[[#This Row],[Tarpaulin]],Table_NFI[[#This Row],[Tarpaulin]])</f>
        <v>0</v>
      </c>
      <c r="AB840" s="436">
        <f>IF(NFI_Expiration=1,IF($A840&lt;VLOOKUP(M$5,NFI,5,0),1,0)*Table_NFI[[#This Row],[Blanket]],Table_NFI[[#This Row],[Blanket]])</f>
        <v>0</v>
      </c>
      <c r="AC840" s="436">
        <f>IF(NFI_Expiration=1,IF($A840&lt;VLOOKUP(N$5,NFI,5,0),1,0)*Table_NFI[[#This Row],[Kitchen Set]],Table_NFI[Kitchen Set])</f>
        <v>0</v>
      </c>
      <c r="AD840" s="436">
        <f>IF(NFI_Expiration=1,IF($A840&lt;VLOOKUP(O$5,NFI,5,0),1,0)*Table_NFI[[#This Row],[Clothes Kit]],Table_NFI[Clothes Kit])</f>
        <v>0</v>
      </c>
      <c r="AE840" s="436">
        <f>IF(NFI_Expiration=1,IF($A840&lt;VLOOKUP(P$5,NFI,5,0),1,0)*Table_NFI[[#This Row],[Plastic Bucket]],Table_NFI[Plastic Bucket])</f>
        <v>0</v>
      </c>
      <c r="AF840" s="436">
        <f>IF(NFI_Expiration=1,IF($A840&lt;VLOOKUP(Q$5,NFI,5,0),1,0)*Table_NFI[[#This Row],[Plastic Mat]],Table_NFI[Plastic Mat])*IF(Table_NFI[[#This Row],[Distribution Date]]&gt;"2014-04-01",1,2.5)</f>
        <v>0</v>
      </c>
      <c r="AG840" s="436">
        <f>IF(NFI_Expiration=1,IF($A840&lt;VLOOKUP(R$5,NFI,5,0),1,0)*Table_NFI[[#This Row],[Winter Clothes Adult]],Table_NFI[Winter Clothes Adult])</f>
        <v>0</v>
      </c>
      <c r="AH840" s="436">
        <f>IF(NFI_Expiration=1,IF($A840&lt;VLOOKUP(S$5,NFI,5,0),1,0)*Table_NFI[[#This Row],[Winter Clothes Children]],Table_NFI[Winter Clothes Children])</f>
        <v>0</v>
      </c>
      <c r="AI840" s="436">
        <f>IF(NFI_Expiration=1,IF($A840&lt;VLOOKUP(T$5,NFI,5,0),1,0)*Table_NFI[[#This Row],[Winter Items Other]],Table_NFI[Winter Items Other])</f>
        <v>0</v>
      </c>
      <c r="AJ840" s="436">
        <f>IF(NFI_Expiration=1,IF($A840&lt;VLOOKUP(M$5,NFI,5,0),1,0)*Table_NFI[[#This Row],[Winter Blanket]],Table_NFI[[#This Row],[Winter Blanket]])</f>
        <v>0</v>
      </c>
      <c r="AK840" s="436">
        <f>IF(Table_NFI[[#This Row],[Winter Clothes Adult]]+Table_NFI[[#This Row],[Winter Clothes Children]]+Table_NFI[[#This Row],[Winter Items Other]]+Table_NFI[[#This Row],[Winter Blanket]]&gt;0,1,0)</f>
        <v>0</v>
      </c>
      <c r="AL840" s="439">
        <f>IF(NFI_Expiration=1,IF($A840&lt;VLOOKUP(V$5,NFI,5,0),1,0)*Table_NFI[[#This Row],[Jerry Can]],Table_NFI[Jerry Can])</f>
        <v>0</v>
      </c>
      <c r="AM840" s="781" t="str">
        <f>IFERROR(VLOOKUP(Table_NFI[[#This Row],[Camp Name]],CL,2,0),"")</f>
        <v/>
      </c>
      <c r="AN840" s="782" t="str">
        <f ca="1">IF(Table_NFI[[#This Row],[Pcode]]="","",IF(OFFSET(CampList[Opening Date],MATCH(Table_NFI[[#This Row],[Pcode]],CampList[CP_Pcode],0)-1,0,1,1)&gt;=NFI_Monitor_Date,1,0))</f>
        <v/>
      </c>
      <c r="AO840" s="781" t="str">
        <f>IFERROR(VLOOKUP(Table_NFI[[#This Row],[Camp Name]],CL,3,0),"")</f>
        <v/>
      </c>
      <c r="AP840" s="436" t="str">
        <f ca="1">IF(Table_NFI[[#This Row],[Pcode]]="","",OFFSET(CampList[Priority],MATCH(Table_NFI[[#This Row],[Pcode]],CampList[CP_Pcode],0)-1,0,1,1))</f>
        <v/>
      </c>
      <c r="AQ840" s="438" t="str">
        <f>IFERROR(Table_NFI[[#This Row],[Kitchen Set]]/VLOOKUP(Table_NFI[[#This Row],[Camp Name]],CL,4,0),"")</f>
        <v/>
      </c>
      <c r="AR840" s="779" t="s">
        <v>1099</v>
      </c>
      <c r="AS840" s="783"/>
    </row>
    <row r="841" spans="1:45" s="784" customFormat="1" x14ac:dyDescent="0.25">
      <c r="A841" s="455">
        <f t="shared" si="13"/>
        <v>43.8</v>
      </c>
      <c r="B841" s="778">
        <v>40995</v>
      </c>
      <c r="C841" s="779" t="s">
        <v>454</v>
      </c>
      <c r="D841" s="780" t="s">
        <v>454</v>
      </c>
      <c r="E841" s="779" t="s">
        <v>380</v>
      </c>
      <c r="F841" s="435" t="s">
        <v>5</v>
      </c>
      <c r="G841" s="435" t="s">
        <v>6</v>
      </c>
      <c r="H841" s="436"/>
      <c r="I841" s="436"/>
      <c r="J841" s="436"/>
      <c r="K841" s="436">
        <v>560</v>
      </c>
      <c r="L841" s="437">
        <v>280</v>
      </c>
      <c r="M841" s="437">
        <v>560</v>
      </c>
      <c r="N841" s="437">
        <v>280</v>
      </c>
      <c r="O841" s="437">
        <v>280</v>
      </c>
      <c r="P841" s="437">
        <v>280</v>
      </c>
      <c r="Q841" s="437">
        <v>280</v>
      </c>
      <c r="R841" s="436"/>
      <c r="S841" s="436"/>
      <c r="T841" s="436"/>
      <c r="U841" s="436"/>
      <c r="V841" s="436"/>
      <c r="W841" s="436">
        <f>IF(NFI_Expiration=1,IF($A841&lt;VLOOKUP(H$5,NFI,5,0),1,0)*Table_NFI[[#This Row],[Hygiene Kit]],Table_NFI[Hygiene Kit])</f>
        <v>0</v>
      </c>
      <c r="X841" s="436">
        <f>IF(NFI_Expiration=1,IF($A841&lt;VLOOKUP(I$5,NFI,5,0),1,0)*Table_NFI[[#This Row],[NFI Core Kit]],Table_NFI[NFI Core Kit])</f>
        <v>0</v>
      </c>
      <c r="Y841" s="436">
        <f>IF(NFI_Expiration=1,IF($A841&lt;VLOOKUP(J$5,NFI,5,0),1,0)*Table_NFI[[#This Row],[Sanitary Kit]],Table_NFI[Sanitary Kit])</f>
        <v>0</v>
      </c>
      <c r="Z841" s="436">
        <f>IF(NFI_Expiration=1,IF($A841&lt;VLOOKUP(K$5,NFI,5,0),1,0)*Table_NFI[[#This Row],[Mosquito net]],Table_NFI[Mosquito net])</f>
        <v>0</v>
      </c>
      <c r="AA841" s="436">
        <f>IF(NFI_Expiration=1,IF($A841&lt;VLOOKUP(L$5,NFI,5,0),1,0)*Table_NFI[[#This Row],[Tarpaulin]],Table_NFI[[#This Row],[Tarpaulin]])</f>
        <v>0</v>
      </c>
      <c r="AB841" s="436">
        <f>IF(NFI_Expiration=1,IF($A841&lt;VLOOKUP(M$5,NFI,5,0),1,0)*Table_NFI[[#This Row],[Blanket]],Table_NFI[[#This Row],[Blanket]])</f>
        <v>0</v>
      </c>
      <c r="AC841" s="436">
        <f>IF(NFI_Expiration=1,IF($A841&lt;VLOOKUP(N$5,NFI,5,0),1,0)*Table_NFI[[#This Row],[Kitchen Set]],Table_NFI[Kitchen Set])</f>
        <v>0</v>
      </c>
      <c r="AD841" s="436">
        <f>IF(NFI_Expiration=1,IF($A841&lt;VLOOKUP(O$5,NFI,5,0),1,0)*Table_NFI[[#This Row],[Clothes Kit]],Table_NFI[Clothes Kit])</f>
        <v>0</v>
      </c>
      <c r="AE841" s="436">
        <f>IF(NFI_Expiration=1,IF($A841&lt;VLOOKUP(P$5,NFI,5,0),1,0)*Table_NFI[[#This Row],[Plastic Bucket]],Table_NFI[Plastic Bucket])</f>
        <v>0</v>
      </c>
      <c r="AF841" s="436">
        <f>IF(NFI_Expiration=1,IF($A841&lt;VLOOKUP(Q$5,NFI,5,0),1,0)*Table_NFI[[#This Row],[Plastic Mat]],Table_NFI[Plastic Mat])*IF(Table_NFI[[#This Row],[Distribution Date]]&gt;"2014-04-01",1,2.5)</f>
        <v>0</v>
      </c>
      <c r="AG841" s="436">
        <f>IF(NFI_Expiration=1,IF($A841&lt;VLOOKUP(R$5,NFI,5,0),1,0)*Table_NFI[[#This Row],[Winter Clothes Adult]],Table_NFI[Winter Clothes Adult])</f>
        <v>0</v>
      </c>
      <c r="AH841" s="436">
        <f>IF(NFI_Expiration=1,IF($A841&lt;VLOOKUP(S$5,NFI,5,0),1,0)*Table_NFI[[#This Row],[Winter Clothes Children]],Table_NFI[Winter Clothes Children])</f>
        <v>0</v>
      </c>
      <c r="AI841" s="436">
        <f>IF(NFI_Expiration=1,IF($A841&lt;VLOOKUP(T$5,NFI,5,0),1,0)*Table_NFI[[#This Row],[Winter Items Other]],Table_NFI[Winter Items Other])</f>
        <v>0</v>
      </c>
      <c r="AJ841" s="436">
        <f>IF(NFI_Expiration=1,IF($A841&lt;VLOOKUP(M$5,NFI,5,0),1,0)*Table_NFI[[#This Row],[Winter Blanket]],Table_NFI[[#This Row],[Winter Blanket]])</f>
        <v>0</v>
      </c>
      <c r="AK841" s="436">
        <f>IF(Table_NFI[[#This Row],[Winter Clothes Adult]]+Table_NFI[[#This Row],[Winter Clothes Children]]+Table_NFI[[#This Row],[Winter Items Other]]+Table_NFI[[#This Row],[Winter Blanket]]&gt;0,1,0)</f>
        <v>0</v>
      </c>
      <c r="AL841" s="439">
        <f>IF(NFI_Expiration=1,IF($A841&lt;VLOOKUP(V$5,NFI,5,0),1,0)*Table_NFI[[#This Row],[Jerry Can]],Table_NFI[Jerry Can])</f>
        <v>0</v>
      </c>
      <c r="AM841" s="781" t="str">
        <f>IFERROR(VLOOKUP(Table_NFI[[#This Row],[Camp Name]],CL,2,0),"")</f>
        <v>MMR001CMP050</v>
      </c>
      <c r="AN841" s="782">
        <f ca="1">IF(Table_NFI[[#This Row],[Pcode]]="","",IF(OFFSET(CampList[Opening Date],MATCH(Table_NFI[[#This Row],[Pcode]],CampList[CP_Pcode],0)-1,0,1,1)&gt;=NFI_Monitor_Date,1,0))</f>
        <v>0</v>
      </c>
      <c r="AO841" s="781" t="str">
        <f>IFERROR(VLOOKUP(Table_NFI[[#This Row],[Camp Name]],CL,3,0),"")</f>
        <v>Open</v>
      </c>
      <c r="AP841" s="436" t="str">
        <f ca="1">IF(Table_NFI[[#This Row],[Pcode]]="","",OFFSET(CampList[Priority],MATCH(Table_NFI[[#This Row],[Pcode]],CampList[CP_Pcode],0)-1,0,1,1))</f>
        <v>P4</v>
      </c>
      <c r="AQ841" s="438">
        <f>IFERROR(Table_NFI[[#This Row],[Kitchen Set]]/VLOOKUP(Table_NFI[[#This Row],[Camp Name]],CL,4,0),"")</f>
        <v>0.93023255813953487</v>
      </c>
      <c r="AR841" s="779" t="s">
        <v>1099</v>
      </c>
      <c r="AS841" s="783"/>
    </row>
    <row r="842" spans="1:45" s="784" customFormat="1" x14ac:dyDescent="0.25">
      <c r="A842" s="455">
        <f t="shared" si="13"/>
        <v>43.8</v>
      </c>
      <c r="B842" s="778">
        <v>40995</v>
      </c>
      <c r="C842" s="779" t="s">
        <v>454</v>
      </c>
      <c r="D842" s="780" t="s">
        <v>454</v>
      </c>
      <c r="E842" s="779" t="s">
        <v>380</v>
      </c>
      <c r="F842" s="435" t="s">
        <v>310</v>
      </c>
      <c r="G842" s="435" t="s">
        <v>334</v>
      </c>
      <c r="H842" s="436"/>
      <c r="I842" s="436"/>
      <c r="J842" s="436"/>
      <c r="K842" s="436">
        <v>460</v>
      </c>
      <c r="L842" s="437">
        <v>228</v>
      </c>
      <c r="M842" s="437">
        <v>460</v>
      </c>
      <c r="N842" s="437">
        <v>228</v>
      </c>
      <c r="O842" s="437">
        <v>228</v>
      </c>
      <c r="P842" s="437">
        <v>228</v>
      </c>
      <c r="Q842" s="437">
        <v>228</v>
      </c>
      <c r="R842" s="436"/>
      <c r="S842" s="436"/>
      <c r="T842" s="436"/>
      <c r="U842" s="436"/>
      <c r="V842" s="436"/>
      <c r="W842" s="436">
        <f>IF(NFI_Expiration=1,IF($A842&lt;VLOOKUP(H$5,NFI,5,0),1,0)*Table_NFI[[#This Row],[Hygiene Kit]],Table_NFI[Hygiene Kit])</f>
        <v>0</v>
      </c>
      <c r="X842" s="436">
        <f>IF(NFI_Expiration=1,IF($A842&lt;VLOOKUP(I$5,NFI,5,0),1,0)*Table_NFI[[#This Row],[NFI Core Kit]],Table_NFI[NFI Core Kit])</f>
        <v>0</v>
      </c>
      <c r="Y842" s="436">
        <f>IF(NFI_Expiration=1,IF($A842&lt;VLOOKUP(J$5,NFI,5,0),1,0)*Table_NFI[[#This Row],[Sanitary Kit]],Table_NFI[Sanitary Kit])</f>
        <v>0</v>
      </c>
      <c r="Z842" s="436">
        <f>IF(NFI_Expiration=1,IF($A842&lt;VLOOKUP(K$5,NFI,5,0),1,0)*Table_NFI[[#This Row],[Mosquito net]],Table_NFI[Mosquito net])</f>
        <v>0</v>
      </c>
      <c r="AA842" s="436">
        <f>IF(NFI_Expiration=1,IF($A842&lt;VLOOKUP(L$5,NFI,5,0),1,0)*Table_NFI[[#This Row],[Tarpaulin]],Table_NFI[[#This Row],[Tarpaulin]])</f>
        <v>0</v>
      </c>
      <c r="AB842" s="436">
        <f>IF(NFI_Expiration=1,IF($A842&lt;VLOOKUP(M$5,NFI,5,0),1,0)*Table_NFI[[#This Row],[Blanket]],Table_NFI[[#This Row],[Blanket]])</f>
        <v>0</v>
      </c>
      <c r="AC842" s="436">
        <f>IF(NFI_Expiration=1,IF($A842&lt;VLOOKUP(N$5,NFI,5,0),1,0)*Table_NFI[[#This Row],[Kitchen Set]],Table_NFI[Kitchen Set])</f>
        <v>0</v>
      </c>
      <c r="AD842" s="436">
        <f>IF(NFI_Expiration=1,IF($A842&lt;VLOOKUP(O$5,NFI,5,0),1,0)*Table_NFI[[#This Row],[Clothes Kit]],Table_NFI[Clothes Kit])</f>
        <v>0</v>
      </c>
      <c r="AE842" s="436">
        <f>IF(NFI_Expiration=1,IF($A842&lt;VLOOKUP(P$5,NFI,5,0),1,0)*Table_NFI[[#This Row],[Plastic Bucket]],Table_NFI[Plastic Bucket])</f>
        <v>0</v>
      </c>
      <c r="AF842" s="436">
        <f>IF(NFI_Expiration=1,IF($A842&lt;VLOOKUP(Q$5,NFI,5,0),1,0)*Table_NFI[[#This Row],[Plastic Mat]],Table_NFI[Plastic Mat])*IF(Table_NFI[[#This Row],[Distribution Date]]&gt;"2014-04-01",1,2.5)</f>
        <v>0</v>
      </c>
      <c r="AG842" s="436">
        <f>IF(NFI_Expiration=1,IF($A842&lt;VLOOKUP(R$5,NFI,5,0),1,0)*Table_NFI[[#This Row],[Winter Clothes Adult]],Table_NFI[Winter Clothes Adult])</f>
        <v>0</v>
      </c>
      <c r="AH842" s="436">
        <f>IF(NFI_Expiration=1,IF($A842&lt;VLOOKUP(S$5,NFI,5,0),1,0)*Table_NFI[[#This Row],[Winter Clothes Children]],Table_NFI[Winter Clothes Children])</f>
        <v>0</v>
      </c>
      <c r="AI842" s="436">
        <f>IF(NFI_Expiration=1,IF($A842&lt;VLOOKUP(T$5,NFI,5,0),1,0)*Table_NFI[[#This Row],[Winter Items Other]],Table_NFI[Winter Items Other])</f>
        <v>0</v>
      </c>
      <c r="AJ842" s="436">
        <f>IF(NFI_Expiration=1,IF($A842&lt;VLOOKUP(M$5,NFI,5,0),1,0)*Table_NFI[[#This Row],[Winter Blanket]],Table_NFI[[#This Row],[Winter Blanket]])</f>
        <v>0</v>
      </c>
      <c r="AK842" s="436">
        <f>IF(Table_NFI[[#This Row],[Winter Clothes Adult]]+Table_NFI[[#This Row],[Winter Clothes Children]]+Table_NFI[[#This Row],[Winter Items Other]]+Table_NFI[[#This Row],[Winter Blanket]]&gt;0,1,0)</f>
        <v>0</v>
      </c>
      <c r="AL842" s="439">
        <f>IF(NFI_Expiration=1,IF($A842&lt;VLOOKUP(V$5,NFI,5,0),1,0)*Table_NFI[[#This Row],[Jerry Can]],Table_NFI[Jerry Can])</f>
        <v>0</v>
      </c>
      <c r="AM842" s="781" t="str">
        <f>IFERROR(VLOOKUP(Table_NFI[[#This Row],[Camp Name]],CL,2,0),"")</f>
        <v>MMR001CMP113</v>
      </c>
      <c r="AN842" s="782">
        <f ca="1">IF(Table_NFI[[#This Row],[Pcode]]="","",IF(OFFSET(CampList[Opening Date],MATCH(Table_NFI[[#This Row],[Pcode]],CampList[CP_Pcode],0)-1,0,1,1)&gt;=NFI_Monitor_Date,1,0))</f>
        <v>0</v>
      </c>
      <c r="AO842" s="781" t="str">
        <f>IFERROR(VLOOKUP(Table_NFI[[#This Row],[Camp Name]],CL,3,0),"")</f>
        <v>Open</v>
      </c>
      <c r="AP842" s="436" t="str">
        <f ca="1">IF(Table_NFI[[#This Row],[Pcode]]="","",OFFSET(CampList[Priority],MATCH(Table_NFI[[#This Row],[Pcode]],CampList[CP_Pcode],0)-1,0,1,1))</f>
        <v>P1</v>
      </c>
      <c r="AQ842" s="438">
        <f>IFERROR(Table_NFI[[#This Row],[Kitchen Set]]/VLOOKUP(Table_NFI[[#This Row],[Camp Name]],CL,4,0),"")</f>
        <v>1.4709677419354839</v>
      </c>
      <c r="AR842" s="779" t="s">
        <v>1099</v>
      </c>
      <c r="AS842" s="783"/>
    </row>
    <row r="843" spans="1:45" s="784" customFormat="1" x14ac:dyDescent="0.25">
      <c r="A843" s="455">
        <f t="shared" si="13"/>
        <v>43.8</v>
      </c>
      <c r="B843" s="778">
        <v>40995</v>
      </c>
      <c r="C843" s="779" t="s">
        <v>454</v>
      </c>
      <c r="D843" s="779" t="s">
        <v>454</v>
      </c>
      <c r="E843" s="779" t="s">
        <v>380</v>
      </c>
      <c r="F843" s="435" t="s">
        <v>310</v>
      </c>
      <c r="G843" s="435" t="s">
        <v>355</v>
      </c>
      <c r="H843" s="436"/>
      <c r="I843" s="436"/>
      <c r="J843" s="436"/>
      <c r="K843" s="436">
        <v>0</v>
      </c>
      <c r="L843" s="437">
        <v>40</v>
      </c>
      <c r="M843" s="437">
        <v>0</v>
      </c>
      <c r="N843" s="437">
        <v>0</v>
      </c>
      <c r="O843" s="437">
        <v>0</v>
      </c>
      <c r="P843" s="439"/>
      <c r="Q843" s="439"/>
      <c r="R843" s="436"/>
      <c r="S843" s="436"/>
      <c r="T843" s="436"/>
      <c r="U843" s="436"/>
      <c r="V843" s="436"/>
      <c r="W843" s="436">
        <f>IF(NFI_Expiration=1,IF($A843&lt;VLOOKUP(H$5,NFI,5,0),1,0)*Table_NFI[[#This Row],[Hygiene Kit]],Table_NFI[Hygiene Kit])</f>
        <v>0</v>
      </c>
      <c r="X843" s="436">
        <f>IF(NFI_Expiration=1,IF($A843&lt;VLOOKUP(I$5,NFI,5,0),1,0)*Table_NFI[[#This Row],[NFI Core Kit]],Table_NFI[NFI Core Kit])</f>
        <v>0</v>
      </c>
      <c r="Y843" s="436">
        <f>IF(NFI_Expiration=1,IF($A843&lt;VLOOKUP(J$5,NFI,5,0),1,0)*Table_NFI[[#This Row],[Sanitary Kit]],Table_NFI[Sanitary Kit])</f>
        <v>0</v>
      </c>
      <c r="Z843" s="436">
        <f>IF(NFI_Expiration=1,IF($A843&lt;VLOOKUP(K$5,NFI,5,0),1,0)*Table_NFI[[#This Row],[Mosquito net]],Table_NFI[Mosquito net])</f>
        <v>0</v>
      </c>
      <c r="AA843" s="436">
        <f>IF(NFI_Expiration=1,IF($A843&lt;VLOOKUP(L$5,NFI,5,0),1,0)*Table_NFI[[#This Row],[Tarpaulin]],Table_NFI[[#This Row],[Tarpaulin]])</f>
        <v>0</v>
      </c>
      <c r="AB843" s="436">
        <f>IF(NFI_Expiration=1,IF($A843&lt;VLOOKUP(M$5,NFI,5,0),1,0)*Table_NFI[[#This Row],[Blanket]],Table_NFI[[#This Row],[Blanket]])</f>
        <v>0</v>
      </c>
      <c r="AC843" s="436">
        <f>IF(NFI_Expiration=1,IF($A843&lt;VLOOKUP(N$5,NFI,5,0),1,0)*Table_NFI[[#This Row],[Kitchen Set]],Table_NFI[Kitchen Set])</f>
        <v>0</v>
      </c>
      <c r="AD843" s="436">
        <f>IF(NFI_Expiration=1,IF($A843&lt;VLOOKUP(O$5,NFI,5,0),1,0)*Table_NFI[[#This Row],[Clothes Kit]],Table_NFI[Clothes Kit])</f>
        <v>0</v>
      </c>
      <c r="AE843" s="436">
        <f>IF(NFI_Expiration=1,IF($A843&lt;VLOOKUP(P$5,NFI,5,0),1,0)*Table_NFI[[#This Row],[Plastic Bucket]],Table_NFI[Plastic Bucket])</f>
        <v>0</v>
      </c>
      <c r="AF843" s="436">
        <f>IF(NFI_Expiration=1,IF($A843&lt;VLOOKUP(Q$5,NFI,5,0),1,0)*Table_NFI[[#This Row],[Plastic Mat]],Table_NFI[Plastic Mat])*IF(Table_NFI[[#This Row],[Distribution Date]]&gt;"2014-04-01",1,2.5)</f>
        <v>0</v>
      </c>
      <c r="AG843" s="436">
        <f>IF(NFI_Expiration=1,IF($A843&lt;VLOOKUP(R$5,NFI,5,0),1,0)*Table_NFI[[#This Row],[Winter Clothes Adult]],Table_NFI[Winter Clothes Adult])</f>
        <v>0</v>
      </c>
      <c r="AH843" s="436">
        <f>IF(NFI_Expiration=1,IF($A843&lt;VLOOKUP(S$5,NFI,5,0),1,0)*Table_NFI[[#This Row],[Winter Clothes Children]],Table_NFI[Winter Clothes Children])</f>
        <v>0</v>
      </c>
      <c r="AI843" s="436">
        <f>IF(NFI_Expiration=1,IF($A843&lt;VLOOKUP(T$5,NFI,5,0),1,0)*Table_NFI[[#This Row],[Winter Items Other]],Table_NFI[Winter Items Other])</f>
        <v>0</v>
      </c>
      <c r="AJ843" s="436">
        <f>IF(NFI_Expiration=1,IF($A843&lt;VLOOKUP(M$5,NFI,5,0),1,0)*Table_NFI[[#This Row],[Winter Blanket]],Table_NFI[[#This Row],[Winter Blanket]])</f>
        <v>0</v>
      </c>
      <c r="AK843" s="436">
        <f>IF(Table_NFI[[#This Row],[Winter Clothes Adult]]+Table_NFI[[#This Row],[Winter Clothes Children]]+Table_NFI[[#This Row],[Winter Items Other]]+Table_NFI[[#This Row],[Winter Blanket]]&gt;0,1,0)</f>
        <v>0</v>
      </c>
      <c r="AL843" s="439">
        <f>IF(NFI_Expiration=1,IF($A843&lt;VLOOKUP(V$5,NFI,5,0),1,0)*Table_NFI[[#This Row],[Jerry Can]],Table_NFI[Jerry Can])</f>
        <v>0</v>
      </c>
      <c r="AM843" s="781" t="str">
        <f>IFERROR(VLOOKUP(Table_NFI[[#This Row],[Camp Name]],CL,2,0),"")</f>
        <v>MMR001CMP160</v>
      </c>
      <c r="AN843" s="782">
        <f ca="1">IF(Table_NFI[[#This Row],[Pcode]]="","",IF(OFFSET(CampList[Opening Date],MATCH(Table_NFI[[#This Row],[Pcode]],CampList[CP_Pcode],0)-1,0,1,1)&gt;=NFI_Monitor_Date,1,0))</f>
        <v>0</v>
      </c>
      <c r="AO843" s="781" t="str">
        <f>IFERROR(VLOOKUP(Table_NFI[[#This Row],[Camp Name]],CL,3,0),"")</f>
        <v>Open</v>
      </c>
      <c r="AP843" s="436" t="str">
        <f ca="1">IF(Table_NFI[[#This Row],[Pcode]]="","",OFFSET(CampList[Priority],MATCH(Table_NFI[[#This Row],[Pcode]],CampList[CP_Pcode],0)-1,0,1,1))</f>
        <v>P1</v>
      </c>
      <c r="AQ843" s="438">
        <f>IFERROR(Table_NFI[[#This Row],[Kitchen Set]]/VLOOKUP(Table_NFI[[#This Row],[Camp Name]],CL,4,0),"")</f>
        <v>0</v>
      </c>
      <c r="AR843" s="779" t="s">
        <v>1099</v>
      </c>
      <c r="AS843" s="783"/>
    </row>
    <row r="844" spans="1:45" s="784" customFormat="1" x14ac:dyDescent="0.25">
      <c r="A844" s="455">
        <f t="shared" si="13"/>
        <v>43.8</v>
      </c>
      <c r="B844" s="778">
        <v>40995</v>
      </c>
      <c r="C844" s="779" t="s">
        <v>454</v>
      </c>
      <c r="D844" s="780" t="s">
        <v>454</v>
      </c>
      <c r="E844" s="779" t="s">
        <v>380</v>
      </c>
      <c r="F844" s="435" t="s">
        <v>5</v>
      </c>
      <c r="G844" s="435" t="s">
        <v>22</v>
      </c>
      <c r="H844" s="436"/>
      <c r="I844" s="436"/>
      <c r="J844" s="436"/>
      <c r="K844" s="436">
        <v>1000</v>
      </c>
      <c r="L844" s="437">
        <v>500</v>
      </c>
      <c r="M844" s="437">
        <v>1000</v>
      </c>
      <c r="N844" s="437">
        <v>500</v>
      </c>
      <c r="O844" s="437">
        <v>500</v>
      </c>
      <c r="P844" s="437">
        <v>500</v>
      </c>
      <c r="Q844" s="437">
        <v>500</v>
      </c>
      <c r="R844" s="436"/>
      <c r="S844" s="436"/>
      <c r="T844" s="436"/>
      <c r="U844" s="436"/>
      <c r="V844" s="436"/>
      <c r="W844" s="436">
        <f>IF(NFI_Expiration=1,IF($A844&lt;VLOOKUP(H$5,NFI,5,0),1,0)*Table_NFI[[#This Row],[Hygiene Kit]],Table_NFI[Hygiene Kit])</f>
        <v>0</v>
      </c>
      <c r="X844" s="436">
        <f>IF(NFI_Expiration=1,IF($A844&lt;VLOOKUP(I$5,NFI,5,0),1,0)*Table_NFI[[#This Row],[NFI Core Kit]],Table_NFI[NFI Core Kit])</f>
        <v>0</v>
      </c>
      <c r="Y844" s="436">
        <f>IF(NFI_Expiration=1,IF($A844&lt;VLOOKUP(J$5,NFI,5,0),1,0)*Table_NFI[[#This Row],[Sanitary Kit]],Table_NFI[Sanitary Kit])</f>
        <v>0</v>
      </c>
      <c r="Z844" s="436">
        <f>IF(NFI_Expiration=1,IF($A844&lt;VLOOKUP(K$5,NFI,5,0),1,0)*Table_NFI[[#This Row],[Mosquito net]],Table_NFI[Mosquito net])</f>
        <v>0</v>
      </c>
      <c r="AA844" s="436">
        <f>IF(NFI_Expiration=1,IF($A844&lt;VLOOKUP(L$5,NFI,5,0),1,0)*Table_NFI[[#This Row],[Tarpaulin]],Table_NFI[[#This Row],[Tarpaulin]])</f>
        <v>0</v>
      </c>
      <c r="AB844" s="436">
        <f>IF(NFI_Expiration=1,IF($A844&lt;VLOOKUP(M$5,NFI,5,0),1,0)*Table_NFI[[#This Row],[Blanket]],Table_NFI[[#This Row],[Blanket]])</f>
        <v>0</v>
      </c>
      <c r="AC844" s="436">
        <f>IF(NFI_Expiration=1,IF($A844&lt;VLOOKUP(N$5,NFI,5,0),1,0)*Table_NFI[[#This Row],[Kitchen Set]],Table_NFI[Kitchen Set])</f>
        <v>0</v>
      </c>
      <c r="AD844" s="436">
        <f>IF(NFI_Expiration=1,IF($A844&lt;VLOOKUP(O$5,NFI,5,0),1,0)*Table_NFI[[#This Row],[Clothes Kit]],Table_NFI[Clothes Kit])</f>
        <v>0</v>
      </c>
      <c r="AE844" s="436">
        <f>IF(NFI_Expiration=1,IF($A844&lt;VLOOKUP(P$5,NFI,5,0),1,0)*Table_NFI[[#This Row],[Plastic Bucket]],Table_NFI[Plastic Bucket])</f>
        <v>0</v>
      </c>
      <c r="AF844" s="436">
        <f>IF(NFI_Expiration=1,IF($A844&lt;VLOOKUP(Q$5,NFI,5,0),1,0)*Table_NFI[[#This Row],[Plastic Mat]],Table_NFI[Plastic Mat])*IF(Table_NFI[[#This Row],[Distribution Date]]&gt;"2014-04-01",1,2.5)</f>
        <v>0</v>
      </c>
      <c r="AG844" s="436">
        <f>IF(NFI_Expiration=1,IF($A844&lt;VLOOKUP(R$5,NFI,5,0),1,0)*Table_NFI[[#This Row],[Winter Clothes Adult]],Table_NFI[Winter Clothes Adult])</f>
        <v>0</v>
      </c>
      <c r="AH844" s="436">
        <f>IF(NFI_Expiration=1,IF($A844&lt;VLOOKUP(S$5,NFI,5,0),1,0)*Table_NFI[[#This Row],[Winter Clothes Children]],Table_NFI[Winter Clothes Children])</f>
        <v>0</v>
      </c>
      <c r="AI844" s="436">
        <f>IF(NFI_Expiration=1,IF($A844&lt;VLOOKUP(T$5,NFI,5,0),1,0)*Table_NFI[[#This Row],[Winter Items Other]],Table_NFI[Winter Items Other])</f>
        <v>0</v>
      </c>
      <c r="AJ844" s="436">
        <f>IF(NFI_Expiration=1,IF($A844&lt;VLOOKUP(M$5,NFI,5,0),1,0)*Table_NFI[[#This Row],[Winter Blanket]],Table_NFI[[#This Row],[Winter Blanket]])</f>
        <v>0</v>
      </c>
      <c r="AK844" s="436">
        <f>IF(Table_NFI[[#This Row],[Winter Clothes Adult]]+Table_NFI[[#This Row],[Winter Clothes Children]]+Table_NFI[[#This Row],[Winter Items Other]]+Table_NFI[[#This Row],[Winter Blanket]]&gt;0,1,0)</f>
        <v>0</v>
      </c>
      <c r="AL844" s="439">
        <f>IF(NFI_Expiration=1,IF($A844&lt;VLOOKUP(V$5,NFI,5,0),1,0)*Table_NFI[[#This Row],[Jerry Can]],Table_NFI[Jerry Can])</f>
        <v>0</v>
      </c>
      <c r="AM844" s="781" t="str">
        <f>IFERROR(VLOOKUP(Table_NFI[[#This Row],[Camp Name]],CL,2,0),"")</f>
        <v>MMR001CMP047</v>
      </c>
      <c r="AN844" s="782">
        <f ca="1">IF(Table_NFI[[#This Row],[Pcode]]="","",IF(OFFSET(CampList[Opening Date],MATCH(Table_NFI[[#This Row],[Pcode]],CampList[CP_Pcode],0)-1,0,1,1)&gt;=NFI_Monitor_Date,1,0))</f>
        <v>0</v>
      </c>
      <c r="AO844" s="781" t="str">
        <f>IFERROR(VLOOKUP(Table_NFI[[#This Row],[Camp Name]],CL,3,0),"")</f>
        <v>Open</v>
      </c>
      <c r="AP844" s="436" t="str">
        <f ca="1">IF(Table_NFI[[#This Row],[Pcode]]="","",OFFSET(CampList[Priority],MATCH(Table_NFI[[#This Row],[Pcode]],CampList[CP_Pcode],0)-1,0,1,1))</f>
        <v>P4</v>
      </c>
      <c r="AQ844" s="438">
        <f>IFERROR(Table_NFI[[#This Row],[Kitchen Set]]/VLOOKUP(Table_NFI[[#This Row],[Camp Name]],CL,4,0),"")</f>
        <v>0.76687116564417179</v>
      </c>
      <c r="AR844" s="779" t="s">
        <v>1099</v>
      </c>
      <c r="AS844" s="783"/>
    </row>
    <row r="845" spans="1:45" s="784" customFormat="1" x14ac:dyDescent="0.25">
      <c r="A845" s="455">
        <f t="shared" si="13"/>
        <v>43.833333333333336</v>
      </c>
      <c r="B845" s="778">
        <v>40994</v>
      </c>
      <c r="C845" s="779" t="s">
        <v>454</v>
      </c>
      <c r="D845" s="779" t="s">
        <v>454</v>
      </c>
      <c r="E845" s="779" t="s">
        <v>380</v>
      </c>
      <c r="F845" s="435" t="s">
        <v>310</v>
      </c>
      <c r="G845" s="435" t="s">
        <v>334</v>
      </c>
      <c r="H845" s="436"/>
      <c r="I845" s="436"/>
      <c r="J845" s="436"/>
      <c r="K845" s="436">
        <v>460</v>
      </c>
      <c r="L845" s="437">
        <v>250</v>
      </c>
      <c r="M845" s="437">
        <v>460</v>
      </c>
      <c r="N845" s="437">
        <v>230</v>
      </c>
      <c r="O845" s="437">
        <v>0</v>
      </c>
      <c r="P845" s="439"/>
      <c r="Q845" s="439"/>
      <c r="R845" s="436"/>
      <c r="S845" s="436"/>
      <c r="T845" s="436"/>
      <c r="U845" s="436"/>
      <c r="V845" s="436"/>
      <c r="W845" s="436">
        <f>IF(NFI_Expiration=1,IF($A845&lt;VLOOKUP(H$5,NFI,5,0),1,0)*Table_NFI[[#This Row],[Hygiene Kit]],Table_NFI[Hygiene Kit])</f>
        <v>0</v>
      </c>
      <c r="X845" s="436">
        <f>IF(NFI_Expiration=1,IF($A845&lt;VLOOKUP(I$5,NFI,5,0),1,0)*Table_NFI[[#This Row],[NFI Core Kit]],Table_NFI[NFI Core Kit])</f>
        <v>0</v>
      </c>
      <c r="Y845" s="436">
        <f>IF(NFI_Expiration=1,IF($A845&lt;VLOOKUP(J$5,NFI,5,0),1,0)*Table_NFI[[#This Row],[Sanitary Kit]],Table_NFI[Sanitary Kit])</f>
        <v>0</v>
      </c>
      <c r="Z845" s="436">
        <f>IF(NFI_Expiration=1,IF($A845&lt;VLOOKUP(K$5,NFI,5,0),1,0)*Table_NFI[[#This Row],[Mosquito net]],Table_NFI[Mosquito net])</f>
        <v>0</v>
      </c>
      <c r="AA845" s="436">
        <f>IF(NFI_Expiration=1,IF($A845&lt;VLOOKUP(L$5,NFI,5,0),1,0)*Table_NFI[[#This Row],[Tarpaulin]],Table_NFI[[#This Row],[Tarpaulin]])</f>
        <v>0</v>
      </c>
      <c r="AB845" s="436">
        <f>IF(NFI_Expiration=1,IF($A845&lt;VLOOKUP(M$5,NFI,5,0),1,0)*Table_NFI[[#This Row],[Blanket]],Table_NFI[[#This Row],[Blanket]])</f>
        <v>0</v>
      </c>
      <c r="AC845" s="436">
        <f>IF(NFI_Expiration=1,IF($A845&lt;VLOOKUP(N$5,NFI,5,0),1,0)*Table_NFI[[#This Row],[Kitchen Set]],Table_NFI[Kitchen Set])</f>
        <v>0</v>
      </c>
      <c r="AD845" s="436">
        <f>IF(NFI_Expiration=1,IF($A845&lt;VLOOKUP(O$5,NFI,5,0),1,0)*Table_NFI[[#This Row],[Clothes Kit]],Table_NFI[Clothes Kit])</f>
        <v>0</v>
      </c>
      <c r="AE845" s="436">
        <f>IF(NFI_Expiration=1,IF($A845&lt;VLOOKUP(P$5,NFI,5,0),1,0)*Table_NFI[[#This Row],[Plastic Bucket]],Table_NFI[Plastic Bucket])</f>
        <v>0</v>
      </c>
      <c r="AF845" s="436">
        <f>IF(NFI_Expiration=1,IF($A845&lt;VLOOKUP(Q$5,NFI,5,0),1,0)*Table_NFI[[#This Row],[Plastic Mat]],Table_NFI[Plastic Mat])*IF(Table_NFI[[#This Row],[Distribution Date]]&gt;"2014-04-01",1,2.5)</f>
        <v>0</v>
      </c>
      <c r="AG845" s="436">
        <f>IF(NFI_Expiration=1,IF($A845&lt;VLOOKUP(R$5,NFI,5,0),1,0)*Table_NFI[[#This Row],[Winter Clothes Adult]],Table_NFI[Winter Clothes Adult])</f>
        <v>0</v>
      </c>
      <c r="AH845" s="436">
        <f>IF(NFI_Expiration=1,IF($A845&lt;VLOOKUP(S$5,NFI,5,0),1,0)*Table_NFI[[#This Row],[Winter Clothes Children]],Table_NFI[Winter Clothes Children])</f>
        <v>0</v>
      </c>
      <c r="AI845" s="436">
        <f>IF(NFI_Expiration=1,IF($A845&lt;VLOOKUP(T$5,NFI,5,0),1,0)*Table_NFI[[#This Row],[Winter Items Other]],Table_NFI[Winter Items Other])</f>
        <v>0</v>
      </c>
      <c r="AJ845" s="436">
        <f>IF(NFI_Expiration=1,IF($A845&lt;VLOOKUP(M$5,NFI,5,0),1,0)*Table_NFI[[#This Row],[Winter Blanket]],Table_NFI[[#This Row],[Winter Blanket]])</f>
        <v>0</v>
      </c>
      <c r="AK845" s="436">
        <f>IF(Table_NFI[[#This Row],[Winter Clothes Adult]]+Table_NFI[[#This Row],[Winter Clothes Children]]+Table_NFI[[#This Row],[Winter Items Other]]+Table_NFI[[#This Row],[Winter Blanket]]&gt;0,1,0)</f>
        <v>0</v>
      </c>
      <c r="AL845" s="439">
        <f>IF(NFI_Expiration=1,IF($A845&lt;VLOOKUP(V$5,NFI,5,0),1,0)*Table_NFI[[#This Row],[Jerry Can]],Table_NFI[Jerry Can])</f>
        <v>0</v>
      </c>
      <c r="AM845" s="781" t="str">
        <f>IFERROR(VLOOKUP(Table_NFI[[#This Row],[Camp Name]],CL,2,0),"")</f>
        <v>MMR001CMP113</v>
      </c>
      <c r="AN845" s="782">
        <f ca="1">IF(Table_NFI[[#This Row],[Pcode]]="","",IF(OFFSET(CampList[Opening Date],MATCH(Table_NFI[[#This Row],[Pcode]],CampList[CP_Pcode],0)-1,0,1,1)&gt;=NFI_Monitor_Date,1,0))</f>
        <v>0</v>
      </c>
      <c r="AO845" s="781" t="str">
        <f>IFERROR(VLOOKUP(Table_NFI[[#This Row],[Camp Name]],CL,3,0),"")</f>
        <v>Open</v>
      </c>
      <c r="AP845" s="436" t="str">
        <f ca="1">IF(Table_NFI[[#This Row],[Pcode]]="","",OFFSET(CampList[Priority],MATCH(Table_NFI[[#This Row],[Pcode]],CampList[CP_Pcode],0)-1,0,1,1))</f>
        <v>P1</v>
      </c>
      <c r="AQ845" s="438">
        <f>IFERROR(Table_NFI[[#This Row],[Kitchen Set]]/VLOOKUP(Table_NFI[[#This Row],[Camp Name]],CL,4,0),"")</f>
        <v>1.4838709677419355</v>
      </c>
      <c r="AR845" s="779" t="s">
        <v>1099</v>
      </c>
      <c r="AS845" s="783"/>
    </row>
    <row r="846" spans="1:45" x14ac:dyDescent="0.25">
      <c r="A846" s="455">
        <f t="shared" si="13"/>
        <v>43.833333333333336</v>
      </c>
      <c r="B846" s="778">
        <v>40994</v>
      </c>
      <c r="C846" s="779" t="s">
        <v>454</v>
      </c>
      <c r="D846" s="780" t="s">
        <v>454</v>
      </c>
      <c r="E846" s="779" t="s">
        <v>380</v>
      </c>
      <c r="F846" s="435" t="s">
        <v>185</v>
      </c>
      <c r="G846" s="435" t="s">
        <v>211</v>
      </c>
      <c r="H846" s="436"/>
      <c r="I846" s="436"/>
      <c r="J846" s="436"/>
      <c r="K846" s="436">
        <v>49</v>
      </c>
      <c r="L846" s="437">
        <v>49</v>
      </c>
      <c r="M846" s="437">
        <v>0</v>
      </c>
      <c r="N846" s="437">
        <v>0</v>
      </c>
      <c r="O846" s="437">
        <v>49</v>
      </c>
      <c r="P846" s="437">
        <v>49</v>
      </c>
      <c r="Q846" s="437">
        <v>49</v>
      </c>
      <c r="R846" s="436"/>
      <c r="S846" s="436"/>
      <c r="T846" s="436"/>
      <c r="U846" s="436"/>
      <c r="V846" s="436"/>
      <c r="W846" s="436">
        <f>IF(NFI_Expiration=1,IF($A846&lt;VLOOKUP(H$5,NFI,5,0),1,0)*Table_NFI[[#This Row],[Hygiene Kit]],Table_NFI[Hygiene Kit])</f>
        <v>0</v>
      </c>
      <c r="X846" s="436">
        <f>IF(NFI_Expiration=1,IF($A846&lt;VLOOKUP(I$5,NFI,5,0),1,0)*Table_NFI[[#This Row],[NFI Core Kit]],Table_NFI[NFI Core Kit])</f>
        <v>0</v>
      </c>
      <c r="Y846" s="436">
        <f>IF(NFI_Expiration=1,IF($A846&lt;VLOOKUP(J$5,NFI,5,0),1,0)*Table_NFI[[#This Row],[Sanitary Kit]],Table_NFI[Sanitary Kit])</f>
        <v>0</v>
      </c>
      <c r="Z846" s="436">
        <f>IF(NFI_Expiration=1,IF($A846&lt;VLOOKUP(K$5,NFI,5,0),1,0)*Table_NFI[[#This Row],[Mosquito net]],Table_NFI[Mosquito net])</f>
        <v>0</v>
      </c>
      <c r="AA846" s="436">
        <f>IF(NFI_Expiration=1,IF($A846&lt;VLOOKUP(L$5,NFI,5,0),1,0)*Table_NFI[[#This Row],[Tarpaulin]],Table_NFI[[#This Row],[Tarpaulin]])</f>
        <v>0</v>
      </c>
      <c r="AB846" s="436">
        <f>IF(NFI_Expiration=1,IF($A846&lt;VLOOKUP(M$5,NFI,5,0),1,0)*Table_NFI[[#This Row],[Blanket]],Table_NFI[[#This Row],[Blanket]])</f>
        <v>0</v>
      </c>
      <c r="AC846" s="436">
        <f>IF(NFI_Expiration=1,IF($A846&lt;VLOOKUP(N$5,NFI,5,0),1,0)*Table_NFI[[#This Row],[Kitchen Set]],Table_NFI[Kitchen Set])</f>
        <v>0</v>
      </c>
      <c r="AD846" s="436">
        <f>IF(NFI_Expiration=1,IF($A846&lt;VLOOKUP(O$5,NFI,5,0),1,0)*Table_NFI[[#This Row],[Clothes Kit]],Table_NFI[Clothes Kit])</f>
        <v>0</v>
      </c>
      <c r="AE846" s="436">
        <f>IF(NFI_Expiration=1,IF($A846&lt;VLOOKUP(P$5,NFI,5,0),1,0)*Table_NFI[[#This Row],[Plastic Bucket]],Table_NFI[Plastic Bucket])</f>
        <v>0</v>
      </c>
      <c r="AF846" s="436">
        <f>IF(NFI_Expiration=1,IF($A846&lt;VLOOKUP(Q$5,NFI,5,0),1,0)*Table_NFI[[#This Row],[Plastic Mat]],Table_NFI[Plastic Mat])*IF(Table_NFI[[#This Row],[Distribution Date]]&gt;"2014-04-01",1,2.5)</f>
        <v>0</v>
      </c>
      <c r="AG846" s="436">
        <f>IF(NFI_Expiration=1,IF($A846&lt;VLOOKUP(R$5,NFI,5,0),1,0)*Table_NFI[[#This Row],[Winter Clothes Adult]],Table_NFI[Winter Clothes Adult])</f>
        <v>0</v>
      </c>
      <c r="AH846" s="436">
        <f>IF(NFI_Expiration=1,IF($A846&lt;VLOOKUP(S$5,NFI,5,0),1,0)*Table_NFI[[#This Row],[Winter Clothes Children]],Table_NFI[Winter Clothes Children])</f>
        <v>0</v>
      </c>
      <c r="AI846" s="436">
        <f>IF(NFI_Expiration=1,IF($A846&lt;VLOOKUP(T$5,NFI,5,0),1,0)*Table_NFI[[#This Row],[Winter Items Other]],Table_NFI[Winter Items Other])</f>
        <v>0</v>
      </c>
      <c r="AJ846" s="436">
        <f>IF(NFI_Expiration=1,IF($A846&lt;VLOOKUP(M$5,NFI,5,0),1,0)*Table_NFI[[#This Row],[Winter Blanket]],Table_NFI[[#This Row],[Winter Blanket]])</f>
        <v>0</v>
      </c>
      <c r="AK846" s="436">
        <f>IF(Table_NFI[[#This Row],[Winter Clothes Adult]]+Table_NFI[[#This Row],[Winter Clothes Children]]+Table_NFI[[#This Row],[Winter Items Other]]+Table_NFI[[#This Row],[Winter Blanket]]&gt;0,1,0)</f>
        <v>0</v>
      </c>
      <c r="AL846" s="439">
        <f>IF(NFI_Expiration=1,IF($A846&lt;VLOOKUP(V$5,NFI,5,0),1,0)*Table_NFI[[#This Row],[Jerry Can]],Table_NFI[Jerry Can])</f>
        <v>0</v>
      </c>
      <c r="AM846" s="781" t="str">
        <f>IFERROR(VLOOKUP(Table_NFI[[#This Row],[Camp Name]],CL,2,0),"")</f>
        <v>MMR001CMP057</v>
      </c>
      <c r="AN846" s="782">
        <f ca="1">IF(Table_NFI[[#This Row],[Pcode]]="","",IF(OFFSET(CampList[Opening Date],MATCH(Table_NFI[[#This Row],[Pcode]],CampList[CP_Pcode],0)-1,0,1,1)&gt;=NFI_Monitor_Date,1,0))</f>
        <v>0</v>
      </c>
      <c r="AO846" s="781" t="str">
        <f>IFERROR(VLOOKUP(Table_NFI[[#This Row],[Camp Name]],CL,3,0),"")</f>
        <v>Closed</v>
      </c>
      <c r="AP846" s="436" t="str">
        <f ca="1">IF(Table_NFI[[#This Row],[Pcode]]="","",OFFSET(CampList[Priority],MATCH(Table_NFI[[#This Row],[Pcode]],CampList[CP_Pcode],0)-1,0,1,1))</f>
        <v>P4</v>
      </c>
      <c r="AQ846" s="438" t="str">
        <f>IFERROR(Table_NFI[[#This Row],[Kitchen Set]]/VLOOKUP(Table_NFI[[#This Row],[Camp Name]],CL,4,0),"")</f>
        <v/>
      </c>
      <c r="AR846" s="779" t="s">
        <v>1099</v>
      </c>
      <c r="AS846" s="783"/>
    </row>
    <row r="847" spans="1:45" x14ac:dyDescent="0.25">
      <c r="A847" s="455">
        <f t="shared" si="13"/>
        <v>44.466666666666669</v>
      </c>
      <c r="B847" s="778">
        <v>40975</v>
      </c>
      <c r="C847" s="779" t="s">
        <v>454</v>
      </c>
      <c r="D847" s="780" t="s">
        <v>454</v>
      </c>
      <c r="E847" s="779" t="s">
        <v>380</v>
      </c>
      <c r="F847" s="435" t="s">
        <v>310</v>
      </c>
      <c r="G847" s="435" t="s">
        <v>318</v>
      </c>
      <c r="H847" s="436"/>
      <c r="I847" s="436"/>
      <c r="J847" s="436"/>
      <c r="K847" s="436">
        <v>12</v>
      </c>
      <c r="L847" s="437">
        <v>8</v>
      </c>
      <c r="M847" s="437">
        <v>12</v>
      </c>
      <c r="N847" s="437">
        <v>8</v>
      </c>
      <c r="O847" s="437">
        <v>8</v>
      </c>
      <c r="P847" s="437">
        <v>8</v>
      </c>
      <c r="Q847" s="437">
        <v>8</v>
      </c>
      <c r="R847" s="436"/>
      <c r="S847" s="436"/>
      <c r="T847" s="436"/>
      <c r="U847" s="436"/>
      <c r="V847" s="436"/>
      <c r="W847" s="436">
        <f>IF(NFI_Expiration=1,IF($A847&lt;VLOOKUP(H$5,NFI,5,0),1,0)*Table_NFI[[#This Row],[Hygiene Kit]],Table_NFI[Hygiene Kit])</f>
        <v>0</v>
      </c>
      <c r="X847" s="436">
        <f>IF(NFI_Expiration=1,IF($A847&lt;VLOOKUP(I$5,NFI,5,0),1,0)*Table_NFI[[#This Row],[NFI Core Kit]],Table_NFI[NFI Core Kit])</f>
        <v>0</v>
      </c>
      <c r="Y847" s="436">
        <f>IF(NFI_Expiration=1,IF($A847&lt;VLOOKUP(J$5,NFI,5,0),1,0)*Table_NFI[[#This Row],[Sanitary Kit]],Table_NFI[Sanitary Kit])</f>
        <v>0</v>
      </c>
      <c r="Z847" s="436">
        <f>IF(NFI_Expiration=1,IF($A847&lt;VLOOKUP(K$5,NFI,5,0),1,0)*Table_NFI[[#This Row],[Mosquito net]],Table_NFI[Mosquito net])</f>
        <v>0</v>
      </c>
      <c r="AA847" s="436">
        <f>IF(NFI_Expiration=1,IF($A847&lt;VLOOKUP(L$5,NFI,5,0),1,0)*Table_NFI[[#This Row],[Tarpaulin]],Table_NFI[[#This Row],[Tarpaulin]])</f>
        <v>0</v>
      </c>
      <c r="AB847" s="436">
        <f>IF(NFI_Expiration=1,IF($A847&lt;VLOOKUP(M$5,NFI,5,0),1,0)*Table_NFI[[#This Row],[Blanket]],Table_NFI[[#This Row],[Blanket]])</f>
        <v>0</v>
      </c>
      <c r="AC847" s="436">
        <f>IF(NFI_Expiration=1,IF($A847&lt;VLOOKUP(N$5,NFI,5,0),1,0)*Table_NFI[[#This Row],[Kitchen Set]],Table_NFI[Kitchen Set])</f>
        <v>0</v>
      </c>
      <c r="AD847" s="436">
        <f>IF(NFI_Expiration=1,IF($A847&lt;VLOOKUP(O$5,NFI,5,0),1,0)*Table_NFI[[#This Row],[Clothes Kit]],Table_NFI[Clothes Kit])</f>
        <v>0</v>
      </c>
      <c r="AE847" s="436">
        <f>IF(NFI_Expiration=1,IF($A847&lt;VLOOKUP(P$5,NFI,5,0),1,0)*Table_NFI[[#This Row],[Plastic Bucket]],Table_NFI[Plastic Bucket])</f>
        <v>0</v>
      </c>
      <c r="AF847" s="436">
        <f>IF(NFI_Expiration=1,IF($A847&lt;VLOOKUP(Q$5,NFI,5,0),1,0)*Table_NFI[[#This Row],[Plastic Mat]],Table_NFI[Plastic Mat])*IF(Table_NFI[[#This Row],[Distribution Date]]&gt;"2014-04-01",1,2.5)</f>
        <v>0</v>
      </c>
      <c r="AG847" s="436">
        <f>IF(NFI_Expiration=1,IF($A847&lt;VLOOKUP(R$5,NFI,5,0),1,0)*Table_NFI[[#This Row],[Winter Clothes Adult]],Table_NFI[Winter Clothes Adult])</f>
        <v>0</v>
      </c>
      <c r="AH847" s="436">
        <f>IF(NFI_Expiration=1,IF($A847&lt;VLOOKUP(S$5,NFI,5,0),1,0)*Table_NFI[[#This Row],[Winter Clothes Children]],Table_NFI[Winter Clothes Children])</f>
        <v>0</v>
      </c>
      <c r="AI847" s="436">
        <f>IF(NFI_Expiration=1,IF($A847&lt;VLOOKUP(T$5,NFI,5,0),1,0)*Table_NFI[[#This Row],[Winter Items Other]],Table_NFI[Winter Items Other])</f>
        <v>0</v>
      </c>
      <c r="AJ847" s="436">
        <f>IF(NFI_Expiration=1,IF($A847&lt;VLOOKUP(M$5,NFI,5,0),1,0)*Table_NFI[[#This Row],[Winter Blanket]],Table_NFI[[#This Row],[Winter Blanket]])</f>
        <v>0</v>
      </c>
      <c r="AK847" s="436">
        <f>IF(Table_NFI[[#This Row],[Winter Clothes Adult]]+Table_NFI[[#This Row],[Winter Clothes Children]]+Table_NFI[[#This Row],[Winter Items Other]]+Table_NFI[[#This Row],[Winter Blanket]]&gt;0,1,0)</f>
        <v>0</v>
      </c>
      <c r="AL847" s="439">
        <f>IF(NFI_Expiration=1,IF($A847&lt;VLOOKUP(V$5,NFI,5,0),1,0)*Table_NFI[[#This Row],[Jerry Can]],Table_NFI[Jerry Can])</f>
        <v>0</v>
      </c>
      <c r="AM847" s="781" t="str">
        <f>IFERROR(VLOOKUP(Table_NFI[[#This Row],[Camp Name]],CL,2,0),"")</f>
        <v>MMR001CMP032</v>
      </c>
      <c r="AN847" s="782">
        <f ca="1">IF(Table_NFI[[#This Row],[Pcode]]="","",IF(OFFSET(CampList[Opening Date],MATCH(Table_NFI[[#This Row],[Pcode]],CampList[CP_Pcode],0)-1,0,1,1)&gt;=NFI_Monitor_Date,1,0))</f>
        <v>0</v>
      </c>
      <c r="AO847" s="781" t="str">
        <f>IFERROR(VLOOKUP(Table_NFI[[#This Row],[Camp Name]],CL,3,0),"")</f>
        <v>Open</v>
      </c>
      <c r="AP847" s="436" t="str">
        <f ca="1">IF(Table_NFI[[#This Row],[Pcode]]="","",OFFSET(CampList[Priority],MATCH(Table_NFI[[#This Row],[Pcode]],CampList[CP_Pcode],0)-1,0,1,1))</f>
        <v>P4</v>
      </c>
      <c r="AQ847" s="438">
        <f>IFERROR(Table_NFI[[#This Row],[Kitchen Set]]/VLOOKUP(Table_NFI[[#This Row],[Camp Name]],CL,4,0),"")</f>
        <v>8.5106382978723402E-2</v>
      </c>
      <c r="AR847" s="779" t="s">
        <v>1099</v>
      </c>
      <c r="AS847" s="783"/>
    </row>
    <row r="848" spans="1:45" x14ac:dyDescent="0.25">
      <c r="A848" s="455">
        <f t="shared" si="13"/>
        <v>44.466666666666669</v>
      </c>
      <c r="B848" s="778">
        <v>40975</v>
      </c>
      <c r="C848" s="779" t="s">
        <v>454</v>
      </c>
      <c r="D848" s="779" t="s">
        <v>454</v>
      </c>
      <c r="E848" s="779" t="s">
        <v>380</v>
      </c>
      <c r="F848" s="779" t="s">
        <v>310</v>
      </c>
      <c r="G848" s="435" t="s">
        <v>349</v>
      </c>
      <c r="H848" s="436"/>
      <c r="I848" s="436"/>
      <c r="J848" s="436"/>
      <c r="K848" s="436">
        <v>38</v>
      </c>
      <c r="L848" s="437">
        <v>18</v>
      </c>
      <c r="M848" s="437">
        <v>38</v>
      </c>
      <c r="N848" s="437">
        <v>17</v>
      </c>
      <c r="O848" s="437">
        <v>18</v>
      </c>
      <c r="P848" s="439">
        <v>18</v>
      </c>
      <c r="Q848" s="439">
        <v>18</v>
      </c>
      <c r="R848" s="436"/>
      <c r="S848" s="436"/>
      <c r="T848" s="436"/>
      <c r="U848" s="436"/>
      <c r="V848" s="436"/>
      <c r="W848" s="436">
        <f>IF(NFI_Expiration=1,IF($A848&lt;VLOOKUP(H$5,NFI,5,0),1,0)*Table_NFI[[#This Row],[Hygiene Kit]],Table_NFI[Hygiene Kit])</f>
        <v>0</v>
      </c>
      <c r="X848" s="436">
        <f>IF(NFI_Expiration=1,IF($A848&lt;VLOOKUP(I$5,NFI,5,0),1,0)*Table_NFI[[#This Row],[NFI Core Kit]],Table_NFI[NFI Core Kit])</f>
        <v>0</v>
      </c>
      <c r="Y848" s="436">
        <f>IF(NFI_Expiration=1,IF($A848&lt;VLOOKUP(J$5,NFI,5,0),1,0)*Table_NFI[[#This Row],[Sanitary Kit]],Table_NFI[Sanitary Kit])</f>
        <v>0</v>
      </c>
      <c r="Z848" s="436">
        <f>IF(NFI_Expiration=1,IF($A848&lt;VLOOKUP(K$5,NFI,5,0),1,0)*Table_NFI[[#This Row],[Mosquito net]],Table_NFI[Mosquito net])</f>
        <v>0</v>
      </c>
      <c r="AA848" s="436">
        <f>IF(NFI_Expiration=1,IF($A848&lt;VLOOKUP(L$5,NFI,5,0),1,0)*Table_NFI[[#This Row],[Tarpaulin]],Table_NFI[[#This Row],[Tarpaulin]])</f>
        <v>0</v>
      </c>
      <c r="AB848" s="436">
        <f>IF(NFI_Expiration=1,IF($A848&lt;VLOOKUP(M$5,NFI,5,0),1,0)*Table_NFI[[#This Row],[Blanket]],Table_NFI[[#This Row],[Blanket]])</f>
        <v>0</v>
      </c>
      <c r="AC848" s="436">
        <f>IF(NFI_Expiration=1,IF($A848&lt;VLOOKUP(N$5,NFI,5,0),1,0)*Table_NFI[[#This Row],[Kitchen Set]],Table_NFI[Kitchen Set])</f>
        <v>0</v>
      </c>
      <c r="AD848" s="436">
        <f>IF(NFI_Expiration=1,IF($A848&lt;VLOOKUP(O$5,NFI,5,0),1,0)*Table_NFI[[#This Row],[Clothes Kit]],Table_NFI[Clothes Kit])</f>
        <v>0</v>
      </c>
      <c r="AE848" s="436">
        <f>IF(NFI_Expiration=1,IF($A848&lt;VLOOKUP(P$5,NFI,5,0),1,0)*Table_NFI[[#This Row],[Plastic Bucket]],Table_NFI[Plastic Bucket])</f>
        <v>0</v>
      </c>
      <c r="AF848" s="436">
        <f>IF(NFI_Expiration=1,IF($A848&lt;VLOOKUP(Q$5,NFI,5,0),1,0)*Table_NFI[[#This Row],[Plastic Mat]],Table_NFI[Plastic Mat])*IF(Table_NFI[[#This Row],[Distribution Date]]&gt;"2014-04-01",1,2.5)</f>
        <v>0</v>
      </c>
      <c r="AG848" s="436">
        <f>IF(NFI_Expiration=1,IF($A848&lt;VLOOKUP(R$5,NFI,5,0),1,0)*Table_NFI[[#This Row],[Winter Clothes Adult]],Table_NFI[Winter Clothes Adult])</f>
        <v>0</v>
      </c>
      <c r="AH848" s="436">
        <f>IF(NFI_Expiration=1,IF($A848&lt;VLOOKUP(S$5,NFI,5,0),1,0)*Table_NFI[[#This Row],[Winter Clothes Children]],Table_NFI[Winter Clothes Children])</f>
        <v>0</v>
      </c>
      <c r="AI848" s="436">
        <f>IF(NFI_Expiration=1,IF($A848&lt;VLOOKUP(T$5,NFI,5,0),1,0)*Table_NFI[[#This Row],[Winter Items Other]],Table_NFI[Winter Items Other])</f>
        <v>0</v>
      </c>
      <c r="AJ848" s="436">
        <f>IF(NFI_Expiration=1,IF($A848&lt;VLOOKUP(M$5,NFI,5,0),1,0)*Table_NFI[[#This Row],[Winter Blanket]],Table_NFI[[#This Row],[Winter Blanket]])</f>
        <v>0</v>
      </c>
      <c r="AK848" s="436">
        <f>IF(Table_NFI[[#This Row],[Winter Clothes Adult]]+Table_NFI[[#This Row],[Winter Clothes Children]]+Table_NFI[[#This Row],[Winter Items Other]]+Table_NFI[[#This Row],[Winter Blanket]]&gt;0,1,0)</f>
        <v>0</v>
      </c>
      <c r="AL848" s="439">
        <f>IF(NFI_Expiration=1,IF($A848&lt;VLOOKUP(V$5,NFI,5,0),1,0)*Table_NFI[[#This Row],[Jerry Can]],Table_NFI[Jerry Can])</f>
        <v>0</v>
      </c>
      <c r="AM848" s="781" t="str">
        <f>IFERROR(VLOOKUP(Table_NFI[[#This Row],[Camp Name]],CL,2,0),"")</f>
        <v>MMR001CMP037</v>
      </c>
      <c r="AN848" s="782">
        <f ca="1">IF(Table_NFI[[#This Row],[Pcode]]="","",IF(OFFSET(CampList[Opening Date],MATCH(Table_NFI[[#This Row],[Pcode]],CampList[CP_Pcode],0)-1,0,1,1)&gt;=NFI_Monitor_Date,1,0))</f>
        <v>0</v>
      </c>
      <c r="AO848" s="781" t="str">
        <f>IFERROR(VLOOKUP(Table_NFI[[#This Row],[Camp Name]],CL,3,0),"")</f>
        <v>Open</v>
      </c>
      <c r="AP848" s="436" t="str">
        <f ca="1">IF(Table_NFI[[#This Row],[Pcode]]="","",OFFSET(CampList[Priority],MATCH(Table_NFI[[#This Row],[Pcode]],CampList[CP_Pcode],0)-1,0,1,1))</f>
        <v>P4</v>
      </c>
      <c r="AQ848" s="438">
        <f>IFERROR(Table_NFI[[#This Row],[Kitchen Set]]/VLOOKUP(Table_NFI[[#This Row],[Camp Name]],CL,4,0),"")</f>
        <v>0.40476190476190477</v>
      </c>
      <c r="AR848" s="779" t="s">
        <v>1099</v>
      </c>
      <c r="AS848" s="783"/>
    </row>
    <row r="849" spans="1:45" x14ac:dyDescent="0.25">
      <c r="A849" s="455">
        <f t="shared" si="13"/>
        <v>44.766666666666666</v>
      </c>
      <c r="B849" s="778">
        <v>40966</v>
      </c>
      <c r="C849" s="779" t="s">
        <v>454</v>
      </c>
      <c r="D849" s="780" t="s">
        <v>909</v>
      </c>
      <c r="E849" s="779" t="s">
        <v>380</v>
      </c>
      <c r="F849" s="435" t="s">
        <v>237</v>
      </c>
      <c r="G849" s="435" t="s">
        <v>283</v>
      </c>
      <c r="H849" s="436"/>
      <c r="I849" s="436"/>
      <c r="J849" s="436"/>
      <c r="K849" s="436">
        <v>34</v>
      </c>
      <c r="L849" s="437">
        <v>0</v>
      </c>
      <c r="M849" s="437">
        <v>34</v>
      </c>
      <c r="N849" s="437">
        <v>0</v>
      </c>
      <c r="O849" s="437">
        <v>34</v>
      </c>
      <c r="P849" s="437">
        <v>34</v>
      </c>
      <c r="Q849" s="437">
        <v>34</v>
      </c>
      <c r="R849" s="436"/>
      <c r="S849" s="436"/>
      <c r="T849" s="436"/>
      <c r="U849" s="436"/>
      <c r="V849" s="436"/>
      <c r="W849" s="436">
        <f>IF(NFI_Expiration=1,IF($A849&lt;VLOOKUP(H$5,NFI,5,0),1,0)*Table_NFI[[#This Row],[Hygiene Kit]],Table_NFI[Hygiene Kit])</f>
        <v>0</v>
      </c>
      <c r="X849" s="436">
        <f>IF(NFI_Expiration=1,IF($A849&lt;VLOOKUP(I$5,NFI,5,0),1,0)*Table_NFI[[#This Row],[NFI Core Kit]],Table_NFI[NFI Core Kit])</f>
        <v>0</v>
      </c>
      <c r="Y849" s="436">
        <f>IF(NFI_Expiration=1,IF($A849&lt;VLOOKUP(J$5,NFI,5,0),1,0)*Table_NFI[[#This Row],[Sanitary Kit]],Table_NFI[Sanitary Kit])</f>
        <v>0</v>
      </c>
      <c r="Z849" s="436">
        <f>IF(NFI_Expiration=1,IF($A849&lt;VLOOKUP(K$5,NFI,5,0),1,0)*Table_NFI[[#This Row],[Mosquito net]],Table_NFI[Mosquito net])</f>
        <v>0</v>
      </c>
      <c r="AA849" s="436">
        <f>IF(NFI_Expiration=1,IF($A849&lt;VLOOKUP(L$5,NFI,5,0),1,0)*Table_NFI[[#This Row],[Tarpaulin]],Table_NFI[[#This Row],[Tarpaulin]])</f>
        <v>0</v>
      </c>
      <c r="AB849" s="436">
        <f>IF(NFI_Expiration=1,IF($A849&lt;VLOOKUP(M$5,NFI,5,0),1,0)*Table_NFI[[#This Row],[Blanket]],Table_NFI[[#This Row],[Blanket]])</f>
        <v>0</v>
      </c>
      <c r="AC849" s="436">
        <f>IF(NFI_Expiration=1,IF($A849&lt;VLOOKUP(N$5,NFI,5,0),1,0)*Table_NFI[[#This Row],[Kitchen Set]],Table_NFI[Kitchen Set])</f>
        <v>0</v>
      </c>
      <c r="AD849" s="436">
        <f>IF(NFI_Expiration=1,IF($A849&lt;VLOOKUP(O$5,NFI,5,0),1,0)*Table_NFI[[#This Row],[Clothes Kit]],Table_NFI[Clothes Kit])</f>
        <v>0</v>
      </c>
      <c r="AE849" s="436">
        <f>IF(NFI_Expiration=1,IF($A849&lt;VLOOKUP(P$5,NFI,5,0),1,0)*Table_NFI[[#This Row],[Plastic Bucket]],Table_NFI[Plastic Bucket])</f>
        <v>0</v>
      </c>
      <c r="AF849" s="436">
        <f>IF(NFI_Expiration=1,IF($A849&lt;VLOOKUP(Q$5,NFI,5,0),1,0)*Table_NFI[[#This Row],[Plastic Mat]],Table_NFI[Plastic Mat])*IF(Table_NFI[[#This Row],[Distribution Date]]&gt;"2014-04-01",1,2.5)</f>
        <v>0</v>
      </c>
      <c r="AG849" s="436">
        <f>IF(NFI_Expiration=1,IF($A849&lt;VLOOKUP(R$5,NFI,5,0),1,0)*Table_NFI[[#This Row],[Winter Clothes Adult]],Table_NFI[Winter Clothes Adult])</f>
        <v>0</v>
      </c>
      <c r="AH849" s="436">
        <f>IF(NFI_Expiration=1,IF($A849&lt;VLOOKUP(S$5,NFI,5,0),1,0)*Table_NFI[[#This Row],[Winter Clothes Children]],Table_NFI[Winter Clothes Children])</f>
        <v>0</v>
      </c>
      <c r="AI849" s="436">
        <f>IF(NFI_Expiration=1,IF($A849&lt;VLOOKUP(T$5,NFI,5,0),1,0)*Table_NFI[[#This Row],[Winter Items Other]],Table_NFI[Winter Items Other])</f>
        <v>0</v>
      </c>
      <c r="AJ849" s="436">
        <f>IF(NFI_Expiration=1,IF($A849&lt;VLOOKUP(M$5,NFI,5,0),1,0)*Table_NFI[[#This Row],[Winter Blanket]],Table_NFI[[#This Row],[Winter Blanket]])</f>
        <v>0</v>
      </c>
      <c r="AK849" s="436">
        <f>IF(Table_NFI[[#This Row],[Winter Clothes Adult]]+Table_NFI[[#This Row],[Winter Clothes Children]]+Table_NFI[[#This Row],[Winter Items Other]]+Table_NFI[[#This Row],[Winter Blanket]]&gt;0,1,0)</f>
        <v>0</v>
      </c>
      <c r="AL849" s="439">
        <f>IF(NFI_Expiration=1,IF($A849&lt;VLOOKUP(V$5,NFI,5,0),1,0)*Table_NFI[[#This Row],[Jerry Can]],Table_NFI[Jerry Can])</f>
        <v>0</v>
      </c>
      <c r="AM849" s="781" t="str">
        <f>IFERROR(VLOOKUP(Table_NFI[[#This Row],[Camp Name]],CL,2,0),"")</f>
        <v>MMR001CMP022</v>
      </c>
      <c r="AN849" s="782">
        <f ca="1">IF(Table_NFI[[#This Row],[Pcode]]="","",IF(OFFSET(CampList[Opening Date],MATCH(Table_NFI[[#This Row],[Pcode]],CampList[CP_Pcode],0)-1,0,1,1)&gt;=NFI_Monitor_Date,1,0))</f>
        <v>0</v>
      </c>
      <c r="AO849" s="781" t="str">
        <f>IFERROR(VLOOKUP(Table_NFI[[#This Row],[Camp Name]],CL,3,0),"")</f>
        <v>Open</v>
      </c>
      <c r="AP849" s="436" t="str">
        <f ca="1">IF(Table_NFI[[#This Row],[Pcode]]="","",OFFSET(CampList[Priority],MATCH(Table_NFI[[#This Row],[Pcode]],CampList[CP_Pcode],0)-1,0,1,1))</f>
        <v>P4</v>
      </c>
      <c r="AQ849" s="438">
        <f>IFERROR(Table_NFI[[#This Row],[Kitchen Set]]/VLOOKUP(Table_NFI[[#This Row],[Camp Name]],CL,4,0),"")</f>
        <v>0</v>
      </c>
      <c r="AR849" s="779" t="s">
        <v>1099</v>
      </c>
      <c r="AS849" s="783"/>
    </row>
    <row r="850" spans="1:45" x14ac:dyDescent="0.25">
      <c r="A850" s="455">
        <f t="shared" si="13"/>
        <v>44.8</v>
      </c>
      <c r="B850" s="778">
        <v>40965</v>
      </c>
      <c r="C850" s="779" t="s">
        <v>454</v>
      </c>
      <c r="D850" s="779" t="s">
        <v>454</v>
      </c>
      <c r="E850" s="779" t="s">
        <v>380</v>
      </c>
      <c r="F850" s="779" t="s">
        <v>237</v>
      </c>
      <c r="G850" s="435" t="s">
        <v>923</v>
      </c>
      <c r="H850" s="436"/>
      <c r="I850" s="436"/>
      <c r="J850" s="436"/>
      <c r="K850" s="436">
        <v>25</v>
      </c>
      <c r="L850" s="437">
        <v>18</v>
      </c>
      <c r="M850" s="437">
        <v>25</v>
      </c>
      <c r="N850" s="437">
        <v>18</v>
      </c>
      <c r="O850" s="437">
        <v>18</v>
      </c>
      <c r="P850" s="437">
        <v>18</v>
      </c>
      <c r="Q850" s="437">
        <v>18</v>
      </c>
      <c r="R850" s="436"/>
      <c r="S850" s="436"/>
      <c r="T850" s="436"/>
      <c r="U850" s="436"/>
      <c r="V850" s="436"/>
      <c r="W850" s="436">
        <f>IF(NFI_Expiration=1,IF($A850&lt;VLOOKUP(H$5,NFI,5,0),1,0)*Table_NFI[[#This Row],[Hygiene Kit]],Table_NFI[Hygiene Kit])</f>
        <v>0</v>
      </c>
      <c r="X850" s="436">
        <f>IF(NFI_Expiration=1,IF($A850&lt;VLOOKUP(I$5,NFI,5,0),1,0)*Table_NFI[[#This Row],[NFI Core Kit]],Table_NFI[NFI Core Kit])</f>
        <v>0</v>
      </c>
      <c r="Y850" s="436">
        <f>IF(NFI_Expiration=1,IF($A850&lt;VLOOKUP(J$5,NFI,5,0),1,0)*Table_NFI[[#This Row],[Sanitary Kit]],Table_NFI[Sanitary Kit])</f>
        <v>0</v>
      </c>
      <c r="Z850" s="436">
        <f>IF(NFI_Expiration=1,IF($A850&lt;VLOOKUP(K$5,NFI,5,0),1,0)*Table_NFI[[#This Row],[Mosquito net]],Table_NFI[Mosquito net])</f>
        <v>0</v>
      </c>
      <c r="AA850" s="436">
        <f>IF(NFI_Expiration=1,IF($A850&lt;VLOOKUP(L$5,NFI,5,0),1,0)*Table_NFI[[#This Row],[Tarpaulin]],Table_NFI[[#This Row],[Tarpaulin]])</f>
        <v>0</v>
      </c>
      <c r="AB850" s="436">
        <f>IF(NFI_Expiration=1,IF($A850&lt;VLOOKUP(M$5,NFI,5,0),1,0)*Table_NFI[[#This Row],[Blanket]],Table_NFI[[#This Row],[Blanket]])</f>
        <v>0</v>
      </c>
      <c r="AC850" s="436">
        <f>IF(NFI_Expiration=1,IF($A850&lt;VLOOKUP(N$5,NFI,5,0),1,0)*Table_NFI[[#This Row],[Kitchen Set]],Table_NFI[Kitchen Set])</f>
        <v>0</v>
      </c>
      <c r="AD850" s="436">
        <f>IF(NFI_Expiration=1,IF($A850&lt;VLOOKUP(O$5,NFI,5,0),1,0)*Table_NFI[[#This Row],[Clothes Kit]],Table_NFI[Clothes Kit])</f>
        <v>0</v>
      </c>
      <c r="AE850" s="436">
        <f>IF(NFI_Expiration=1,IF($A850&lt;VLOOKUP(P$5,NFI,5,0),1,0)*Table_NFI[[#This Row],[Plastic Bucket]],Table_NFI[Plastic Bucket])</f>
        <v>0</v>
      </c>
      <c r="AF850" s="436">
        <f>IF(NFI_Expiration=1,IF($A850&lt;VLOOKUP(Q$5,NFI,5,0),1,0)*Table_NFI[[#This Row],[Plastic Mat]],Table_NFI[Plastic Mat])*IF(Table_NFI[[#This Row],[Distribution Date]]&gt;"2014-04-01",1,2.5)</f>
        <v>0</v>
      </c>
      <c r="AG850" s="436">
        <f>IF(NFI_Expiration=1,IF($A850&lt;VLOOKUP(R$5,NFI,5,0),1,0)*Table_NFI[[#This Row],[Winter Clothes Adult]],Table_NFI[Winter Clothes Adult])</f>
        <v>0</v>
      </c>
      <c r="AH850" s="436">
        <f>IF(NFI_Expiration=1,IF($A850&lt;VLOOKUP(S$5,NFI,5,0),1,0)*Table_NFI[[#This Row],[Winter Clothes Children]],Table_NFI[Winter Clothes Children])</f>
        <v>0</v>
      </c>
      <c r="AI850" s="436">
        <f>IF(NFI_Expiration=1,IF($A850&lt;VLOOKUP(T$5,NFI,5,0),1,0)*Table_NFI[[#This Row],[Winter Items Other]],Table_NFI[Winter Items Other])</f>
        <v>0</v>
      </c>
      <c r="AJ850" s="436">
        <f>IF(NFI_Expiration=1,IF($A850&lt;VLOOKUP(M$5,NFI,5,0),1,0)*Table_NFI[[#This Row],[Winter Blanket]],Table_NFI[[#This Row],[Winter Blanket]])</f>
        <v>0</v>
      </c>
      <c r="AK850" s="436">
        <f>IF(Table_NFI[[#This Row],[Winter Clothes Adult]]+Table_NFI[[#This Row],[Winter Clothes Children]]+Table_NFI[[#This Row],[Winter Items Other]]+Table_NFI[[#This Row],[Winter Blanket]]&gt;0,1,0)</f>
        <v>0</v>
      </c>
      <c r="AL850" s="439">
        <f>IF(NFI_Expiration=1,IF($A850&lt;VLOOKUP(V$5,NFI,5,0),1,0)*Table_NFI[[#This Row],[Jerry Can]],Table_NFI[Jerry Can])</f>
        <v>0</v>
      </c>
      <c r="AM850" s="781" t="str">
        <f>IFERROR(VLOOKUP(Table_NFI[[#This Row],[Camp Name]],CL,2,0),"")</f>
        <v/>
      </c>
      <c r="AN850" s="782" t="str">
        <f ca="1">IF(Table_NFI[[#This Row],[Pcode]]="","",IF(OFFSET(CampList[Opening Date],MATCH(Table_NFI[[#This Row],[Pcode]],CampList[CP_Pcode],0)-1,0,1,1)&gt;=NFI_Monitor_Date,1,0))</f>
        <v/>
      </c>
      <c r="AO850" s="781" t="str">
        <f>IFERROR(VLOOKUP(Table_NFI[[#This Row],[Camp Name]],CL,3,0),"")</f>
        <v/>
      </c>
      <c r="AP850" s="436" t="str">
        <f ca="1">IF(Table_NFI[[#This Row],[Pcode]]="","",OFFSET(CampList[Priority],MATCH(Table_NFI[[#This Row],[Pcode]],CampList[CP_Pcode],0)-1,0,1,1))</f>
        <v/>
      </c>
      <c r="AQ850" s="438" t="str">
        <f>IFERROR(Table_NFI[[#This Row],[Kitchen Set]]/VLOOKUP(Table_NFI[[#This Row],[Camp Name]],CL,4,0),"")</f>
        <v/>
      </c>
      <c r="AR850" s="779" t="s">
        <v>1099</v>
      </c>
      <c r="AS850" s="783" t="s">
        <v>1177</v>
      </c>
    </row>
    <row r="851" spans="1:45" x14ac:dyDescent="0.25">
      <c r="A851" s="455">
        <f t="shared" si="13"/>
        <v>44.8</v>
      </c>
      <c r="B851" s="778">
        <v>40965</v>
      </c>
      <c r="C851" s="779" t="s">
        <v>454</v>
      </c>
      <c r="D851" s="779" t="s">
        <v>909</v>
      </c>
      <c r="E851" s="779" t="s">
        <v>380</v>
      </c>
      <c r="F851" s="435" t="s">
        <v>237</v>
      </c>
      <c r="G851" s="435" t="s">
        <v>924</v>
      </c>
      <c r="H851" s="436"/>
      <c r="I851" s="436"/>
      <c r="J851" s="436"/>
      <c r="K851" s="436">
        <v>25</v>
      </c>
      <c r="L851" s="437">
        <v>0</v>
      </c>
      <c r="M851" s="437">
        <v>25</v>
      </c>
      <c r="N851" s="437">
        <v>0</v>
      </c>
      <c r="O851" s="437">
        <v>10</v>
      </c>
      <c r="P851" s="439">
        <v>10</v>
      </c>
      <c r="Q851" s="439">
        <v>10</v>
      </c>
      <c r="R851" s="436"/>
      <c r="S851" s="436"/>
      <c r="T851" s="436"/>
      <c r="U851" s="436"/>
      <c r="V851" s="436"/>
      <c r="W851" s="436">
        <f>IF(NFI_Expiration=1,IF($A851&lt;VLOOKUP(H$5,NFI,5,0),1,0)*Table_NFI[[#This Row],[Hygiene Kit]],Table_NFI[Hygiene Kit])</f>
        <v>0</v>
      </c>
      <c r="X851" s="436">
        <f>IF(NFI_Expiration=1,IF($A851&lt;VLOOKUP(I$5,NFI,5,0),1,0)*Table_NFI[[#This Row],[NFI Core Kit]],Table_NFI[NFI Core Kit])</f>
        <v>0</v>
      </c>
      <c r="Y851" s="436">
        <f>IF(NFI_Expiration=1,IF($A851&lt;VLOOKUP(J$5,NFI,5,0),1,0)*Table_NFI[[#This Row],[Sanitary Kit]],Table_NFI[Sanitary Kit])</f>
        <v>0</v>
      </c>
      <c r="Z851" s="436">
        <f>IF(NFI_Expiration=1,IF($A851&lt;VLOOKUP(K$5,NFI,5,0),1,0)*Table_NFI[[#This Row],[Mosquito net]],Table_NFI[Mosquito net])</f>
        <v>0</v>
      </c>
      <c r="AA851" s="436">
        <f>IF(NFI_Expiration=1,IF($A851&lt;VLOOKUP(L$5,NFI,5,0),1,0)*Table_NFI[[#This Row],[Tarpaulin]],Table_NFI[[#This Row],[Tarpaulin]])</f>
        <v>0</v>
      </c>
      <c r="AB851" s="436">
        <f>IF(NFI_Expiration=1,IF($A851&lt;VLOOKUP(M$5,NFI,5,0),1,0)*Table_NFI[[#This Row],[Blanket]],Table_NFI[[#This Row],[Blanket]])</f>
        <v>0</v>
      </c>
      <c r="AC851" s="436">
        <f>IF(NFI_Expiration=1,IF($A851&lt;VLOOKUP(N$5,NFI,5,0),1,0)*Table_NFI[[#This Row],[Kitchen Set]],Table_NFI[Kitchen Set])</f>
        <v>0</v>
      </c>
      <c r="AD851" s="436">
        <f>IF(NFI_Expiration=1,IF($A851&lt;VLOOKUP(O$5,NFI,5,0),1,0)*Table_NFI[[#This Row],[Clothes Kit]],Table_NFI[Clothes Kit])</f>
        <v>0</v>
      </c>
      <c r="AE851" s="436">
        <f>IF(NFI_Expiration=1,IF($A851&lt;VLOOKUP(P$5,NFI,5,0),1,0)*Table_NFI[[#This Row],[Plastic Bucket]],Table_NFI[Plastic Bucket])</f>
        <v>0</v>
      </c>
      <c r="AF851" s="436">
        <f>IF(NFI_Expiration=1,IF($A851&lt;VLOOKUP(Q$5,NFI,5,0),1,0)*Table_NFI[[#This Row],[Plastic Mat]],Table_NFI[Plastic Mat])*IF(Table_NFI[[#This Row],[Distribution Date]]&gt;"2014-04-01",1,2.5)</f>
        <v>0</v>
      </c>
      <c r="AG851" s="436">
        <f>IF(NFI_Expiration=1,IF($A851&lt;VLOOKUP(R$5,NFI,5,0),1,0)*Table_NFI[[#This Row],[Winter Clothes Adult]],Table_NFI[Winter Clothes Adult])</f>
        <v>0</v>
      </c>
      <c r="AH851" s="436">
        <f>IF(NFI_Expiration=1,IF($A851&lt;VLOOKUP(S$5,NFI,5,0),1,0)*Table_NFI[[#This Row],[Winter Clothes Children]],Table_NFI[Winter Clothes Children])</f>
        <v>0</v>
      </c>
      <c r="AI851" s="436">
        <f>IF(NFI_Expiration=1,IF($A851&lt;VLOOKUP(T$5,NFI,5,0),1,0)*Table_NFI[[#This Row],[Winter Items Other]],Table_NFI[Winter Items Other])</f>
        <v>0</v>
      </c>
      <c r="AJ851" s="436">
        <f>IF(NFI_Expiration=1,IF($A851&lt;VLOOKUP(M$5,NFI,5,0),1,0)*Table_NFI[[#This Row],[Winter Blanket]],Table_NFI[[#This Row],[Winter Blanket]])</f>
        <v>0</v>
      </c>
      <c r="AK851" s="436">
        <f>IF(Table_NFI[[#This Row],[Winter Clothes Adult]]+Table_NFI[[#This Row],[Winter Clothes Children]]+Table_NFI[[#This Row],[Winter Items Other]]+Table_NFI[[#This Row],[Winter Blanket]]&gt;0,1,0)</f>
        <v>0</v>
      </c>
      <c r="AL851" s="439">
        <f>IF(NFI_Expiration=1,IF($A851&lt;VLOOKUP(V$5,NFI,5,0),1,0)*Table_NFI[[#This Row],[Jerry Can]],Table_NFI[Jerry Can])</f>
        <v>0</v>
      </c>
      <c r="AM851" s="781" t="str">
        <f>IFERROR(VLOOKUP(Table_NFI[[#This Row],[Camp Name]],CL,2,0),"")</f>
        <v/>
      </c>
      <c r="AN851" s="782" t="str">
        <f ca="1">IF(Table_NFI[[#This Row],[Pcode]]="","",IF(OFFSET(CampList[Opening Date],MATCH(Table_NFI[[#This Row],[Pcode]],CampList[CP_Pcode],0)-1,0,1,1)&gt;=NFI_Monitor_Date,1,0))</f>
        <v/>
      </c>
      <c r="AO851" s="781" t="str">
        <f>IFERROR(VLOOKUP(Table_NFI[[#This Row],[Camp Name]],CL,3,0),"")</f>
        <v/>
      </c>
      <c r="AP851" s="436" t="str">
        <f ca="1">IF(Table_NFI[[#This Row],[Pcode]]="","",OFFSET(CampList[Priority],MATCH(Table_NFI[[#This Row],[Pcode]],CampList[CP_Pcode],0)-1,0,1,1))</f>
        <v/>
      </c>
      <c r="AQ851" s="438" t="str">
        <f>IFERROR(Table_NFI[[#This Row],[Kitchen Set]]/VLOOKUP(Table_NFI[[#This Row],[Camp Name]],CL,4,0),"")</f>
        <v/>
      </c>
      <c r="AR851" s="779" t="s">
        <v>1099</v>
      </c>
      <c r="AS851" s="783"/>
    </row>
    <row r="852" spans="1:45" x14ac:dyDescent="0.25">
      <c r="A852" s="455">
        <f t="shared" si="13"/>
        <v>45.43333333333333</v>
      </c>
      <c r="B852" s="778">
        <v>40946</v>
      </c>
      <c r="C852" s="779" t="s">
        <v>454</v>
      </c>
      <c r="D852" s="780" t="s">
        <v>909</v>
      </c>
      <c r="E852" s="779" t="s">
        <v>380</v>
      </c>
      <c r="F852" s="435" t="s">
        <v>237</v>
      </c>
      <c r="G852" s="435" t="s">
        <v>263</v>
      </c>
      <c r="H852" s="436"/>
      <c r="I852" s="436"/>
      <c r="J852" s="436"/>
      <c r="K852" s="436">
        <v>38</v>
      </c>
      <c r="L852" s="437">
        <v>18</v>
      </c>
      <c r="M852" s="437">
        <v>38</v>
      </c>
      <c r="N852" s="437">
        <v>18</v>
      </c>
      <c r="O852" s="437">
        <v>18</v>
      </c>
      <c r="P852" s="437">
        <v>18</v>
      </c>
      <c r="Q852" s="437">
        <v>18</v>
      </c>
      <c r="R852" s="436"/>
      <c r="S852" s="436"/>
      <c r="T852" s="436"/>
      <c r="U852" s="436"/>
      <c r="V852" s="436"/>
      <c r="W852" s="436">
        <f>IF(NFI_Expiration=1,IF($A852&lt;VLOOKUP(H$5,NFI,5,0),1,0)*Table_NFI[[#This Row],[Hygiene Kit]],Table_NFI[Hygiene Kit])</f>
        <v>0</v>
      </c>
      <c r="X852" s="436">
        <f>IF(NFI_Expiration=1,IF($A852&lt;VLOOKUP(I$5,NFI,5,0),1,0)*Table_NFI[[#This Row],[NFI Core Kit]],Table_NFI[NFI Core Kit])</f>
        <v>0</v>
      </c>
      <c r="Y852" s="436">
        <f>IF(NFI_Expiration=1,IF($A852&lt;VLOOKUP(J$5,NFI,5,0),1,0)*Table_NFI[[#This Row],[Sanitary Kit]],Table_NFI[Sanitary Kit])</f>
        <v>0</v>
      </c>
      <c r="Z852" s="436">
        <f>IF(NFI_Expiration=1,IF($A852&lt;VLOOKUP(K$5,NFI,5,0),1,0)*Table_NFI[[#This Row],[Mosquito net]],Table_NFI[Mosquito net])</f>
        <v>0</v>
      </c>
      <c r="AA852" s="436">
        <f>IF(NFI_Expiration=1,IF($A852&lt;VLOOKUP(L$5,NFI,5,0),1,0)*Table_NFI[[#This Row],[Tarpaulin]],Table_NFI[[#This Row],[Tarpaulin]])</f>
        <v>0</v>
      </c>
      <c r="AB852" s="436">
        <f>IF(NFI_Expiration=1,IF($A852&lt;VLOOKUP(M$5,NFI,5,0),1,0)*Table_NFI[[#This Row],[Blanket]],Table_NFI[[#This Row],[Blanket]])</f>
        <v>0</v>
      </c>
      <c r="AC852" s="436">
        <f>IF(NFI_Expiration=1,IF($A852&lt;VLOOKUP(N$5,NFI,5,0),1,0)*Table_NFI[[#This Row],[Kitchen Set]],Table_NFI[Kitchen Set])</f>
        <v>0</v>
      </c>
      <c r="AD852" s="436">
        <f>IF(NFI_Expiration=1,IF($A852&lt;VLOOKUP(O$5,NFI,5,0),1,0)*Table_NFI[[#This Row],[Clothes Kit]],Table_NFI[Clothes Kit])</f>
        <v>0</v>
      </c>
      <c r="AE852" s="436">
        <f>IF(NFI_Expiration=1,IF($A852&lt;VLOOKUP(P$5,NFI,5,0),1,0)*Table_NFI[[#This Row],[Plastic Bucket]],Table_NFI[Plastic Bucket])</f>
        <v>0</v>
      </c>
      <c r="AF852" s="436">
        <f>IF(NFI_Expiration=1,IF($A852&lt;VLOOKUP(Q$5,NFI,5,0),1,0)*Table_NFI[[#This Row],[Plastic Mat]],Table_NFI[Plastic Mat])*IF(Table_NFI[[#This Row],[Distribution Date]]&gt;"2014-04-01",1,2.5)</f>
        <v>0</v>
      </c>
      <c r="AG852" s="436">
        <f>IF(NFI_Expiration=1,IF($A852&lt;VLOOKUP(R$5,NFI,5,0),1,0)*Table_NFI[[#This Row],[Winter Clothes Adult]],Table_NFI[Winter Clothes Adult])</f>
        <v>0</v>
      </c>
      <c r="AH852" s="436">
        <f>IF(NFI_Expiration=1,IF($A852&lt;VLOOKUP(S$5,NFI,5,0),1,0)*Table_NFI[[#This Row],[Winter Clothes Children]],Table_NFI[Winter Clothes Children])</f>
        <v>0</v>
      </c>
      <c r="AI852" s="436">
        <f>IF(NFI_Expiration=1,IF($A852&lt;VLOOKUP(T$5,NFI,5,0),1,0)*Table_NFI[[#This Row],[Winter Items Other]],Table_NFI[Winter Items Other])</f>
        <v>0</v>
      </c>
      <c r="AJ852" s="436">
        <f>IF(NFI_Expiration=1,IF($A852&lt;VLOOKUP(M$5,NFI,5,0),1,0)*Table_NFI[[#This Row],[Winter Blanket]],Table_NFI[[#This Row],[Winter Blanket]])</f>
        <v>0</v>
      </c>
      <c r="AK852" s="436">
        <f>IF(Table_NFI[[#This Row],[Winter Clothes Adult]]+Table_NFI[[#This Row],[Winter Clothes Children]]+Table_NFI[[#This Row],[Winter Items Other]]+Table_NFI[[#This Row],[Winter Blanket]]&gt;0,1,0)</f>
        <v>0</v>
      </c>
      <c r="AL852" s="439">
        <f>IF(NFI_Expiration=1,IF($A852&lt;VLOOKUP(V$5,NFI,5,0),1,0)*Table_NFI[[#This Row],[Jerry Can]],Table_NFI[Jerry Can])</f>
        <v>0</v>
      </c>
      <c r="AM852" s="781" t="str">
        <f>IFERROR(VLOOKUP(Table_NFI[[#This Row],[Camp Name]],CL,2,0),"")</f>
        <v>MMR001CMP020</v>
      </c>
      <c r="AN852" s="782">
        <f ca="1">IF(Table_NFI[[#This Row],[Pcode]]="","",IF(OFFSET(CampList[Opening Date],MATCH(Table_NFI[[#This Row],[Pcode]],CampList[CP_Pcode],0)-1,0,1,1)&gt;=NFI_Monitor_Date,1,0))</f>
        <v>0</v>
      </c>
      <c r="AO852" s="781" t="str">
        <f>IFERROR(VLOOKUP(Table_NFI[[#This Row],[Camp Name]],CL,3,0),"")</f>
        <v>Open</v>
      </c>
      <c r="AP852" s="436" t="str">
        <f ca="1">IF(Table_NFI[[#This Row],[Pcode]]="","",OFFSET(CampList[Priority],MATCH(Table_NFI[[#This Row],[Pcode]],CampList[CP_Pcode],0)-1,0,1,1))</f>
        <v>P4</v>
      </c>
      <c r="AQ852" s="438">
        <f>IFERROR(Table_NFI[[#This Row],[Kitchen Set]]/VLOOKUP(Table_NFI[[#This Row],[Camp Name]],CL,4,0),"")</f>
        <v>0.81818181818181823</v>
      </c>
      <c r="AR852" s="779" t="s">
        <v>1099</v>
      </c>
      <c r="AS852" s="783"/>
    </row>
    <row r="853" spans="1:45" x14ac:dyDescent="0.25">
      <c r="A853" s="455">
        <f t="shared" si="13"/>
        <v>45.466666666666669</v>
      </c>
      <c r="B853" s="778">
        <v>40945</v>
      </c>
      <c r="C853" s="779" t="s">
        <v>454</v>
      </c>
      <c r="D853" s="780" t="s">
        <v>454</v>
      </c>
      <c r="E853" s="779" t="s">
        <v>380</v>
      </c>
      <c r="F853" s="435" t="s">
        <v>310</v>
      </c>
      <c r="G853" s="435" t="s">
        <v>351</v>
      </c>
      <c r="H853" s="436"/>
      <c r="I853" s="436"/>
      <c r="J853" s="436"/>
      <c r="K853" s="436">
        <v>0</v>
      </c>
      <c r="L853" s="437">
        <v>0</v>
      </c>
      <c r="M853" s="437">
        <v>0</v>
      </c>
      <c r="N853" s="437">
        <v>0</v>
      </c>
      <c r="O853" s="437">
        <v>13</v>
      </c>
      <c r="P853" s="437">
        <v>13</v>
      </c>
      <c r="Q853" s="437">
        <v>13</v>
      </c>
      <c r="R853" s="436"/>
      <c r="S853" s="436"/>
      <c r="T853" s="436"/>
      <c r="U853" s="436"/>
      <c r="V853" s="436"/>
      <c r="W853" s="436">
        <f>IF(NFI_Expiration=1,IF($A853&lt;VLOOKUP(H$5,NFI,5,0),1,0)*Table_NFI[[#This Row],[Hygiene Kit]],Table_NFI[Hygiene Kit])</f>
        <v>0</v>
      </c>
      <c r="X853" s="436">
        <f>IF(NFI_Expiration=1,IF($A853&lt;VLOOKUP(I$5,NFI,5,0),1,0)*Table_NFI[[#This Row],[NFI Core Kit]],Table_NFI[NFI Core Kit])</f>
        <v>0</v>
      </c>
      <c r="Y853" s="436">
        <f>IF(NFI_Expiration=1,IF($A853&lt;VLOOKUP(J$5,NFI,5,0),1,0)*Table_NFI[[#This Row],[Sanitary Kit]],Table_NFI[Sanitary Kit])</f>
        <v>0</v>
      </c>
      <c r="Z853" s="436">
        <f>IF(NFI_Expiration=1,IF($A853&lt;VLOOKUP(K$5,NFI,5,0),1,0)*Table_NFI[[#This Row],[Mosquito net]],Table_NFI[Mosquito net])</f>
        <v>0</v>
      </c>
      <c r="AA853" s="436">
        <f>IF(NFI_Expiration=1,IF($A853&lt;VLOOKUP(L$5,NFI,5,0),1,0)*Table_NFI[[#This Row],[Tarpaulin]],Table_NFI[[#This Row],[Tarpaulin]])</f>
        <v>0</v>
      </c>
      <c r="AB853" s="436">
        <f>IF(NFI_Expiration=1,IF($A853&lt;VLOOKUP(M$5,NFI,5,0),1,0)*Table_NFI[[#This Row],[Blanket]],Table_NFI[[#This Row],[Blanket]])</f>
        <v>0</v>
      </c>
      <c r="AC853" s="436">
        <f>IF(NFI_Expiration=1,IF($A853&lt;VLOOKUP(N$5,NFI,5,0),1,0)*Table_NFI[[#This Row],[Kitchen Set]],Table_NFI[Kitchen Set])</f>
        <v>0</v>
      </c>
      <c r="AD853" s="436">
        <f>IF(NFI_Expiration=1,IF($A853&lt;VLOOKUP(O$5,NFI,5,0),1,0)*Table_NFI[[#This Row],[Clothes Kit]],Table_NFI[Clothes Kit])</f>
        <v>0</v>
      </c>
      <c r="AE853" s="436">
        <f>IF(NFI_Expiration=1,IF($A853&lt;VLOOKUP(P$5,NFI,5,0),1,0)*Table_NFI[[#This Row],[Plastic Bucket]],Table_NFI[Plastic Bucket])</f>
        <v>0</v>
      </c>
      <c r="AF853" s="436">
        <f>IF(NFI_Expiration=1,IF($A853&lt;VLOOKUP(Q$5,NFI,5,0),1,0)*Table_NFI[[#This Row],[Plastic Mat]],Table_NFI[Plastic Mat])*IF(Table_NFI[[#This Row],[Distribution Date]]&gt;"2014-04-01",1,2.5)</f>
        <v>0</v>
      </c>
      <c r="AG853" s="436">
        <f>IF(NFI_Expiration=1,IF($A853&lt;VLOOKUP(R$5,NFI,5,0),1,0)*Table_NFI[[#This Row],[Winter Clothes Adult]],Table_NFI[Winter Clothes Adult])</f>
        <v>0</v>
      </c>
      <c r="AH853" s="436">
        <f>IF(NFI_Expiration=1,IF($A853&lt;VLOOKUP(S$5,NFI,5,0),1,0)*Table_NFI[[#This Row],[Winter Clothes Children]],Table_NFI[Winter Clothes Children])</f>
        <v>0</v>
      </c>
      <c r="AI853" s="436">
        <f>IF(NFI_Expiration=1,IF($A853&lt;VLOOKUP(T$5,NFI,5,0),1,0)*Table_NFI[[#This Row],[Winter Items Other]],Table_NFI[Winter Items Other])</f>
        <v>0</v>
      </c>
      <c r="AJ853" s="436">
        <f>IF(NFI_Expiration=1,IF($A853&lt;VLOOKUP(M$5,NFI,5,0),1,0)*Table_NFI[[#This Row],[Winter Blanket]],Table_NFI[[#This Row],[Winter Blanket]])</f>
        <v>0</v>
      </c>
      <c r="AK853" s="436">
        <f>IF(Table_NFI[[#This Row],[Winter Clothes Adult]]+Table_NFI[[#This Row],[Winter Clothes Children]]+Table_NFI[[#This Row],[Winter Items Other]]+Table_NFI[[#This Row],[Winter Blanket]]&gt;0,1,0)</f>
        <v>0</v>
      </c>
      <c r="AL853" s="439">
        <f>IF(NFI_Expiration=1,IF($A853&lt;VLOOKUP(V$5,NFI,5,0),1,0)*Table_NFI[[#This Row],[Jerry Can]],Table_NFI[Jerry Can])</f>
        <v>0</v>
      </c>
      <c r="AM853" s="781" t="str">
        <f>IFERROR(VLOOKUP(Table_NFI[[#This Row],[Camp Name]],CL,2,0),"")</f>
        <v>MMR001CMP026</v>
      </c>
      <c r="AN853" s="782">
        <f ca="1">IF(Table_NFI[[#This Row],[Pcode]]="","",IF(OFFSET(CampList[Opening Date],MATCH(Table_NFI[[#This Row],[Pcode]],CampList[CP_Pcode],0)-1,0,1,1)&gt;=NFI_Monitor_Date,1,0))</f>
        <v>0</v>
      </c>
      <c r="AO853" s="781" t="str">
        <f>IFERROR(VLOOKUP(Table_NFI[[#This Row],[Camp Name]],CL,3,0),"")</f>
        <v>Open</v>
      </c>
      <c r="AP853" s="436" t="str">
        <f ca="1">IF(Table_NFI[[#This Row],[Pcode]]="","",OFFSET(CampList[Priority],MATCH(Table_NFI[[#This Row],[Pcode]],CampList[CP_Pcode],0)-1,0,1,1))</f>
        <v>P4</v>
      </c>
      <c r="AQ853" s="438">
        <f>IFERROR(Table_NFI[[#This Row],[Kitchen Set]]/VLOOKUP(Table_NFI[[#This Row],[Camp Name]],CL,4,0),"")</f>
        <v>0</v>
      </c>
      <c r="AR853" s="779" t="s">
        <v>1099</v>
      </c>
      <c r="AS853" s="783"/>
    </row>
    <row r="854" spans="1:45" x14ac:dyDescent="0.25">
      <c r="A854" s="455">
        <f t="shared" si="13"/>
        <v>45.666666666666664</v>
      </c>
      <c r="B854" s="778">
        <v>40939</v>
      </c>
      <c r="C854" s="779" t="s">
        <v>454</v>
      </c>
      <c r="D854" s="779" t="s">
        <v>454</v>
      </c>
      <c r="E854" s="779" t="s">
        <v>380</v>
      </c>
      <c r="F854" s="779" t="s">
        <v>310</v>
      </c>
      <c r="G854" s="435" t="s">
        <v>351</v>
      </c>
      <c r="H854" s="436"/>
      <c r="I854" s="436"/>
      <c r="J854" s="436"/>
      <c r="K854" s="436">
        <v>0</v>
      </c>
      <c r="L854" s="437">
        <v>0</v>
      </c>
      <c r="M854" s="437">
        <v>0</v>
      </c>
      <c r="N854" s="437">
        <v>0</v>
      </c>
      <c r="O854" s="437">
        <v>61</v>
      </c>
      <c r="P854" s="439">
        <v>61</v>
      </c>
      <c r="Q854" s="439">
        <v>61</v>
      </c>
      <c r="R854" s="436"/>
      <c r="S854" s="436"/>
      <c r="T854" s="436"/>
      <c r="U854" s="436"/>
      <c r="V854" s="436"/>
      <c r="W854" s="436">
        <f>IF(NFI_Expiration=1,IF($A854&lt;VLOOKUP(H$5,NFI,5,0),1,0)*Table_NFI[[#This Row],[Hygiene Kit]],Table_NFI[Hygiene Kit])</f>
        <v>0</v>
      </c>
      <c r="X854" s="436">
        <f>IF(NFI_Expiration=1,IF($A854&lt;VLOOKUP(I$5,NFI,5,0),1,0)*Table_NFI[[#This Row],[NFI Core Kit]],Table_NFI[NFI Core Kit])</f>
        <v>0</v>
      </c>
      <c r="Y854" s="436">
        <f>IF(NFI_Expiration=1,IF($A854&lt;VLOOKUP(J$5,NFI,5,0),1,0)*Table_NFI[[#This Row],[Sanitary Kit]],Table_NFI[Sanitary Kit])</f>
        <v>0</v>
      </c>
      <c r="Z854" s="436">
        <f>IF(NFI_Expiration=1,IF($A854&lt;VLOOKUP(K$5,NFI,5,0),1,0)*Table_NFI[[#This Row],[Mosquito net]],Table_NFI[Mosquito net])</f>
        <v>0</v>
      </c>
      <c r="AA854" s="436">
        <f>IF(NFI_Expiration=1,IF($A854&lt;VLOOKUP(L$5,NFI,5,0),1,0)*Table_NFI[[#This Row],[Tarpaulin]],Table_NFI[[#This Row],[Tarpaulin]])</f>
        <v>0</v>
      </c>
      <c r="AB854" s="436">
        <f>IF(NFI_Expiration=1,IF($A854&lt;VLOOKUP(M$5,NFI,5,0),1,0)*Table_NFI[[#This Row],[Blanket]],Table_NFI[[#This Row],[Blanket]])</f>
        <v>0</v>
      </c>
      <c r="AC854" s="436">
        <f>IF(NFI_Expiration=1,IF($A854&lt;VLOOKUP(N$5,NFI,5,0),1,0)*Table_NFI[[#This Row],[Kitchen Set]],Table_NFI[Kitchen Set])</f>
        <v>0</v>
      </c>
      <c r="AD854" s="436">
        <f>IF(NFI_Expiration=1,IF($A854&lt;VLOOKUP(O$5,NFI,5,0),1,0)*Table_NFI[[#This Row],[Clothes Kit]],Table_NFI[Clothes Kit])</f>
        <v>0</v>
      </c>
      <c r="AE854" s="436">
        <f>IF(NFI_Expiration=1,IF($A854&lt;VLOOKUP(P$5,NFI,5,0),1,0)*Table_NFI[[#This Row],[Plastic Bucket]],Table_NFI[Plastic Bucket])</f>
        <v>0</v>
      </c>
      <c r="AF854" s="436">
        <f>IF(NFI_Expiration=1,IF($A854&lt;VLOOKUP(Q$5,NFI,5,0),1,0)*Table_NFI[[#This Row],[Plastic Mat]],Table_NFI[Plastic Mat])*IF(Table_NFI[[#This Row],[Distribution Date]]&gt;"2014-04-01",1,2.5)</f>
        <v>0</v>
      </c>
      <c r="AG854" s="436">
        <f>IF(NFI_Expiration=1,IF($A854&lt;VLOOKUP(R$5,NFI,5,0),1,0)*Table_NFI[[#This Row],[Winter Clothes Adult]],Table_NFI[Winter Clothes Adult])</f>
        <v>0</v>
      </c>
      <c r="AH854" s="436">
        <f>IF(NFI_Expiration=1,IF($A854&lt;VLOOKUP(S$5,NFI,5,0),1,0)*Table_NFI[[#This Row],[Winter Clothes Children]],Table_NFI[Winter Clothes Children])</f>
        <v>0</v>
      </c>
      <c r="AI854" s="436">
        <f>IF(NFI_Expiration=1,IF($A854&lt;VLOOKUP(T$5,NFI,5,0),1,0)*Table_NFI[[#This Row],[Winter Items Other]],Table_NFI[Winter Items Other])</f>
        <v>0</v>
      </c>
      <c r="AJ854" s="436">
        <f>IF(NFI_Expiration=1,IF($A854&lt;VLOOKUP(M$5,NFI,5,0),1,0)*Table_NFI[[#This Row],[Winter Blanket]],Table_NFI[[#This Row],[Winter Blanket]])</f>
        <v>0</v>
      </c>
      <c r="AK854" s="436">
        <f>IF(Table_NFI[[#This Row],[Winter Clothes Adult]]+Table_NFI[[#This Row],[Winter Clothes Children]]+Table_NFI[[#This Row],[Winter Items Other]]+Table_NFI[[#This Row],[Winter Blanket]]&gt;0,1,0)</f>
        <v>0</v>
      </c>
      <c r="AL854" s="439">
        <f>IF(NFI_Expiration=1,IF($A854&lt;VLOOKUP(V$5,NFI,5,0),1,0)*Table_NFI[[#This Row],[Jerry Can]],Table_NFI[Jerry Can])</f>
        <v>0</v>
      </c>
      <c r="AM854" s="781" t="str">
        <f>IFERROR(VLOOKUP(Table_NFI[[#This Row],[Camp Name]],CL,2,0),"")</f>
        <v>MMR001CMP026</v>
      </c>
      <c r="AN854" s="782">
        <f ca="1">IF(Table_NFI[[#This Row],[Pcode]]="","",IF(OFFSET(CampList[Opening Date],MATCH(Table_NFI[[#This Row],[Pcode]],CampList[CP_Pcode],0)-1,0,1,1)&gt;=NFI_Monitor_Date,1,0))</f>
        <v>0</v>
      </c>
      <c r="AO854" s="781" t="str">
        <f>IFERROR(VLOOKUP(Table_NFI[[#This Row],[Camp Name]],CL,3,0),"")</f>
        <v>Open</v>
      </c>
      <c r="AP854" s="436" t="str">
        <f ca="1">IF(Table_NFI[[#This Row],[Pcode]]="","",OFFSET(CampList[Priority],MATCH(Table_NFI[[#This Row],[Pcode]],CampList[CP_Pcode],0)-1,0,1,1))</f>
        <v>P4</v>
      </c>
      <c r="AQ854" s="438">
        <f>IFERROR(Table_NFI[[#This Row],[Kitchen Set]]/VLOOKUP(Table_NFI[[#This Row],[Camp Name]],CL,4,0),"")</f>
        <v>0</v>
      </c>
      <c r="AR854" s="779" t="s">
        <v>1099</v>
      </c>
      <c r="AS854" s="783"/>
    </row>
    <row r="855" spans="1:45" x14ac:dyDescent="0.25">
      <c r="A855" s="455">
        <f t="shared" si="13"/>
        <v>46.06666666666667</v>
      </c>
      <c r="B855" s="778">
        <v>40927</v>
      </c>
      <c r="C855" s="779" t="s">
        <v>454</v>
      </c>
      <c r="D855" s="779" t="s">
        <v>462</v>
      </c>
      <c r="E855" s="779" t="s">
        <v>380</v>
      </c>
      <c r="F855" s="435" t="s">
        <v>237</v>
      </c>
      <c r="G855" s="435" t="s">
        <v>253</v>
      </c>
      <c r="H855" s="436"/>
      <c r="I855" s="436"/>
      <c r="J855" s="436"/>
      <c r="K855" s="436">
        <v>0</v>
      </c>
      <c r="L855" s="437">
        <v>0</v>
      </c>
      <c r="M855" s="437">
        <v>0</v>
      </c>
      <c r="N855" s="437">
        <v>0</v>
      </c>
      <c r="O855" s="437">
        <v>118</v>
      </c>
      <c r="P855" s="439">
        <v>118</v>
      </c>
      <c r="Q855" s="439">
        <v>118</v>
      </c>
      <c r="R855" s="436"/>
      <c r="S855" s="436"/>
      <c r="T855" s="436"/>
      <c r="U855" s="436"/>
      <c r="V855" s="436"/>
      <c r="W855" s="436">
        <f>IF(NFI_Expiration=1,IF($A855&lt;VLOOKUP(H$5,NFI,5,0),1,0)*Table_NFI[[#This Row],[Hygiene Kit]],Table_NFI[Hygiene Kit])</f>
        <v>0</v>
      </c>
      <c r="X855" s="436">
        <f>IF(NFI_Expiration=1,IF($A855&lt;VLOOKUP(I$5,NFI,5,0),1,0)*Table_NFI[[#This Row],[NFI Core Kit]],Table_NFI[NFI Core Kit])</f>
        <v>0</v>
      </c>
      <c r="Y855" s="436">
        <f>IF(NFI_Expiration=1,IF($A855&lt;VLOOKUP(J$5,NFI,5,0),1,0)*Table_NFI[[#This Row],[Sanitary Kit]],Table_NFI[Sanitary Kit])</f>
        <v>0</v>
      </c>
      <c r="Z855" s="436">
        <f>IF(NFI_Expiration=1,IF($A855&lt;VLOOKUP(K$5,NFI,5,0),1,0)*Table_NFI[[#This Row],[Mosquito net]],Table_NFI[Mosquito net])</f>
        <v>0</v>
      </c>
      <c r="AA855" s="436">
        <f>IF(NFI_Expiration=1,IF($A855&lt;VLOOKUP(L$5,NFI,5,0),1,0)*Table_NFI[[#This Row],[Tarpaulin]],Table_NFI[[#This Row],[Tarpaulin]])</f>
        <v>0</v>
      </c>
      <c r="AB855" s="436">
        <f>IF(NFI_Expiration=1,IF($A855&lt;VLOOKUP(M$5,NFI,5,0),1,0)*Table_NFI[[#This Row],[Blanket]],Table_NFI[[#This Row],[Blanket]])</f>
        <v>0</v>
      </c>
      <c r="AC855" s="436">
        <f>IF(NFI_Expiration=1,IF($A855&lt;VLOOKUP(N$5,NFI,5,0),1,0)*Table_NFI[[#This Row],[Kitchen Set]],Table_NFI[Kitchen Set])</f>
        <v>0</v>
      </c>
      <c r="AD855" s="436">
        <f>IF(NFI_Expiration=1,IF($A855&lt;VLOOKUP(O$5,NFI,5,0),1,0)*Table_NFI[[#This Row],[Clothes Kit]],Table_NFI[Clothes Kit])</f>
        <v>0</v>
      </c>
      <c r="AE855" s="436">
        <f>IF(NFI_Expiration=1,IF($A855&lt;VLOOKUP(P$5,NFI,5,0),1,0)*Table_NFI[[#This Row],[Plastic Bucket]],Table_NFI[Plastic Bucket])</f>
        <v>0</v>
      </c>
      <c r="AF855" s="436">
        <f>IF(NFI_Expiration=1,IF($A855&lt;VLOOKUP(Q$5,NFI,5,0),1,0)*Table_NFI[[#This Row],[Plastic Mat]],Table_NFI[Plastic Mat])*IF(Table_NFI[[#This Row],[Distribution Date]]&gt;"2014-04-01",1,2.5)</f>
        <v>0</v>
      </c>
      <c r="AG855" s="436">
        <f>IF(NFI_Expiration=1,IF($A855&lt;VLOOKUP(R$5,NFI,5,0),1,0)*Table_NFI[[#This Row],[Winter Clothes Adult]],Table_NFI[Winter Clothes Adult])</f>
        <v>0</v>
      </c>
      <c r="AH855" s="436">
        <f>IF(NFI_Expiration=1,IF($A855&lt;VLOOKUP(S$5,NFI,5,0),1,0)*Table_NFI[[#This Row],[Winter Clothes Children]],Table_NFI[Winter Clothes Children])</f>
        <v>0</v>
      </c>
      <c r="AI855" s="436">
        <f>IF(NFI_Expiration=1,IF($A855&lt;VLOOKUP(T$5,NFI,5,0),1,0)*Table_NFI[[#This Row],[Winter Items Other]],Table_NFI[Winter Items Other])</f>
        <v>0</v>
      </c>
      <c r="AJ855" s="436">
        <f>IF(NFI_Expiration=1,IF($A855&lt;VLOOKUP(M$5,NFI,5,0),1,0)*Table_NFI[[#This Row],[Winter Blanket]],Table_NFI[[#This Row],[Winter Blanket]])</f>
        <v>0</v>
      </c>
      <c r="AK855" s="436">
        <f>IF(Table_NFI[[#This Row],[Winter Clothes Adult]]+Table_NFI[[#This Row],[Winter Clothes Children]]+Table_NFI[[#This Row],[Winter Items Other]]+Table_NFI[[#This Row],[Winter Blanket]]&gt;0,1,0)</f>
        <v>0</v>
      </c>
      <c r="AL855" s="439">
        <f>IF(NFI_Expiration=1,IF($A855&lt;VLOOKUP(V$5,NFI,5,0),1,0)*Table_NFI[[#This Row],[Jerry Can]],Table_NFI[Jerry Can])</f>
        <v>0</v>
      </c>
      <c r="AM855" s="781" t="str">
        <f>IFERROR(VLOOKUP(Table_NFI[[#This Row],[Camp Name]],CL,2,0),"")</f>
        <v>MMR001CMP018</v>
      </c>
      <c r="AN855" s="782">
        <f ca="1">IF(Table_NFI[[#This Row],[Pcode]]="","",IF(OFFSET(CampList[Opening Date],MATCH(Table_NFI[[#This Row],[Pcode]],CampList[CP_Pcode],0)-1,0,1,1)&gt;=NFI_Monitor_Date,1,0))</f>
        <v>0</v>
      </c>
      <c r="AO855" s="781" t="str">
        <f>IFERROR(VLOOKUP(Table_NFI[[#This Row],[Camp Name]],CL,3,0),"")</f>
        <v>Open</v>
      </c>
      <c r="AP855" s="436" t="str">
        <f ca="1">IF(Table_NFI[[#This Row],[Pcode]]="","",OFFSET(CampList[Priority],MATCH(Table_NFI[[#This Row],[Pcode]],CampList[CP_Pcode],0)-1,0,1,1))</f>
        <v>P4</v>
      </c>
      <c r="AQ855" s="438">
        <f>IFERROR(Table_NFI[[#This Row],[Kitchen Set]]/VLOOKUP(Table_NFI[[#This Row],[Camp Name]],CL,4,0),"")</f>
        <v>0</v>
      </c>
      <c r="AR855" s="779" t="s">
        <v>1099</v>
      </c>
      <c r="AS855" s="783"/>
    </row>
    <row r="856" spans="1:45" x14ac:dyDescent="0.25">
      <c r="A856" s="455">
        <f t="shared" si="13"/>
        <v>46.266666666666666</v>
      </c>
      <c r="B856" s="778">
        <v>40921</v>
      </c>
      <c r="C856" s="779" t="s">
        <v>454</v>
      </c>
      <c r="D856" s="780" t="s">
        <v>462</v>
      </c>
      <c r="E856" s="779" t="s">
        <v>380</v>
      </c>
      <c r="F856" s="435"/>
      <c r="G856" s="435" t="s">
        <v>915</v>
      </c>
      <c r="H856" s="436"/>
      <c r="I856" s="436"/>
      <c r="J856" s="436"/>
      <c r="K856" s="436">
        <v>76</v>
      </c>
      <c r="L856" s="437">
        <v>38</v>
      </c>
      <c r="M856" s="437">
        <v>38</v>
      </c>
      <c r="N856" s="437">
        <v>0</v>
      </c>
      <c r="O856" s="437">
        <v>38</v>
      </c>
      <c r="P856" s="437">
        <v>38</v>
      </c>
      <c r="Q856" s="437">
        <v>38</v>
      </c>
      <c r="R856" s="436"/>
      <c r="S856" s="436"/>
      <c r="T856" s="436"/>
      <c r="U856" s="436"/>
      <c r="V856" s="436"/>
      <c r="W856" s="436">
        <f>IF(NFI_Expiration=1,IF($A856&lt;VLOOKUP(H$5,NFI,5,0),1,0)*Table_NFI[[#This Row],[Hygiene Kit]],Table_NFI[Hygiene Kit])</f>
        <v>0</v>
      </c>
      <c r="X856" s="436">
        <f>IF(NFI_Expiration=1,IF($A856&lt;VLOOKUP(I$5,NFI,5,0),1,0)*Table_NFI[[#This Row],[NFI Core Kit]],Table_NFI[NFI Core Kit])</f>
        <v>0</v>
      </c>
      <c r="Y856" s="436">
        <f>IF(NFI_Expiration=1,IF($A856&lt;VLOOKUP(J$5,NFI,5,0),1,0)*Table_NFI[[#This Row],[Sanitary Kit]],Table_NFI[Sanitary Kit])</f>
        <v>0</v>
      </c>
      <c r="Z856" s="436">
        <f>IF(NFI_Expiration=1,IF($A856&lt;VLOOKUP(K$5,NFI,5,0),1,0)*Table_NFI[[#This Row],[Mosquito net]],Table_NFI[Mosquito net])</f>
        <v>0</v>
      </c>
      <c r="AA856" s="436">
        <f>IF(NFI_Expiration=1,IF($A856&lt;VLOOKUP(L$5,NFI,5,0),1,0)*Table_NFI[[#This Row],[Tarpaulin]],Table_NFI[[#This Row],[Tarpaulin]])</f>
        <v>0</v>
      </c>
      <c r="AB856" s="436">
        <f>IF(NFI_Expiration=1,IF($A856&lt;VLOOKUP(M$5,NFI,5,0),1,0)*Table_NFI[[#This Row],[Blanket]],Table_NFI[[#This Row],[Blanket]])</f>
        <v>0</v>
      </c>
      <c r="AC856" s="436">
        <f>IF(NFI_Expiration=1,IF($A856&lt;VLOOKUP(N$5,NFI,5,0),1,0)*Table_NFI[[#This Row],[Kitchen Set]],Table_NFI[Kitchen Set])</f>
        <v>0</v>
      </c>
      <c r="AD856" s="436">
        <f>IF(NFI_Expiration=1,IF($A856&lt;VLOOKUP(O$5,NFI,5,0),1,0)*Table_NFI[[#This Row],[Clothes Kit]],Table_NFI[Clothes Kit])</f>
        <v>0</v>
      </c>
      <c r="AE856" s="436">
        <f>IF(NFI_Expiration=1,IF($A856&lt;VLOOKUP(P$5,NFI,5,0),1,0)*Table_NFI[[#This Row],[Plastic Bucket]],Table_NFI[Plastic Bucket])</f>
        <v>0</v>
      </c>
      <c r="AF856" s="436">
        <f>IF(NFI_Expiration=1,IF($A856&lt;VLOOKUP(Q$5,NFI,5,0),1,0)*Table_NFI[[#This Row],[Plastic Mat]],Table_NFI[Plastic Mat])*IF(Table_NFI[[#This Row],[Distribution Date]]&gt;"2014-04-01",1,2.5)</f>
        <v>0</v>
      </c>
      <c r="AG856" s="436">
        <f>IF(NFI_Expiration=1,IF($A856&lt;VLOOKUP(R$5,NFI,5,0),1,0)*Table_NFI[[#This Row],[Winter Clothes Adult]],Table_NFI[Winter Clothes Adult])</f>
        <v>0</v>
      </c>
      <c r="AH856" s="436">
        <f>IF(NFI_Expiration=1,IF($A856&lt;VLOOKUP(S$5,NFI,5,0),1,0)*Table_NFI[[#This Row],[Winter Clothes Children]],Table_NFI[Winter Clothes Children])</f>
        <v>0</v>
      </c>
      <c r="AI856" s="436">
        <f>IF(NFI_Expiration=1,IF($A856&lt;VLOOKUP(T$5,NFI,5,0),1,0)*Table_NFI[[#This Row],[Winter Items Other]],Table_NFI[Winter Items Other])</f>
        <v>0</v>
      </c>
      <c r="AJ856" s="436">
        <f>IF(NFI_Expiration=1,IF($A856&lt;VLOOKUP(M$5,NFI,5,0),1,0)*Table_NFI[[#This Row],[Winter Blanket]],Table_NFI[[#This Row],[Winter Blanket]])</f>
        <v>0</v>
      </c>
      <c r="AK856" s="436">
        <f>IF(Table_NFI[[#This Row],[Winter Clothes Adult]]+Table_NFI[[#This Row],[Winter Clothes Children]]+Table_NFI[[#This Row],[Winter Items Other]]+Table_NFI[[#This Row],[Winter Blanket]]&gt;0,1,0)</f>
        <v>0</v>
      </c>
      <c r="AL856" s="439">
        <f>IF(NFI_Expiration=1,IF($A856&lt;VLOOKUP(V$5,NFI,5,0),1,0)*Table_NFI[[#This Row],[Jerry Can]],Table_NFI[Jerry Can])</f>
        <v>0</v>
      </c>
      <c r="AM856" s="781" t="str">
        <f>IFERROR(VLOOKUP(Table_NFI[[#This Row],[Camp Name]],CL,2,0),"")</f>
        <v/>
      </c>
      <c r="AN856" s="782" t="str">
        <f ca="1">IF(Table_NFI[[#This Row],[Pcode]]="","",IF(OFFSET(CampList[Opening Date],MATCH(Table_NFI[[#This Row],[Pcode]],CampList[CP_Pcode],0)-1,0,1,1)&gt;=NFI_Monitor_Date,1,0))</f>
        <v/>
      </c>
      <c r="AO856" s="781" t="str">
        <f>IFERROR(VLOOKUP(Table_NFI[[#This Row],[Camp Name]],CL,3,0),"")</f>
        <v/>
      </c>
      <c r="AP856" s="436" t="str">
        <f ca="1">IF(Table_NFI[[#This Row],[Pcode]]="","",OFFSET(CampList[Priority],MATCH(Table_NFI[[#This Row],[Pcode]],CampList[CP_Pcode],0)-1,0,1,1))</f>
        <v/>
      </c>
      <c r="AQ856" s="438" t="str">
        <f>IFERROR(Table_NFI[[#This Row],[Kitchen Set]]/VLOOKUP(Table_NFI[[#This Row],[Camp Name]],CL,4,0),"")</f>
        <v/>
      </c>
      <c r="AR856" s="779" t="s">
        <v>1099</v>
      </c>
      <c r="AS856" s="783"/>
    </row>
    <row r="857" spans="1:45" x14ac:dyDescent="0.25">
      <c r="A857" s="455">
        <f t="shared" si="13"/>
        <v>46.266666666666666</v>
      </c>
      <c r="B857" s="778">
        <v>40921</v>
      </c>
      <c r="C857" s="779" t="s">
        <v>454</v>
      </c>
      <c r="D857" s="780" t="s">
        <v>462</v>
      </c>
      <c r="E857" s="779" t="s">
        <v>380</v>
      </c>
      <c r="F857" s="435"/>
      <c r="G857" s="435" t="s">
        <v>917</v>
      </c>
      <c r="H857" s="436"/>
      <c r="I857" s="436"/>
      <c r="J857" s="436"/>
      <c r="K857" s="436">
        <v>18</v>
      </c>
      <c r="L857" s="437">
        <v>9</v>
      </c>
      <c r="M857" s="437">
        <v>9</v>
      </c>
      <c r="N857" s="437">
        <v>0</v>
      </c>
      <c r="O857" s="437">
        <v>9</v>
      </c>
      <c r="P857" s="437">
        <v>9</v>
      </c>
      <c r="Q857" s="437">
        <v>9</v>
      </c>
      <c r="R857" s="436"/>
      <c r="S857" s="436"/>
      <c r="T857" s="436"/>
      <c r="U857" s="436"/>
      <c r="V857" s="436"/>
      <c r="W857" s="436">
        <f>IF(NFI_Expiration=1,IF($A857&lt;VLOOKUP(H$5,NFI,5,0),1,0)*Table_NFI[[#This Row],[Hygiene Kit]],Table_NFI[Hygiene Kit])</f>
        <v>0</v>
      </c>
      <c r="X857" s="436">
        <f>IF(NFI_Expiration=1,IF($A857&lt;VLOOKUP(I$5,NFI,5,0),1,0)*Table_NFI[[#This Row],[NFI Core Kit]],Table_NFI[NFI Core Kit])</f>
        <v>0</v>
      </c>
      <c r="Y857" s="436">
        <f>IF(NFI_Expiration=1,IF($A857&lt;VLOOKUP(J$5,NFI,5,0),1,0)*Table_NFI[[#This Row],[Sanitary Kit]],Table_NFI[Sanitary Kit])</f>
        <v>0</v>
      </c>
      <c r="Z857" s="436">
        <f>IF(NFI_Expiration=1,IF($A857&lt;VLOOKUP(K$5,NFI,5,0),1,0)*Table_NFI[[#This Row],[Mosquito net]],Table_NFI[Mosquito net])</f>
        <v>0</v>
      </c>
      <c r="AA857" s="436">
        <f>IF(NFI_Expiration=1,IF($A857&lt;VLOOKUP(L$5,NFI,5,0),1,0)*Table_NFI[[#This Row],[Tarpaulin]],Table_NFI[[#This Row],[Tarpaulin]])</f>
        <v>0</v>
      </c>
      <c r="AB857" s="436">
        <f>IF(NFI_Expiration=1,IF($A857&lt;VLOOKUP(M$5,NFI,5,0),1,0)*Table_NFI[[#This Row],[Blanket]],Table_NFI[[#This Row],[Blanket]])</f>
        <v>0</v>
      </c>
      <c r="AC857" s="436">
        <f>IF(NFI_Expiration=1,IF($A857&lt;VLOOKUP(N$5,NFI,5,0),1,0)*Table_NFI[[#This Row],[Kitchen Set]],Table_NFI[Kitchen Set])</f>
        <v>0</v>
      </c>
      <c r="AD857" s="436">
        <f>IF(NFI_Expiration=1,IF($A857&lt;VLOOKUP(O$5,NFI,5,0),1,0)*Table_NFI[[#This Row],[Clothes Kit]],Table_NFI[Clothes Kit])</f>
        <v>0</v>
      </c>
      <c r="AE857" s="436">
        <f>IF(NFI_Expiration=1,IF($A857&lt;VLOOKUP(P$5,NFI,5,0),1,0)*Table_NFI[[#This Row],[Plastic Bucket]],Table_NFI[Plastic Bucket])</f>
        <v>0</v>
      </c>
      <c r="AF857" s="436">
        <f>IF(NFI_Expiration=1,IF($A857&lt;VLOOKUP(Q$5,NFI,5,0),1,0)*Table_NFI[[#This Row],[Plastic Mat]],Table_NFI[Plastic Mat])*IF(Table_NFI[[#This Row],[Distribution Date]]&gt;"2014-04-01",1,2.5)</f>
        <v>0</v>
      </c>
      <c r="AG857" s="436">
        <f>IF(NFI_Expiration=1,IF($A857&lt;VLOOKUP(R$5,NFI,5,0),1,0)*Table_NFI[[#This Row],[Winter Clothes Adult]],Table_NFI[Winter Clothes Adult])</f>
        <v>0</v>
      </c>
      <c r="AH857" s="436">
        <f>IF(NFI_Expiration=1,IF($A857&lt;VLOOKUP(S$5,NFI,5,0),1,0)*Table_NFI[[#This Row],[Winter Clothes Children]],Table_NFI[Winter Clothes Children])</f>
        <v>0</v>
      </c>
      <c r="AI857" s="436">
        <f>IF(NFI_Expiration=1,IF($A857&lt;VLOOKUP(T$5,NFI,5,0),1,0)*Table_NFI[[#This Row],[Winter Items Other]],Table_NFI[Winter Items Other])</f>
        <v>0</v>
      </c>
      <c r="AJ857" s="436">
        <f>IF(NFI_Expiration=1,IF($A857&lt;VLOOKUP(M$5,NFI,5,0),1,0)*Table_NFI[[#This Row],[Winter Blanket]],Table_NFI[[#This Row],[Winter Blanket]])</f>
        <v>0</v>
      </c>
      <c r="AK857" s="436">
        <f>IF(Table_NFI[[#This Row],[Winter Clothes Adult]]+Table_NFI[[#This Row],[Winter Clothes Children]]+Table_NFI[[#This Row],[Winter Items Other]]+Table_NFI[[#This Row],[Winter Blanket]]&gt;0,1,0)</f>
        <v>0</v>
      </c>
      <c r="AL857" s="439">
        <f>IF(NFI_Expiration=1,IF($A857&lt;VLOOKUP(V$5,NFI,5,0),1,0)*Table_NFI[[#This Row],[Jerry Can]],Table_NFI[Jerry Can])</f>
        <v>0</v>
      </c>
      <c r="AM857" s="781" t="str">
        <f>IFERROR(VLOOKUP(Table_NFI[[#This Row],[Camp Name]],CL,2,0),"")</f>
        <v/>
      </c>
      <c r="AN857" s="782" t="str">
        <f ca="1">IF(Table_NFI[[#This Row],[Pcode]]="","",IF(OFFSET(CampList[Opening Date],MATCH(Table_NFI[[#This Row],[Pcode]],CampList[CP_Pcode],0)-1,0,1,1)&gt;=NFI_Monitor_Date,1,0))</f>
        <v/>
      </c>
      <c r="AO857" s="781" t="str">
        <f>IFERROR(VLOOKUP(Table_NFI[[#This Row],[Camp Name]],CL,3,0),"")</f>
        <v/>
      </c>
      <c r="AP857" s="436" t="str">
        <f ca="1">IF(Table_NFI[[#This Row],[Pcode]]="","",OFFSET(CampList[Priority],MATCH(Table_NFI[[#This Row],[Pcode]],CampList[CP_Pcode],0)-1,0,1,1))</f>
        <v/>
      </c>
      <c r="AQ857" s="438" t="str">
        <f>IFERROR(Table_NFI[[#This Row],[Kitchen Set]]/VLOOKUP(Table_NFI[[#This Row],[Camp Name]],CL,4,0),"")</f>
        <v/>
      </c>
      <c r="AR857" s="779" t="s">
        <v>1099</v>
      </c>
      <c r="AS857" s="783" t="s">
        <v>1177</v>
      </c>
    </row>
    <row r="858" spans="1:45" x14ac:dyDescent="0.25">
      <c r="A858" s="455">
        <f t="shared" si="13"/>
        <v>46.266666666666666</v>
      </c>
      <c r="B858" s="778">
        <v>40921</v>
      </c>
      <c r="C858" s="779" t="s">
        <v>454</v>
      </c>
      <c r="D858" s="780" t="s">
        <v>462</v>
      </c>
      <c r="E858" s="779" t="s">
        <v>380</v>
      </c>
      <c r="F858" s="435"/>
      <c r="G858" s="435" t="s">
        <v>918</v>
      </c>
      <c r="H858" s="436"/>
      <c r="I858" s="436"/>
      <c r="J858" s="436"/>
      <c r="K858" s="436">
        <v>10</v>
      </c>
      <c r="L858" s="437">
        <v>5</v>
      </c>
      <c r="M858" s="437">
        <v>5</v>
      </c>
      <c r="N858" s="437">
        <v>0</v>
      </c>
      <c r="O858" s="437">
        <v>5</v>
      </c>
      <c r="P858" s="437">
        <v>5</v>
      </c>
      <c r="Q858" s="437">
        <v>5</v>
      </c>
      <c r="R858" s="436"/>
      <c r="S858" s="436"/>
      <c r="T858" s="436"/>
      <c r="U858" s="436"/>
      <c r="V858" s="436"/>
      <c r="W858" s="436">
        <f>IF(NFI_Expiration=1,IF($A858&lt;VLOOKUP(H$5,NFI,5,0),1,0)*Table_NFI[[#This Row],[Hygiene Kit]],Table_NFI[Hygiene Kit])</f>
        <v>0</v>
      </c>
      <c r="X858" s="436">
        <f>IF(NFI_Expiration=1,IF($A858&lt;VLOOKUP(I$5,NFI,5,0),1,0)*Table_NFI[[#This Row],[NFI Core Kit]],Table_NFI[NFI Core Kit])</f>
        <v>0</v>
      </c>
      <c r="Y858" s="436">
        <f>IF(NFI_Expiration=1,IF($A858&lt;VLOOKUP(J$5,NFI,5,0),1,0)*Table_NFI[[#This Row],[Sanitary Kit]],Table_NFI[Sanitary Kit])</f>
        <v>0</v>
      </c>
      <c r="Z858" s="436">
        <f>IF(NFI_Expiration=1,IF($A858&lt;VLOOKUP(K$5,NFI,5,0),1,0)*Table_NFI[[#This Row],[Mosquito net]],Table_NFI[Mosquito net])</f>
        <v>0</v>
      </c>
      <c r="AA858" s="436">
        <f>IF(NFI_Expiration=1,IF($A858&lt;VLOOKUP(L$5,NFI,5,0),1,0)*Table_NFI[[#This Row],[Tarpaulin]],Table_NFI[[#This Row],[Tarpaulin]])</f>
        <v>0</v>
      </c>
      <c r="AB858" s="436">
        <f>IF(NFI_Expiration=1,IF($A858&lt;VLOOKUP(M$5,NFI,5,0),1,0)*Table_NFI[[#This Row],[Blanket]],Table_NFI[[#This Row],[Blanket]])</f>
        <v>0</v>
      </c>
      <c r="AC858" s="436">
        <f>IF(NFI_Expiration=1,IF($A858&lt;VLOOKUP(N$5,NFI,5,0),1,0)*Table_NFI[[#This Row],[Kitchen Set]],Table_NFI[Kitchen Set])</f>
        <v>0</v>
      </c>
      <c r="AD858" s="436">
        <f>IF(NFI_Expiration=1,IF($A858&lt;VLOOKUP(O$5,NFI,5,0),1,0)*Table_NFI[[#This Row],[Clothes Kit]],Table_NFI[Clothes Kit])</f>
        <v>0</v>
      </c>
      <c r="AE858" s="436">
        <f>IF(NFI_Expiration=1,IF($A858&lt;VLOOKUP(P$5,NFI,5,0),1,0)*Table_NFI[[#This Row],[Plastic Bucket]],Table_NFI[Plastic Bucket])</f>
        <v>0</v>
      </c>
      <c r="AF858" s="436">
        <f>IF(NFI_Expiration=1,IF($A858&lt;VLOOKUP(Q$5,NFI,5,0),1,0)*Table_NFI[[#This Row],[Plastic Mat]],Table_NFI[Plastic Mat])*IF(Table_NFI[[#This Row],[Distribution Date]]&gt;"2014-04-01",1,2.5)</f>
        <v>0</v>
      </c>
      <c r="AG858" s="436">
        <f>IF(NFI_Expiration=1,IF($A858&lt;VLOOKUP(R$5,NFI,5,0),1,0)*Table_NFI[[#This Row],[Winter Clothes Adult]],Table_NFI[Winter Clothes Adult])</f>
        <v>0</v>
      </c>
      <c r="AH858" s="436">
        <f>IF(NFI_Expiration=1,IF($A858&lt;VLOOKUP(S$5,NFI,5,0),1,0)*Table_NFI[[#This Row],[Winter Clothes Children]],Table_NFI[Winter Clothes Children])</f>
        <v>0</v>
      </c>
      <c r="AI858" s="436">
        <f>IF(NFI_Expiration=1,IF($A858&lt;VLOOKUP(T$5,NFI,5,0),1,0)*Table_NFI[[#This Row],[Winter Items Other]],Table_NFI[Winter Items Other])</f>
        <v>0</v>
      </c>
      <c r="AJ858" s="436">
        <f>IF(NFI_Expiration=1,IF($A858&lt;VLOOKUP(M$5,NFI,5,0),1,0)*Table_NFI[[#This Row],[Winter Blanket]],Table_NFI[[#This Row],[Winter Blanket]])</f>
        <v>0</v>
      </c>
      <c r="AK858" s="436">
        <f>IF(Table_NFI[[#This Row],[Winter Clothes Adult]]+Table_NFI[[#This Row],[Winter Clothes Children]]+Table_NFI[[#This Row],[Winter Items Other]]+Table_NFI[[#This Row],[Winter Blanket]]&gt;0,1,0)</f>
        <v>0</v>
      </c>
      <c r="AL858" s="439">
        <f>IF(NFI_Expiration=1,IF($A858&lt;VLOOKUP(V$5,NFI,5,0),1,0)*Table_NFI[[#This Row],[Jerry Can]],Table_NFI[Jerry Can])</f>
        <v>0</v>
      </c>
      <c r="AM858" s="781" t="str">
        <f>IFERROR(VLOOKUP(Table_NFI[[#This Row],[Camp Name]],CL,2,0),"")</f>
        <v/>
      </c>
      <c r="AN858" s="782" t="str">
        <f ca="1">IF(Table_NFI[[#This Row],[Pcode]]="","",IF(OFFSET(CampList[Opening Date],MATCH(Table_NFI[[#This Row],[Pcode]],CampList[CP_Pcode],0)-1,0,1,1)&gt;=NFI_Monitor_Date,1,0))</f>
        <v/>
      </c>
      <c r="AO858" s="781" t="str">
        <f>IFERROR(VLOOKUP(Table_NFI[[#This Row],[Camp Name]],CL,3,0),"")</f>
        <v/>
      </c>
      <c r="AP858" s="436" t="str">
        <f ca="1">IF(Table_NFI[[#This Row],[Pcode]]="","",OFFSET(CampList[Priority],MATCH(Table_NFI[[#This Row],[Pcode]],CampList[CP_Pcode],0)-1,0,1,1))</f>
        <v/>
      </c>
      <c r="AQ858" s="438" t="str">
        <f>IFERROR(Table_NFI[[#This Row],[Kitchen Set]]/VLOOKUP(Table_NFI[[#This Row],[Camp Name]],CL,4,0),"")</f>
        <v/>
      </c>
      <c r="AR858" s="779" t="s">
        <v>1099</v>
      </c>
      <c r="AS858" s="783" t="s">
        <v>1178</v>
      </c>
    </row>
    <row r="859" spans="1:45" x14ac:dyDescent="0.25">
      <c r="A859" s="455">
        <f t="shared" si="13"/>
        <v>46.266666666666666</v>
      </c>
      <c r="B859" s="778">
        <v>40921</v>
      </c>
      <c r="C859" s="779" t="s">
        <v>454</v>
      </c>
      <c r="D859" s="780" t="s">
        <v>462</v>
      </c>
      <c r="E859" s="779" t="s">
        <v>380</v>
      </c>
      <c r="F859" s="435"/>
      <c r="G859" s="435" t="s">
        <v>922</v>
      </c>
      <c r="H859" s="436"/>
      <c r="I859" s="436"/>
      <c r="J859" s="436"/>
      <c r="K859" s="436">
        <v>126</v>
      </c>
      <c r="L859" s="437">
        <v>63</v>
      </c>
      <c r="M859" s="437">
        <v>63</v>
      </c>
      <c r="N859" s="437">
        <v>0</v>
      </c>
      <c r="O859" s="437">
        <v>63</v>
      </c>
      <c r="P859" s="437">
        <v>63</v>
      </c>
      <c r="Q859" s="437">
        <v>63</v>
      </c>
      <c r="R859" s="436"/>
      <c r="S859" s="436"/>
      <c r="T859" s="436"/>
      <c r="U859" s="436"/>
      <c r="V859" s="436"/>
      <c r="W859" s="436">
        <f>IF(NFI_Expiration=1,IF($A859&lt;VLOOKUP(H$5,NFI,5,0),1,0)*Table_NFI[[#This Row],[Hygiene Kit]],Table_NFI[Hygiene Kit])</f>
        <v>0</v>
      </c>
      <c r="X859" s="436">
        <f>IF(NFI_Expiration=1,IF($A859&lt;VLOOKUP(I$5,NFI,5,0),1,0)*Table_NFI[[#This Row],[NFI Core Kit]],Table_NFI[NFI Core Kit])</f>
        <v>0</v>
      </c>
      <c r="Y859" s="436">
        <f>IF(NFI_Expiration=1,IF($A859&lt;VLOOKUP(J$5,NFI,5,0),1,0)*Table_NFI[[#This Row],[Sanitary Kit]],Table_NFI[Sanitary Kit])</f>
        <v>0</v>
      </c>
      <c r="Z859" s="436">
        <f>IF(NFI_Expiration=1,IF($A859&lt;VLOOKUP(K$5,NFI,5,0),1,0)*Table_NFI[[#This Row],[Mosquito net]],Table_NFI[Mosquito net])</f>
        <v>0</v>
      </c>
      <c r="AA859" s="436">
        <f>IF(NFI_Expiration=1,IF($A859&lt;VLOOKUP(L$5,NFI,5,0),1,0)*Table_NFI[[#This Row],[Tarpaulin]],Table_NFI[[#This Row],[Tarpaulin]])</f>
        <v>0</v>
      </c>
      <c r="AB859" s="436">
        <f>IF(NFI_Expiration=1,IF($A859&lt;VLOOKUP(M$5,NFI,5,0),1,0)*Table_NFI[[#This Row],[Blanket]],Table_NFI[[#This Row],[Blanket]])</f>
        <v>0</v>
      </c>
      <c r="AC859" s="436">
        <f>IF(NFI_Expiration=1,IF($A859&lt;VLOOKUP(N$5,NFI,5,0),1,0)*Table_NFI[[#This Row],[Kitchen Set]],Table_NFI[Kitchen Set])</f>
        <v>0</v>
      </c>
      <c r="AD859" s="436">
        <f>IF(NFI_Expiration=1,IF($A859&lt;VLOOKUP(O$5,NFI,5,0),1,0)*Table_NFI[[#This Row],[Clothes Kit]],Table_NFI[Clothes Kit])</f>
        <v>0</v>
      </c>
      <c r="AE859" s="436">
        <f>IF(NFI_Expiration=1,IF($A859&lt;VLOOKUP(P$5,NFI,5,0),1,0)*Table_NFI[[#This Row],[Plastic Bucket]],Table_NFI[Plastic Bucket])</f>
        <v>0</v>
      </c>
      <c r="AF859" s="436">
        <f>IF(NFI_Expiration=1,IF($A859&lt;VLOOKUP(Q$5,NFI,5,0),1,0)*Table_NFI[[#This Row],[Plastic Mat]],Table_NFI[Plastic Mat])*IF(Table_NFI[[#This Row],[Distribution Date]]&gt;"2014-04-01",1,2.5)</f>
        <v>0</v>
      </c>
      <c r="AG859" s="436">
        <f>IF(NFI_Expiration=1,IF($A859&lt;VLOOKUP(R$5,NFI,5,0),1,0)*Table_NFI[[#This Row],[Winter Clothes Adult]],Table_NFI[Winter Clothes Adult])</f>
        <v>0</v>
      </c>
      <c r="AH859" s="436">
        <f>IF(NFI_Expiration=1,IF($A859&lt;VLOOKUP(S$5,NFI,5,0),1,0)*Table_NFI[[#This Row],[Winter Clothes Children]],Table_NFI[Winter Clothes Children])</f>
        <v>0</v>
      </c>
      <c r="AI859" s="436">
        <f>IF(NFI_Expiration=1,IF($A859&lt;VLOOKUP(T$5,NFI,5,0),1,0)*Table_NFI[[#This Row],[Winter Items Other]],Table_NFI[Winter Items Other])</f>
        <v>0</v>
      </c>
      <c r="AJ859" s="436">
        <f>IF(NFI_Expiration=1,IF($A859&lt;VLOOKUP(M$5,NFI,5,0),1,0)*Table_NFI[[#This Row],[Winter Blanket]],Table_NFI[[#This Row],[Winter Blanket]])</f>
        <v>0</v>
      </c>
      <c r="AK859" s="436">
        <f>IF(Table_NFI[[#This Row],[Winter Clothes Adult]]+Table_NFI[[#This Row],[Winter Clothes Children]]+Table_NFI[[#This Row],[Winter Items Other]]+Table_NFI[[#This Row],[Winter Blanket]]&gt;0,1,0)</f>
        <v>0</v>
      </c>
      <c r="AL859" s="439">
        <f>IF(NFI_Expiration=1,IF($A859&lt;VLOOKUP(V$5,NFI,5,0),1,0)*Table_NFI[[#This Row],[Jerry Can]],Table_NFI[Jerry Can])</f>
        <v>0</v>
      </c>
      <c r="AM859" s="781" t="str">
        <f>IFERROR(VLOOKUP(Table_NFI[[#This Row],[Camp Name]],CL,2,0),"")</f>
        <v/>
      </c>
      <c r="AN859" s="782" t="str">
        <f ca="1">IF(Table_NFI[[#This Row],[Pcode]]="","",IF(OFFSET(CampList[Opening Date],MATCH(Table_NFI[[#This Row],[Pcode]],CampList[CP_Pcode],0)-1,0,1,1)&gt;=NFI_Monitor_Date,1,0))</f>
        <v/>
      </c>
      <c r="AO859" s="781" t="str">
        <f>IFERROR(VLOOKUP(Table_NFI[[#This Row],[Camp Name]],CL,3,0),"")</f>
        <v/>
      </c>
      <c r="AP859" s="436" t="str">
        <f ca="1">IF(Table_NFI[[#This Row],[Pcode]]="","",OFFSET(CampList[Priority],MATCH(Table_NFI[[#This Row],[Pcode]],CampList[CP_Pcode],0)-1,0,1,1))</f>
        <v/>
      </c>
      <c r="AQ859" s="438" t="str">
        <f>IFERROR(Table_NFI[[#This Row],[Kitchen Set]]/VLOOKUP(Table_NFI[[#This Row],[Camp Name]],CL,4,0),"")</f>
        <v/>
      </c>
      <c r="AR859" s="779" t="s">
        <v>1099</v>
      </c>
      <c r="AS859" s="783" t="s">
        <v>1176</v>
      </c>
    </row>
    <row r="860" spans="1:45" x14ac:dyDescent="0.25">
      <c r="A860" s="455">
        <f t="shared" si="13"/>
        <v>46.266666666666666</v>
      </c>
      <c r="B860" s="778">
        <v>40921</v>
      </c>
      <c r="C860" s="779" t="s">
        <v>454</v>
      </c>
      <c r="D860" s="780" t="s">
        <v>462</v>
      </c>
      <c r="E860" s="779" t="s">
        <v>380</v>
      </c>
      <c r="F860" s="435" t="s">
        <v>529</v>
      </c>
      <c r="G860" s="435" t="s">
        <v>62</v>
      </c>
      <c r="H860" s="436"/>
      <c r="I860" s="436"/>
      <c r="J860" s="436"/>
      <c r="K860" s="436">
        <v>52</v>
      </c>
      <c r="L860" s="437">
        <v>26</v>
      </c>
      <c r="M860" s="437">
        <v>36</v>
      </c>
      <c r="N860" s="437">
        <v>0</v>
      </c>
      <c r="O860" s="437">
        <v>26</v>
      </c>
      <c r="P860" s="437">
        <v>26</v>
      </c>
      <c r="Q860" s="437">
        <v>26</v>
      </c>
      <c r="R860" s="436"/>
      <c r="S860" s="436"/>
      <c r="T860" s="436"/>
      <c r="U860" s="436"/>
      <c r="V860" s="436"/>
      <c r="W860" s="436">
        <f>IF(NFI_Expiration=1,IF($A860&lt;VLOOKUP(H$5,NFI,5,0),1,0)*Table_NFI[[#This Row],[Hygiene Kit]],Table_NFI[Hygiene Kit])</f>
        <v>0</v>
      </c>
      <c r="X860" s="436">
        <f>IF(NFI_Expiration=1,IF($A860&lt;VLOOKUP(I$5,NFI,5,0),1,0)*Table_NFI[[#This Row],[NFI Core Kit]],Table_NFI[NFI Core Kit])</f>
        <v>0</v>
      </c>
      <c r="Y860" s="436">
        <f>IF(NFI_Expiration=1,IF($A860&lt;VLOOKUP(J$5,NFI,5,0),1,0)*Table_NFI[[#This Row],[Sanitary Kit]],Table_NFI[Sanitary Kit])</f>
        <v>0</v>
      </c>
      <c r="Z860" s="436">
        <f>IF(NFI_Expiration=1,IF($A860&lt;VLOOKUP(K$5,NFI,5,0),1,0)*Table_NFI[[#This Row],[Mosquito net]],Table_NFI[Mosquito net])</f>
        <v>0</v>
      </c>
      <c r="AA860" s="436">
        <f>IF(NFI_Expiration=1,IF($A860&lt;VLOOKUP(L$5,NFI,5,0),1,0)*Table_NFI[[#This Row],[Tarpaulin]],Table_NFI[[#This Row],[Tarpaulin]])</f>
        <v>0</v>
      </c>
      <c r="AB860" s="436">
        <f>IF(NFI_Expiration=1,IF($A860&lt;VLOOKUP(M$5,NFI,5,0),1,0)*Table_NFI[[#This Row],[Blanket]],Table_NFI[[#This Row],[Blanket]])</f>
        <v>0</v>
      </c>
      <c r="AC860" s="436">
        <f>IF(NFI_Expiration=1,IF($A860&lt;VLOOKUP(N$5,NFI,5,0),1,0)*Table_NFI[[#This Row],[Kitchen Set]],Table_NFI[Kitchen Set])</f>
        <v>0</v>
      </c>
      <c r="AD860" s="436">
        <f>IF(NFI_Expiration=1,IF($A860&lt;VLOOKUP(O$5,NFI,5,0),1,0)*Table_NFI[[#This Row],[Clothes Kit]],Table_NFI[Clothes Kit])</f>
        <v>0</v>
      </c>
      <c r="AE860" s="436">
        <f>IF(NFI_Expiration=1,IF($A860&lt;VLOOKUP(P$5,NFI,5,0),1,0)*Table_NFI[[#This Row],[Plastic Bucket]],Table_NFI[Plastic Bucket])</f>
        <v>0</v>
      </c>
      <c r="AF860" s="436">
        <f>IF(NFI_Expiration=1,IF($A860&lt;VLOOKUP(Q$5,NFI,5,0),1,0)*Table_NFI[[#This Row],[Plastic Mat]],Table_NFI[Plastic Mat])*IF(Table_NFI[[#This Row],[Distribution Date]]&gt;"2014-04-01",1,2.5)</f>
        <v>0</v>
      </c>
      <c r="AG860" s="436">
        <f>IF(NFI_Expiration=1,IF($A860&lt;VLOOKUP(R$5,NFI,5,0),1,0)*Table_NFI[[#This Row],[Winter Clothes Adult]],Table_NFI[Winter Clothes Adult])</f>
        <v>0</v>
      </c>
      <c r="AH860" s="436">
        <f>IF(NFI_Expiration=1,IF($A860&lt;VLOOKUP(S$5,NFI,5,0),1,0)*Table_NFI[[#This Row],[Winter Clothes Children]],Table_NFI[Winter Clothes Children])</f>
        <v>0</v>
      </c>
      <c r="AI860" s="436">
        <f>IF(NFI_Expiration=1,IF($A860&lt;VLOOKUP(T$5,NFI,5,0),1,0)*Table_NFI[[#This Row],[Winter Items Other]],Table_NFI[Winter Items Other])</f>
        <v>0</v>
      </c>
      <c r="AJ860" s="436">
        <f>IF(NFI_Expiration=1,IF($A860&lt;VLOOKUP(M$5,NFI,5,0),1,0)*Table_NFI[[#This Row],[Winter Blanket]],Table_NFI[[#This Row],[Winter Blanket]])</f>
        <v>0</v>
      </c>
      <c r="AK860" s="436">
        <f>IF(Table_NFI[[#This Row],[Winter Clothes Adult]]+Table_NFI[[#This Row],[Winter Clothes Children]]+Table_NFI[[#This Row],[Winter Items Other]]+Table_NFI[[#This Row],[Winter Blanket]]&gt;0,1,0)</f>
        <v>0</v>
      </c>
      <c r="AL860" s="439">
        <f>IF(NFI_Expiration=1,IF($A860&lt;VLOOKUP(V$5,NFI,5,0),1,0)*Table_NFI[[#This Row],[Jerry Can]],Table_NFI[Jerry Can])</f>
        <v>0</v>
      </c>
      <c r="AM860" s="781" t="str">
        <f>IFERROR(VLOOKUP(Table_NFI[[#This Row],[Camp Name]],CL,2,0),"")</f>
        <v>MMR001CMP179</v>
      </c>
      <c r="AN860" s="782">
        <f ca="1">IF(Table_NFI[[#This Row],[Pcode]]="","",IF(OFFSET(CampList[Opening Date],MATCH(Table_NFI[[#This Row],[Pcode]],CampList[CP_Pcode],0)-1,0,1,1)&gt;=NFI_Monitor_Date,1,0))</f>
        <v>0</v>
      </c>
      <c r="AO860" s="781" t="str">
        <f>IFERROR(VLOOKUP(Table_NFI[[#This Row],[Camp Name]],CL,3,0),"")</f>
        <v>Open</v>
      </c>
      <c r="AP860" s="436" t="str">
        <f ca="1">IF(Table_NFI[[#This Row],[Pcode]]="","",OFFSET(CampList[Priority],MATCH(Table_NFI[[#This Row],[Pcode]],CampList[CP_Pcode],0)-1,0,1,1))</f>
        <v>P4</v>
      </c>
      <c r="AQ860" s="438">
        <f>IFERROR(Table_NFI[[#This Row],[Kitchen Set]]/VLOOKUP(Table_NFI[[#This Row],[Camp Name]],CL,4,0),"")</f>
        <v>0</v>
      </c>
      <c r="AR860" s="779" t="s">
        <v>1099</v>
      </c>
      <c r="AS860" s="783"/>
    </row>
    <row r="861" spans="1:45" x14ac:dyDescent="0.25">
      <c r="A861" s="455">
        <f t="shared" si="13"/>
        <v>46.266666666666666</v>
      </c>
      <c r="B861" s="778">
        <v>40921</v>
      </c>
      <c r="C861" s="779" t="s">
        <v>454</v>
      </c>
      <c r="D861" s="779" t="s">
        <v>462</v>
      </c>
      <c r="E861" s="779" t="s">
        <v>380</v>
      </c>
      <c r="F861" s="435" t="s">
        <v>529</v>
      </c>
      <c r="G861" s="435" t="s">
        <v>62</v>
      </c>
      <c r="H861" s="436"/>
      <c r="I861" s="436"/>
      <c r="J861" s="436"/>
      <c r="K861" s="436">
        <v>120</v>
      </c>
      <c r="L861" s="437">
        <v>60</v>
      </c>
      <c r="M861" s="437">
        <v>60</v>
      </c>
      <c r="N861" s="437">
        <v>0</v>
      </c>
      <c r="O861" s="437">
        <v>60</v>
      </c>
      <c r="P861" s="439">
        <v>60</v>
      </c>
      <c r="Q861" s="439">
        <v>60</v>
      </c>
      <c r="R861" s="436"/>
      <c r="S861" s="436"/>
      <c r="T861" s="436"/>
      <c r="U861" s="436"/>
      <c r="V861" s="436"/>
      <c r="W861" s="436">
        <f>IF(NFI_Expiration=1,IF($A861&lt;VLOOKUP(H$5,NFI,5,0),1,0)*Table_NFI[[#This Row],[Hygiene Kit]],Table_NFI[Hygiene Kit])</f>
        <v>0</v>
      </c>
      <c r="X861" s="436">
        <f>IF(NFI_Expiration=1,IF($A861&lt;VLOOKUP(I$5,NFI,5,0),1,0)*Table_NFI[[#This Row],[NFI Core Kit]],Table_NFI[NFI Core Kit])</f>
        <v>0</v>
      </c>
      <c r="Y861" s="436">
        <f>IF(NFI_Expiration=1,IF($A861&lt;VLOOKUP(J$5,NFI,5,0),1,0)*Table_NFI[[#This Row],[Sanitary Kit]],Table_NFI[Sanitary Kit])</f>
        <v>0</v>
      </c>
      <c r="Z861" s="436">
        <f>IF(NFI_Expiration=1,IF($A861&lt;VLOOKUP(K$5,NFI,5,0),1,0)*Table_NFI[[#This Row],[Mosquito net]],Table_NFI[Mosquito net])</f>
        <v>0</v>
      </c>
      <c r="AA861" s="436">
        <f>IF(NFI_Expiration=1,IF($A861&lt;VLOOKUP(L$5,NFI,5,0),1,0)*Table_NFI[[#This Row],[Tarpaulin]],Table_NFI[[#This Row],[Tarpaulin]])</f>
        <v>0</v>
      </c>
      <c r="AB861" s="436">
        <f>IF(NFI_Expiration=1,IF($A861&lt;VLOOKUP(M$5,NFI,5,0),1,0)*Table_NFI[[#This Row],[Blanket]],Table_NFI[[#This Row],[Blanket]])</f>
        <v>0</v>
      </c>
      <c r="AC861" s="436">
        <f>IF(NFI_Expiration=1,IF($A861&lt;VLOOKUP(N$5,NFI,5,0),1,0)*Table_NFI[[#This Row],[Kitchen Set]],Table_NFI[Kitchen Set])</f>
        <v>0</v>
      </c>
      <c r="AD861" s="436">
        <f>IF(NFI_Expiration=1,IF($A861&lt;VLOOKUP(O$5,NFI,5,0),1,0)*Table_NFI[[#This Row],[Clothes Kit]],Table_NFI[Clothes Kit])</f>
        <v>0</v>
      </c>
      <c r="AE861" s="436">
        <f>IF(NFI_Expiration=1,IF($A861&lt;VLOOKUP(P$5,NFI,5,0),1,0)*Table_NFI[[#This Row],[Plastic Bucket]],Table_NFI[Plastic Bucket])</f>
        <v>0</v>
      </c>
      <c r="AF861" s="436">
        <f>IF(NFI_Expiration=1,IF($A861&lt;VLOOKUP(Q$5,NFI,5,0),1,0)*Table_NFI[[#This Row],[Plastic Mat]],Table_NFI[Plastic Mat])*IF(Table_NFI[[#This Row],[Distribution Date]]&gt;"2014-04-01",1,2.5)</f>
        <v>0</v>
      </c>
      <c r="AG861" s="436">
        <f>IF(NFI_Expiration=1,IF($A861&lt;VLOOKUP(R$5,NFI,5,0),1,0)*Table_NFI[[#This Row],[Winter Clothes Adult]],Table_NFI[Winter Clothes Adult])</f>
        <v>0</v>
      </c>
      <c r="AH861" s="436">
        <f>IF(NFI_Expiration=1,IF($A861&lt;VLOOKUP(S$5,NFI,5,0),1,0)*Table_NFI[[#This Row],[Winter Clothes Children]],Table_NFI[Winter Clothes Children])</f>
        <v>0</v>
      </c>
      <c r="AI861" s="436">
        <f>IF(NFI_Expiration=1,IF($A861&lt;VLOOKUP(T$5,NFI,5,0),1,0)*Table_NFI[[#This Row],[Winter Items Other]],Table_NFI[Winter Items Other])</f>
        <v>0</v>
      </c>
      <c r="AJ861" s="436">
        <f>IF(NFI_Expiration=1,IF($A861&lt;VLOOKUP(M$5,NFI,5,0),1,0)*Table_NFI[[#This Row],[Winter Blanket]],Table_NFI[[#This Row],[Winter Blanket]])</f>
        <v>0</v>
      </c>
      <c r="AK861" s="436">
        <f>IF(Table_NFI[[#This Row],[Winter Clothes Adult]]+Table_NFI[[#This Row],[Winter Clothes Children]]+Table_NFI[[#This Row],[Winter Items Other]]+Table_NFI[[#This Row],[Winter Blanket]]&gt;0,1,0)</f>
        <v>0</v>
      </c>
      <c r="AL861" s="439">
        <f>IF(NFI_Expiration=1,IF($A861&lt;VLOOKUP(V$5,NFI,5,0),1,0)*Table_NFI[[#This Row],[Jerry Can]],Table_NFI[Jerry Can])</f>
        <v>0</v>
      </c>
      <c r="AM861" s="781" t="str">
        <f>IFERROR(VLOOKUP(Table_NFI[[#This Row],[Camp Name]],CL,2,0),"")</f>
        <v>MMR001CMP179</v>
      </c>
      <c r="AN861" s="782">
        <f ca="1">IF(Table_NFI[[#This Row],[Pcode]]="","",IF(OFFSET(CampList[Opening Date],MATCH(Table_NFI[[#This Row],[Pcode]],CampList[CP_Pcode],0)-1,0,1,1)&gt;=NFI_Monitor_Date,1,0))</f>
        <v>0</v>
      </c>
      <c r="AO861" s="781" t="str">
        <f>IFERROR(VLOOKUP(Table_NFI[[#This Row],[Camp Name]],CL,3,0),"")</f>
        <v>Open</v>
      </c>
      <c r="AP861" s="436" t="str">
        <f ca="1">IF(Table_NFI[[#This Row],[Pcode]]="","",OFFSET(CampList[Priority],MATCH(Table_NFI[[#This Row],[Pcode]],CampList[CP_Pcode],0)-1,0,1,1))</f>
        <v>P4</v>
      </c>
      <c r="AQ861" s="438">
        <f>IFERROR(Table_NFI[[#This Row],[Kitchen Set]]/VLOOKUP(Table_NFI[[#This Row],[Camp Name]],CL,4,0),"")</f>
        <v>0</v>
      </c>
      <c r="AR861" s="779" t="s">
        <v>1099</v>
      </c>
      <c r="AS861" s="783"/>
    </row>
    <row r="862" spans="1:45" x14ac:dyDescent="0.25">
      <c r="A862" s="455">
        <f t="shared" si="13"/>
        <v>46.266666666666666</v>
      </c>
      <c r="B862" s="778">
        <v>40921</v>
      </c>
      <c r="C862" s="779" t="s">
        <v>454</v>
      </c>
      <c r="D862" s="780" t="s">
        <v>462</v>
      </c>
      <c r="E862" s="779" t="s">
        <v>380</v>
      </c>
      <c r="F862" s="435" t="s">
        <v>529</v>
      </c>
      <c r="G862" s="435" t="s">
        <v>62</v>
      </c>
      <c r="H862" s="436"/>
      <c r="I862" s="436"/>
      <c r="J862" s="436"/>
      <c r="K862" s="436">
        <v>148</v>
      </c>
      <c r="L862" s="437">
        <v>74</v>
      </c>
      <c r="M862" s="437">
        <v>74</v>
      </c>
      <c r="N862" s="437">
        <v>0</v>
      </c>
      <c r="O862" s="437">
        <v>74</v>
      </c>
      <c r="P862" s="437">
        <v>74</v>
      </c>
      <c r="Q862" s="437">
        <v>74</v>
      </c>
      <c r="R862" s="436"/>
      <c r="S862" s="436"/>
      <c r="T862" s="436"/>
      <c r="U862" s="436"/>
      <c r="V862" s="436"/>
      <c r="W862" s="436">
        <f>IF(NFI_Expiration=1,IF($A862&lt;VLOOKUP(H$5,NFI,5,0),1,0)*Table_NFI[[#This Row],[Hygiene Kit]],Table_NFI[Hygiene Kit])</f>
        <v>0</v>
      </c>
      <c r="X862" s="436">
        <f>IF(NFI_Expiration=1,IF($A862&lt;VLOOKUP(I$5,NFI,5,0),1,0)*Table_NFI[[#This Row],[NFI Core Kit]],Table_NFI[NFI Core Kit])</f>
        <v>0</v>
      </c>
      <c r="Y862" s="436">
        <f>IF(NFI_Expiration=1,IF($A862&lt;VLOOKUP(J$5,NFI,5,0),1,0)*Table_NFI[[#This Row],[Sanitary Kit]],Table_NFI[Sanitary Kit])</f>
        <v>0</v>
      </c>
      <c r="Z862" s="436">
        <f>IF(NFI_Expiration=1,IF($A862&lt;VLOOKUP(K$5,NFI,5,0),1,0)*Table_NFI[[#This Row],[Mosquito net]],Table_NFI[Mosquito net])</f>
        <v>0</v>
      </c>
      <c r="AA862" s="436">
        <f>IF(NFI_Expiration=1,IF($A862&lt;VLOOKUP(L$5,NFI,5,0),1,0)*Table_NFI[[#This Row],[Tarpaulin]],Table_NFI[[#This Row],[Tarpaulin]])</f>
        <v>0</v>
      </c>
      <c r="AB862" s="436">
        <f>IF(NFI_Expiration=1,IF($A862&lt;VLOOKUP(M$5,NFI,5,0),1,0)*Table_NFI[[#This Row],[Blanket]],Table_NFI[[#This Row],[Blanket]])</f>
        <v>0</v>
      </c>
      <c r="AC862" s="436">
        <f>IF(NFI_Expiration=1,IF($A862&lt;VLOOKUP(N$5,NFI,5,0),1,0)*Table_NFI[[#This Row],[Kitchen Set]],Table_NFI[Kitchen Set])</f>
        <v>0</v>
      </c>
      <c r="AD862" s="436">
        <f>IF(NFI_Expiration=1,IF($A862&lt;VLOOKUP(O$5,NFI,5,0),1,0)*Table_NFI[[#This Row],[Clothes Kit]],Table_NFI[Clothes Kit])</f>
        <v>0</v>
      </c>
      <c r="AE862" s="436">
        <f>IF(NFI_Expiration=1,IF($A862&lt;VLOOKUP(P$5,NFI,5,0),1,0)*Table_NFI[[#This Row],[Plastic Bucket]],Table_NFI[Plastic Bucket])</f>
        <v>0</v>
      </c>
      <c r="AF862" s="436">
        <f>IF(NFI_Expiration=1,IF($A862&lt;VLOOKUP(Q$5,NFI,5,0),1,0)*Table_NFI[[#This Row],[Plastic Mat]],Table_NFI[Plastic Mat])*IF(Table_NFI[[#This Row],[Distribution Date]]&gt;"2014-04-01",1,2.5)</f>
        <v>0</v>
      </c>
      <c r="AG862" s="436">
        <f>IF(NFI_Expiration=1,IF($A862&lt;VLOOKUP(R$5,NFI,5,0),1,0)*Table_NFI[[#This Row],[Winter Clothes Adult]],Table_NFI[Winter Clothes Adult])</f>
        <v>0</v>
      </c>
      <c r="AH862" s="436">
        <f>IF(NFI_Expiration=1,IF($A862&lt;VLOOKUP(S$5,NFI,5,0),1,0)*Table_NFI[[#This Row],[Winter Clothes Children]],Table_NFI[Winter Clothes Children])</f>
        <v>0</v>
      </c>
      <c r="AI862" s="436">
        <f>IF(NFI_Expiration=1,IF($A862&lt;VLOOKUP(T$5,NFI,5,0),1,0)*Table_NFI[[#This Row],[Winter Items Other]],Table_NFI[Winter Items Other])</f>
        <v>0</v>
      </c>
      <c r="AJ862" s="436">
        <f>IF(NFI_Expiration=1,IF($A862&lt;VLOOKUP(M$5,NFI,5,0),1,0)*Table_NFI[[#This Row],[Winter Blanket]],Table_NFI[[#This Row],[Winter Blanket]])</f>
        <v>0</v>
      </c>
      <c r="AK862" s="436">
        <f>IF(Table_NFI[[#This Row],[Winter Clothes Adult]]+Table_NFI[[#This Row],[Winter Clothes Children]]+Table_NFI[[#This Row],[Winter Items Other]]+Table_NFI[[#This Row],[Winter Blanket]]&gt;0,1,0)</f>
        <v>0</v>
      </c>
      <c r="AL862" s="439">
        <f>IF(NFI_Expiration=1,IF($A862&lt;VLOOKUP(V$5,NFI,5,0),1,0)*Table_NFI[[#This Row],[Jerry Can]],Table_NFI[Jerry Can])</f>
        <v>0</v>
      </c>
      <c r="AM862" s="781" t="str">
        <f>IFERROR(VLOOKUP(Table_NFI[[#This Row],[Camp Name]],CL,2,0),"")</f>
        <v>MMR001CMP179</v>
      </c>
      <c r="AN862" s="782">
        <f ca="1">IF(Table_NFI[[#This Row],[Pcode]]="","",IF(OFFSET(CampList[Opening Date],MATCH(Table_NFI[[#This Row],[Pcode]],CampList[CP_Pcode],0)-1,0,1,1)&gt;=NFI_Monitor_Date,1,0))</f>
        <v>0</v>
      </c>
      <c r="AO862" s="781" t="str">
        <f>IFERROR(VLOOKUP(Table_NFI[[#This Row],[Camp Name]],CL,3,0),"")</f>
        <v>Open</v>
      </c>
      <c r="AP862" s="436" t="str">
        <f ca="1">IF(Table_NFI[[#This Row],[Pcode]]="","",OFFSET(CampList[Priority],MATCH(Table_NFI[[#This Row],[Pcode]],CampList[CP_Pcode],0)-1,0,1,1))</f>
        <v>P4</v>
      </c>
      <c r="AQ862" s="438">
        <f>IFERROR(Table_NFI[[#This Row],[Kitchen Set]]/VLOOKUP(Table_NFI[[#This Row],[Camp Name]],CL,4,0),"")</f>
        <v>0</v>
      </c>
      <c r="AR862" s="779" t="s">
        <v>1099</v>
      </c>
      <c r="AS862" s="783"/>
    </row>
    <row r="863" spans="1:45" x14ac:dyDescent="0.25">
      <c r="A863" s="455">
        <f t="shared" si="13"/>
        <v>46.266666666666666</v>
      </c>
      <c r="B863" s="778">
        <v>40921</v>
      </c>
      <c r="C863" s="779" t="s">
        <v>454</v>
      </c>
      <c r="D863" s="780" t="s">
        <v>462</v>
      </c>
      <c r="E863" s="779" t="s">
        <v>380</v>
      </c>
      <c r="F863" s="435" t="s">
        <v>529</v>
      </c>
      <c r="G863" s="435" t="s">
        <v>52</v>
      </c>
      <c r="H863" s="436"/>
      <c r="I863" s="436"/>
      <c r="J863" s="436"/>
      <c r="K863" s="436">
        <v>70</v>
      </c>
      <c r="L863" s="437">
        <v>35</v>
      </c>
      <c r="M863" s="437">
        <v>35</v>
      </c>
      <c r="N863" s="437">
        <v>0</v>
      </c>
      <c r="O863" s="437">
        <v>35</v>
      </c>
      <c r="P863" s="437">
        <v>35</v>
      </c>
      <c r="Q863" s="437">
        <v>35</v>
      </c>
      <c r="R863" s="436"/>
      <c r="S863" s="436"/>
      <c r="T863" s="436"/>
      <c r="U863" s="436"/>
      <c r="V863" s="436"/>
      <c r="W863" s="436">
        <f>IF(NFI_Expiration=1,IF($A863&lt;VLOOKUP(H$5,NFI,5,0),1,0)*Table_NFI[[#This Row],[Hygiene Kit]],Table_NFI[Hygiene Kit])</f>
        <v>0</v>
      </c>
      <c r="X863" s="436">
        <f>IF(NFI_Expiration=1,IF($A863&lt;VLOOKUP(I$5,NFI,5,0),1,0)*Table_NFI[[#This Row],[NFI Core Kit]],Table_NFI[NFI Core Kit])</f>
        <v>0</v>
      </c>
      <c r="Y863" s="436">
        <f>IF(NFI_Expiration=1,IF($A863&lt;VLOOKUP(J$5,NFI,5,0),1,0)*Table_NFI[[#This Row],[Sanitary Kit]],Table_NFI[Sanitary Kit])</f>
        <v>0</v>
      </c>
      <c r="Z863" s="436">
        <f>IF(NFI_Expiration=1,IF($A863&lt;VLOOKUP(K$5,NFI,5,0),1,0)*Table_NFI[[#This Row],[Mosquito net]],Table_NFI[Mosquito net])</f>
        <v>0</v>
      </c>
      <c r="AA863" s="436">
        <f>IF(NFI_Expiration=1,IF($A863&lt;VLOOKUP(L$5,NFI,5,0),1,0)*Table_NFI[[#This Row],[Tarpaulin]],Table_NFI[[#This Row],[Tarpaulin]])</f>
        <v>0</v>
      </c>
      <c r="AB863" s="436">
        <f>IF(NFI_Expiration=1,IF($A863&lt;VLOOKUP(M$5,NFI,5,0),1,0)*Table_NFI[[#This Row],[Blanket]],Table_NFI[[#This Row],[Blanket]])</f>
        <v>0</v>
      </c>
      <c r="AC863" s="436">
        <f>IF(NFI_Expiration=1,IF($A863&lt;VLOOKUP(N$5,NFI,5,0),1,0)*Table_NFI[[#This Row],[Kitchen Set]],Table_NFI[Kitchen Set])</f>
        <v>0</v>
      </c>
      <c r="AD863" s="436">
        <f>IF(NFI_Expiration=1,IF($A863&lt;VLOOKUP(O$5,NFI,5,0),1,0)*Table_NFI[[#This Row],[Clothes Kit]],Table_NFI[Clothes Kit])</f>
        <v>0</v>
      </c>
      <c r="AE863" s="436">
        <f>IF(NFI_Expiration=1,IF($A863&lt;VLOOKUP(P$5,NFI,5,0),1,0)*Table_NFI[[#This Row],[Plastic Bucket]],Table_NFI[Plastic Bucket])</f>
        <v>0</v>
      </c>
      <c r="AF863" s="436">
        <f>IF(NFI_Expiration=1,IF($A863&lt;VLOOKUP(Q$5,NFI,5,0),1,0)*Table_NFI[[#This Row],[Plastic Mat]],Table_NFI[Plastic Mat])*IF(Table_NFI[[#This Row],[Distribution Date]]&gt;"2014-04-01",1,2.5)</f>
        <v>0</v>
      </c>
      <c r="AG863" s="436">
        <f>IF(NFI_Expiration=1,IF($A863&lt;VLOOKUP(R$5,NFI,5,0),1,0)*Table_NFI[[#This Row],[Winter Clothes Adult]],Table_NFI[Winter Clothes Adult])</f>
        <v>0</v>
      </c>
      <c r="AH863" s="436">
        <f>IF(NFI_Expiration=1,IF($A863&lt;VLOOKUP(S$5,NFI,5,0),1,0)*Table_NFI[[#This Row],[Winter Clothes Children]],Table_NFI[Winter Clothes Children])</f>
        <v>0</v>
      </c>
      <c r="AI863" s="436">
        <f>IF(NFI_Expiration=1,IF($A863&lt;VLOOKUP(T$5,NFI,5,0),1,0)*Table_NFI[[#This Row],[Winter Items Other]],Table_NFI[Winter Items Other])</f>
        <v>0</v>
      </c>
      <c r="AJ863" s="436">
        <f>IF(NFI_Expiration=1,IF($A863&lt;VLOOKUP(M$5,NFI,5,0),1,0)*Table_NFI[[#This Row],[Winter Blanket]],Table_NFI[[#This Row],[Winter Blanket]])</f>
        <v>0</v>
      </c>
      <c r="AK863" s="436">
        <f>IF(Table_NFI[[#This Row],[Winter Clothes Adult]]+Table_NFI[[#This Row],[Winter Clothes Children]]+Table_NFI[[#This Row],[Winter Items Other]]+Table_NFI[[#This Row],[Winter Blanket]]&gt;0,1,0)</f>
        <v>0</v>
      </c>
      <c r="AL863" s="439">
        <f>IF(NFI_Expiration=1,IF($A863&lt;VLOOKUP(V$5,NFI,5,0),1,0)*Table_NFI[[#This Row],[Jerry Can]],Table_NFI[Jerry Can])</f>
        <v>0</v>
      </c>
      <c r="AM863" s="781" t="str">
        <f>IFERROR(VLOOKUP(Table_NFI[[#This Row],[Camp Name]],CL,2,0),"")</f>
        <v>MMR001CMP169</v>
      </c>
      <c r="AN863" s="782">
        <f ca="1">IF(Table_NFI[[#This Row],[Pcode]]="","",IF(OFFSET(CampList[Opening Date],MATCH(Table_NFI[[#This Row],[Pcode]],CampList[CP_Pcode],0)-1,0,1,1)&gt;=NFI_Monitor_Date,1,0))</f>
        <v>0</v>
      </c>
      <c r="AO863" s="781" t="str">
        <f>IFERROR(VLOOKUP(Table_NFI[[#This Row],[Camp Name]],CL,3,0),"")</f>
        <v>Open</v>
      </c>
      <c r="AP863" s="436" t="str">
        <f ca="1">IF(Table_NFI[[#This Row],[Pcode]]="","",OFFSET(CampList[Priority],MATCH(Table_NFI[[#This Row],[Pcode]],CampList[CP_Pcode],0)-1,0,1,1))</f>
        <v>P4</v>
      </c>
      <c r="AQ863" s="438">
        <f>IFERROR(Table_NFI[[#This Row],[Kitchen Set]]/VLOOKUP(Table_NFI[[#This Row],[Camp Name]],CL,4,0),"")</f>
        <v>0</v>
      </c>
      <c r="AR863" s="779" t="s">
        <v>1099</v>
      </c>
      <c r="AS863" s="783"/>
    </row>
    <row r="864" spans="1:45" x14ac:dyDescent="0.25">
      <c r="A864" s="455">
        <f t="shared" si="13"/>
        <v>46.266666666666666</v>
      </c>
      <c r="B864" s="778">
        <v>40921</v>
      </c>
      <c r="C864" s="779" t="s">
        <v>454</v>
      </c>
      <c r="D864" s="780" t="s">
        <v>462</v>
      </c>
      <c r="E864" s="779" t="s">
        <v>380</v>
      </c>
      <c r="F864" s="435" t="s">
        <v>529</v>
      </c>
      <c r="G864" s="435" t="s">
        <v>88</v>
      </c>
      <c r="H864" s="436"/>
      <c r="I864" s="436"/>
      <c r="J864" s="436"/>
      <c r="K864" s="436">
        <v>10</v>
      </c>
      <c r="L864" s="437">
        <v>5</v>
      </c>
      <c r="M864" s="437">
        <v>5</v>
      </c>
      <c r="N864" s="437">
        <v>0</v>
      </c>
      <c r="O864" s="437">
        <v>5</v>
      </c>
      <c r="P864" s="437">
        <v>5</v>
      </c>
      <c r="Q864" s="437">
        <v>5</v>
      </c>
      <c r="R864" s="436"/>
      <c r="S864" s="436"/>
      <c r="T864" s="436"/>
      <c r="U864" s="436"/>
      <c r="V864" s="436"/>
      <c r="W864" s="436">
        <f>IF(NFI_Expiration=1,IF($A864&lt;VLOOKUP(H$5,NFI,5,0),1,0)*Table_NFI[[#This Row],[Hygiene Kit]],Table_NFI[Hygiene Kit])</f>
        <v>0</v>
      </c>
      <c r="X864" s="436">
        <f>IF(NFI_Expiration=1,IF($A864&lt;VLOOKUP(I$5,NFI,5,0),1,0)*Table_NFI[[#This Row],[NFI Core Kit]],Table_NFI[NFI Core Kit])</f>
        <v>0</v>
      </c>
      <c r="Y864" s="436">
        <f>IF(NFI_Expiration=1,IF($A864&lt;VLOOKUP(J$5,NFI,5,0),1,0)*Table_NFI[[#This Row],[Sanitary Kit]],Table_NFI[Sanitary Kit])</f>
        <v>0</v>
      </c>
      <c r="Z864" s="436">
        <f>IF(NFI_Expiration=1,IF($A864&lt;VLOOKUP(K$5,NFI,5,0),1,0)*Table_NFI[[#This Row],[Mosquito net]],Table_NFI[Mosquito net])</f>
        <v>0</v>
      </c>
      <c r="AA864" s="436">
        <f>IF(NFI_Expiration=1,IF($A864&lt;VLOOKUP(L$5,NFI,5,0),1,0)*Table_NFI[[#This Row],[Tarpaulin]],Table_NFI[[#This Row],[Tarpaulin]])</f>
        <v>0</v>
      </c>
      <c r="AB864" s="436">
        <f>IF(NFI_Expiration=1,IF($A864&lt;VLOOKUP(M$5,NFI,5,0),1,0)*Table_NFI[[#This Row],[Blanket]],Table_NFI[[#This Row],[Blanket]])</f>
        <v>0</v>
      </c>
      <c r="AC864" s="436">
        <f>IF(NFI_Expiration=1,IF($A864&lt;VLOOKUP(N$5,NFI,5,0),1,0)*Table_NFI[[#This Row],[Kitchen Set]],Table_NFI[Kitchen Set])</f>
        <v>0</v>
      </c>
      <c r="AD864" s="436">
        <f>IF(NFI_Expiration=1,IF($A864&lt;VLOOKUP(O$5,NFI,5,0),1,0)*Table_NFI[[#This Row],[Clothes Kit]],Table_NFI[Clothes Kit])</f>
        <v>0</v>
      </c>
      <c r="AE864" s="436">
        <f>IF(NFI_Expiration=1,IF($A864&lt;VLOOKUP(P$5,NFI,5,0),1,0)*Table_NFI[[#This Row],[Plastic Bucket]],Table_NFI[Plastic Bucket])</f>
        <v>0</v>
      </c>
      <c r="AF864" s="436">
        <f>IF(NFI_Expiration=1,IF($A864&lt;VLOOKUP(Q$5,NFI,5,0),1,0)*Table_NFI[[#This Row],[Plastic Mat]],Table_NFI[Plastic Mat])*IF(Table_NFI[[#This Row],[Distribution Date]]&gt;"2014-04-01",1,2.5)</f>
        <v>0</v>
      </c>
      <c r="AG864" s="436">
        <f>IF(NFI_Expiration=1,IF($A864&lt;VLOOKUP(R$5,NFI,5,0),1,0)*Table_NFI[[#This Row],[Winter Clothes Adult]],Table_NFI[Winter Clothes Adult])</f>
        <v>0</v>
      </c>
      <c r="AH864" s="436">
        <f>IF(NFI_Expiration=1,IF($A864&lt;VLOOKUP(S$5,NFI,5,0),1,0)*Table_NFI[[#This Row],[Winter Clothes Children]],Table_NFI[Winter Clothes Children])</f>
        <v>0</v>
      </c>
      <c r="AI864" s="436">
        <f>IF(NFI_Expiration=1,IF($A864&lt;VLOOKUP(T$5,NFI,5,0),1,0)*Table_NFI[[#This Row],[Winter Items Other]],Table_NFI[Winter Items Other])</f>
        <v>0</v>
      </c>
      <c r="AJ864" s="436">
        <f>IF(NFI_Expiration=1,IF($A864&lt;VLOOKUP(M$5,NFI,5,0),1,0)*Table_NFI[[#This Row],[Winter Blanket]],Table_NFI[[#This Row],[Winter Blanket]])</f>
        <v>0</v>
      </c>
      <c r="AK864" s="436">
        <f>IF(Table_NFI[[#This Row],[Winter Clothes Adult]]+Table_NFI[[#This Row],[Winter Clothes Children]]+Table_NFI[[#This Row],[Winter Items Other]]+Table_NFI[[#This Row],[Winter Blanket]]&gt;0,1,0)</f>
        <v>0</v>
      </c>
      <c r="AL864" s="439">
        <f>IF(NFI_Expiration=1,IF($A864&lt;VLOOKUP(V$5,NFI,5,0),1,0)*Table_NFI[[#This Row],[Jerry Can]],Table_NFI[Jerry Can])</f>
        <v>0</v>
      </c>
      <c r="AM864" s="781" t="str">
        <f>IFERROR(VLOOKUP(Table_NFI[[#This Row],[Camp Name]],CL,2,0),"")</f>
        <v>MMR001CMP148</v>
      </c>
      <c r="AN864" s="782">
        <f ca="1">IF(Table_NFI[[#This Row],[Pcode]]="","",IF(OFFSET(CampList[Opening Date],MATCH(Table_NFI[[#This Row],[Pcode]],CampList[CP_Pcode],0)-1,0,1,1)&gt;=NFI_Monitor_Date,1,0))</f>
        <v>0</v>
      </c>
      <c r="AO864" s="781" t="str">
        <f>IFERROR(VLOOKUP(Table_NFI[[#This Row],[Camp Name]],CL,3,0),"")</f>
        <v>Open</v>
      </c>
      <c r="AP864" s="436" t="str">
        <f ca="1">IF(Table_NFI[[#This Row],[Pcode]]="","",OFFSET(CampList[Priority],MATCH(Table_NFI[[#This Row],[Pcode]],CampList[CP_Pcode],0)-1,0,1,1))</f>
        <v>P4</v>
      </c>
      <c r="AQ864" s="438">
        <f>IFERROR(Table_NFI[[#This Row],[Kitchen Set]]/VLOOKUP(Table_NFI[[#This Row],[Camp Name]],CL,4,0),"")</f>
        <v>0</v>
      </c>
      <c r="AR864" s="779" t="s">
        <v>1099</v>
      </c>
      <c r="AS864" s="783"/>
    </row>
    <row r="865" spans="1:45" x14ac:dyDescent="0.25">
      <c r="A865" s="455">
        <f t="shared" si="13"/>
        <v>46.266666666666666</v>
      </c>
      <c r="B865" s="778">
        <v>40921</v>
      </c>
      <c r="C865" s="779" t="s">
        <v>454</v>
      </c>
      <c r="D865" s="780" t="s">
        <v>454</v>
      </c>
      <c r="E865" s="779" t="s">
        <v>380</v>
      </c>
      <c r="F865" s="435" t="s">
        <v>310</v>
      </c>
      <c r="G865" s="435" t="s">
        <v>326</v>
      </c>
      <c r="H865" s="436"/>
      <c r="I865" s="436"/>
      <c r="J865" s="436"/>
      <c r="K865" s="436">
        <v>35</v>
      </c>
      <c r="L865" s="437">
        <v>17</v>
      </c>
      <c r="M865" s="437">
        <v>35</v>
      </c>
      <c r="N865" s="437">
        <v>17</v>
      </c>
      <c r="O865" s="437">
        <v>17</v>
      </c>
      <c r="P865" s="437">
        <v>17</v>
      </c>
      <c r="Q865" s="437">
        <v>17</v>
      </c>
      <c r="R865" s="436"/>
      <c r="S865" s="436"/>
      <c r="T865" s="436"/>
      <c r="U865" s="436"/>
      <c r="V865" s="436"/>
      <c r="W865" s="436">
        <f>IF(NFI_Expiration=1,IF($A865&lt;VLOOKUP(H$5,NFI,5,0),1,0)*Table_NFI[[#This Row],[Hygiene Kit]],Table_NFI[Hygiene Kit])</f>
        <v>0</v>
      </c>
      <c r="X865" s="436">
        <f>IF(NFI_Expiration=1,IF($A865&lt;VLOOKUP(I$5,NFI,5,0),1,0)*Table_NFI[[#This Row],[NFI Core Kit]],Table_NFI[NFI Core Kit])</f>
        <v>0</v>
      </c>
      <c r="Y865" s="436">
        <f>IF(NFI_Expiration=1,IF($A865&lt;VLOOKUP(J$5,NFI,5,0),1,0)*Table_NFI[[#This Row],[Sanitary Kit]],Table_NFI[Sanitary Kit])</f>
        <v>0</v>
      </c>
      <c r="Z865" s="436">
        <f>IF(NFI_Expiration=1,IF($A865&lt;VLOOKUP(K$5,NFI,5,0),1,0)*Table_NFI[[#This Row],[Mosquito net]],Table_NFI[Mosquito net])</f>
        <v>0</v>
      </c>
      <c r="AA865" s="436">
        <f>IF(NFI_Expiration=1,IF($A865&lt;VLOOKUP(L$5,NFI,5,0),1,0)*Table_NFI[[#This Row],[Tarpaulin]],Table_NFI[[#This Row],[Tarpaulin]])</f>
        <v>0</v>
      </c>
      <c r="AB865" s="436">
        <f>IF(NFI_Expiration=1,IF($A865&lt;VLOOKUP(M$5,NFI,5,0),1,0)*Table_NFI[[#This Row],[Blanket]],Table_NFI[[#This Row],[Blanket]])</f>
        <v>0</v>
      </c>
      <c r="AC865" s="436">
        <f>IF(NFI_Expiration=1,IF($A865&lt;VLOOKUP(N$5,NFI,5,0),1,0)*Table_NFI[[#This Row],[Kitchen Set]],Table_NFI[Kitchen Set])</f>
        <v>0</v>
      </c>
      <c r="AD865" s="436">
        <f>IF(NFI_Expiration=1,IF($A865&lt;VLOOKUP(O$5,NFI,5,0),1,0)*Table_NFI[[#This Row],[Clothes Kit]],Table_NFI[Clothes Kit])</f>
        <v>0</v>
      </c>
      <c r="AE865" s="436">
        <f>IF(NFI_Expiration=1,IF($A865&lt;VLOOKUP(P$5,NFI,5,0),1,0)*Table_NFI[[#This Row],[Plastic Bucket]],Table_NFI[Plastic Bucket])</f>
        <v>0</v>
      </c>
      <c r="AF865" s="436">
        <f>IF(NFI_Expiration=1,IF($A865&lt;VLOOKUP(Q$5,NFI,5,0),1,0)*Table_NFI[[#This Row],[Plastic Mat]],Table_NFI[Plastic Mat])*IF(Table_NFI[[#This Row],[Distribution Date]]&gt;"2014-04-01",1,2.5)</f>
        <v>0</v>
      </c>
      <c r="AG865" s="436">
        <f>IF(NFI_Expiration=1,IF($A865&lt;VLOOKUP(R$5,NFI,5,0),1,0)*Table_NFI[[#This Row],[Winter Clothes Adult]],Table_NFI[Winter Clothes Adult])</f>
        <v>0</v>
      </c>
      <c r="AH865" s="436">
        <f>IF(NFI_Expiration=1,IF($A865&lt;VLOOKUP(S$5,NFI,5,0),1,0)*Table_NFI[[#This Row],[Winter Clothes Children]],Table_NFI[Winter Clothes Children])</f>
        <v>0</v>
      </c>
      <c r="AI865" s="436">
        <f>IF(NFI_Expiration=1,IF($A865&lt;VLOOKUP(T$5,NFI,5,0),1,0)*Table_NFI[[#This Row],[Winter Items Other]],Table_NFI[Winter Items Other])</f>
        <v>0</v>
      </c>
      <c r="AJ865" s="436">
        <f>IF(NFI_Expiration=1,IF($A865&lt;VLOOKUP(M$5,NFI,5,0),1,0)*Table_NFI[[#This Row],[Winter Blanket]],Table_NFI[[#This Row],[Winter Blanket]])</f>
        <v>0</v>
      </c>
      <c r="AK865" s="436">
        <f>IF(Table_NFI[[#This Row],[Winter Clothes Adult]]+Table_NFI[[#This Row],[Winter Clothes Children]]+Table_NFI[[#This Row],[Winter Items Other]]+Table_NFI[[#This Row],[Winter Blanket]]&gt;0,1,0)</f>
        <v>0</v>
      </c>
      <c r="AL865" s="439">
        <f>IF(NFI_Expiration=1,IF($A865&lt;VLOOKUP(V$5,NFI,5,0),1,0)*Table_NFI[[#This Row],[Jerry Can]],Table_NFI[Jerry Can])</f>
        <v>0</v>
      </c>
      <c r="AM865" s="781" t="str">
        <f>IFERROR(VLOOKUP(Table_NFI[[#This Row],[Camp Name]],CL,2,0),"")</f>
        <v>MMR001CMP039</v>
      </c>
      <c r="AN865" s="782">
        <f ca="1">IF(Table_NFI[[#This Row],[Pcode]]="","",IF(OFFSET(CampList[Opening Date],MATCH(Table_NFI[[#This Row],[Pcode]],CampList[CP_Pcode],0)-1,0,1,1)&gt;=NFI_Monitor_Date,1,0))</f>
        <v>0</v>
      </c>
      <c r="AO865" s="781" t="str">
        <f>IFERROR(VLOOKUP(Table_NFI[[#This Row],[Camp Name]],CL,3,0),"")</f>
        <v>Open</v>
      </c>
      <c r="AP865" s="436" t="str">
        <f ca="1">IF(Table_NFI[[#This Row],[Pcode]]="","",OFFSET(CampList[Priority],MATCH(Table_NFI[[#This Row],[Pcode]],CampList[CP_Pcode],0)-1,0,1,1))</f>
        <v>P4</v>
      </c>
      <c r="AQ865" s="438">
        <f>IFERROR(Table_NFI[[#This Row],[Kitchen Set]]/VLOOKUP(Table_NFI[[#This Row],[Camp Name]],CL,4,0),"")</f>
        <v>0.35416666666666669</v>
      </c>
      <c r="AR865" s="779" t="s">
        <v>1099</v>
      </c>
      <c r="AS865" s="783"/>
    </row>
    <row r="866" spans="1:45" ht="25.5" x14ac:dyDescent="0.25">
      <c r="A866" s="455">
        <f t="shared" si="13"/>
        <v>46.266666666666666</v>
      </c>
      <c r="B866" s="778">
        <v>40921</v>
      </c>
      <c r="C866" s="779" t="s">
        <v>454</v>
      </c>
      <c r="D866" s="780" t="s">
        <v>462</v>
      </c>
      <c r="E866" s="779" t="s">
        <v>380</v>
      </c>
      <c r="F866" s="435" t="s">
        <v>529</v>
      </c>
      <c r="G866" s="440" t="s">
        <v>136</v>
      </c>
      <c r="H866" s="436"/>
      <c r="I866" s="436"/>
      <c r="J866" s="436"/>
      <c r="K866" s="436">
        <v>224</v>
      </c>
      <c r="L866" s="437">
        <v>112</v>
      </c>
      <c r="M866" s="437">
        <v>112</v>
      </c>
      <c r="N866" s="437">
        <v>0</v>
      </c>
      <c r="O866" s="437">
        <v>112</v>
      </c>
      <c r="P866" s="437">
        <v>112</v>
      </c>
      <c r="Q866" s="437">
        <v>112</v>
      </c>
      <c r="R866" s="436"/>
      <c r="S866" s="436"/>
      <c r="T866" s="436"/>
      <c r="U866" s="436"/>
      <c r="V866" s="436"/>
      <c r="W866" s="436">
        <f>IF(NFI_Expiration=1,IF($A866&lt;VLOOKUP(H$5,NFI,5,0),1,0)*Table_NFI[[#This Row],[Hygiene Kit]],Table_NFI[Hygiene Kit])</f>
        <v>0</v>
      </c>
      <c r="X866" s="436">
        <f>IF(NFI_Expiration=1,IF($A866&lt;VLOOKUP(I$5,NFI,5,0),1,0)*Table_NFI[[#This Row],[NFI Core Kit]],Table_NFI[NFI Core Kit])</f>
        <v>0</v>
      </c>
      <c r="Y866" s="436">
        <f>IF(NFI_Expiration=1,IF($A866&lt;VLOOKUP(J$5,NFI,5,0),1,0)*Table_NFI[[#This Row],[Sanitary Kit]],Table_NFI[Sanitary Kit])</f>
        <v>0</v>
      </c>
      <c r="Z866" s="436">
        <f>IF(NFI_Expiration=1,IF($A866&lt;VLOOKUP(K$5,NFI,5,0),1,0)*Table_NFI[[#This Row],[Mosquito net]],Table_NFI[Mosquito net])</f>
        <v>0</v>
      </c>
      <c r="AA866" s="436">
        <f>IF(NFI_Expiration=1,IF($A866&lt;VLOOKUP(L$5,NFI,5,0),1,0)*Table_NFI[[#This Row],[Tarpaulin]],Table_NFI[[#This Row],[Tarpaulin]])</f>
        <v>0</v>
      </c>
      <c r="AB866" s="436">
        <f>IF(NFI_Expiration=1,IF($A866&lt;VLOOKUP(M$5,NFI,5,0),1,0)*Table_NFI[[#This Row],[Blanket]],Table_NFI[[#This Row],[Blanket]])</f>
        <v>0</v>
      </c>
      <c r="AC866" s="436">
        <f>IF(NFI_Expiration=1,IF($A866&lt;VLOOKUP(N$5,NFI,5,0),1,0)*Table_NFI[[#This Row],[Kitchen Set]],Table_NFI[Kitchen Set])</f>
        <v>0</v>
      </c>
      <c r="AD866" s="436">
        <f>IF(NFI_Expiration=1,IF($A866&lt;VLOOKUP(O$5,NFI,5,0),1,0)*Table_NFI[[#This Row],[Clothes Kit]],Table_NFI[Clothes Kit])</f>
        <v>0</v>
      </c>
      <c r="AE866" s="436">
        <f>IF(NFI_Expiration=1,IF($A866&lt;VLOOKUP(P$5,NFI,5,0),1,0)*Table_NFI[[#This Row],[Plastic Bucket]],Table_NFI[Plastic Bucket])</f>
        <v>0</v>
      </c>
      <c r="AF866" s="436">
        <f>IF(NFI_Expiration=1,IF($A866&lt;VLOOKUP(Q$5,NFI,5,0),1,0)*Table_NFI[[#This Row],[Plastic Mat]],Table_NFI[Plastic Mat])*IF(Table_NFI[[#This Row],[Distribution Date]]&gt;"2014-04-01",1,2.5)</f>
        <v>0</v>
      </c>
      <c r="AG866" s="436">
        <f>IF(NFI_Expiration=1,IF($A866&lt;VLOOKUP(R$5,NFI,5,0),1,0)*Table_NFI[[#This Row],[Winter Clothes Adult]],Table_NFI[Winter Clothes Adult])</f>
        <v>0</v>
      </c>
      <c r="AH866" s="436">
        <f>IF(NFI_Expiration=1,IF($A866&lt;VLOOKUP(S$5,NFI,5,0),1,0)*Table_NFI[[#This Row],[Winter Clothes Children]],Table_NFI[Winter Clothes Children])</f>
        <v>0</v>
      </c>
      <c r="AI866" s="436">
        <f>IF(NFI_Expiration=1,IF($A866&lt;VLOOKUP(T$5,NFI,5,0),1,0)*Table_NFI[[#This Row],[Winter Items Other]],Table_NFI[Winter Items Other])</f>
        <v>0</v>
      </c>
      <c r="AJ866" s="436">
        <f>IF(NFI_Expiration=1,IF($A866&lt;VLOOKUP(M$5,NFI,5,0),1,0)*Table_NFI[[#This Row],[Winter Blanket]],Table_NFI[[#This Row],[Winter Blanket]])</f>
        <v>0</v>
      </c>
      <c r="AK866" s="436">
        <f>IF(Table_NFI[[#This Row],[Winter Clothes Adult]]+Table_NFI[[#This Row],[Winter Clothes Children]]+Table_NFI[[#This Row],[Winter Items Other]]+Table_NFI[[#This Row],[Winter Blanket]]&gt;0,1,0)</f>
        <v>0</v>
      </c>
      <c r="AL866" s="439">
        <f>IF(NFI_Expiration=1,IF($A866&lt;VLOOKUP(V$5,NFI,5,0),1,0)*Table_NFI[[#This Row],[Jerry Can]],Table_NFI[Jerry Can])</f>
        <v>0</v>
      </c>
      <c r="AM866" s="781" t="str">
        <f>IFERROR(VLOOKUP(Table_NFI[[#This Row],[Camp Name]],CL,2,0),"")</f>
        <v>MMR001CMP106</v>
      </c>
      <c r="AN866" s="782">
        <f ca="1">IF(Table_NFI[[#This Row],[Pcode]]="","",IF(OFFSET(CampList[Opening Date],MATCH(Table_NFI[[#This Row],[Pcode]],CampList[CP_Pcode],0)-1,0,1,1)&gt;=NFI_Monitor_Date,1,0))</f>
        <v>0</v>
      </c>
      <c r="AO866" s="781" t="str">
        <f>IFERROR(VLOOKUP(Table_NFI[[#This Row],[Camp Name]],CL,3,0),"")</f>
        <v>Closed</v>
      </c>
      <c r="AP866" s="436" t="str">
        <f ca="1">IF(Table_NFI[[#This Row],[Pcode]]="","",OFFSET(CampList[Priority],MATCH(Table_NFI[[#This Row],[Pcode]],CampList[CP_Pcode],0)-1,0,1,1))</f>
        <v/>
      </c>
      <c r="AQ866" s="438" t="str">
        <f>IFERROR(Table_NFI[[#This Row],[Kitchen Set]]/VLOOKUP(Table_NFI[[#This Row],[Camp Name]],CL,4,0),"")</f>
        <v/>
      </c>
      <c r="AR866" s="779" t="s">
        <v>1099</v>
      </c>
      <c r="AS866" s="783"/>
    </row>
    <row r="867" spans="1:45" x14ac:dyDescent="0.25">
      <c r="A867" s="455">
        <f t="shared" si="13"/>
        <v>46.266666666666666</v>
      </c>
      <c r="B867" s="778">
        <v>40921</v>
      </c>
      <c r="C867" s="779" t="s">
        <v>454</v>
      </c>
      <c r="D867" s="780" t="s">
        <v>462</v>
      </c>
      <c r="E867" s="779" t="s">
        <v>380</v>
      </c>
      <c r="F867" s="435" t="s">
        <v>529</v>
      </c>
      <c r="G867" s="435" t="s">
        <v>84</v>
      </c>
      <c r="H867" s="436"/>
      <c r="I867" s="436"/>
      <c r="J867" s="436"/>
      <c r="K867" s="436">
        <v>34</v>
      </c>
      <c r="L867" s="437">
        <v>17</v>
      </c>
      <c r="M867" s="437">
        <v>17</v>
      </c>
      <c r="N867" s="437">
        <v>0</v>
      </c>
      <c r="O867" s="437">
        <v>17</v>
      </c>
      <c r="P867" s="437">
        <v>17</v>
      </c>
      <c r="Q867" s="437">
        <v>17</v>
      </c>
      <c r="R867" s="436"/>
      <c r="S867" s="436"/>
      <c r="T867" s="436"/>
      <c r="U867" s="436"/>
      <c r="V867" s="436"/>
      <c r="W867" s="436">
        <f>IF(NFI_Expiration=1,IF($A867&lt;VLOOKUP(H$5,NFI,5,0),1,0)*Table_NFI[[#This Row],[Hygiene Kit]],Table_NFI[Hygiene Kit])</f>
        <v>0</v>
      </c>
      <c r="X867" s="436">
        <f>IF(NFI_Expiration=1,IF($A867&lt;VLOOKUP(I$5,NFI,5,0),1,0)*Table_NFI[[#This Row],[NFI Core Kit]],Table_NFI[NFI Core Kit])</f>
        <v>0</v>
      </c>
      <c r="Y867" s="436">
        <f>IF(NFI_Expiration=1,IF($A867&lt;VLOOKUP(J$5,NFI,5,0),1,0)*Table_NFI[[#This Row],[Sanitary Kit]],Table_NFI[Sanitary Kit])</f>
        <v>0</v>
      </c>
      <c r="Z867" s="436">
        <f>IF(NFI_Expiration=1,IF($A867&lt;VLOOKUP(K$5,NFI,5,0),1,0)*Table_NFI[[#This Row],[Mosquito net]],Table_NFI[Mosquito net])</f>
        <v>0</v>
      </c>
      <c r="AA867" s="436">
        <f>IF(NFI_Expiration=1,IF($A867&lt;VLOOKUP(L$5,NFI,5,0),1,0)*Table_NFI[[#This Row],[Tarpaulin]],Table_NFI[[#This Row],[Tarpaulin]])</f>
        <v>0</v>
      </c>
      <c r="AB867" s="436">
        <f>IF(NFI_Expiration=1,IF($A867&lt;VLOOKUP(M$5,NFI,5,0),1,0)*Table_NFI[[#This Row],[Blanket]],Table_NFI[[#This Row],[Blanket]])</f>
        <v>0</v>
      </c>
      <c r="AC867" s="436">
        <f>IF(NFI_Expiration=1,IF($A867&lt;VLOOKUP(N$5,NFI,5,0),1,0)*Table_NFI[[#This Row],[Kitchen Set]],Table_NFI[Kitchen Set])</f>
        <v>0</v>
      </c>
      <c r="AD867" s="436">
        <f>IF(NFI_Expiration=1,IF($A867&lt;VLOOKUP(O$5,NFI,5,0),1,0)*Table_NFI[[#This Row],[Clothes Kit]],Table_NFI[Clothes Kit])</f>
        <v>0</v>
      </c>
      <c r="AE867" s="436">
        <f>IF(NFI_Expiration=1,IF($A867&lt;VLOOKUP(P$5,NFI,5,0),1,0)*Table_NFI[[#This Row],[Plastic Bucket]],Table_NFI[Plastic Bucket])</f>
        <v>0</v>
      </c>
      <c r="AF867" s="436">
        <f>IF(NFI_Expiration=1,IF($A867&lt;VLOOKUP(Q$5,NFI,5,0),1,0)*Table_NFI[[#This Row],[Plastic Mat]],Table_NFI[Plastic Mat])*IF(Table_NFI[[#This Row],[Distribution Date]]&gt;"2014-04-01",1,2.5)</f>
        <v>0</v>
      </c>
      <c r="AG867" s="436">
        <f>IF(NFI_Expiration=1,IF($A867&lt;VLOOKUP(R$5,NFI,5,0),1,0)*Table_NFI[[#This Row],[Winter Clothes Adult]],Table_NFI[Winter Clothes Adult])</f>
        <v>0</v>
      </c>
      <c r="AH867" s="436">
        <f>IF(NFI_Expiration=1,IF($A867&lt;VLOOKUP(S$5,NFI,5,0),1,0)*Table_NFI[[#This Row],[Winter Clothes Children]],Table_NFI[Winter Clothes Children])</f>
        <v>0</v>
      </c>
      <c r="AI867" s="436">
        <f>IF(NFI_Expiration=1,IF($A867&lt;VLOOKUP(T$5,NFI,5,0),1,0)*Table_NFI[[#This Row],[Winter Items Other]],Table_NFI[Winter Items Other])</f>
        <v>0</v>
      </c>
      <c r="AJ867" s="436">
        <f>IF(NFI_Expiration=1,IF($A867&lt;VLOOKUP(M$5,NFI,5,0),1,0)*Table_NFI[[#This Row],[Winter Blanket]],Table_NFI[[#This Row],[Winter Blanket]])</f>
        <v>0</v>
      </c>
      <c r="AK867" s="436">
        <f>IF(Table_NFI[[#This Row],[Winter Clothes Adult]]+Table_NFI[[#This Row],[Winter Clothes Children]]+Table_NFI[[#This Row],[Winter Items Other]]+Table_NFI[[#This Row],[Winter Blanket]]&gt;0,1,0)</f>
        <v>0</v>
      </c>
      <c r="AL867" s="439">
        <f>IF(NFI_Expiration=1,IF($A867&lt;VLOOKUP(V$5,NFI,5,0),1,0)*Table_NFI[[#This Row],[Jerry Can]],Table_NFI[Jerry Can])</f>
        <v>0</v>
      </c>
      <c r="AM867" s="781" t="str">
        <f>IFERROR(VLOOKUP(Table_NFI[[#This Row],[Camp Name]],CL,2,0),"")</f>
        <v>MMR001CMP085</v>
      </c>
      <c r="AN867" s="782">
        <f ca="1">IF(Table_NFI[[#This Row],[Pcode]]="","",IF(OFFSET(CampList[Opening Date],MATCH(Table_NFI[[#This Row],[Pcode]],CampList[CP_Pcode],0)-1,0,1,1)&gt;=NFI_Monitor_Date,1,0))</f>
        <v>0</v>
      </c>
      <c r="AO867" s="781" t="str">
        <f>IFERROR(VLOOKUP(Table_NFI[[#This Row],[Camp Name]],CL,3,0),"")</f>
        <v>Closed</v>
      </c>
      <c r="AP867" s="436" t="str">
        <f ca="1">IF(Table_NFI[[#This Row],[Pcode]]="","",OFFSET(CampList[Priority],MATCH(Table_NFI[[#This Row],[Pcode]],CampList[CP_Pcode],0)-1,0,1,1))</f>
        <v/>
      </c>
      <c r="AQ867" s="438" t="str">
        <f>IFERROR(Table_NFI[[#This Row],[Kitchen Set]]/VLOOKUP(Table_NFI[[#This Row],[Camp Name]],CL,4,0),"")</f>
        <v/>
      </c>
      <c r="AR867" s="779" t="s">
        <v>1099</v>
      </c>
      <c r="AS867" s="783"/>
    </row>
    <row r="868" spans="1:45" x14ac:dyDescent="0.25">
      <c r="A868" s="455">
        <f t="shared" si="13"/>
        <v>46.266666666666666</v>
      </c>
      <c r="B868" s="778">
        <v>40921</v>
      </c>
      <c r="C868" s="779" t="s">
        <v>454</v>
      </c>
      <c r="D868" s="780" t="s">
        <v>462</v>
      </c>
      <c r="E868" s="779" t="s">
        <v>380</v>
      </c>
      <c r="F868" s="435" t="s">
        <v>529</v>
      </c>
      <c r="G868" s="435" t="s">
        <v>110</v>
      </c>
      <c r="H868" s="436"/>
      <c r="I868" s="436"/>
      <c r="J868" s="436"/>
      <c r="K868" s="436">
        <v>112</v>
      </c>
      <c r="L868" s="437">
        <v>56</v>
      </c>
      <c r="M868" s="437">
        <v>56</v>
      </c>
      <c r="N868" s="437">
        <v>0</v>
      </c>
      <c r="O868" s="437">
        <v>56</v>
      </c>
      <c r="P868" s="437">
        <v>56</v>
      </c>
      <c r="Q868" s="437">
        <v>56</v>
      </c>
      <c r="R868" s="436"/>
      <c r="S868" s="436"/>
      <c r="T868" s="436"/>
      <c r="U868" s="436"/>
      <c r="V868" s="436"/>
      <c r="W868" s="436">
        <f>IF(NFI_Expiration=1,IF($A868&lt;VLOOKUP(H$5,NFI,5,0),1,0)*Table_NFI[[#This Row],[Hygiene Kit]],Table_NFI[Hygiene Kit])</f>
        <v>0</v>
      </c>
      <c r="X868" s="436">
        <f>IF(NFI_Expiration=1,IF($A868&lt;VLOOKUP(I$5,NFI,5,0),1,0)*Table_NFI[[#This Row],[NFI Core Kit]],Table_NFI[NFI Core Kit])</f>
        <v>0</v>
      </c>
      <c r="Y868" s="436">
        <f>IF(NFI_Expiration=1,IF($A868&lt;VLOOKUP(J$5,NFI,5,0),1,0)*Table_NFI[[#This Row],[Sanitary Kit]],Table_NFI[Sanitary Kit])</f>
        <v>0</v>
      </c>
      <c r="Z868" s="436">
        <f>IF(NFI_Expiration=1,IF($A868&lt;VLOOKUP(K$5,NFI,5,0),1,0)*Table_NFI[[#This Row],[Mosquito net]],Table_NFI[Mosquito net])</f>
        <v>0</v>
      </c>
      <c r="AA868" s="436">
        <f>IF(NFI_Expiration=1,IF($A868&lt;VLOOKUP(L$5,NFI,5,0),1,0)*Table_NFI[[#This Row],[Tarpaulin]],Table_NFI[[#This Row],[Tarpaulin]])</f>
        <v>0</v>
      </c>
      <c r="AB868" s="436">
        <f>IF(NFI_Expiration=1,IF($A868&lt;VLOOKUP(M$5,NFI,5,0),1,0)*Table_NFI[[#This Row],[Blanket]],Table_NFI[[#This Row],[Blanket]])</f>
        <v>0</v>
      </c>
      <c r="AC868" s="436">
        <f>IF(NFI_Expiration=1,IF($A868&lt;VLOOKUP(N$5,NFI,5,0),1,0)*Table_NFI[[#This Row],[Kitchen Set]],Table_NFI[Kitchen Set])</f>
        <v>0</v>
      </c>
      <c r="AD868" s="436">
        <f>IF(NFI_Expiration=1,IF($A868&lt;VLOOKUP(O$5,NFI,5,0),1,0)*Table_NFI[[#This Row],[Clothes Kit]],Table_NFI[Clothes Kit])</f>
        <v>0</v>
      </c>
      <c r="AE868" s="436">
        <f>IF(NFI_Expiration=1,IF($A868&lt;VLOOKUP(P$5,NFI,5,0),1,0)*Table_NFI[[#This Row],[Plastic Bucket]],Table_NFI[Plastic Bucket])</f>
        <v>0</v>
      </c>
      <c r="AF868" s="436">
        <f>IF(NFI_Expiration=1,IF($A868&lt;VLOOKUP(Q$5,NFI,5,0),1,0)*Table_NFI[[#This Row],[Plastic Mat]],Table_NFI[Plastic Mat])*IF(Table_NFI[[#This Row],[Distribution Date]]&gt;"2014-04-01",1,2.5)</f>
        <v>0</v>
      </c>
      <c r="AG868" s="436">
        <f>IF(NFI_Expiration=1,IF($A868&lt;VLOOKUP(R$5,NFI,5,0),1,0)*Table_NFI[[#This Row],[Winter Clothes Adult]],Table_NFI[Winter Clothes Adult])</f>
        <v>0</v>
      </c>
      <c r="AH868" s="436">
        <f>IF(NFI_Expiration=1,IF($A868&lt;VLOOKUP(S$5,NFI,5,0),1,0)*Table_NFI[[#This Row],[Winter Clothes Children]],Table_NFI[Winter Clothes Children])</f>
        <v>0</v>
      </c>
      <c r="AI868" s="436">
        <f>IF(NFI_Expiration=1,IF($A868&lt;VLOOKUP(T$5,NFI,5,0),1,0)*Table_NFI[[#This Row],[Winter Items Other]],Table_NFI[Winter Items Other])</f>
        <v>0</v>
      </c>
      <c r="AJ868" s="436">
        <f>IF(NFI_Expiration=1,IF($A868&lt;VLOOKUP(M$5,NFI,5,0),1,0)*Table_NFI[[#This Row],[Winter Blanket]],Table_NFI[[#This Row],[Winter Blanket]])</f>
        <v>0</v>
      </c>
      <c r="AK868" s="436">
        <f>IF(Table_NFI[[#This Row],[Winter Clothes Adult]]+Table_NFI[[#This Row],[Winter Clothes Children]]+Table_NFI[[#This Row],[Winter Items Other]]+Table_NFI[[#This Row],[Winter Blanket]]&gt;0,1,0)</f>
        <v>0</v>
      </c>
      <c r="AL868" s="439">
        <f>IF(NFI_Expiration=1,IF($A868&lt;VLOOKUP(V$5,NFI,5,0),1,0)*Table_NFI[[#This Row],[Jerry Can]],Table_NFI[Jerry Can])</f>
        <v>0</v>
      </c>
      <c r="AM868" s="781" t="str">
        <f>IFERROR(VLOOKUP(Table_NFI[[#This Row],[Camp Name]],CL,2,0),"")</f>
        <v>MMR001CMP082</v>
      </c>
      <c r="AN868" s="782">
        <f ca="1">IF(Table_NFI[[#This Row],[Pcode]]="","",IF(OFFSET(CampList[Opening Date],MATCH(Table_NFI[[#This Row],[Pcode]],CampList[CP_Pcode],0)-1,0,1,1)&gt;=NFI_Monitor_Date,1,0))</f>
        <v>0</v>
      </c>
      <c r="AO868" s="781" t="str">
        <f>IFERROR(VLOOKUP(Table_NFI[[#This Row],[Camp Name]],CL,3,0),"")</f>
        <v>Closed</v>
      </c>
      <c r="AP868" s="436" t="str">
        <f ca="1">IF(Table_NFI[[#This Row],[Pcode]]="","",OFFSET(CampList[Priority],MATCH(Table_NFI[[#This Row],[Pcode]],CampList[CP_Pcode],0)-1,0,1,1))</f>
        <v/>
      </c>
      <c r="AQ868" s="438" t="str">
        <f>IFERROR(Table_NFI[[#This Row],[Kitchen Set]]/VLOOKUP(Table_NFI[[#This Row],[Camp Name]],CL,4,0),"")</f>
        <v/>
      </c>
      <c r="AR868" s="779" t="s">
        <v>1099</v>
      </c>
      <c r="AS868" s="783"/>
    </row>
    <row r="869" spans="1:45" x14ac:dyDescent="0.25">
      <c r="A869" s="455">
        <f t="shared" si="13"/>
        <v>46.333333333333336</v>
      </c>
      <c r="B869" s="778">
        <v>40919</v>
      </c>
      <c r="C869" s="779" t="s">
        <v>454</v>
      </c>
      <c r="D869" s="780" t="s">
        <v>462</v>
      </c>
      <c r="E869" s="779" t="s">
        <v>380</v>
      </c>
      <c r="F869" s="435" t="s">
        <v>310</v>
      </c>
      <c r="G869" s="435" t="s">
        <v>347</v>
      </c>
      <c r="H869" s="436"/>
      <c r="I869" s="436"/>
      <c r="J869" s="436"/>
      <c r="K869" s="436">
        <v>536</v>
      </c>
      <c r="L869" s="437">
        <v>268</v>
      </c>
      <c r="M869" s="437">
        <v>536</v>
      </c>
      <c r="N869" s="437">
        <v>268</v>
      </c>
      <c r="O869" s="437">
        <v>268</v>
      </c>
      <c r="P869" s="437">
        <v>268</v>
      </c>
      <c r="Q869" s="437">
        <v>268</v>
      </c>
      <c r="R869" s="436"/>
      <c r="S869" s="436"/>
      <c r="T869" s="436"/>
      <c r="U869" s="436"/>
      <c r="V869" s="436"/>
      <c r="W869" s="436">
        <f>IF(NFI_Expiration=1,IF($A869&lt;VLOOKUP(H$5,NFI,5,0),1,0)*Table_NFI[[#This Row],[Hygiene Kit]],Table_NFI[Hygiene Kit])</f>
        <v>0</v>
      </c>
      <c r="X869" s="436">
        <f>IF(NFI_Expiration=1,IF($A869&lt;VLOOKUP(I$5,NFI,5,0),1,0)*Table_NFI[[#This Row],[NFI Core Kit]],Table_NFI[NFI Core Kit])</f>
        <v>0</v>
      </c>
      <c r="Y869" s="436">
        <f>IF(NFI_Expiration=1,IF($A869&lt;VLOOKUP(J$5,NFI,5,0),1,0)*Table_NFI[[#This Row],[Sanitary Kit]],Table_NFI[Sanitary Kit])</f>
        <v>0</v>
      </c>
      <c r="Z869" s="436">
        <f>IF(NFI_Expiration=1,IF($A869&lt;VLOOKUP(K$5,NFI,5,0),1,0)*Table_NFI[[#This Row],[Mosquito net]],Table_NFI[Mosquito net])</f>
        <v>0</v>
      </c>
      <c r="AA869" s="436">
        <f>IF(NFI_Expiration=1,IF($A869&lt;VLOOKUP(L$5,NFI,5,0),1,0)*Table_NFI[[#This Row],[Tarpaulin]],Table_NFI[[#This Row],[Tarpaulin]])</f>
        <v>0</v>
      </c>
      <c r="AB869" s="436">
        <f>IF(NFI_Expiration=1,IF($A869&lt;VLOOKUP(M$5,NFI,5,0),1,0)*Table_NFI[[#This Row],[Blanket]],Table_NFI[[#This Row],[Blanket]])</f>
        <v>0</v>
      </c>
      <c r="AC869" s="436">
        <f>IF(NFI_Expiration=1,IF($A869&lt;VLOOKUP(N$5,NFI,5,0),1,0)*Table_NFI[[#This Row],[Kitchen Set]],Table_NFI[Kitchen Set])</f>
        <v>0</v>
      </c>
      <c r="AD869" s="436">
        <f>IF(NFI_Expiration=1,IF($A869&lt;VLOOKUP(O$5,NFI,5,0),1,0)*Table_NFI[[#This Row],[Clothes Kit]],Table_NFI[Clothes Kit])</f>
        <v>0</v>
      </c>
      <c r="AE869" s="436">
        <f>IF(NFI_Expiration=1,IF($A869&lt;VLOOKUP(P$5,NFI,5,0),1,0)*Table_NFI[[#This Row],[Plastic Bucket]],Table_NFI[Plastic Bucket])</f>
        <v>0</v>
      </c>
      <c r="AF869" s="436">
        <f>IF(NFI_Expiration=1,IF($A869&lt;VLOOKUP(Q$5,NFI,5,0),1,0)*Table_NFI[[#This Row],[Plastic Mat]],Table_NFI[Plastic Mat])*IF(Table_NFI[[#This Row],[Distribution Date]]&gt;"2014-04-01",1,2.5)</f>
        <v>0</v>
      </c>
      <c r="AG869" s="436">
        <f>IF(NFI_Expiration=1,IF($A869&lt;VLOOKUP(R$5,NFI,5,0),1,0)*Table_NFI[[#This Row],[Winter Clothes Adult]],Table_NFI[Winter Clothes Adult])</f>
        <v>0</v>
      </c>
      <c r="AH869" s="436">
        <f>IF(NFI_Expiration=1,IF($A869&lt;VLOOKUP(S$5,NFI,5,0),1,0)*Table_NFI[[#This Row],[Winter Clothes Children]],Table_NFI[Winter Clothes Children])</f>
        <v>0</v>
      </c>
      <c r="AI869" s="436">
        <f>IF(NFI_Expiration=1,IF($A869&lt;VLOOKUP(T$5,NFI,5,0),1,0)*Table_NFI[[#This Row],[Winter Items Other]],Table_NFI[Winter Items Other])</f>
        <v>0</v>
      </c>
      <c r="AJ869" s="436">
        <f>IF(NFI_Expiration=1,IF($A869&lt;VLOOKUP(M$5,NFI,5,0),1,0)*Table_NFI[[#This Row],[Winter Blanket]],Table_NFI[[#This Row],[Winter Blanket]])</f>
        <v>0</v>
      </c>
      <c r="AK869" s="436">
        <f>IF(Table_NFI[[#This Row],[Winter Clothes Adult]]+Table_NFI[[#This Row],[Winter Clothes Children]]+Table_NFI[[#This Row],[Winter Items Other]]+Table_NFI[[#This Row],[Winter Blanket]]&gt;0,1,0)</f>
        <v>0</v>
      </c>
      <c r="AL869" s="439">
        <f>IF(NFI_Expiration=1,IF($A869&lt;VLOOKUP(V$5,NFI,5,0),1,0)*Table_NFI[[#This Row],[Jerry Can]],Table_NFI[Jerry Can])</f>
        <v>0</v>
      </c>
      <c r="AM869" s="781" t="str">
        <f>IFERROR(VLOOKUP(Table_NFI[[#This Row],[Camp Name]],CL,2,0),"")</f>
        <v>MMR001CMP041</v>
      </c>
      <c r="AN869" s="782">
        <f ca="1">IF(Table_NFI[[#This Row],[Pcode]]="","",IF(OFFSET(CampList[Opening Date],MATCH(Table_NFI[[#This Row],[Pcode]],CampList[CP_Pcode],0)-1,0,1,1)&gt;=NFI_Monitor_Date,1,0))</f>
        <v>0</v>
      </c>
      <c r="AO869" s="781" t="str">
        <f>IFERROR(VLOOKUP(Table_NFI[[#This Row],[Camp Name]],CL,3,0),"")</f>
        <v>Open</v>
      </c>
      <c r="AP869" s="436" t="str">
        <f ca="1">IF(Table_NFI[[#This Row],[Pcode]]="","",OFFSET(CampList[Priority],MATCH(Table_NFI[[#This Row],[Pcode]],CampList[CP_Pcode],0)-1,0,1,1))</f>
        <v>P1</v>
      </c>
      <c r="AQ869" s="438">
        <f>IFERROR(Table_NFI[[#This Row],[Kitchen Set]]/VLOOKUP(Table_NFI[[#This Row],[Camp Name]],CL,4,0),"")</f>
        <v>1.558139534883721</v>
      </c>
      <c r="AR869" s="779" t="s">
        <v>1099</v>
      </c>
      <c r="AS869" s="783"/>
    </row>
    <row r="870" spans="1:45" x14ac:dyDescent="0.25">
      <c r="A870" s="455">
        <f t="shared" si="13"/>
        <v>46.466666666666669</v>
      </c>
      <c r="B870" s="778">
        <v>40915</v>
      </c>
      <c r="C870" s="779" t="s">
        <v>454</v>
      </c>
      <c r="D870" s="779" t="s">
        <v>508</v>
      </c>
      <c r="E870" s="779" t="s">
        <v>380</v>
      </c>
      <c r="F870" s="435" t="s">
        <v>237</v>
      </c>
      <c r="G870" s="435" t="s">
        <v>253</v>
      </c>
      <c r="H870" s="436"/>
      <c r="I870" s="436"/>
      <c r="J870" s="436"/>
      <c r="K870" s="436">
        <v>32</v>
      </c>
      <c r="L870" s="437">
        <v>16</v>
      </c>
      <c r="M870" s="437">
        <v>32</v>
      </c>
      <c r="N870" s="437">
        <v>16</v>
      </c>
      <c r="O870" s="437">
        <v>16</v>
      </c>
      <c r="P870" s="439">
        <v>16</v>
      </c>
      <c r="Q870" s="439">
        <v>16</v>
      </c>
      <c r="R870" s="436"/>
      <c r="S870" s="436"/>
      <c r="T870" s="436"/>
      <c r="U870" s="436"/>
      <c r="V870" s="436"/>
      <c r="W870" s="436">
        <f>IF(NFI_Expiration=1,IF($A870&lt;VLOOKUP(H$5,NFI,5,0),1,0)*Table_NFI[[#This Row],[Hygiene Kit]],Table_NFI[Hygiene Kit])</f>
        <v>0</v>
      </c>
      <c r="X870" s="436">
        <f>IF(NFI_Expiration=1,IF($A870&lt;VLOOKUP(I$5,NFI,5,0),1,0)*Table_NFI[[#This Row],[NFI Core Kit]],Table_NFI[NFI Core Kit])</f>
        <v>0</v>
      </c>
      <c r="Y870" s="436">
        <f>IF(NFI_Expiration=1,IF($A870&lt;VLOOKUP(J$5,NFI,5,0),1,0)*Table_NFI[[#This Row],[Sanitary Kit]],Table_NFI[Sanitary Kit])</f>
        <v>0</v>
      </c>
      <c r="Z870" s="436">
        <f>IF(NFI_Expiration=1,IF($A870&lt;VLOOKUP(K$5,NFI,5,0),1,0)*Table_NFI[[#This Row],[Mosquito net]],Table_NFI[Mosquito net])</f>
        <v>0</v>
      </c>
      <c r="AA870" s="436">
        <f>IF(NFI_Expiration=1,IF($A870&lt;VLOOKUP(L$5,NFI,5,0),1,0)*Table_NFI[[#This Row],[Tarpaulin]],Table_NFI[[#This Row],[Tarpaulin]])</f>
        <v>0</v>
      </c>
      <c r="AB870" s="436">
        <f>IF(NFI_Expiration=1,IF($A870&lt;VLOOKUP(M$5,NFI,5,0),1,0)*Table_NFI[[#This Row],[Blanket]],Table_NFI[[#This Row],[Blanket]])</f>
        <v>0</v>
      </c>
      <c r="AC870" s="436">
        <f>IF(NFI_Expiration=1,IF($A870&lt;VLOOKUP(N$5,NFI,5,0),1,0)*Table_NFI[[#This Row],[Kitchen Set]],Table_NFI[Kitchen Set])</f>
        <v>0</v>
      </c>
      <c r="AD870" s="436">
        <f>IF(NFI_Expiration=1,IF($A870&lt;VLOOKUP(O$5,NFI,5,0),1,0)*Table_NFI[[#This Row],[Clothes Kit]],Table_NFI[Clothes Kit])</f>
        <v>0</v>
      </c>
      <c r="AE870" s="436">
        <f>IF(NFI_Expiration=1,IF($A870&lt;VLOOKUP(P$5,NFI,5,0),1,0)*Table_NFI[[#This Row],[Plastic Bucket]],Table_NFI[Plastic Bucket])</f>
        <v>0</v>
      </c>
      <c r="AF870" s="436">
        <f>IF(NFI_Expiration=1,IF($A870&lt;VLOOKUP(Q$5,NFI,5,0),1,0)*Table_NFI[[#This Row],[Plastic Mat]],Table_NFI[Plastic Mat])*IF(Table_NFI[[#This Row],[Distribution Date]]&gt;"2014-04-01",1,2.5)</f>
        <v>0</v>
      </c>
      <c r="AG870" s="436">
        <f>IF(NFI_Expiration=1,IF($A870&lt;VLOOKUP(R$5,NFI,5,0),1,0)*Table_NFI[[#This Row],[Winter Clothes Adult]],Table_NFI[Winter Clothes Adult])</f>
        <v>0</v>
      </c>
      <c r="AH870" s="436">
        <f>IF(NFI_Expiration=1,IF($A870&lt;VLOOKUP(S$5,NFI,5,0),1,0)*Table_NFI[[#This Row],[Winter Clothes Children]],Table_NFI[Winter Clothes Children])</f>
        <v>0</v>
      </c>
      <c r="AI870" s="436">
        <f>IF(NFI_Expiration=1,IF($A870&lt;VLOOKUP(T$5,NFI,5,0),1,0)*Table_NFI[[#This Row],[Winter Items Other]],Table_NFI[Winter Items Other])</f>
        <v>0</v>
      </c>
      <c r="AJ870" s="436">
        <f>IF(NFI_Expiration=1,IF($A870&lt;VLOOKUP(M$5,NFI,5,0),1,0)*Table_NFI[[#This Row],[Winter Blanket]],Table_NFI[[#This Row],[Winter Blanket]])</f>
        <v>0</v>
      </c>
      <c r="AK870" s="436">
        <f>IF(Table_NFI[[#This Row],[Winter Clothes Adult]]+Table_NFI[[#This Row],[Winter Clothes Children]]+Table_NFI[[#This Row],[Winter Items Other]]+Table_NFI[[#This Row],[Winter Blanket]]&gt;0,1,0)</f>
        <v>0</v>
      </c>
      <c r="AL870" s="439">
        <f>IF(NFI_Expiration=1,IF($A870&lt;VLOOKUP(V$5,NFI,5,0),1,0)*Table_NFI[[#This Row],[Jerry Can]],Table_NFI[Jerry Can])</f>
        <v>0</v>
      </c>
      <c r="AM870" s="781" t="str">
        <f>IFERROR(VLOOKUP(Table_NFI[[#This Row],[Camp Name]],CL,2,0),"")</f>
        <v>MMR001CMP018</v>
      </c>
      <c r="AN870" s="782">
        <f ca="1">IF(Table_NFI[[#This Row],[Pcode]]="","",IF(OFFSET(CampList[Opening Date],MATCH(Table_NFI[[#This Row],[Pcode]],CampList[CP_Pcode],0)-1,0,1,1)&gt;=NFI_Monitor_Date,1,0))</f>
        <v>0</v>
      </c>
      <c r="AO870" s="781" t="str">
        <f>IFERROR(VLOOKUP(Table_NFI[[#This Row],[Camp Name]],CL,3,0),"")</f>
        <v>Open</v>
      </c>
      <c r="AP870" s="436" t="str">
        <f ca="1">IF(Table_NFI[[#This Row],[Pcode]]="","",OFFSET(CampList[Priority],MATCH(Table_NFI[[#This Row],[Pcode]],CampList[CP_Pcode],0)-1,0,1,1))</f>
        <v>P4</v>
      </c>
      <c r="AQ870" s="438">
        <f>IFERROR(Table_NFI[[#This Row],[Kitchen Set]]/VLOOKUP(Table_NFI[[#This Row],[Camp Name]],CL,4,0),"")</f>
        <v>7.8817733990147784E-2</v>
      </c>
      <c r="AR870" s="779" t="s">
        <v>1099</v>
      </c>
      <c r="AS870" s="783"/>
    </row>
    <row r="871" spans="1:45" x14ac:dyDescent="0.25">
      <c r="A871" s="455">
        <f t="shared" si="13"/>
        <v>46.466666666666669</v>
      </c>
      <c r="B871" s="778">
        <v>40915</v>
      </c>
      <c r="C871" s="779" t="s">
        <v>454</v>
      </c>
      <c r="D871" s="779" t="s">
        <v>508</v>
      </c>
      <c r="E871" s="779" t="s">
        <v>380</v>
      </c>
      <c r="F871" s="779" t="s">
        <v>310</v>
      </c>
      <c r="G871" s="435" t="s">
        <v>330</v>
      </c>
      <c r="H871" s="436"/>
      <c r="I871" s="436"/>
      <c r="J871" s="436"/>
      <c r="K871" s="436">
        <v>50</v>
      </c>
      <c r="L871" s="437">
        <v>25</v>
      </c>
      <c r="M871" s="437">
        <v>50</v>
      </c>
      <c r="N871" s="437">
        <v>25</v>
      </c>
      <c r="O871" s="437">
        <v>27</v>
      </c>
      <c r="P871" s="439">
        <v>27</v>
      </c>
      <c r="Q871" s="439">
        <v>27</v>
      </c>
      <c r="R871" s="436"/>
      <c r="S871" s="436"/>
      <c r="T871" s="436"/>
      <c r="U871" s="436"/>
      <c r="V871" s="436"/>
      <c r="W871" s="436">
        <f>IF(NFI_Expiration=1,IF($A871&lt;VLOOKUP(H$5,NFI,5,0),1,0)*Table_NFI[[#This Row],[Hygiene Kit]],Table_NFI[Hygiene Kit])</f>
        <v>0</v>
      </c>
      <c r="X871" s="436">
        <f>IF(NFI_Expiration=1,IF($A871&lt;VLOOKUP(I$5,NFI,5,0),1,0)*Table_NFI[[#This Row],[NFI Core Kit]],Table_NFI[NFI Core Kit])</f>
        <v>0</v>
      </c>
      <c r="Y871" s="436">
        <f>IF(NFI_Expiration=1,IF($A871&lt;VLOOKUP(J$5,NFI,5,0),1,0)*Table_NFI[[#This Row],[Sanitary Kit]],Table_NFI[Sanitary Kit])</f>
        <v>0</v>
      </c>
      <c r="Z871" s="436">
        <f>IF(NFI_Expiration=1,IF($A871&lt;VLOOKUP(K$5,NFI,5,0),1,0)*Table_NFI[[#This Row],[Mosquito net]],Table_NFI[Mosquito net])</f>
        <v>0</v>
      </c>
      <c r="AA871" s="436">
        <f>IF(NFI_Expiration=1,IF($A871&lt;VLOOKUP(L$5,NFI,5,0),1,0)*Table_NFI[[#This Row],[Tarpaulin]],Table_NFI[[#This Row],[Tarpaulin]])</f>
        <v>0</v>
      </c>
      <c r="AB871" s="436">
        <f>IF(NFI_Expiration=1,IF($A871&lt;VLOOKUP(M$5,NFI,5,0),1,0)*Table_NFI[[#This Row],[Blanket]],Table_NFI[[#This Row],[Blanket]])</f>
        <v>0</v>
      </c>
      <c r="AC871" s="436">
        <f>IF(NFI_Expiration=1,IF($A871&lt;VLOOKUP(N$5,NFI,5,0),1,0)*Table_NFI[[#This Row],[Kitchen Set]],Table_NFI[Kitchen Set])</f>
        <v>0</v>
      </c>
      <c r="AD871" s="436">
        <f>IF(NFI_Expiration=1,IF($A871&lt;VLOOKUP(O$5,NFI,5,0),1,0)*Table_NFI[[#This Row],[Clothes Kit]],Table_NFI[Clothes Kit])</f>
        <v>0</v>
      </c>
      <c r="AE871" s="436">
        <f>IF(NFI_Expiration=1,IF($A871&lt;VLOOKUP(P$5,NFI,5,0),1,0)*Table_NFI[[#This Row],[Plastic Bucket]],Table_NFI[Plastic Bucket])</f>
        <v>0</v>
      </c>
      <c r="AF871" s="436">
        <f>IF(NFI_Expiration=1,IF($A871&lt;VLOOKUP(Q$5,NFI,5,0),1,0)*Table_NFI[[#This Row],[Plastic Mat]],Table_NFI[Plastic Mat])*IF(Table_NFI[[#This Row],[Distribution Date]]&gt;"2014-04-01",1,2.5)</f>
        <v>0</v>
      </c>
      <c r="AG871" s="436">
        <f>IF(NFI_Expiration=1,IF($A871&lt;VLOOKUP(R$5,NFI,5,0),1,0)*Table_NFI[[#This Row],[Winter Clothes Adult]],Table_NFI[Winter Clothes Adult])</f>
        <v>0</v>
      </c>
      <c r="AH871" s="436">
        <f>IF(NFI_Expiration=1,IF($A871&lt;VLOOKUP(S$5,NFI,5,0),1,0)*Table_NFI[[#This Row],[Winter Clothes Children]],Table_NFI[Winter Clothes Children])</f>
        <v>0</v>
      </c>
      <c r="AI871" s="436">
        <f>IF(NFI_Expiration=1,IF($A871&lt;VLOOKUP(T$5,NFI,5,0),1,0)*Table_NFI[[#This Row],[Winter Items Other]],Table_NFI[Winter Items Other])</f>
        <v>0</v>
      </c>
      <c r="AJ871" s="436">
        <f>IF(NFI_Expiration=1,IF($A871&lt;VLOOKUP(M$5,NFI,5,0),1,0)*Table_NFI[[#This Row],[Winter Blanket]],Table_NFI[[#This Row],[Winter Blanket]])</f>
        <v>0</v>
      </c>
      <c r="AK871" s="436">
        <f>IF(Table_NFI[[#This Row],[Winter Clothes Adult]]+Table_NFI[[#This Row],[Winter Clothes Children]]+Table_NFI[[#This Row],[Winter Items Other]]+Table_NFI[[#This Row],[Winter Blanket]]&gt;0,1,0)</f>
        <v>0</v>
      </c>
      <c r="AL871" s="439">
        <f>IF(NFI_Expiration=1,IF($A871&lt;VLOOKUP(V$5,NFI,5,0),1,0)*Table_NFI[[#This Row],[Jerry Can]],Table_NFI[Jerry Can])</f>
        <v>0</v>
      </c>
      <c r="AM871" s="781" t="str">
        <f>IFERROR(VLOOKUP(Table_NFI[[#This Row],[Camp Name]],CL,2,0),"")</f>
        <v>MMR001CMP029</v>
      </c>
      <c r="AN871" s="782">
        <f ca="1">IF(Table_NFI[[#This Row],[Pcode]]="","",IF(OFFSET(CampList[Opening Date],MATCH(Table_NFI[[#This Row],[Pcode]],CampList[CP_Pcode],0)-1,0,1,1)&gt;=NFI_Monitor_Date,1,0))</f>
        <v>0</v>
      </c>
      <c r="AO871" s="781" t="str">
        <f>IFERROR(VLOOKUP(Table_NFI[[#This Row],[Camp Name]],CL,3,0),"")</f>
        <v>Open</v>
      </c>
      <c r="AP871" s="436" t="str">
        <f ca="1">IF(Table_NFI[[#This Row],[Pcode]]="","",OFFSET(CampList[Priority],MATCH(Table_NFI[[#This Row],[Pcode]],CampList[CP_Pcode],0)-1,0,1,1))</f>
        <v>P4</v>
      </c>
      <c r="AQ871" s="438">
        <f>IFERROR(Table_NFI[[#This Row],[Kitchen Set]]/VLOOKUP(Table_NFI[[#This Row],[Camp Name]],CL,4,0),"")</f>
        <v>0.11013215859030837</v>
      </c>
      <c r="AR871" s="779" t="s">
        <v>1099</v>
      </c>
      <c r="AS871" s="783"/>
    </row>
    <row r="872" spans="1:45" x14ac:dyDescent="0.25">
      <c r="A872" s="455">
        <f t="shared" si="13"/>
        <v>46.5</v>
      </c>
      <c r="B872" s="778">
        <v>40914</v>
      </c>
      <c r="C872" s="779" t="s">
        <v>454</v>
      </c>
      <c r="D872" s="780" t="s">
        <v>508</v>
      </c>
      <c r="E872" s="779" t="s">
        <v>380</v>
      </c>
      <c r="F872" s="435" t="s">
        <v>237</v>
      </c>
      <c r="G872" s="435" t="s">
        <v>255</v>
      </c>
      <c r="H872" s="436"/>
      <c r="I872" s="436"/>
      <c r="J872" s="436"/>
      <c r="K872" s="436">
        <v>0</v>
      </c>
      <c r="L872" s="437">
        <v>0</v>
      </c>
      <c r="M872" s="437">
        <v>0</v>
      </c>
      <c r="N872" s="437">
        <v>0</v>
      </c>
      <c r="O872" s="437">
        <v>9</v>
      </c>
      <c r="P872" s="437">
        <v>9</v>
      </c>
      <c r="Q872" s="437">
        <v>9</v>
      </c>
      <c r="R872" s="436"/>
      <c r="S872" s="436"/>
      <c r="T872" s="436"/>
      <c r="U872" s="436"/>
      <c r="V872" s="436"/>
      <c r="W872" s="436">
        <f>IF(NFI_Expiration=1,IF($A872&lt;VLOOKUP(H$5,NFI,5,0),1,0)*Table_NFI[[#This Row],[Hygiene Kit]],Table_NFI[Hygiene Kit])</f>
        <v>0</v>
      </c>
      <c r="X872" s="436">
        <f>IF(NFI_Expiration=1,IF($A872&lt;VLOOKUP(I$5,NFI,5,0),1,0)*Table_NFI[[#This Row],[NFI Core Kit]],Table_NFI[NFI Core Kit])</f>
        <v>0</v>
      </c>
      <c r="Y872" s="436">
        <f>IF(NFI_Expiration=1,IF($A872&lt;VLOOKUP(J$5,NFI,5,0),1,0)*Table_NFI[[#This Row],[Sanitary Kit]],Table_NFI[Sanitary Kit])</f>
        <v>0</v>
      </c>
      <c r="Z872" s="436">
        <f>IF(NFI_Expiration=1,IF($A872&lt;VLOOKUP(K$5,NFI,5,0),1,0)*Table_NFI[[#This Row],[Mosquito net]],Table_NFI[Mosquito net])</f>
        <v>0</v>
      </c>
      <c r="AA872" s="436">
        <f>IF(NFI_Expiration=1,IF($A872&lt;VLOOKUP(L$5,NFI,5,0),1,0)*Table_NFI[[#This Row],[Tarpaulin]],Table_NFI[[#This Row],[Tarpaulin]])</f>
        <v>0</v>
      </c>
      <c r="AB872" s="436">
        <f>IF(NFI_Expiration=1,IF($A872&lt;VLOOKUP(M$5,NFI,5,0),1,0)*Table_NFI[[#This Row],[Blanket]],Table_NFI[[#This Row],[Blanket]])</f>
        <v>0</v>
      </c>
      <c r="AC872" s="436">
        <f>IF(NFI_Expiration=1,IF($A872&lt;VLOOKUP(N$5,NFI,5,0),1,0)*Table_NFI[[#This Row],[Kitchen Set]],Table_NFI[Kitchen Set])</f>
        <v>0</v>
      </c>
      <c r="AD872" s="436">
        <f>IF(NFI_Expiration=1,IF($A872&lt;VLOOKUP(O$5,NFI,5,0),1,0)*Table_NFI[[#This Row],[Clothes Kit]],Table_NFI[Clothes Kit])</f>
        <v>0</v>
      </c>
      <c r="AE872" s="436">
        <f>IF(NFI_Expiration=1,IF($A872&lt;VLOOKUP(P$5,NFI,5,0),1,0)*Table_NFI[[#This Row],[Plastic Bucket]],Table_NFI[Plastic Bucket])</f>
        <v>0</v>
      </c>
      <c r="AF872" s="436">
        <f>IF(NFI_Expiration=1,IF($A872&lt;VLOOKUP(Q$5,NFI,5,0),1,0)*Table_NFI[[#This Row],[Plastic Mat]],Table_NFI[Plastic Mat])*IF(Table_NFI[[#This Row],[Distribution Date]]&gt;"2014-04-01",1,2.5)</f>
        <v>0</v>
      </c>
      <c r="AG872" s="436">
        <f>IF(NFI_Expiration=1,IF($A872&lt;VLOOKUP(R$5,NFI,5,0),1,0)*Table_NFI[[#This Row],[Winter Clothes Adult]],Table_NFI[Winter Clothes Adult])</f>
        <v>0</v>
      </c>
      <c r="AH872" s="436">
        <f>IF(NFI_Expiration=1,IF($A872&lt;VLOOKUP(S$5,NFI,5,0),1,0)*Table_NFI[[#This Row],[Winter Clothes Children]],Table_NFI[Winter Clothes Children])</f>
        <v>0</v>
      </c>
      <c r="AI872" s="436">
        <f>IF(NFI_Expiration=1,IF($A872&lt;VLOOKUP(T$5,NFI,5,0),1,0)*Table_NFI[[#This Row],[Winter Items Other]],Table_NFI[Winter Items Other])</f>
        <v>0</v>
      </c>
      <c r="AJ872" s="436">
        <f>IF(NFI_Expiration=1,IF($A872&lt;VLOOKUP(M$5,NFI,5,0),1,0)*Table_NFI[[#This Row],[Winter Blanket]],Table_NFI[[#This Row],[Winter Blanket]])</f>
        <v>0</v>
      </c>
      <c r="AK872" s="436">
        <f>IF(Table_NFI[[#This Row],[Winter Clothes Adult]]+Table_NFI[[#This Row],[Winter Clothes Children]]+Table_NFI[[#This Row],[Winter Items Other]]+Table_NFI[[#This Row],[Winter Blanket]]&gt;0,1,0)</f>
        <v>0</v>
      </c>
      <c r="AL872" s="439">
        <f>IF(NFI_Expiration=1,IF($A872&lt;VLOOKUP(V$5,NFI,5,0),1,0)*Table_NFI[[#This Row],[Jerry Can]],Table_NFI[Jerry Can])</f>
        <v>0</v>
      </c>
      <c r="AM872" s="781" t="str">
        <f>IFERROR(VLOOKUP(Table_NFI[[#This Row],[Camp Name]],CL,2,0),"")</f>
        <v>MMR001CMP019</v>
      </c>
      <c r="AN872" s="782">
        <f ca="1">IF(Table_NFI[[#This Row],[Pcode]]="","",IF(OFFSET(CampList[Opening Date],MATCH(Table_NFI[[#This Row],[Pcode]],CampList[CP_Pcode],0)-1,0,1,1)&gt;=NFI_Monitor_Date,1,0))</f>
        <v>0</v>
      </c>
      <c r="AO872" s="781" t="str">
        <f>IFERROR(VLOOKUP(Table_NFI[[#This Row],[Camp Name]],CL,3,0),"")</f>
        <v>Open</v>
      </c>
      <c r="AP872" s="436" t="str">
        <f ca="1">IF(Table_NFI[[#This Row],[Pcode]]="","",OFFSET(CampList[Priority],MATCH(Table_NFI[[#This Row],[Pcode]],CampList[CP_Pcode],0)-1,0,1,1))</f>
        <v>P4</v>
      </c>
      <c r="AQ872" s="438">
        <f>IFERROR(Table_NFI[[#This Row],[Kitchen Set]]/VLOOKUP(Table_NFI[[#This Row],[Camp Name]],CL,4,0),"")</f>
        <v>0</v>
      </c>
      <c r="AR872" s="779" t="s">
        <v>1099</v>
      </c>
      <c r="AS872" s="783"/>
    </row>
    <row r="873" spans="1:45" x14ac:dyDescent="0.25">
      <c r="A873" s="455">
        <f t="shared" si="13"/>
        <v>46.5</v>
      </c>
      <c r="B873" s="778">
        <v>40914</v>
      </c>
      <c r="C873" s="779" t="s">
        <v>454</v>
      </c>
      <c r="D873" s="780" t="s">
        <v>454</v>
      </c>
      <c r="E873" s="779" t="s">
        <v>380</v>
      </c>
      <c r="F873" s="435" t="s">
        <v>310</v>
      </c>
      <c r="G873" s="435" t="s">
        <v>349</v>
      </c>
      <c r="H873" s="436"/>
      <c r="I873" s="436"/>
      <c r="J873" s="436"/>
      <c r="K873" s="436">
        <v>29</v>
      </c>
      <c r="L873" s="437">
        <v>0</v>
      </c>
      <c r="M873" s="437">
        <v>29</v>
      </c>
      <c r="N873" s="437">
        <v>15</v>
      </c>
      <c r="O873" s="437">
        <v>15</v>
      </c>
      <c r="P873" s="437">
        <v>15</v>
      </c>
      <c r="Q873" s="437">
        <v>15</v>
      </c>
      <c r="R873" s="436"/>
      <c r="S873" s="436"/>
      <c r="T873" s="436"/>
      <c r="U873" s="436"/>
      <c r="V873" s="436"/>
      <c r="W873" s="436">
        <f>IF(NFI_Expiration=1,IF($A873&lt;VLOOKUP(H$5,NFI,5,0),1,0)*Table_NFI[[#This Row],[Hygiene Kit]],Table_NFI[Hygiene Kit])</f>
        <v>0</v>
      </c>
      <c r="X873" s="436">
        <f>IF(NFI_Expiration=1,IF($A873&lt;VLOOKUP(I$5,NFI,5,0),1,0)*Table_NFI[[#This Row],[NFI Core Kit]],Table_NFI[NFI Core Kit])</f>
        <v>0</v>
      </c>
      <c r="Y873" s="436">
        <f>IF(NFI_Expiration=1,IF($A873&lt;VLOOKUP(J$5,NFI,5,0),1,0)*Table_NFI[[#This Row],[Sanitary Kit]],Table_NFI[Sanitary Kit])</f>
        <v>0</v>
      </c>
      <c r="Z873" s="436">
        <f>IF(NFI_Expiration=1,IF($A873&lt;VLOOKUP(K$5,NFI,5,0),1,0)*Table_NFI[[#This Row],[Mosquito net]],Table_NFI[Mosquito net])</f>
        <v>0</v>
      </c>
      <c r="AA873" s="436">
        <f>IF(NFI_Expiration=1,IF($A873&lt;VLOOKUP(L$5,NFI,5,0),1,0)*Table_NFI[[#This Row],[Tarpaulin]],Table_NFI[[#This Row],[Tarpaulin]])</f>
        <v>0</v>
      </c>
      <c r="AB873" s="436">
        <f>IF(NFI_Expiration=1,IF($A873&lt;VLOOKUP(M$5,NFI,5,0),1,0)*Table_NFI[[#This Row],[Blanket]],Table_NFI[[#This Row],[Blanket]])</f>
        <v>0</v>
      </c>
      <c r="AC873" s="436">
        <f>IF(NFI_Expiration=1,IF($A873&lt;VLOOKUP(N$5,NFI,5,0),1,0)*Table_NFI[[#This Row],[Kitchen Set]],Table_NFI[Kitchen Set])</f>
        <v>0</v>
      </c>
      <c r="AD873" s="436">
        <f>IF(NFI_Expiration=1,IF($A873&lt;VLOOKUP(O$5,NFI,5,0),1,0)*Table_NFI[[#This Row],[Clothes Kit]],Table_NFI[Clothes Kit])</f>
        <v>0</v>
      </c>
      <c r="AE873" s="436">
        <f>IF(NFI_Expiration=1,IF($A873&lt;VLOOKUP(P$5,NFI,5,0),1,0)*Table_NFI[[#This Row],[Plastic Bucket]],Table_NFI[Plastic Bucket])</f>
        <v>0</v>
      </c>
      <c r="AF873" s="436">
        <f>IF(NFI_Expiration=1,IF($A873&lt;VLOOKUP(Q$5,NFI,5,0),1,0)*Table_NFI[[#This Row],[Plastic Mat]],Table_NFI[Plastic Mat])*IF(Table_NFI[[#This Row],[Distribution Date]]&gt;"2014-04-01",1,2.5)</f>
        <v>0</v>
      </c>
      <c r="AG873" s="436">
        <f>IF(NFI_Expiration=1,IF($A873&lt;VLOOKUP(R$5,NFI,5,0),1,0)*Table_NFI[[#This Row],[Winter Clothes Adult]],Table_NFI[Winter Clothes Adult])</f>
        <v>0</v>
      </c>
      <c r="AH873" s="436">
        <f>IF(NFI_Expiration=1,IF($A873&lt;VLOOKUP(S$5,NFI,5,0),1,0)*Table_NFI[[#This Row],[Winter Clothes Children]],Table_NFI[Winter Clothes Children])</f>
        <v>0</v>
      </c>
      <c r="AI873" s="436">
        <f>IF(NFI_Expiration=1,IF($A873&lt;VLOOKUP(T$5,NFI,5,0),1,0)*Table_NFI[[#This Row],[Winter Items Other]],Table_NFI[Winter Items Other])</f>
        <v>0</v>
      </c>
      <c r="AJ873" s="436">
        <f>IF(NFI_Expiration=1,IF($A873&lt;VLOOKUP(M$5,NFI,5,0),1,0)*Table_NFI[[#This Row],[Winter Blanket]],Table_NFI[[#This Row],[Winter Blanket]])</f>
        <v>0</v>
      </c>
      <c r="AK873" s="436">
        <f>IF(Table_NFI[[#This Row],[Winter Clothes Adult]]+Table_NFI[[#This Row],[Winter Clothes Children]]+Table_NFI[[#This Row],[Winter Items Other]]+Table_NFI[[#This Row],[Winter Blanket]]&gt;0,1,0)</f>
        <v>0</v>
      </c>
      <c r="AL873" s="439">
        <f>IF(NFI_Expiration=1,IF($A873&lt;VLOOKUP(V$5,NFI,5,0),1,0)*Table_NFI[[#This Row],[Jerry Can]],Table_NFI[Jerry Can])</f>
        <v>0</v>
      </c>
      <c r="AM873" s="781" t="str">
        <f>IFERROR(VLOOKUP(Table_NFI[[#This Row],[Camp Name]],CL,2,0),"")</f>
        <v>MMR001CMP037</v>
      </c>
      <c r="AN873" s="782">
        <f ca="1">IF(Table_NFI[[#This Row],[Pcode]]="","",IF(OFFSET(CampList[Opening Date],MATCH(Table_NFI[[#This Row],[Pcode]],CampList[CP_Pcode],0)-1,0,1,1)&gt;=NFI_Monitor_Date,1,0))</f>
        <v>0</v>
      </c>
      <c r="AO873" s="781" t="str">
        <f>IFERROR(VLOOKUP(Table_NFI[[#This Row],[Camp Name]],CL,3,0),"")</f>
        <v>Open</v>
      </c>
      <c r="AP873" s="436" t="str">
        <f ca="1">IF(Table_NFI[[#This Row],[Pcode]]="","",OFFSET(CampList[Priority],MATCH(Table_NFI[[#This Row],[Pcode]],CampList[CP_Pcode],0)-1,0,1,1))</f>
        <v>P4</v>
      </c>
      <c r="AQ873" s="438">
        <f>IFERROR(Table_NFI[[#This Row],[Kitchen Set]]/VLOOKUP(Table_NFI[[#This Row],[Camp Name]],CL,4,0),"")</f>
        <v>0.35714285714285715</v>
      </c>
      <c r="AR873" s="779" t="s">
        <v>1099</v>
      </c>
      <c r="AS873" s="783"/>
    </row>
    <row r="874" spans="1:45" x14ac:dyDescent="0.25">
      <c r="A874" s="455">
        <f t="shared" si="13"/>
        <v>46.5</v>
      </c>
      <c r="B874" s="778">
        <v>40914</v>
      </c>
      <c r="C874" s="779" t="s">
        <v>454</v>
      </c>
      <c r="D874" s="780" t="s">
        <v>454</v>
      </c>
      <c r="E874" s="779" t="s">
        <v>380</v>
      </c>
      <c r="F874" s="435" t="s">
        <v>310</v>
      </c>
      <c r="G874" s="435" t="s">
        <v>349</v>
      </c>
      <c r="H874" s="436"/>
      <c r="I874" s="436"/>
      <c r="J874" s="436"/>
      <c r="K874" s="436">
        <v>59</v>
      </c>
      <c r="L874" s="437">
        <v>30</v>
      </c>
      <c r="M874" s="437">
        <v>59</v>
      </c>
      <c r="N874" s="437">
        <v>30</v>
      </c>
      <c r="O874" s="437">
        <v>30</v>
      </c>
      <c r="P874" s="437">
        <v>30</v>
      </c>
      <c r="Q874" s="437">
        <v>30</v>
      </c>
      <c r="R874" s="436"/>
      <c r="S874" s="436"/>
      <c r="T874" s="436"/>
      <c r="U874" s="436"/>
      <c r="V874" s="436"/>
      <c r="W874" s="436">
        <f>IF(NFI_Expiration=1,IF($A874&lt;VLOOKUP(H$5,NFI,5,0),1,0)*Table_NFI[[#This Row],[Hygiene Kit]],Table_NFI[Hygiene Kit])</f>
        <v>0</v>
      </c>
      <c r="X874" s="436">
        <f>IF(NFI_Expiration=1,IF($A874&lt;VLOOKUP(I$5,NFI,5,0),1,0)*Table_NFI[[#This Row],[NFI Core Kit]],Table_NFI[NFI Core Kit])</f>
        <v>0</v>
      </c>
      <c r="Y874" s="436">
        <f>IF(NFI_Expiration=1,IF($A874&lt;VLOOKUP(J$5,NFI,5,0),1,0)*Table_NFI[[#This Row],[Sanitary Kit]],Table_NFI[Sanitary Kit])</f>
        <v>0</v>
      </c>
      <c r="Z874" s="436">
        <f>IF(NFI_Expiration=1,IF($A874&lt;VLOOKUP(K$5,NFI,5,0),1,0)*Table_NFI[[#This Row],[Mosquito net]],Table_NFI[Mosquito net])</f>
        <v>0</v>
      </c>
      <c r="AA874" s="436">
        <f>IF(NFI_Expiration=1,IF($A874&lt;VLOOKUP(L$5,NFI,5,0),1,0)*Table_NFI[[#This Row],[Tarpaulin]],Table_NFI[[#This Row],[Tarpaulin]])</f>
        <v>0</v>
      </c>
      <c r="AB874" s="436">
        <f>IF(NFI_Expiration=1,IF($A874&lt;VLOOKUP(M$5,NFI,5,0),1,0)*Table_NFI[[#This Row],[Blanket]],Table_NFI[[#This Row],[Blanket]])</f>
        <v>0</v>
      </c>
      <c r="AC874" s="436">
        <f>IF(NFI_Expiration=1,IF($A874&lt;VLOOKUP(N$5,NFI,5,0),1,0)*Table_NFI[[#This Row],[Kitchen Set]],Table_NFI[Kitchen Set])</f>
        <v>0</v>
      </c>
      <c r="AD874" s="436">
        <f>IF(NFI_Expiration=1,IF($A874&lt;VLOOKUP(O$5,NFI,5,0),1,0)*Table_NFI[[#This Row],[Clothes Kit]],Table_NFI[Clothes Kit])</f>
        <v>0</v>
      </c>
      <c r="AE874" s="436">
        <f>IF(NFI_Expiration=1,IF($A874&lt;VLOOKUP(P$5,NFI,5,0),1,0)*Table_NFI[[#This Row],[Plastic Bucket]],Table_NFI[Plastic Bucket])</f>
        <v>0</v>
      </c>
      <c r="AF874" s="436">
        <f>IF(NFI_Expiration=1,IF($A874&lt;VLOOKUP(Q$5,NFI,5,0),1,0)*Table_NFI[[#This Row],[Plastic Mat]],Table_NFI[Plastic Mat])*IF(Table_NFI[[#This Row],[Distribution Date]]&gt;"2014-04-01",1,2.5)</f>
        <v>0</v>
      </c>
      <c r="AG874" s="436">
        <f>IF(NFI_Expiration=1,IF($A874&lt;VLOOKUP(R$5,NFI,5,0),1,0)*Table_NFI[[#This Row],[Winter Clothes Adult]],Table_NFI[Winter Clothes Adult])</f>
        <v>0</v>
      </c>
      <c r="AH874" s="436">
        <f>IF(NFI_Expiration=1,IF($A874&lt;VLOOKUP(S$5,NFI,5,0),1,0)*Table_NFI[[#This Row],[Winter Clothes Children]],Table_NFI[Winter Clothes Children])</f>
        <v>0</v>
      </c>
      <c r="AI874" s="436">
        <f>IF(NFI_Expiration=1,IF($A874&lt;VLOOKUP(T$5,NFI,5,0),1,0)*Table_NFI[[#This Row],[Winter Items Other]],Table_NFI[Winter Items Other])</f>
        <v>0</v>
      </c>
      <c r="AJ874" s="436">
        <f>IF(NFI_Expiration=1,IF($A874&lt;VLOOKUP(M$5,NFI,5,0),1,0)*Table_NFI[[#This Row],[Winter Blanket]],Table_NFI[[#This Row],[Winter Blanket]])</f>
        <v>0</v>
      </c>
      <c r="AK874" s="436">
        <f>IF(Table_NFI[[#This Row],[Winter Clothes Adult]]+Table_NFI[[#This Row],[Winter Clothes Children]]+Table_NFI[[#This Row],[Winter Items Other]]+Table_NFI[[#This Row],[Winter Blanket]]&gt;0,1,0)</f>
        <v>0</v>
      </c>
      <c r="AL874" s="439">
        <f>IF(NFI_Expiration=1,IF($A874&lt;VLOOKUP(V$5,NFI,5,0),1,0)*Table_NFI[[#This Row],[Jerry Can]],Table_NFI[Jerry Can])</f>
        <v>0</v>
      </c>
      <c r="AM874" s="781" t="str">
        <f>IFERROR(VLOOKUP(Table_NFI[[#This Row],[Camp Name]],CL,2,0),"")</f>
        <v>MMR001CMP037</v>
      </c>
      <c r="AN874" s="782">
        <f ca="1">IF(Table_NFI[[#This Row],[Pcode]]="","",IF(OFFSET(CampList[Opening Date],MATCH(Table_NFI[[#This Row],[Pcode]],CampList[CP_Pcode],0)-1,0,1,1)&gt;=NFI_Monitor_Date,1,0))</f>
        <v>0</v>
      </c>
      <c r="AO874" s="781" t="str">
        <f>IFERROR(VLOOKUP(Table_NFI[[#This Row],[Camp Name]],CL,3,0),"")</f>
        <v>Open</v>
      </c>
      <c r="AP874" s="436" t="str">
        <f ca="1">IF(Table_NFI[[#This Row],[Pcode]]="","",OFFSET(CampList[Priority],MATCH(Table_NFI[[#This Row],[Pcode]],CampList[CP_Pcode],0)-1,0,1,1))</f>
        <v>P4</v>
      </c>
      <c r="AQ874" s="438">
        <f>IFERROR(Table_NFI[[#This Row],[Kitchen Set]]/VLOOKUP(Table_NFI[[#This Row],[Camp Name]],CL,4,0),"")</f>
        <v>0.7142857142857143</v>
      </c>
      <c r="AR874" s="779" t="s">
        <v>1099</v>
      </c>
      <c r="AS874" s="783"/>
    </row>
    <row r="875" spans="1:45" x14ac:dyDescent="0.25">
      <c r="A875" s="455">
        <f t="shared" si="13"/>
        <v>46.5</v>
      </c>
      <c r="B875" s="778">
        <v>40914</v>
      </c>
      <c r="C875" s="779" t="s">
        <v>454</v>
      </c>
      <c r="D875" s="780" t="s">
        <v>454</v>
      </c>
      <c r="E875" s="779" t="s">
        <v>380</v>
      </c>
      <c r="F875" s="435" t="s">
        <v>310</v>
      </c>
      <c r="G875" s="435" t="s">
        <v>316</v>
      </c>
      <c r="H875" s="436"/>
      <c r="I875" s="436"/>
      <c r="J875" s="436"/>
      <c r="K875" s="436">
        <v>29</v>
      </c>
      <c r="L875" s="437">
        <v>14</v>
      </c>
      <c r="M875" s="437">
        <v>29</v>
      </c>
      <c r="N875" s="437">
        <v>14</v>
      </c>
      <c r="O875" s="437">
        <v>14</v>
      </c>
      <c r="P875" s="437">
        <v>14</v>
      </c>
      <c r="Q875" s="437">
        <v>14</v>
      </c>
      <c r="R875" s="436"/>
      <c r="S875" s="436"/>
      <c r="T875" s="436"/>
      <c r="U875" s="436"/>
      <c r="V875" s="436"/>
      <c r="W875" s="436">
        <f>IF(NFI_Expiration=1,IF($A875&lt;VLOOKUP(H$5,NFI,5,0),1,0)*Table_NFI[[#This Row],[Hygiene Kit]],Table_NFI[Hygiene Kit])</f>
        <v>0</v>
      </c>
      <c r="X875" s="436">
        <f>IF(NFI_Expiration=1,IF($A875&lt;VLOOKUP(I$5,NFI,5,0),1,0)*Table_NFI[[#This Row],[NFI Core Kit]],Table_NFI[NFI Core Kit])</f>
        <v>0</v>
      </c>
      <c r="Y875" s="436">
        <f>IF(NFI_Expiration=1,IF($A875&lt;VLOOKUP(J$5,NFI,5,0),1,0)*Table_NFI[[#This Row],[Sanitary Kit]],Table_NFI[Sanitary Kit])</f>
        <v>0</v>
      </c>
      <c r="Z875" s="436">
        <f>IF(NFI_Expiration=1,IF($A875&lt;VLOOKUP(K$5,NFI,5,0),1,0)*Table_NFI[[#This Row],[Mosquito net]],Table_NFI[Mosquito net])</f>
        <v>0</v>
      </c>
      <c r="AA875" s="436">
        <f>IF(NFI_Expiration=1,IF($A875&lt;VLOOKUP(L$5,NFI,5,0),1,0)*Table_NFI[[#This Row],[Tarpaulin]],Table_NFI[[#This Row],[Tarpaulin]])</f>
        <v>0</v>
      </c>
      <c r="AB875" s="436">
        <f>IF(NFI_Expiration=1,IF($A875&lt;VLOOKUP(M$5,NFI,5,0),1,0)*Table_NFI[[#This Row],[Blanket]],Table_NFI[[#This Row],[Blanket]])</f>
        <v>0</v>
      </c>
      <c r="AC875" s="436">
        <f>IF(NFI_Expiration=1,IF($A875&lt;VLOOKUP(N$5,NFI,5,0),1,0)*Table_NFI[[#This Row],[Kitchen Set]],Table_NFI[Kitchen Set])</f>
        <v>0</v>
      </c>
      <c r="AD875" s="436">
        <f>IF(NFI_Expiration=1,IF($A875&lt;VLOOKUP(O$5,NFI,5,0),1,0)*Table_NFI[[#This Row],[Clothes Kit]],Table_NFI[Clothes Kit])</f>
        <v>0</v>
      </c>
      <c r="AE875" s="436">
        <f>IF(NFI_Expiration=1,IF($A875&lt;VLOOKUP(P$5,NFI,5,0),1,0)*Table_NFI[[#This Row],[Plastic Bucket]],Table_NFI[Plastic Bucket])</f>
        <v>0</v>
      </c>
      <c r="AF875" s="436">
        <f>IF(NFI_Expiration=1,IF($A875&lt;VLOOKUP(Q$5,NFI,5,0),1,0)*Table_NFI[[#This Row],[Plastic Mat]],Table_NFI[Plastic Mat])*IF(Table_NFI[[#This Row],[Distribution Date]]&gt;"2014-04-01",1,2.5)</f>
        <v>0</v>
      </c>
      <c r="AG875" s="436">
        <f>IF(NFI_Expiration=1,IF($A875&lt;VLOOKUP(R$5,NFI,5,0),1,0)*Table_NFI[[#This Row],[Winter Clothes Adult]],Table_NFI[Winter Clothes Adult])</f>
        <v>0</v>
      </c>
      <c r="AH875" s="436">
        <f>IF(NFI_Expiration=1,IF($A875&lt;VLOOKUP(S$5,NFI,5,0),1,0)*Table_NFI[[#This Row],[Winter Clothes Children]],Table_NFI[Winter Clothes Children])</f>
        <v>0</v>
      </c>
      <c r="AI875" s="436">
        <f>IF(NFI_Expiration=1,IF($A875&lt;VLOOKUP(T$5,NFI,5,0),1,0)*Table_NFI[[#This Row],[Winter Items Other]],Table_NFI[Winter Items Other])</f>
        <v>0</v>
      </c>
      <c r="AJ875" s="436">
        <f>IF(NFI_Expiration=1,IF($A875&lt;VLOOKUP(M$5,NFI,5,0),1,0)*Table_NFI[[#This Row],[Winter Blanket]],Table_NFI[[#This Row],[Winter Blanket]])</f>
        <v>0</v>
      </c>
      <c r="AK875" s="436">
        <f>IF(Table_NFI[[#This Row],[Winter Clothes Adult]]+Table_NFI[[#This Row],[Winter Clothes Children]]+Table_NFI[[#This Row],[Winter Items Other]]+Table_NFI[[#This Row],[Winter Blanket]]&gt;0,1,0)</f>
        <v>0</v>
      </c>
      <c r="AL875" s="439">
        <f>IF(NFI_Expiration=1,IF($A875&lt;VLOOKUP(V$5,NFI,5,0),1,0)*Table_NFI[[#This Row],[Jerry Can]],Table_NFI[Jerry Can])</f>
        <v>0</v>
      </c>
      <c r="AM875" s="781" t="str">
        <f>IFERROR(VLOOKUP(Table_NFI[[#This Row],[Camp Name]],CL,2,0),"")</f>
        <v>MMR001CMP038</v>
      </c>
      <c r="AN875" s="782">
        <f ca="1">IF(Table_NFI[[#This Row],[Pcode]]="","",IF(OFFSET(CampList[Opening Date],MATCH(Table_NFI[[#This Row],[Pcode]],CampList[CP_Pcode],0)-1,0,1,1)&gt;=NFI_Monitor_Date,1,0))</f>
        <v>0</v>
      </c>
      <c r="AO875" s="781" t="str">
        <f>IFERROR(VLOOKUP(Table_NFI[[#This Row],[Camp Name]],CL,3,0),"")</f>
        <v>Open</v>
      </c>
      <c r="AP875" s="436" t="str">
        <f ca="1">IF(Table_NFI[[#This Row],[Pcode]]="","",OFFSET(CampList[Priority],MATCH(Table_NFI[[#This Row],[Pcode]],CampList[CP_Pcode],0)-1,0,1,1))</f>
        <v>P4</v>
      </c>
      <c r="AQ875" s="438">
        <f>IFERROR(Table_NFI[[#This Row],[Kitchen Set]]/VLOOKUP(Table_NFI[[#This Row],[Camp Name]],CL,4,0),"")</f>
        <v>0.15384615384615385</v>
      </c>
      <c r="AR875" s="779" t="s">
        <v>1099</v>
      </c>
      <c r="AS875" s="783"/>
    </row>
    <row r="876" spans="1:45" x14ac:dyDescent="0.25">
      <c r="A876" s="455">
        <f t="shared" si="13"/>
        <v>46.533333333333331</v>
      </c>
      <c r="B876" s="778">
        <v>40913</v>
      </c>
      <c r="C876" s="779" t="s">
        <v>454</v>
      </c>
      <c r="D876" s="780" t="s">
        <v>462</v>
      </c>
      <c r="E876" s="779" t="s">
        <v>380</v>
      </c>
      <c r="F876" s="435" t="s">
        <v>310</v>
      </c>
      <c r="G876" s="435" t="s">
        <v>326</v>
      </c>
      <c r="H876" s="436"/>
      <c r="I876" s="436"/>
      <c r="J876" s="436"/>
      <c r="K876" s="436">
        <v>52</v>
      </c>
      <c r="L876" s="437">
        <v>29</v>
      </c>
      <c r="M876" s="437">
        <v>52</v>
      </c>
      <c r="N876" s="437">
        <v>29</v>
      </c>
      <c r="O876" s="437">
        <v>29</v>
      </c>
      <c r="P876" s="437">
        <v>29</v>
      </c>
      <c r="Q876" s="437">
        <v>29</v>
      </c>
      <c r="R876" s="436"/>
      <c r="S876" s="436"/>
      <c r="T876" s="436"/>
      <c r="U876" s="436"/>
      <c r="V876" s="436"/>
      <c r="W876" s="436">
        <f>IF(NFI_Expiration=1,IF($A876&lt;VLOOKUP(H$5,NFI,5,0),1,0)*Table_NFI[[#This Row],[Hygiene Kit]],Table_NFI[Hygiene Kit])</f>
        <v>0</v>
      </c>
      <c r="X876" s="436">
        <f>IF(NFI_Expiration=1,IF($A876&lt;VLOOKUP(I$5,NFI,5,0),1,0)*Table_NFI[[#This Row],[NFI Core Kit]],Table_NFI[NFI Core Kit])</f>
        <v>0</v>
      </c>
      <c r="Y876" s="436">
        <f>IF(NFI_Expiration=1,IF($A876&lt;VLOOKUP(J$5,NFI,5,0),1,0)*Table_NFI[[#This Row],[Sanitary Kit]],Table_NFI[Sanitary Kit])</f>
        <v>0</v>
      </c>
      <c r="Z876" s="436">
        <f>IF(NFI_Expiration=1,IF($A876&lt;VLOOKUP(K$5,NFI,5,0),1,0)*Table_NFI[[#This Row],[Mosquito net]],Table_NFI[Mosquito net])</f>
        <v>0</v>
      </c>
      <c r="AA876" s="436">
        <f>IF(NFI_Expiration=1,IF($A876&lt;VLOOKUP(L$5,NFI,5,0),1,0)*Table_NFI[[#This Row],[Tarpaulin]],Table_NFI[[#This Row],[Tarpaulin]])</f>
        <v>0</v>
      </c>
      <c r="AB876" s="436">
        <f>IF(NFI_Expiration=1,IF($A876&lt;VLOOKUP(M$5,NFI,5,0),1,0)*Table_NFI[[#This Row],[Blanket]],Table_NFI[[#This Row],[Blanket]])</f>
        <v>0</v>
      </c>
      <c r="AC876" s="436">
        <f>IF(NFI_Expiration=1,IF($A876&lt;VLOOKUP(N$5,NFI,5,0),1,0)*Table_NFI[[#This Row],[Kitchen Set]],Table_NFI[Kitchen Set])</f>
        <v>0</v>
      </c>
      <c r="AD876" s="436">
        <f>IF(NFI_Expiration=1,IF($A876&lt;VLOOKUP(O$5,NFI,5,0),1,0)*Table_NFI[[#This Row],[Clothes Kit]],Table_NFI[Clothes Kit])</f>
        <v>0</v>
      </c>
      <c r="AE876" s="436">
        <f>IF(NFI_Expiration=1,IF($A876&lt;VLOOKUP(P$5,NFI,5,0),1,0)*Table_NFI[[#This Row],[Plastic Bucket]],Table_NFI[Plastic Bucket])</f>
        <v>0</v>
      </c>
      <c r="AF876" s="436">
        <f>IF(NFI_Expiration=1,IF($A876&lt;VLOOKUP(Q$5,NFI,5,0),1,0)*Table_NFI[[#This Row],[Plastic Mat]],Table_NFI[Plastic Mat])*IF(Table_NFI[[#This Row],[Distribution Date]]&gt;"2014-04-01",1,2.5)</f>
        <v>0</v>
      </c>
      <c r="AG876" s="436">
        <f>IF(NFI_Expiration=1,IF($A876&lt;VLOOKUP(R$5,NFI,5,0),1,0)*Table_NFI[[#This Row],[Winter Clothes Adult]],Table_NFI[Winter Clothes Adult])</f>
        <v>0</v>
      </c>
      <c r="AH876" s="436">
        <f>IF(NFI_Expiration=1,IF($A876&lt;VLOOKUP(S$5,NFI,5,0),1,0)*Table_NFI[[#This Row],[Winter Clothes Children]],Table_NFI[Winter Clothes Children])</f>
        <v>0</v>
      </c>
      <c r="AI876" s="436">
        <f>IF(NFI_Expiration=1,IF($A876&lt;VLOOKUP(T$5,NFI,5,0),1,0)*Table_NFI[[#This Row],[Winter Items Other]],Table_NFI[Winter Items Other])</f>
        <v>0</v>
      </c>
      <c r="AJ876" s="436">
        <f>IF(NFI_Expiration=1,IF($A876&lt;VLOOKUP(M$5,NFI,5,0),1,0)*Table_NFI[[#This Row],[Winter Blanket]],Table_NFI[[#This Row],[Winter Blanket]])</f>
        <v>0</v>
      </c>
      <c r="AK876" s="436">
        <f>IF(Table_NFI[[#This Row],[Winter Clothes Adult]]+Table_NFI[[#This Row],[Winter Clothes Children]]+Table_NFI[[#This Row],[Winter Items Other]]+Table_NFI[[#This Row],[Winter Blanket]]&gt;0,1,0)</f>
        <v>0</v>
      </c>
      <c r="AL876" s="439">
        <f>IF(NFI_Expiration=1,IF($A876&lt;VLOOKUP(V$5,NFI,5,0),1,0)*Table_NFI[[#This Row],[Jerry Can]],Table_NFI[Jerry Can])</f>
        <v>0</v>
      </c>
      <c r="AM876" s="781" t="str">
        <f>IFERROR(VLOOKUP(Table_NFI[[#This Row],[Camp Name]],CL,2,0),"")</f>
        <v>MMR001CMP039</v>
      </c>
      <c r="AN876" s="782">
        <f ca="1">IF(Table_NFI[[#This Row],[Pcode]]="","",IF(OFFSET(CampList[Opening Date],MATCH(Table_NFI[[#This Row],[Pcode]],CampList[CP_Pcode],0)-1,0,1,1)&gt;=NFI_Monitor_Date,1,0))</f>
        <v>0</v>
      </c>
      <c r="AO876" s="781" t="str">
        <f>IFERROR(VLOOKUP(Table_NFI[[#This Row],[Camp Name]],CL,3,0),"")</f>
        <v>Open</v>
      </c>
      <c r="AP876" s="436" t="str">
        <f ca="1">IF(Table_NFI[[#This Row],[Pcode]]="","",OFFSET(CampList[Priority],MATCH(Table_NFI[[#This Row],[Pcode]],CampList[CP_Pcode],0)-1,0,1,1))</f>
        <v>P4</v>
      </c>
      <c r="AQ876" s="438">
        <f>IFERROR(Table_NFI[[#This Row],[Kitchen Set]]/VLOOKUP(Table_NFI[[#This Row],[Camp Name]],CL,4,0),"")</f>
        <v>0.60416666666666663</v>
      </c>
      <c r="AR876" s="779" t="s">
        <v>1099</v>
      </c>
      <c r="AS876" s="783"/>
    </row>
    <row r="877" spans="1:45" x14ac:dyDescent="0.25">
      <c r="A877" s="455">
        <f t="shared" si="13"/>
        <v>46.6</v>
      </c>
      <c r="B877" s="778">
        <v>40911</v>
      </c>
      <c r="C877" s="779" t="s">
        <v>454</v>
      </c>
      <c r="D877" s="780" t="s">
        <v>508</v>
      </c>
      <c r="E877" s="779" t="s">
        <v>380</v>
      </c>
      <c r="F877" s="435" t="s">
        <v>237</v>
      </c>
      <c r="G877" s="435" t="s">
        <v>249</v>
      </c>
      <c r="H877" s="436"/>
      <c r="I877" s="436"/>
      <c r="J877" s="436"/>
      <c r="K877" s="436">
        <v>0</v>
      </c>
      <c r="L877" s="437">
        <v>0</v>
      </c>
      <c r="M877" s="437">
        <v>0</v>
      </c>
      <c r="N877" s="437">
        <v>0</v>
      </c>
      <c r="O877" s="437">
        <v>8</v>
      </c>
      <c r="P877" s="437">
        <v>8</v>
      </c>
      <c r="Q877" s="437">
        <v>8</v>
      </c>
      <c r="R877" s="436"/>
      <c r="S877" s="436"/>
      <c r="T877" s="436"/>
      <c r="U877" s="436"/>
      <c r="V877" s="701"/>
      <c r="W877" s="436">
        <f>IF(NFI_Expiration=1,IF($A877&lt;VLOOKUP(H$5,NFI,5,0),1,0)*Table_NFI[[#This Row],[Hygiene Kit]],Table_NFI[Hygiene Kit])</f>
        <v>0</v>
      </c>
      <c r="X877" s="436">
        <f>IF(NFI_Expiration=1,IF($A877&lt;VLOOKUP(I$5,NFI,5,0),1,0)*Table_NFI[[#This Row],[NFI Core Kit]],Table_NFI[NFI Core Kit])</f>
        <v>0</v>
      </c>
      <c r="Y877" s="436">
        <f>IF(NFI_Expiration=1,IF($A877&lt;VLOOKUP(J$5,NFI,5,0),1,0)*Table_NFI[[#This Row],[Sanitary Kit]],Table_NFI[Sanitary Kit])</f>
        <v>0</v>
      </c>
      <c r="Z877" s="436">
        <f>IF(NFI_Expiration=1,IF($A877&lt;VLOOKUP(K$5,NFI,5,0),1,0)*Table_NFI[[#This Row],[Mosquito net]],Table_NFI[Mosquito net])</f>
        <v>0</v>
      </c>
      <c r="AA877" s="436">
        <f>IF(NFI_Expiration=1,IF($A877&lt;VLOOKUP(L$5,NFI,5,0),1,0)*Table_NFI[[#This Row],[Tarpaulin]],Table_NFI[[#This Row],[Tarpaulin]])</f>
        <v>0</v>
      </c>
      <c r="AB877" s="436">
        <f>IF(NFI_Expiration=1,IF($A877&lt;VLOOKUP(M$5,NFI,5,0),1,0)*Table_NFI[[#This Row],[Blanket]],Table_NFI[[#This Row],[Blanket]])</f>
        <v>0</v>
      </c>
      <c r="AC877" s="436">
        <f>IF(NFI_Expiration=1,IF($A877&lt;VLOOKUP(N$5,NFI,5,0),1,0)*Table_NFI[[#This Row],[Kitchen Set]],Table_NFI[Kitchen Set])</f>
        <v>0</v>
      </c>
      <c r="AD877" s="436">
        <f>IF(NFI_Expiration=1,IF($A877&lt;VLOOKUP(O$5,NFI,5,0),1,0)*Table_NFI[[#This Row],[Clothes Kit]],Table_NFI[Clothes Kit])</f>
        <v>0</v>
      </c>
      <c r="AE877" s="436">
        <f>IF(NFI_Expiration=1,IF($A877&lt;VLOOKUP(P$5,NFI,5,0),1,0)*Table_NFI[[#This Row],[Plastic Bucket]],Table_NFI[Plastic Bucket])</f>
        <v>0</v>
      </c>
      <c r="AF877" s="436">
        <f>IF(NFI_Expiration=1,IF($A877&lt;VLOOKUP(Q$5,NFI,5,0),1,0)*Table_NFI[[#This Row],[Plastic Mat]],Table_NFI[Plastic Mat])*IF(Table_NFI[[#This Row],[Distribution Date]]&gt;"2014-04-01",1,2.5)</f>
        <v>0</v>
      </c>
      <c r="AG877" s="436">
        <f>IF(NFI_Expiration=1,IF($A877&lt;VLOOKUP(R$5,NFI,5,0),1,0)*Table_NFI[[#This Row],[Winter Clothes Adult]],Table_NFI[Winter Clothes Adult])</f>
        <v>0</v>
      </c>
      <c r="AH877" s="436">
        <f>IF(NFI_Expiration=1,IF($A877&lt;VLOOKUP(S$5,NFI,5,0),1,0)*Table_NFI[[#This Row],[Winter Clothes Children]],Table_NFI[Winter Clothes Children])</f>
        <v>0</v>
      </c>
      <c r="AI877" s="436">
        <f>IF(NFI_Expiration=1,IF($A877&lt;VLOOKUP(T$5,NFI,5,0),1,0)*Table_NFI[[#This Row],[Winter Items Other]],Table_NFI[Winter Items Other])</f>
        <v>0</v>
      </c>
      <c r="AJ877" s="436">
        <f>IF(NFI_Expiration=1,IF($A877&lt;VLOOKUP(M$5,NFI,5,0),1,0)*Table_NFI[[#This Row],[Winter Blanket]],Table_NFI[[#This Row],[Winter Blanket]])</f>
        <v>0</v>
      </c>
      <c r="AK877" s="436">
        <f>IF(Table_NFI[[#This Row],[Winter Clothes Adult]]+Table_NFI[[#This Row],[Winter Clothes Children]]+Table_NFI[[#This Row],[Winter Items Other]]+Table_NFI[[#This Row],[Winter Blanket]]&gt;0,1,0)</f>
        <v>0</v>
      </c>
      <c r="AL877" s="493">
        <f>IF(NFI_Expiration=1,IF($A877&lt;VLOOKUP(V$5,NFI,5,0),1,0)*Table_NFI[[#This Row],[Jerry Can]],Table_NFI[Jerry Can])</f>
        <v>0</v>
      </c>
      <c r="AM877" s="781" t="str">
        <f>IFERROR(VLOOKUP(Table_NFI[[#This Row],[Camp Name]],CL,2,0),"")</f>
        <v>MMR001CMP004</v>
      </c>
      <c r="AN877" s="782">
        <f ca="1">IF(Table_NFI[[#This Row],[Pcode]]="","",IF(OFFSET(CampList[Opening Date],MATCH(Table_NFI[[#This Row],[Pcode]],CampList[CP_Pcode],0)-1,0,1,1)&gt;=NFI_Monitor_Date,1,0))</f>
        <v>0</v>
      </c>
      <c r="AO877" s="781" t="str">
        <f>IFERROR(VLOOKUP(Table_NFI[[#This Row],[Camp Name]],CL,3,0),"")</f>
        <v>Open</v>
      </c>
      <c r="AP877" s="436" t="str">
        <f ca="1">IF(Table_NFI[[#This Row],[Pcode]]="","",OFFSET(CampList[Priority],MATCH(Table_NFI[[#This Row],[Pcode]],CampList[CP_Pcode],0)-1,0,1,1))</f>
        <v>P4</v>
      </c>
      <c r="AQ877" s="438">
        <f>IFERROR(Table_NFI[[#This Row],[Kitchen Set]]/VLOOKUP(Table_NFI[[#This Row],[Camp Name]],CL,4,0),"")</f>
        <v>0</v>
      </c>
      <c r="AR877" s="779" t="s">
        <v>1099</v>
      </c>
      <c r="AS877" s="807"/>
    </row>
    <row r="878" spans="1:45" x14ac:dyDescent="0.25">
      <c r="A878" s="455">
        <f t="shared" si="13"/>
        <v>46.7</v>
      </c>
      <c r="B878" s="778">
        <v>40908</v>
      </c>
      <c r="C878" s="779" t="s">
        <v>454</v>
      </c>
      <c r="D878" s="780" t="s">
        <v>508</v>
      </c>
      <c r="E878" s="779" t="s">
        <v>380</v>
      </c>
      <c r="F878" s="435" t="s">
        <v>310</v>
      </c>
      <c r="G878" s="435" t="s">
        <v>330</v>
      </c>
      <c r="H878" s="436"/>
      <c r="I878" s="436"/>
      <c r="J878" s="436"/>
      <c r="K878" s="436">
        <v>46</v>
      </c>
      <c r="L878" s="437">
        <v>27</v>
      </c>
      <c r="M878" s="437">
        <v>47</v>
      </c>
      <c r="N878" s="437">
        <v>27</v>
      </c>
      <c r="O878" s="437">
        <v>27</v>
      </c>
      <c r="P878" s="437">
        <v>27</v>
      </c>
      <c r="Q878" s="437">
        <v>27</v>
      </c>
      <c r="R878" s="436"/>
      <c r="S878" s="436"/>
      <c r="T878" s="436"/>
      <c r="U878" s="436"/>
      <c r="V878" s="436"/>
      <c r="W878" s="436">
        <f>IF(NFI_Expiration=1,IF($A878&lt;VLOOKUP(H$5,NFI,5,0),1,0)*Table_NFI[[#This Row],[Hygiene Kit]],Table_NFI[Hygiene Kit])</f>
        <v>0</v>
      </c>
      <c r="X878" s="436">
        <f>IF(NFI_Expiration=1,IF($A878&lt;VLOOKUP(I$5,NFI,5,0),1,0)*Table_NFI[[#This Row],[NFI Core Kit]],Table_NFI[NFI Core Kit])</f>
        <v>0</v>
      </c>
      <c r="Y878" s="436">
        <f>IF(NFI_Expiration=1,IF($A878&lt;VLOOKUP(J$5,NFI,5,0),1,0)*Table_NFI[[#This Row],[Sanitary Kit]],Table_NFI[Sanitary Kit])</f>
        <v>0</v>
      </c>
      <c r="Z878" s="436">
        <f>IF(NFI_Expiration=1,IF($A878&lt;VLOOKUP(K$5,NFI,5,0),1,0)*Table_NFI[[#This Row],[Mosquito net]],Table_NFI[Mosquito net])</f>
        <v>0</v>
      </c>
      <c r="AA878" s="436">
        <f>IF(NFI_Expiration=1,IF($A878&lt;VLOOKUP(L$5,NFI,5,0),1,0)*Table_NFI[[#This Row],[Tarpaulin]],Table_NFI[[#This Row],[Tarpaulin]])</f>
        <v>0</v>
      </c>
      <c r="AB878" s="436">
        <f>IF(NFI_Expiration=1,IF($A878&lt;VLOOKUP(M$5,NFI,5,0),1,0)*Table_NFI[[#This Row],[Blanket]],Table_NFI[[#This Row],[Blanket]])</f>
        <v>0</v>
      </c>
      <c r="AC878" s="436">
        <f>IF(NFI_Expiration=1,IF($A878&lt;VLOOKUP(N$5,NFI,5,0),1,0)*Table_NFI[[#This Row],[Kitchen Set]],Table_NFI[Kitchen Set])</f>
        <v>0</v>
      </c>
      <c r="AD878" s="436">
        <f>IF(NFI_Expiration=1,IF($A878&lt;VLOOKUP(O$5,NFI,5,0),1,0)*Table_NFI[[#This Row],[Clothes Kit]],Table_NFI[Clothes Kit])</f>
        <v>0</v>
      </c>
      <c r="AE878" s="436">
        <f>IF(NFI_Expiration=1,IF($A878&lt;VLOOKUP(P$5,NFI,5,0),1,0)*Table_NFI[[#This Row],[Plastic Bucket]],Table_NFI[Plastic Bucket])</f>
        <v>0</v>
      </c>
      <c r="AF878" s="436">
        <f>IF(NFI_Expiration=1,IF($A878&lt;VLOOKUP(Q$5,NFI,5,0),1,0)*Table_NFI[[#This Row],[Plastic Mat]],Table_NFI[Plastic Mat])*IF(Table_NFI[[#This Row],[Distribution Date]]&gt;"2014-04-01",1,2.5)</f>
        <v>0</v>
      </c>
      <c r="AG878" s="436">
        <f>IF(NFI_Expiration=1,IF($A878&lt;VLOOKUP(R$5,NFI,5,0),1,0)*Table_NFI[[#This Row],[Winter Clothes Adult]],Table_NFI[Winter Clothes Adult])</f>
        <v>0</v>
      </c>
      <c r="AH878" s="436">
        <f>IF(NFI_Expiration=1,IF($A878&lt;VLOOKUP(S$5,NFI,5,0),1,0)*Table_NFI[[#This Row],[Winter Clothes Children]],Table_NFI[Winter Clothes Children])</f>
        <v>0</v>
      </c>
      <c r="AI878" s="436">
        <f>IF(NFI_Expiration=1,IF($A878&lt;VLOOKUP(T$5,NFI,5,0),1,0)*Table_NFI[[#This Row],[Winter Items Other]],Table_NFI[Winter Items Other])</f>
        <v>0</v>
      </c>
      <c r="AJ878" s="436">
        <f>IF(NFI_Expiration=1,IF($A878&lt;VLOOKUP(M$5,NFI,5,0),1,0)*Table_NFI[[#This Row],[Winter Blanket]],Table_NFI[[#This Row],[Winter Blanket]])</f>
        <v>0</v>
      </c>
      <c r="AK878" s="436">
        <f>IF(Table_NFI[[#This Row],[Winter Clothes Adult]]+Table_NFI[[#This Row],[Winter Clothes Children]]+Table_NFI[[#This Row],[Winter Items Other]]+Table_NFI[[#This Row],[Winter Blanket]]&gt;0,1,0)</f>
        <v>0</v>
      </c>
      <c r="AL878" s="439">
        <f>IF(NFI_Expiration=1,IF($A878&lt;VLOOKUP(V$5,NFI,5,0),1,0)*Table_NFI[[#This Row],[Jerry Can]],Table_NFI[Jerry Can])</f>
        <v>0</v>
      </c>
      <c r="AM878" s="781" t="str">
        <f>IFERROR(VLOOKUP(Table_NFI[[#This Row],[Camp Name]],CL,2,0),"")</f>
        <v>MMR001CMP029</v>
      </c>
      <c r="AN878" s="782">
        <f ca="1">IF(Table_NFI[[#This Row],[Pcode]]="","",IF(OFFSET(CampList[Opening Date],MATCH(Table_NFI[[#This Row],[Pcode]],CampList[CP_Pcode],0)-1,0,1,1)&gt;=NFI_Monitor_Date,1,0))</f>
        <v>0</v>
      </c>
      <c r="AO878" s="781" t="str">
        <f>IFERROR(VLOOKUP(Table_NFI[[#This Row],[Camp Name]],CL,3,0),"")</f>
        <v>Open</v>
      </c>
      <c r="AP878" s="436" t="str">
        <f ca="1">IF(Table_NFI[[#This Row],[Pcode]]="","",OFFSET(CampList[Priority],MATCH(Table_NFI[[#This Row],[Pcode]],CampList[CP_Pcode],0)-1,0,1,1))</f>
        <v>P4</v>
      </c>
      <c r="AQ878" s="438">
        <f>IFERROR(Table_NFI[[#This Row],[Kitchen Set]]/VLOOKUP(Table_NFI[[#This Row],[Camp Name]],CL,4,0),"")</f>
        <v>0.11894273127753303</v>
      </c>
      <c r="AR878" s="779" t="s">
        <v>1099</v>
      </c>
      <c r="AS878" s="783"/>
    </row>
    <row r="879" spans="1:45" x14ac:dyDescent="0.25">
      <c r="A879" s="455">
        <f t="shared" si="13"/>
        <v>46.733333333333334</v>
      </c>
      <c r="B879" s="778">
        <v>40907</v>
      </c>
      <c r="C879" s="779" t="s">
        <v>454</v>
      </c>
      <c r="D879" s="780" t="s">
        <v>462</v>
      </c>
      <c r="E879" s="779" t="s">
        <v>380</v>
      </c>
      <c r="F879" s="435" t="s">
        <v>237</v>
      </c>
      <c r="G879" s="435" t="s">
        <v>253</v>
      </c>
      <c r="H879" s="436"/>
      <c r="I879" s="436"/>
      <c r="J879" s="436"/>
      <c r="K879" s="436">
        <v>56</v>
      </c>
      <c r="L879" s="437">
        <v>29</v>
      </c>
      <c r="M879" s="437">
        <v>56</v>
      </c>
      <c r="N879" s="437">
        <v>29</v>
      </c>
      <c r="O879" s="437">
        <v>29</v>
      </c>
      <c r="P879" s="437">
        <v>29</v>
      </c>
      <c r="Q879" s="437">
        <v>29</v>
      </c>
      <c r="R879" s="436"/>
      <c r="S879" s="436"/>
      <c r="T879" s="436"/>
      <c r="U879" s="436"/>
      <c r="V879" s="436"/>
      <c r="W879" s="436">
        <f>IF(NFI_Expiration=1,IF($A879&lt;VLOOKUP(H$5,NFI,5,0),1,0)*Table_NFI[[#This Row],[Hygiene Kit]],Table_NFI[Hygiene Kit])</f>
        <v>0</v>
      </c>
      <c r="X879" s="436">
        <f>IF(NFI_Expiration=1,IF($A879&lt;VLOOKUP(I$5,NFI,5,0),1,0)*Table_NFI[[#This Row],[NFI Core Kit]],Table_NFI[NFI Core Kit])</f>
        <v>0</v>
      </c>
      <c r="Y879" s="436">
        <f>IF(NFI_Expiration=1,IF($A879&lt;VLOOKUP(J$5,NFI,5,0),1,0)*Table_NFI[[#This Row],[Sanitary Kit]],Table_NFI[Sanitary Kit])</f>
        <v>0</v>
      </c>
      <c r="Z879" s="436">
        <f>IF(NFI_Expiration=1,IF($A879&lt;VLOOKUP(K$5,NFI,5,0),1,0)*Table_NFI[[#This Row],[Mosquito net]],Table_NFI[Mosquito net])</f>
        <v>0</v>
      </c>
      <c r="AA879" s="436">
        <f>IF(NFI_Expiration=1,IF($A879&lt;VLOOKUP(L$5,NFI,5,0),1,0)*Table_NFI[[#This Row],[Tarpaulin]],Table_NFI[[#This Row],[Tarpaulin]])</f>
        <v>0</v>
      </c>
      <c r="AB879" s="436">
        <f>IF(NFI_Expiration=1,IF($A879&lt;VLOOKUP(M$5,NFI,5,0),1,0)*Table_NFI[[#This Row],[Blanket]],Table_NFI[[#This Row],[Blanket]])</f>
        <v>0</v>
      </c>
      <c r="AC879" s="436">
        <f>IF(NFI_Expiration=1,IF($A879&lt;VLOOKUP(N$5,NFI,5,0),1,0)*Table_NFI[[#This Row],[Kitchen Set]],Table_NFI[Kitchen Set])</f>
        <v>0</v>
      </c>
      <c r="AD879" s="436">
        <f>IF(NFI_Expiration=1,IF($A879&lt;VLOOKUP(O$5,NFI,5,0),1,0)*Table_NFI[[#This Row],[Clothes Kit]],Table_NFI[Clothes Kit])</f>
        <v>0</v>
      </c>
      <c r="AE879" s="436">
        <f>IF(NFI_Expiration=1,IF($A879&lt;VLOOKUP(P$5,NFI,5,0),1,0)*Table_NFI[[#This Row],[Plastic Bucket]],Table_NFI[Plastic Bucket])</f>
        <v>0</v>
      </c>
      <c r="AF879" s="436">
        <f>IF(NFI_Expiration=1,IF($A879&lt;VLOOKUP(Q$5,NFI,5,0),1,0)*Table_NFI[[#This Row],[Plastic Mat]],Table_NFI[Plastic Mat])*IF(Table_NFI[[#This Row],[Distribution Date]]&gt;"2014-04-01",1,2.5)</f>
        <v>0</v>
      </c>
      <c r="AG879" s="436">
        <f>IF(NFI_Expiration=1,IF($A879&lt;VLOOKUP(R$5,NFI,5,0),1,0)*Table_NFI[[#This Row],[Winter Clothes Adult]],Table_NFI[Winter Clothes Adult])</f>
        <v>0</v>
      </c>
      <c r="AH879" s="436">
        <f>IF(NFI_Expiration=1,IF($A879&lt;VLOOKUP(S$5,NFI,5,0),1,0)*Table_NFI[[#This Row],[Winter Clothes Children]],Table_NFI[Winter Clothes Children])</f>
        <v>0</v>
      </c>
      <c r="AI879" s="436">
        <f>IF(NFI_Expiration=1,IF($A879&lt;VLOOKUP(T$5,NFI,5,0),1,0)*Table_NFI[[#This Row],[Winter Items Other]],Table_NFI[Winter Items Other])</f>
        <v>0</v>
      </c>
      <c r="AJ879" s="436">
        <f>IF(NFI_Expiration=1,IF($A879&lt;VLOOKUP(M$5,NFI,5,0),1,0)*Table_NFI[[#This Row],[Winter Blanket]],Table_NFI[[#This Row],[Winter Blanket]])</f>
        <v>0</v>
      </c>
      <c r="AK879" s="436">
        <f>IF(Table_NFI[[#This Row],[Winter Clothes Adult]]+Table_NFI[[#This Row],[Winter Clothes Children]]+Table_NFI[[#This Row],[Winter Items Other]]+Table_NFI[[#This Row],[Winter Blanket]]&gt;0,1,0)</f>
        <v>0</v>
      </c>
      <c r="AL879" s="439">
        <f>IF(NFI_Expiration=1,IF($A879&lt;VLOOKUP(V$5,NFI,5,0),1,0)*Table_NFI[[#This Row],[Jerry Can]],Table_NFI[Jerry Can])</f>
        <v>0</v>
      </c>
      <c r="AM879" s="781" t="str">
        <f>IFERROR(VLOOKUP(Table_NFI[[#This Row],[Camp Name]],CL,2,0),"")</f>
        <v>MMR001CMP018</v>
      </c>
      <c r="AN879" s="782">
        <f ca="1">IF(Table_NFI[[#This Row],[Pcode]]="","",IF(OFFSET(CampList[Opening Date],MATCH(Table_NFI[[#This Row],[Pcode]],CampList[CP_Pcode],0)-1,0,1,1)&gt;=NFI_Monitor_Date,1,0))</f>
        <v>0</v>
      </c>
      <c r="AO879" s="781" t="str">
        <f>IFERROR(VLOOKUP(Table_NFI[[#This Row],[Camp Name]],CL,3,0),"")</f>
        <v>Open</v>
      </c>
      <c r="AP879" s="436" t="str">
        <f ca="1">IF(Table_NFI[[#This Row],[Pcode]]="","",OFFSET(CampList[Priority],MATCH(Table_NFI[[#This Row],[Pcode]],CampList[CP_Pcode],0)-1,0,1,1))</f>
        <v>P4</v>
      </c>
      <c r="AQ879" s="438">
        <f>IFERROR(Table_NFI[[#This Row],[Kitchen Set]]/VLOOKUP(Table_NFI[[#This Row],[Camp Name]],CL,4,0),"")</f>
        <v>0.14285714285714285</v>
      </c>
      <c r="AR879" s="779" t="s">
        <v>1099</v>
      </c>
      <c r="AS879" s="783"/>
    </row>
    <row r="880" spans="1:45" x14ac:dyDescent="0.25">
      <c r="A880" s="455">
        <f t="shared" si="13"/>
        <v>46.8</v>
      </c>
      <c r="B880" s="778">
        <v>40905</v>
      </c>
      <c r="C880" s="779" t="s">
        <v>454</v>
      </c>
      <c r="D880" s="779" t="s">
        <v>910</v>
      </c>
      <c r="E880" s="779" t="s">
        <v>380</v>
      </c>
      <c r="F880" s="779" t="s">
        <v>310</v>
      </c>
      <c r="G880" s="435" t="s">
        <v>313</v>
      </c>
      <c r="H880" s="436"/>
      <c r="I880" s="436"/>
      <c r="J880" s="436"/>
      <c r="K880" s="436">
        <v>31</v>
      </c>
      <c r="L880" s="437">
        <v>19</v>
      </c>
      <c r="M880" s="437">
        <v>31</v>
      </c>
      <c r="N880" s="437">
        <v>19</v>
      </c>
      <c r="O880" s="437">
        <v>19</v>
      </c>
      <c r="P880" s="437">
        <v>19</v>
      </c>
      <c r="Q880" s="437">
        <v>19</v>
      </c>
      <c r="R880" s="436"/>
      <c r="S880" s="436"/>
      <c r="T880" s="436"/>
      <c r="U880" s="436"/>
      <c r="V880" s="436"/>
      <c r="W880" s="436">
        <f>IF(NFI_Expiration=1,IF($A880&lt;VLOOKUP(H$5,NFI,5,0),1,0)*Table_NFI[[#This Row],[Hygiene Kit]],Table_NFI[Hygiene Kit])</f>
        <v>0</v>
      </c>
      <c r="X880" s="436">
        <f>IF(NFI_Expiration=1,IF($A880&lt;VLOOKUP(I$5,NFI,5,0),1,0)*Table_NFI[[#This Row],[NFI Core Kit]],Table_NFI[NFI Core Kit])</f>
        <v>0</v>
      </c>
      <c r="Y880" s="436">
        <f>IF(NFI_Expiration=1,IF($A880&lt;VLOOKUP(J$5,NFI,5,0),1,0)*Table_NFI[[#This Row],[Sanitary Kit]],Table_NFI[Sanitary Kit])</f>
        <v>0</v>
      </c>
      <c r="Z880" s="436">
        <f>IF(NFI_Expiration=1,IF($A880&lt;VLOOKUP(K$5,NFI,5,0),1,0)*Table_NFI[[#This Row],[Mosquito net]],Table_NFI[Mosquito net])</f>
        <v>0</v>
      </c>
      <c r="AA880" s="436">
        <f>IF(NFI_Expiration=1,IF($A880&lt;VLOOKUP(L$5,NFI,5,0),1,0)*Table_NFI[[#This Row],[Tarpaulin]],Table_NFI[[#This Row],[Tarpaulin]])</f>
        <v>0</v>
      </c>
      <c r="AB880" s="436">
        <f>IF(NFI_Expiration=1,IF($A880&lt;VLOOKUP(M$5,NFI,5,0),1,0)*Table_NFI[[#This Row],[Blanket]],Table_NFI[[#This Row],[Blanket]])</f>
        <v>0</v>
      </c>
      <c r="AC880" s="436">
        <f>IF(NFI_Expiration=1,IF($A880&lt;VLOOKUP(N$5,NFI,5,0),1,0)*Table_NFI[[#This Row],[Kitchen Set]],Table_NFI[Kitchen Set])</f>
        <v>0</v>
      </c>
      <c r="AD880" s="436">
        <f>IF(NFI_Expiration=1,IF($A880&lt;VLOOKUP(O$5,NFI,5,0),1,0)*Table_NFI[[#This Row],[Clothes Kit]],Table_NFI[Clothes Kit])</f>
        <v>0</v>
      </c>
      <c r="AE880" s="436">
        <f>IF(NFI_Expiration=1,IF($A880&lt;VLOOKUP(P$5,NFI,5,0),1,0)*Table_NFI[[#This Row],[Plastic Bucket]],Table_NFI[Plastic Bucket])</f>
        <v>0</v>
      </c>
      <c r="AF880" s="436">
        <f>IF(NFI_Expiration=1,IF($A880&lt;VLOOKUP(Q$5,NFI,5,0),1,0)*Table_NFI[[#This Row],[Plastic Mat]],Table_NFI[Plastic Mat])*IF(Table_NFI[[#This Row],[Distribution Date]]&gt;"2014-04-01",1,2.5)</f>
        <v>0</v>
      </c>
      <c r="AG880" s="436">
        <f>IF(NFI_Expiration=1,IF($A880&lt;VLOOKUP(R$5,NFI,5,0),1,0)*Table_NFI[[#This Row],[Winter Clothes Adult]],Table_NFI[Winter Clothes Adult])</f>
        <v>0</v>
      </c>
      <c r="AH880" s="436">
        <f>IF(NFI_Expiration=1,IF($A880&lt;VLOOKUP(S$5,NFI,5,0),1,0)*Table_NFI[[#This Row],[Winter Clothes Children]],Table_NFI[Winter Clothes Children])</f>
        <v>0</v>
      </c>
      <c r="AI880" s="436">
        <f>IF(NFI_Expiration=1,IF($A880&lt;VLOOKUP(T$5,NFI,5,0),1,0)*Table_NFI[[#This Row],[Winter Items Other]],Table_NFI[Winter Items Other])</f>
        <v>0</v>
      </c>
      <c r="AJ880" s="436">
        <f>IF(NFI_Expiration=1,IF($A880&lt;VLOOKUP(M$5,NFI,5,0),1,0)*Table_NFI[[#This Row],[Winter Blanket]],Table_NFI[[#This Row],[Winter Blanket]])</f>
        <v>0</v>
      </c>
      <c r="AK880" s="436">
        <f>IF(Table_NFI[[#This Row],[Winter Clothes Adult]]+Table_NFI[[#This Row],[Winter Clothes Children]]+Table_NFI[[#This Row],[Winter Items Other]]+Table_NFI[[#This Row],[Winter Blanket]]&gt;0,1,0)</f>
        <v>0</v>
      </c>
      <c r="AL880" s="439">
        <f>IF(NFI_Expiration=1,IF($A880&lt;VLOOKUP(V$5,NFI,5,0),1,0)*Table_NFI[[#This Row],[Jerry Can]],Table_NFI[Jerry Can])</f>
        <v>0</v>
      </c>
      <c r="AM880" s="781" t="str">
        <f>IFERROR(VLOOKUP(Table_NFI[[#This Row],[Camp Name]],CL,2,0),"")</f>
        <v>MMR001CMP028</v>
      </c>
      <c r="AN880" s="782">
        <f ca="1">IF(Table_NFI[[#This Row],[Pcode]]="","",IF(OFFSET(CampList[Opening Date],MATCH(Table_NFI[[#This Row],[Pcode]],CampList[CP_Pcode],0)-1,0,1,1)&gt;=NFI_Monitor_Date,1,0))</f>
        <v>0</v>
      </c>
      <c r="AO880" s="781" t="str">
        <f>IFERROR(VLOOKUP(Table_NFI[[#This Row],[Camp Name]],CL,3,0),"")</f>
        <v>Open</v>
      </c>
      <c r="AP880" s="436" t="str">
        <f ca="1">IF(Table_NFI[[#This Row],[Pcode]]="","",OFFSET(CampList[Priority],MATCH(Table_NFI[[#This Row],[Pcode]],CampList[CP_Pcode],0)-1,0,1,1))</f>
        <v>P4</v>
      </c>
      <c r="AQ880" s="438">
        <f>IFERROR(Table_NFI[[#This Row],[Kitchen Set]]/VLOOKUP(Table_NFI[[#This Row],[Camp Name]],CL,4,0),"")</f>
        <v>0.17272727272727273</v>
      </c>
      <c r="AR880" s="779" t="s">
        <v>1099</v>
      </c>
      <c r="AS880" s="783"/>
    </row>
    <row r="881" spans="1:45" x14ac:dyDescent="0.25">
      <c r="A881" s="455">
        <f t="shared" si="13"/>
        <v>46.866666666666667</v>
      </c>
      <c r="B881" s="778">
        <v>40903</v>
      </c>
      <c r="C881" s="779" t="s">
        <v>454</v>
      </c>
      <c r="D881" s="779" t="s">
        <v>462</v>
      </c>
      <c r="E881" s="779" t="s">
        <v>380</v>
      </c>
      <c r="F881" s="435" t="s">
        <v>310</v>
      </c>
      <c r="G881" s="435" t="s">
        <v>342</v>
      </c>
      <c r="H881" s="436"/>
      <c r="I881" s="436"/>
      <c r="J881" s="436"/>
      <c r="K881" s="436">
        <v>54</v>
      </c>
      <c r="L881" s="437">
        <v>33</v>
      </c>
      <c r="M881" s="437">
        <v>54</v>
      </c>
      <c r="N881" s="437">
        <v>33</v>
      </c>
      <c r="O881" s="437">
        <v>33</v>
      </c>
      <c r="P881" s="439">
        <v>33</v>
      </c>
      <c r="Q881" s="439">
        <v>33</v>
      </c>
      <c r="R881" s="436"/>
      <c r="S881" s="436"/>
      <c r="T881" s="436"/>
      <c r="U881" s="436"/>
      <c r="V881" s="436"/>
      <c r="W881" s="436">
        <f>IF(NFI_Expiration=1,IF($A881&lt;VLOOKUP(H$5,NFI,5,0),1,0)*Table_NFI[[#This Row],[Hygiene Kit]],Table_NFI[Hygiene Kit])</f>
        <v>0</v>
      </c>
      <c r="X881" s="436">
        <f>IF(NFI_Expiration=1,IF($A881&lt;VLOOKUP(I$5,NFI,5,0),1,0)*Table_NFI[[#This Row],[NFI Core Kit]],Table_NFI[NFI Core Kit])</f>
        <v>0</v>
      </c>
      <c r="Y881" s="436">
        <f>IF(NFI_Expiration=1,IF($A881&lt;VLOOKUP(J$5,NFI,5,0),1,0)*Table_NFI[[#This Row],[Sanitary Kit]],Table_NFI[Sanitary Kit])</f>
        <v>0</v>
      </c>
      <c r="Z881" s="436">
        <f>IF(NFI_Expiration=1,IF($A881&lt;VLOOKUP(K$5,NFI,5,0),1,0)*Table_NFI[[#This Row],[Mosquito net]],Table_NFI[Mosquito net])</f>
        <v>0</v>
      </c>
      <c r="AA881" s="436">
        <f>IF(NFI_Expiration=1,IF($A881&lt;VLOOKUP(L$5,NFI,5,0),1,0)*Table_NFI[[#This Row],[Tarpaulin]],Table_NFI[[#This Row],[Tarpaulin]])</f>
        <v>0</v>
      </c>
      <c r="AB881" s="436">
        <f>IF(NFI_Expiration=1,IF($A881&lt;VLOOKUP(M$5,NFI,5,0),1,0)*Table_NFI[[#This Row],[Blanket]],Table_NFI[[#This Row],[Blanket]])</f>
        <v>0</v>
      </c>
      <c r="AC881" s="436">
        <f>IF(NFI_Expiration=1,IF($A881&lt;VLOOKUP(N$5,NFI,5,0),1,0)*Table_NFI[[#This Row],[Kitchen Set]],Table_NFI[Kitchen Set])</f>
        <v>0</v>
      </c>
      <c r="AD881" s="436">
        <f>IF(NFI_Expiration=1,IF($A881&lt;VLOOKUP(O$5,NFI,5,0),1,0)*Table_NFI[[#This Row],[Clothes Kit]],Table_NFI[Clothes Kit])</f>
        <v>0</v>
      </c>
      <c r="AE881" s="436">
        <f>IF(NFI_Expiration=1,IF($A881&lt;VLOOKUP(P$5,NFI,5,0),1,0)*Table_NFI[[#This Row],[Plastic Bucket]],Table_NFI[Plastic Bucket])</f>
        <v>0</v>
      </c>
      <c r="AF881" s="436">
        <f>IF(NFI_Expiration=1,IF($A881&lt;VLOOKUP(Q$5,NFI,5,0),1,0)*Table_NFI[[#This Row],[Plastic Mat]],Table_NFI[Plastic Mat])*IF(Table_NFI[[#This Row],[Distribution Date]]&gt;"2014-04-01",1,2.5)</f>
        <v>0</v>
      </c>
      <c r="AG881" s="436">
        <f>IF(NFI_Expiration=1,IF($A881&lt;VLOOKUP(R$5,NFI,5,0),1,0)*Table_NFI[[#This Row],[Winter Clothes Adult]],Table_NFI[Winter Clothes Adult])</f>
        <v>0</v>
      </c>
      <c r="AH881" s="436">
        <f>IF(NFI_Expiration=1,IF($A881&lt;VLOOKUP(S$5,NFI,5,0),1,0)*Table_NFI[[#This Row],[Winter Clothes Children]],Table_NFI[Winter Clothes Children])</f>
        <v>0</v>
      </c>
      <c r="AI881" s="436">
        <f>IF(NFI_Expiration=1,IF($A881&lt;VLOOKUP(T$5,NFI,5,0),1,0)*Table_NFI[[#This Row],[Winter Items Other]],Table_NFI[Winter Items Other])</f>
        <v>0</v>
      </c>
      <c r="AJ881" s="436">
        <f>IF(NFI_Expiration=1,IF($A881&lt;VLOOKUP(M$5,NFI,5,0),1,0)*Table_NFI[[#This Row],[Winter Blanket]],Table_NFI[[#This Row],[Winter Blanket]])</f>
        <v>0</v>
      </c>
      <c r="AK881" s="436">
        <f>IF(Table_NFI[[#This Row],[Winter Clothes Adult]]+Table_NFI[[#This Row],[Winter Clothes Children]]+Table_NFI[[#This Row],[Winter Items Other]]+Table_NFI[[#This Row],[Winter Blanket]]&gt;0,1,0)</f>
        <v>0</v>
      </c>
      <c r="AL881" s="439">
        <f>IF(NFI_Expiration=1,IF($A881&lt;VLOOKUP(V$5,NFI,5,0),1,0)*Table_NFI[[#This Row],[Jerry Can]],Table_NFI[Jerry Can])</f>
        <v>0</v>
      </c>
      <c r="AM881" s="781" t="str">
        <f>IFERROR(VLOOKUP(Table_NFI[[#This Row],[Camp Name]],CL,2,0),"")</f>
        <v>MMR001CMP025</v>
      </c>
      <c r="AN881" s="782">
        <f ca="1">IF(Table_NFI[[#This Row],[Pcode]]="","",IF(OFFSET(CampList[Opening Date],MATCH(Table_NFI[[#This Row],[Pcode]],CampList[CP_Pcode],0)-1,0,1,1)&gt;=NFI_Monitor_Date,1,0))</f>
        <v>0</v>
      </c>
      <c r="AO881" s="781" t="str">
        <f>IFERROR(VLOOKUP(Table_NFI[[#This Row],[Camp Name]],CL,3,0),"")</f>
        <v>Open</v>
      </c>
      <c r="AP881" s="436" t="str">
        <f ca="1">IF(Table_NFI[[#This Row],[Pcode]]="","",OFFSET(CampList[Priority],MATCH(Table_NFI[[#This Row],[Pcode]],CampList[CP_Pcode],0)-1,0,1,1))</f>
        <v>P4</v>
      </c>
      <c r="AQ881" s="438">
        <f>IFERROR(Table_NFI[[#This Row],[Kitchen Set]]/VLOOKUP(Table_NFI[[#This Row],[Camp Name]],CL,4,0),"")</f>
        <v>0.50769230769230766</v>
      </c>
      <c r="AR881" s="779" t="s">
        <v>1099</v>
      </c>
      <c r="AS881" s="783"/>
    </row>
    <row r="882" spans="1:45" x14ac:dyDescent="0.25">
      <c r="A882" s="455">
        <f t="shared" si="13"/>
        <v>47</v>
      </c>
      <c r="B882" s="778">
        <v>40899</v>
      </c>
      <c r="C882" s="779" t="s">
        <v>454</v>
      </c>
      <c r="D882" s="779" t="s">
        <v>454</v>
      </c>
      <c r="E882" s="779" t="s">
        <v>380</v>
      </c>
      <c r="F882" s="435" t="s">
        <v>310</v>
      </c>
      <c r="G882" s="435" t="s">
        <v>318</v>
      </c>
      <c r="H882" s="436"/>
      <c r="I882" s="436"/>
      <c r="J882" s="436"/>
      <c r="K882" s="436">
        <v>0</v>
      </c>
      <c r="L882" s="437">
        <v>0</v>
      </c>
      <c r="M882" s="437">
        <v>0</v>
      </c>
      <c r="N882" s="437">
        <v>0</v>
      </c>
      <c r="O882" s="437">
        <v>4</v>
      </c>
      <c r="P882" s="439">
        <v>4</v>
      </c>
      <c r="Q882" s="439">
        <v>4</v>
      </c>
      <c r="R882" s="436"/>
      <c r="S882" s="436"/>
      <c r="T882" s="436"/>
      <c r="U882" s="436"/>
      <c r="V882" s="436"/>
      <c r="W882" s="436">
        <f>IF(NFI_Expiration=1,IF($A882&lt;VLOOKUP(H$5,NFI,5,0),1,0)*Table_NFI[[#This Row],[Hygiene Kit]],Table_NFI[Hygiene Kit])</f>
        <v>0</v>
      </c>
      <c r="X882" s="436">
        <f>IF(NFI_Expiration=1,IF($A882&lt;VLOOKUP(I$5,NFI,5,0),1,0)*Table_NFI[[#This Row],[NFI Core Kit]],Table_NFI[NFI Core Kit])</f>
        <v>0</v>
      </c>
      <c r="Y882" s="436">
        <f>IF(NFI_Expiration=1,IF($A882&lt;VLOOKUP(J$5,NFI,5,0),1,0)*Table_NFI[[#This Row],[Sanitary Kit]],Table_NFI[Sanitary Kit])</f>
        <v>0</v>
      </c>
      <c r="Z882" s="436">
        <f>IF(NFI_Expiration=1,IF($A882&lt;VLOOKUP(K$5,NFI,5,0),1,0)*Table_NFI[[#This Row],[Mosquito net]],Table_NFI[Mosquito net])</f>
        <v>0</v>
      </c>
      <c r="AA882" s="436">
        <f>IF(NFI_Expiration=1,IF($A882&lt;VLOOKUP(L$5,NFI,5,0),1,0)*Table_NFI[[#This Row],[Tarpaulin]],Table_NFI[[#This Row],[Tarpaulin]])</f>
        <v>0</v>
      </c>
      <c r="AB882" s="436">
        <f>IF(NFI_Expiration=1,IF($A882&lt;VLOOKUP(M$5,NFI,5,0),1,0)*Table_NFI[[#This Row],[Blanket]],Table_NFI[[#This Row],[Blanket]])</f>
        <v>0</v>
      </c>
      <c r="AC882" s="436">
        <f>IF(NFI_Expiration=1,IF($A882&lt;VLOOKUP(N$5,NFI,5,0),1,0)*Table_NFI[[#This Row],[Kitchen Set]],Table_NFI[Kitchen Set])</f>
        <v>0</v>
      </c>
      <c r="AD882" s="436">
        <f>IF(NFI_Expiration=1,IF($A882&lt;VLOOKUP(O$5,NFI,5,0),1,0)*Table_NFI[[#This Row],[Clothes Kit]],Table_NFI[Clothes Kit])</f>
        <v>0</v>
      </c>
      <c r="AE882" s="436">
        <f>IF(NFI_Expiration=1,IF($A882&lt;VLOOKUP(P$5,NFI,5,0),1,0)*Table_NFI[[#This Row],[Plastic Bucket]],Table_NFI[Plastic Bucket])</f>
        <v>0</v>
      </c>
      <c r="AF882" s="436">
        <f>IF(NFI_Expiration=1,IF($A882&lt;VLOOKUP(Q$5,NFI,5,0),1,0)*Table_NFI[[#This Row],[Plastic Mat]],Table_NFI[Plastic Mat])*IF(Table_NFI[[#This Row],[Distribution Date]]&gt;"2014-04-01",1,2.5)</f>
        <v>0</v>
      </c>
      <c r="AG882" s="436">
        <f>IF(NFI_Expiration=1,IF($A882&lt;VLOOKUP(R$5,NFI,5,0),1,0)*Table_NFI[[#This Row],[Winter Clothes Adult]],Table_NFI[Winter Clothes Adult])</f>
        <v>0</v>
      </c>
      <c r="AH882" s="436">
        <f>IF(NFI_Expiration=1,IF($A882&lt;VLOOKUP(S$5,NFI,5,0),1,0)*Table_NFI[[#This Row],[Winter Clothes Children]],Table_NFI[Winter Clothes Children])</f>
        <v>0</v>
      </c>
      <c r="AI882" s="436">
        <f>IF(NFI_Expiration=1,IF($A882&lt;VLOOKUP(T$5,NFI,5,0),1,0)*Table_NFI[[#This Row],[Winter Items Other]],Table_NFI[Winter Items Other])</f>
        <v>0</v>
      </c>
      <c r="AJ882" s="436">
        <f>IF(NFI_Expiration=1,IF($A882&lt;VLOOKUP(M$5,NFI,5,0),1,0)*Table_NFI[[#This Row],[Winter Blanket]],Table_NFI[[#This Row],[Winter Blanket]])</f>
        <v>0</v>
      </c>
      <c r="AK882" s="436">
        <f>IF(Table_NFI[[#This Row],[Winter Clothes Adult]]+Table_NFI[[#This Row],[Winter Clothes Children]]+Table_NFI[[#This Row],[Winter Items Other]]+Table_NFI[[#This Row],[Winter Blanket]]&gt;0,1,0)</f>
        <v>0</v>
      </c>
      <c r="AL882" s="439">
        <f>IF(NFI_Expiration=1,IF($A882&lt;VLOOKUP(V$5,NFI,5,0),1,0)*Table_NFI[[#This Row],[Jerry Can]],Table_NFI[Jerry Can])</f>
        <v>0</v>
      </c>
      <c r="AM882" s="781" t="str">
        <f>IFERROR(VLOOKUP(Table_NFI[[#This Row],[Camp Name]],CL,2,0),"")</f>
        <v>MMR001CMP032</v>
      </c>
      <c r="AN882" s="782">
        <f ca="1">IF(Table_NFI[[#This Row],[Pcode]]="","",IF(OFFSET(CampList[Opening Date],MATCH(Table_NFI[[#This Row],[Pcode]],CampList[CP_Pcode],0)-1,0,1,1)&gt;=NFI_Monitor_Date,1,0))</f>
        <v>0</v>
      </c>
      <c r="AO882" s="781" t="str">
        <f>IFERROR(VLOOKUP(Table_NFI[[#This Row],[Camp Name]],CL,3,0),"")</f>
        <v>Open</v>
      </c>
      <c r="AP882" s="436" t="str">
        <f ca="1">IF(Table_NFI[[#This Row],[Pcode]]="","",OFFSET(CampList[Priority],MATCH(Table_NFI[[#This Row],[Pcode]],CampList[CP_Pcode],0)-1,0,1,1))</f>
        <v>P4</v>
      </c>
      <c r="AQ882" s="438">
        <f>IFERROR(Table_NFI[[#This Row],[Kitchen Set]]/VLOOKUP(Table_NFI[[#This Row],[Camp Name]],CL,4,0),"")</f>
        <v>0</v>
      </c>
      <c r="AR882" s="779" t="s">
        <v>1099</v>
      </c>
      <c r="AS882" s="783"/>
    </row>
    <row r="883" spans="1:45" x14ac:dyDescent="0.25">
      <c r="A883" s="455">
        <f t="shared" si="13"/>
        <v>47.3</v>
      </c>
      <c r="B883" s="778">
        <v>40890</v>
      </c>
      <c r="C883" s="779" t="s">
        <v>454</v>
      </c>
      <c r="D883" s="780" t="s">
        <v>574</v>
      </c>
      <c r="E883" s="779" t="s">
        <v>380</v>
      </c>
      <c r="F883" s="435" t="s">
        <v>185</v>
      </c>
      <c r="G883" s="435" t="s">
        <v>194</v>
      </c>
      <c r="H883" s="436"/>
      <c r="I883" s="436"/>
      <c r="J883" s="436"/>
      <c r="K883" s="436">
        <v>250</v>
      </c>
      <c r="L883" s="437">
        <v>125</v>
      </c>
      <c r="M883" s="437">
        <v>250</v>
      </c>
      <c r="N883" s="437">
        <v>125</v>
      </c>
      <c r="O883" s="437">
        <v>125</v>
      </c>
      <c r="P883" s="437">
        <v>125</v>
      </c>
      <c r="Q883" s="437">
        <v>125</v>
      </c>
      <c r="R883" s="436"/>
      <c r="S883" s="436"/>
      <c r="T883" s="436"/>
      <c r="U883" s="436"/>
      <c r="V883" s="436"/>
      <c r="W883" s="436">
        <f>IF(NFI_Expiration=1,IF($A883&lt;VLOOKUP(H$5,NFI,5,0),1,0)*Table_NFI[[#This Row],[Hygiene Kit]],Table_NFI[Hygiene Kit])</f>
        <v>0</v>
      </c>
      <c r="X883" s="436">
        <f>IF(NFI_Expiration=1,IF($A883&lt;VLOOKUP(I$5,NFI,5,0),1,0)*Table_NFI[[#This Row],[NFI Core Kit]],Table_NFI[NFI Core Kit])</f>
        <v>0</v>
      </c>
      <c r="Y883" s="436">
        <f>IF(NFI_Expiration=1,IF($A883&lt;VLOOKUP(J$5,NFI,5,0),1,0)*Table_NFI[[#This Row],[Sanitary Kit]],Table_NFI[Sanitary Kit])</f>
        <v>0</v>
      </c>
      <c r="Z883" s="436">
        <f>IF(NFI_Expiration=1,IF($A883&lt;VLOOKUP(K$5,NFI,5,0),1,0)*Table_NFI[[#This Row],[Mosquito net]],Table_NFI[Mosquito net])</f>
        <v>0</v>
      </c>
      <c r="AA883" s="436">
        <f>IF(NFI_Expiration=1,IF($A883&lt;VLOOKUP(L$5,NFI,5,0),1,0)*Table_NFI[[#This Row],[Tarpaulin]],Table_NFI[[#This Row],[Tarpaulin]])</f>
        <v>0</v>
      </c>
      <c r="AB883" s="436">
        <f>IF(NFI_Expiration=1,IF($A883&lt;VLOOKUP(M$5,NFI,5,0),1,0)*Table_NFI[[#This Row],[Blanket]],Table_NFI[[#This Row],[Blanket]])</f>
        <v>0</v>
      </c>
      <c r="AC883" s="436">
        <f>IF(NFI_Expiration=1,IF($A883&lt;VLOOKUP(N$5,NFI,5,0),1,0)*Table_NFI[[#This Row],[Kitchen Set]],Table_NFI[Kitchen Set])</f>
        <v>0</v>
      </c>
      <c r="AD883" s="436">
        <f>IF(NFI_Expiration=1,IF($A883&lt;VLOOKUP(O$5,NFI,5,0),1,0)*Table_NFI[[#This Row],[Clothes Kit]],Table_NFI[Clothes Kit])</f>
        <v>0</v>
      </c>
      <c r="AE883" s="436">
        <f>IF(NFI_Expiration=1,IF($A883&lt;VLOOKUP(P$5,NFI,5,0),1,0)*Table_NFI[[#This Row],[Plastic Bucket]],Table_NFI[Plastic Bucket])</f>
        <v>0</v>
      </c>
      <c r="AF883" s="436">
        <f>IF(NFI_Expiration=1,IF($A883&lt;VLOOKUP(Q$5,NFI,5,0),1,0)*Table_NFI[[#This Row],[Plastic Mat]],Table_NFI[Plastic Mat])*IF(Table_NFI[[#This Row],[Distribution Date]]&gt;"2014-04-01",1,2.5)</f>
        <v>0</v>
      </c>
      <c r="AG883" s="436">
        <f>IF(NFI_Expiration=1,IF($A883&lt;VLOOKUP(R$5,NFI,5,0),1,0)*Table_NFI[[#This Row],[Winter Clothes Adult]],Table_NFI[Winter Clothes Adult])</f>
        <v>0</v>
      </c>
      <c r="AH883" s="436">
        <f>IF(NFI_Expiration=1,IF($A883&lt;VLOOKUP(S$5,NFI,5,0),1,0)*Table_NFI[[#This Row],[Winter Clothes Children]],Table_NFI[Winter Clothes Children])</f>
        <v>0</v>
      </c>
      <c r="AI883" s="436">
        <f>IF(NFI_Expiration=1,IF($A883&lt;VLOOKUP(T$5,NFI,5,0),1,0)*Table_NFI[[#This Row],[Winter Items Other]],Table_NFI[Winter Items Other])</f>
        <v>0</v>
      </c>
      <c r="AJ883" s="436">
        <f>IF(NFI_Expiration=1,IF($A883&lt;VLOOKUP(M$5,NFI,5,0),1,0)*Table_NFI[[#This Row],[Winter Blanket]],Table_NFI[[#This Row],[Winter Blanket]])</f>
        <v>0</v>
      </c>
      <c r="AK883" s="436">
        <f>IF(Table_NFI[[#This Row],[Winter Clothes Adult]]+Table_NFI[[#This Row],[Winter Clothes Children]]+Table_NFI[[#This Row],[Winter Items Other]]+Table_NFI[[#This Row],[Winter Blanket]]&gt;0,1,0)</f>
        <v>0</v>
      </c>
      <c r="AL883" s="439">
        <f>IF(NFI_Expiration=1,IF($A883&lt;VLOOKUP(V$5,NFI,5,0),1,0)*Table_NFI[[#This Row],[Jerry Can]],Table_NFI[Jerry Can])</f>
        <v>0</v>
      </c>
      <c r="AM883" s="781" t="str">
        <f>IFERROR(VLOOKUP(Table_NFI[[#This Row],[Camp Name]],CL,2,0),"")</f>
        <v>MMR001CMP122</v>
      </c>
      <c r="AN883" s="782">
        <f ca="1">IF(Table_NFI[[#This Row],[Pcode]]="","",IF(OFFSET(CampList[Opening Date],MATCH(Table_NFI[[#This Row],[Pcode]],CampList[CP_Pcode],0)-1,0,1,1)&gt;=NFI_Monitor_Date,1,0))</f>
        <v>0</v>
      </c>
      <c r="AO883" s="781" t="str">
        <f>IFERROR(VLOOKUP(Table_NFI[[#This Row],[Camp Name]],CL,3,0),"")</f>
        <v>Open</v>
      </c>
      <c r="AP883" s="436" t="str">
        <f ca="1">IF(Table_NFI[[#This Row],[Pcode]]="","",OFFSET(CampList[Priority],MATCH(Table_NFI[[#This Row],[Pcode]],CampList[CP_Pcode],0)-1,0,1,1))</f>
        <v>P2</v>
      </c>
      <c r="AQ883" s="438">
        <f>IFERROR(Table_NFI[[#This Row],[Kitchen Set]]/VLOOKUP(Table_NFI[[#This Row],[Camp Name]],CL,4,0),"")</f>
        <v>0.2039151712887439</v>
      </c>
      <c r="AR883" s="779" t="s">
        <v>1099</v>
      </c>
      <c r="AS883" s="783"/>
    </row>
    <row r="884" spans="1:45" x14ac:dyDescent="0.25">
      <c r="A884" s="455">
        <f t="shared" si="13"/>
        <v>47.3</v>
      </c>
      <c r="B884" s="778">
        <v>40890</v>
      </c>
      <c r="C884" s="779" t="s">
        <v>454</v>
      </c>
      <c r="D884" s="780" t="s">
        <v>574</v>
      </c>
      <c r="E884" s="779" t="s">
        <v>380</v>
      </c>
      <c r="F884" s="435" t="s">
        <v>185</v>
      </c>
      <c r="G884" s="435" t="s">
        <v>196</v>
      </c>
      <c r="H884" s="436"/>
      <c r="I884" s="436"/>
      <c r="J884" s="436"/>
      <c r="K884" s="436">
        <v>250</v>
      </c>
      <c r="L884" s="437">
        <v>125</v>
      </c>
      <c r="M884" s="437">
        <v>250</v>
      </c>
      <c r="N884" s="437">
        <v>125</v>
      </c>
      <c r="O884" s="437">
        <v>125</v>
      </c>
      <c r="P884" s="437">
        <v>125</v>
      </c>
      <c r="Q884" s="437">
        <v>125</v>
      </c>
      <c r="R884" s="436"/>
      <c r="S884" s="436"/>
      <c r="T884" s="436"/>
      <c r="U884" s="436"/>
      <c r="V884" s="436"/>
      <c r="W884" s="436">
        <f>IF(NFI_Expiration=1,IF($A884&lt;VLOOKUP(H$5,NFI,5,0),1,0)*Table_NFI[[#This Row],[Hygiene Kit]],Table_NFI[Hygiene Kit])</f>
        <v>0</v>
      </c>
      <c r="X884" s="436">
        <f>IF(NFI_Expiration=1,IF($A884&lt;VLOOKUP(I$5,NFI,5,0),1,0)*Table_NFI[[#This Row],[NFI Core Kit]],Table_NFI[NFI Core Kit])</f>
        <v>0</v>
      </c>
      <c r="Y884" s="436">
        <f>IF(NFI_Expiration=1,IF($A884&lt;VLOOKUP(J$5,NFI,5,0),1,0)*Table_NFI[[#This Row],[Sanitary Kit]],Table_NFI[Sanitary Kit])</f>
        <v>0</v>
      </c>
      <c r="Z884" s="436">
        <f>IF(NFI_Expiration=1,IF($A884&lt;VLOOKUP(K$5,NFI,5,0),1,0)*Table_NFI[[#This Row],[Mosquito net]],Table_NFI[Mosquito net])</f>
        <v>0</v>
      </c>
      <c r="AA884" s="436">
        <f>IF(NFI_Expiration=1,IF($A884&lt;VLOOKUP(L$5,NFI,5,0),1,0)*Table_NFI[[#This Row],[Tarpaulin]],Table_NFI[[#This Row],[Tarpaulin]])</f>
        <v>0</v>
      </c>
      <c r="AB884" s="436">
        <f>IF(NFI_Expiration=1,IF($A884&lt;VLOOKUP(M$5,NFI,5,0),1,0)*Table_NFI[[#This Row],[Blanket]],Table_NFI[[#This Row],[Blanket]])</f>
        <v>0</v>
      </c>
      <c r="AC884" s="436">
        <f>IF(NFI_Expiration=1,IF($A884&lt;VLOOKUP(N$5,NFI,5,0),1,0)*Table_NFI[[#This Row],[Kitchen Set]],Table_NFI[Kitchen Set])</f>
        <v>0</v>
      </c>
      <c r="AD884" s="436">
        <f>IF(NFI_Expiration=1,IF($A884&lt;VLOOKUP(O$5,NFI,5,0),1,0)*Table_NFI[[#This Row],[Clothes Kit]],Table_NFI[Clothes Kit])</f>
        <v>0</v>
      </c>
      <c r="AE884" s="436">
        <f>IF(NFI_Expiration=1,IF($A884&lt;VLOOKUP(P$5,NFI,5,0),1,0)*Table_NFI[[#This Row],[Plastic Bucket]],Table_NFI[Plastic Bucket])</f>
        <v>0</v>
      </c>
      <c r="AF884" s="436">
        <f>IF(NFI_Expiration=1,IF($A884&lt;VLOOKUP(Q$5,NFI,5,0),1,0)*Table_NFI[[#This Row],[Plastic Mat]],Table_NFI[Plastic Mat])*IF(Table_NFI[[#This Row],[Distribution Date]]&gt;"2014-04-01",1,2.5)</f>
        <v>0</v>
      </c>
      <c r="AG884" s="436">
        <f>IF(NFI_Expiration=1,IF($A884&lt;VLOOKUP(R$5,NFI,5,0),1,0)*Table_NFI[[#This Row],[Winter Clothes Adult]],Table_NFI[Winter Clothes Adult])</f>
        <v>0</v>
      </c>
      <c r="AH884" s="436">
        <f>IF(NFI_Expiration=1,IF($A884&lt;VLOOKUP(S$5,NFI,5,0),1,0)*Table_NFI[[#This Row],[Winter Clothes Children]],Table_NFI[Winter Clothes Children])</f>
        <v>0</v>
      </c>
      <c r="AI884" s="436">
        <f>IF(NFI_Expiration=1,IF($A884&lt;VLOOKUP(T$5,NFI,5,0),1,0)*Table_NFI[[#This Row],[Winter Items Other]],Table_NFI[Winter Items Other])</f>
        <v>0</v>
      </c>
      <c r="AJ884" s="436">
        <f>IF(NFI_Expiration=1,IF($A884&lt;VLOOKUP(M$5,NFI,5,0),1,0)*Table_NFI[[#This Row],[Winter Blanket]],Table_NFI[[#This Row],[Winter Blanket]])</f>
        <v>0</v>
      </c>
      <c r="AK884" s="436">
        <f>IF(Table_NFI[[#This Row],[Winter Clothes Adult]]+Table_NFI[[#This Row],[Winter Clothes Children]]+Table_NFI[[#This Row],[Winter Items Other]]+Table_NFI[[#This Row],[Winter Blanket]]&gt;0,1,0)</f>
        <v>0</v>
      </c>
      <c r="AL884" s="439">
        <f>IF(NFI_Expiration=1,IF($A884&lt;VLOOKUP(V$5,NFI,5,0),1,0)*Table_NFI[[#This Row],[Jerry Can]],Table_NFI[Jerry Can])</f>
        <v>0</v>
      </c>
      <c r="AM884" s="781" t="str">
        <f>IFERROR(VLOOKUP(Table_NFI[[#This Row],[Camp Name]],CL,2,0),"")</f>
        <v>MMR001CMP121</v>
      </c>
      <c r="AN884" s="782">
        <f ca="1">IF(Table_NFI[[#This Row],[Pcode]]="","",IF(OFFSET(CampList[Opening Date],MATCH(Table_NFI[[#This Row],[Pcode]],CampList[CP_Pcode],0)-1,0,1,1)&gt;=NFI_Monitor_Date,1,0))</f>
        <v>0</v>
      </c>
      <c r="AO884" s="781" t="str">
        <f>IFERROR(VLOOKUP(Table_NFI[[#This Row],[Camp Name]],CL,3,0),"")</f>
        <v>Open</v>
      </c>
      <c r="AP884" s="436" t="str">
        <f ca="1">IF(Table_NFI[[#This Row],[Pcode]]="","",OFFSET(CampList[Priority],MATCH(Table_NFI[[#This Row],[Pcode]],CampList[CP_Pcode],0)-1,0,1,1))</f>
        <v>P2</v>
      </c>
      <c r="AQ884" s="438">
        <f>IFERROR(Table_NFI[[#This Row],[Kitchen Set]]/VLOOKUP(Table_NFI[[#This Row],[Camp Name]],CL,4,0),"")</f>
        <v>7.3877068557919617E-2</v>
      </c>
      <c r="AR884" s="779" t="s">
        <v>1099</v>
      </c>
      <c r="AS884" s="783"/>
    </row>
    <row r="885" spans="1:45" x14ac:dyDescent="0.25">
      <c r="A885" s="455">
        <f t="shared" si="13"/>
        <v>47.3</v>
      </c>
      <c r="B885" s="778">
        <v>40890</v>
      </c>
      <c r="C885" s="779" t="s">
        <v>454</v>
      </c>
      <c r="D885" s="780" t="s">
        <v>574</v>
      </c>
      <c r="E885" s="779" t="s">
        <v>380</v>
      </c>
      <c r="F885" s="435" t="s">
        <v>310</v>
      </c>
      <c r="G885" s="435" t="s">
        <v>322</v>
      </c>
      <c r="H885" s="436"/>
      <c r="I885" s="436"/>
      <c r="J885" s="436"/>
      <c r="K885" s="436">
        <v>250</v>
      </c>
      <c r="L885" s="437">
        <v>125</v>
      </c>
      <c r="M885" s="437">
        <v>250</v>
      </c>
      <c r="N885" s="437">
        <v>125</v>
      </c>
      <c r="O885" s="437">
        <v>125</v>
      </c>
      <c r="P885" s="437">
        <v>125</v>
      </c>
      <c r="Q885" s="437">
        <v>125</v>
      </c>
      <c r="R885" s="436"/>
      <c r="S885" s="436"/>
      <c r="T885" s="436"/>
      <c r="U885" s="436"/>
      <c r="V885" s="436"/>
      <c r="W885" s="436">
        <f>IF(NFI_Expiration=1,IF($A885&lt;VLOOKUP(H$5,NFI,5,0),1,0)*Table_NFI[[#This Row],[Hygiene Kit]],Table_NFI[Hygiene Kit])</f>
        <v>0</v>
      </c>
      <c r="X885" s="436">
        <f>IF(NFI_Expiration=1,IF($A885&lt;VLOOKUP(I$5,NFI,5,0),1,0)*Table_NFI[[#This Row],[NFI Core Kit]],Table_NFI[NFI Core Kit])</f>
        <v>0</v>
      </c>
      <c r="Y885" s="436">
        <f>IF(NFI_Expiration=1,IF($A885&lt;VLOOKUP(J$5,NFI,5,0),1,0)*Table_NFI[[#This Row],[Sanitary Kit]],Table_NFI[Sanitary Kit])</f>
        <v>0</v>
      </c>
      <c r="Z885" s="436">
        <f>IF(NFI_Expiration=1,IF($A885&lt;VLOOKUP(K$5,NFI,5,0),1,0)*Table_NFI[[#This Row],[Mosquito net]],Table_NFI[Mosquito net])</f>
        <v>0</v>
      </c>
      <c r="AA885" s="436">
        <f>IF(NFI_Expiration=1,IF($A885&lt;VLOOKUP(L$5,NFI,5,0),1,0)*Table_NFI[[#This Row],[Tarpaulin]],Table_NFI[[#This Row],[Tarpaulin]])</f>
        <v>0</v>
      </c>
      <c r="AB885" s="436">
        <f>IF(NFI_Expiration=1,IF($A885&lt;VLOOKUP(M$5,NFI,5,0),1,0)*Table_NFI[[#This Row],[Blanket]],Table_NFI[[#This Row],[Blanket]])</f>
        <v>0</v>
      </c>
      <c r="AC885" s="436">
        <f>IF(NFI_Expiration=1,IF($A885&lt;VLOOKUP(N$5,NFI,5,0),1,0)*Table_NFI[[#This Row],[Kitchen Set]],Table_NFI[Kitchen Set])</f>
        <v>0</v>
      </c>
      <c r="AD885" s="436">
        <f>IF(NFI_Expiration=1,IF($A885&lt;VLOOKUP(O$5,NFI,5,0),1,0)*Table_NFI[[#This Row],[Clothes Kit]],Table_NFI[Clothes Kit])</f>
        <v>0</v>
      </c>
      <c r="AE885" s="436">
        <f>IF(NFI_Expiration=1,IF($A885&lt;VLOOKUP(P$5,NFI,5,0),1,0)*Table_NFI[[#This Row],[Plastic Bucket]],Table_NFI[Plastic Bucket])</f>
        <v>0</v>
      </c>
      <c r="AF885" s="436">
        <f>IF(NFI_Expiration=1,IF($A885&lt;VLOOKUP(Q$5,NFI,5,0),1,0)*Table_NFI[[#This Row],[Plastic Mat]],Table_NFI[Plastic Mat])*IF(Table_NFI[[#This Row],[Distribution Date]]&gt;"2014-04-01",1,2.5)</f>
        <v>0</v>
      </c>
      <c r="AG885" s="436">
        <f>IF(NFI_Expiration=1,IF($A885&lt;VLOOKUP(R$5,NFI,5,0),1,0)*Table_NFI[[#This Row],[Winter Clothes Adult]],Table_NFI[Winter Clothes Adult])</f>
        <v>0</v>
      </c>
      <c r="AH885" s="436">
        <f>IF(NFI_Expiration=1,IF($A885&lt;VLOOKUP(S$5,NFI,5,0),1,0)*Table_NFI[[#This Row],[Winter Clothes Children]],Table_NFI[Winter Clothes Children])</f>
        <v>0</v>
      </c>
      <c r="AI885" s="436">
        <f>IF(NFI_Expiration=1,IF($A885&lt;VLOOKUP(T$5,NFI,5,0),1,0)*Table_NFI[[#This Row],[Winter Items Other]],Table_NFI[Winter Items Other])</f>
        <v>0</v>
      </c>
      <c r="AJ885" s="436">
        <f>IF(NFI_Expiration=1,IF($A885&lt;VLOOKUP(M$5,NFI,5,0),1,0)*Table_NFI[[#This Row],[Winter Blanket]],Table_NFI[[#This Row],[Winter Blanket]])</f>
        <v>0</v>
      </c>
      <c r="AK885" s="436">
        <f>IF(Table_NFI[[#This Row],[Winter Clothes Adult]]+Table_NFI[[#This Row],[Winter Clothes Children]]+Table_NFI[[#This Row],[Winter Items Other]]+Table_NFI[[#This Row],[Winter Blanket]]&gt;0,1,0)</f>
        <v>0</v>
      </c>
      <c r="AL885" s="439">
        <f>IF(NFI_Expiration=1,IF($A885&lt;VLOOKUP(V$5,NFI,5,0),1,0)*Table_NFI[[#This Row],[Jerry Can]],Table_NFI[Jerry Can])</f>
        <v>0</v>
      </c>
      <c r="AM885" s="781" t="str">
        <f>IFERROR(VLOOKUP(Table_NFI[[#This Row],[Camp Name]],CL,2,0),"")</f>
        <v>MMR001CMP119</v>
      </c>
      <c r="AN885" s="782">
        <f ca="1">IF(Table_NFI[[#This Row],[Pcode]]="","",IF(OFFSET(CampList[Opening Date],MATCH(Table_NFI[[#This Row],[Pcode]],CampList[CP_Pcode],0)-1,0,1,1)&gt;=NFI_Monitor_Date,1,0))</f>
        <v>0</v>
      </c>
      <c r="AO885" s="781" t="str">
        <f>IFERROR(VLOOKUP(Table_NFI[[#This Row],[Camp Name]],CL,3,0),"")</f>
        <v>Open</v>
      </c>
      <c r="AP885" s="436" t="str">
        <f ca="1">IF(Table_NFI[[#This Row],[Pcode]]="","",OFFSET(CampList[Priority],MATCH(Table_NFI[[#This Row],[Pcode]],CampList[CP_Pcode],0)-1,0,1,1))</f>
        <v>P2</v>
      </c>
      <c r="AQ885" s="438">
        <f>IFERROR(Table_NFI[[#This Row],[Kitchen Set]]/VLOOKUP(Table_NFI[[#This Row],[Camp Name]],CL,4,0),"")</f>
        <v>0.20525451559934318</v>
      </c>
      <c r="AR885" s="779" t="s">
        <v>1099</v>
      </c>
      <c r="AS885" s="783"/>
    </row>
    <row r="886" spans="1:45" x14ac:dyDescent="0.25">
      <c r="A886" s="455">
        <f t="shared" si="13"/>
        <v>47.3</v>
      </c>
      <c r="B886" s="778">
        <v>40890</v>
      </c>
      <c r="C886" s="779" t="s">
        <v>454</v>
      </c>
      <c r="D886" s="780" t="s">
        <v>574</v>
      </c>
      <c r="E886" s="779" t="s">
        <v>380</v>
      </c>
      <c r="F886" s="435" t="s">
        <v>310</v>
      </c>
      <c r="G886" s="435" t="s">
        <v>1268</v>
      </c>
      <c r="H886" s="436"/>
      <c r="I886" s="436"/>
      <c r="J886" s="436"/>
      <c r="K886" s="436">
        <v>250</v>
      </c>
      <c r="L886" s="437">
        <v>125</v>
      </c>
      <c r="M886" s="437">
        <v>250</v>
      </c>
      <c r="N886" s="437">
        <v>125</v>
      </c>
      <c r="O886" s="437">
        <v>125</v>
      </c>
      <c r="P886" s="437">
        <v>125</v>
      </c>
      <c r="Q886" s="437">
        <v>125</v>
      </c>
      <c r="R886" s="436"/>
      <c r="S886" s="436"/>
      <c r="T886" s="436"/>
      <c r="U886" s="436"/>
      <c r="V886" s="436"/>
      <c r="W886" s="436">
        <f>IF(NFI_Expiration=1,IF($A886&lt;VLOOKUP(H$5,NFI,5,0),1,0)*Table_NFI[[#This Row],[Hygiene Kit]],Table_NFI[Hygiene Kit])</f>
        <v>0</v>
      </c>
      <c r="X886" s="436">
        <f>IF(NFI_Expiration=1,IF($A886&lt;VLOOKUP(I$5,NFI,5,0),1,0)*Table_NFI[[#This Row],[NFI Core Kit]],Table_NFI[NFI Core Kit])</f>
        <v>0</v>
      </c>
      <c r="Y886" s="436">
        <f>IF(NFI_Expiration=1,IF($A886&lt;VLOOKUP(J$5,NFI,5,0),1,0)*Table_NFI[[#This Row],[Sanitary Kit]],Table_NFI[Sanitary Kit])</f>
        <v>0</v>
      </c>
      <c r="Z886" s="436">
        <f>IF(NFI_Expiration=1,IF($A886&lt;VLOOKUP(K$5,NFI,5,0),1,0)*Table_NFI[[#This Row],[Mosquito net]],Table_NFI[Mosquito net])</f>
        <v>0</v>
      </c>
      <c r="AA886" s="436">
        <f>IF(NFI_Expiration=1,IF($A886&lt;VLOOKUP(L$5,NFI,5,0),1,0)*Table_NFI[[#This Row],[Tarpaulin]],Table_NFI[[#This Row],[Tarpaulin]])</f>
        <v>0</v>
      </c>
      <c r="AB886" s="436">
        <f>IF(NFI_Expiration=1,IF($A886&lt;VLOOKUP(M$5,NFI,5,0),1,0)*Table_NFI[[#This Row],[Blanket]],Table_NFI[[#This Row],[Blanket]])</f>
        <v>0</v>
      </c>
      <c r="AC886" s="436">
        <f>IF(NFI_Expiration=1,IF($A886&lt;VLOOKUP(N$5,NFI,5,0),1,0)*Table_NFI[[#This Row],[Kitchen Set]],Table_NFI[Kitchen Set])</f>
        <v>0</v>
      </c>
      <c r="AD886" s="436">
        <f>IF(NFI_Expiration=1,IF($A886&lt;VLOOKUP(O$5,NFI,5,0),1,0)*Table_NFI[[#This Row],[Clothes Kit]],Table_NFI[Clothes Kit])</f>
        <v>0</v>
      </c>
      <c r="AE886" s="436">
        <f>IF(NFI_Expiration=1,IF($A886&lt;VLOOKUP(P$5,NFI,5,0),1,0)*Table_NFI[[#This Row],[Plastic Bucket]],Table_NFI[Plastic Bucket])</f>
        <v>0</v>
      </c>
      <c r="AF886" s="436">
        <f>IF(NFI_Expiration=1,IF($A886&lt;VLOOKUP(Q$5,NFI,5,0),1,0)*Table_NFI[[#This Row],[Plastic Mat]],Table_NFI[Plastic Mat])*IF(Table_NFI[[#This Row],[Distribution Date]]&gt;"2014-04-01",1,2.5)</f>
        <v>0</v>
      </c>
      <c r="AG886" s="436">
        <f>IF(NFI_Expiration=1,IF($A886&lt;VLOOKUP(R$5,NFI,5,0),1,0)*Table_NFI[[#This Row],[Winter Clothes Adult]],Table_NFI[Winter Clothes Adult])</f>
        <v>0</v>
      </c>
      <c r="AH886" s="436">
        <f>IF(NFI_Expiration=1,IF($A886&lt;VLOOKUP(S$5,NFI,5,0),1,0)*Table_NFI[[#This Row],[Winter Clothes Children]],Table_NFI[Winter Clothes Children])</f>
        <v>0</v>
      </c>
      <c r="AI886" s="436">
        <f>IF(NFI_Expiration=1,IF($A886&lt;VLOOKUP(T$5,NFI,5,0),1,0)*Table_NFI[[#This Row],[Winter Items Other]],Table_NFI[Winter Items Other])</f>
        <v>0</v>
      </c>
      <c r="AJ886" s="436">
        <f>IF(NFI_Expiration=1,IF($A886&lt;VLOOKUP(M$5,NFI,5,0),1,0)*Table_NFI[[#This Row],[Winter Blanket]],Table_NFI[[#This Row],[Winter Blanket]])</f>
        <v>0</v>
      </c>
      <c r="AK886" s="436">
        <f>IF(Table_NFI[[#This Row],[Winter Clothes Adult]]+Table_NFI[[#This Row],[Winter Clothes Children]]+Table_NFI[[#This Row],[Winter Items Other]]+Table_NFI[[#This Row],[Winter Blanket]]&gt;0,1,0)</f>
        <v>0</v>
      </c>
      <c r="AL886" s="439">
        <f>IF(NFI_Expiration=1,IF($A886&lt;VLOOKUP(V$5,NFI,5,0),1,0)*Table_NFI[[#This Row],[Jerry Can]],Table_NFI[Jerry Can])</f>
        <v>0</v>
      </c>
      <c r="AM886" s="781" t="str">
        <f>IFERROR(VLOOKUP(Table_NFI[[#This Row],[Camp Name]],CL,2,0),"")</f>
        <v>MMR001CMP111</v>
      </c>
      <c r="AN886" s="782">
        <f ca="1">IF(Table_NFI[[#This Row],[Pcode]]="","",IF(OFFSET(CampList[Opening Date],MATCH(Table_NFI[[#This Row],[Pcode]],CampList[CP_Pcode],0)-1,0,1,1)&gt;=NFI_Monitor_Date,1,0))</f>
        <v>0</v>
      </c>
      <c r="AO886" s="781" t="str">
        <f>IFERROR(VLOOKUP(Table_NFI[[#This Row],[Camp Name]],CL,3,0),"")</f>
        <v>Open</v>
      </c>
      <c r="AP886" s="436" t="str">
        <f ca="1">IF(Table_NFI[[#This Row],[Pcode]]="","",OFFSET(CampList[Priority],MATCH(Table_NFI[[#This Row],[Pcode]],CampList[CP_Pcode],0)-1,0,1,1))</f>
        <v>P2</v>
      </c>
      <c r="AQ886" s="438">
        <f>IFERROR(Table_NFI[[#This Row],[Kitchen Set]]/VLOOKUP(Table_NFI[[#This Row],[Camp Name]],CL,4,0),"")</f>
        <v>0.18382352941176472</v>
      </c>
      <c r="AR886" s="779" t="s">
        <v>1099</v>
      </c>
      <c r="AS886" s="783"/>
    </row>
    <row r="887" spans="1:45" x14ac:dyDescent="0.25">
      <c r="A887" s="455">
        <f t="shared" si="13"/>
        <v>47.366666666666667</v>
      </c>
      <c r="B887" s="778">
        <v>40888</v>
      </c>
      <c r="C887" s="779" t="s">
        <v>454</v>
      </c>
      <c r="D887" s="779" t="s">
        <v>910</v>
      </c>
      <c r="E887" s="779" t="s">
        <v>380</v>
      </c>
      <c r="F887" s="779" t="s">
        <v>237</v>
      </c>
      <c r="G887" s="435" t="s">
        <v>925</v>
      </c>
      <c r="H887" s="436"/>
      <c r="I887" s="436"/>
      <c r="J887" s="436"/>
      <c r="K887" s="436">
        <v>88</v>
      </c>
      <c r="L887" s="437">
        <v>49</v>
      </c>
      <c r="M887" s="437">
        <v>88</v>
      </c>
      <c r="N887" s="437">
        <v>49</v>
      </c>
      <c r="O887" s="437">
        <v>49</v>
      </c>
      <c r="P887" s="437">
        <v>49</v>
      </c>
      <c r="Q887" s="437">
        <v>49</v>
      </c>
      <c r="R887" s="436"/>
      <c r="S887" s="436"/>
      <c r="T887" s="436"/>
      <c r="U887" s="436"/>
      <c r="V887" s="436"/>
      <c r="W887" s="436">
        <f>IF(NFI_Expiration=1,IF($A887&lt;VLOOKUP(H$5,NFI,5,0),1,0)*Table_NFI[[#This Row],[Hygiene Kit]],Table_NFI[Hygiene Kit])</f>
        <v>0</v>
      </c>
      <c r="X887" s="436">
        <f>IF(NFI_Expiration=1,IF($A887&lt;VLOOKUP(I$5,NFI,5,0),1,0)*Table_NFI[[#This Row],[NFI Core Kit]],Table_NFI[NFI Core Kit])</f>
        <v>0</v>
      </c>
      <c r="Y887" s="436">
        <f>IF(NFI_Expiration=1,IF($A887&lt;VLOOKUP(J$5,NFI,5,0),1,0)*Table_NFI[[#This Row],[Sanitary Kit]],Table_NFI[Sanitary Kit])</f>
        <v>0</v>
      </c>
      <c r="Z887" s="436">
        <f>IF(NFI_Expiration=1,IF($A887&lt;VLOOKUP(K$5,NFI,5,0),1,0)*Table_NFI[[#This Row],[Mosquito net]],Table_NFI[Mosquito net])</f>
        <v>0</v>
      </c>
      <c r="AA887" s="436">
        <f>IF(NFI_Expiration=1,IF($A887&lt;VLOOKUP(L$5,NFI,5,0),1,0)*Table_NFI[[#This Row],[Tarpaulin]],Table_NFI[[#This Row],[Tarpaulin]])</f>
        <v>0</v>
      </c>
      <c r="AB887" s="436">
        <f>IF(NFI_Expiration=1,IF($A887&lt;VLOOKUP(M$5,NFI,5,0),1,0)*Table_NFI[[#This Row],[Blanket]],Table_NFI[[#This Row],[Blanket]])</f>
        <v>0</v>
      </c>
      <c r="AC887" s="436">
        <f>IF(NFI_Expiration=1,IF($A887&lt;VLOOKUP(N$5,NFI,5,0),1,0)*Table_NFI[[#This Row],[Kitchen Set]],Table_NFI[Kitchen Set])</f>
        <v>0</v>
      </c>
      <c r="AD887" s="436">
        <f>IF(NFI_Expiration=1,IF($A887&lt;VLOOKUP(O$5,NFI,5,0),1,0)*Table_NFI[[#This Row],[Clothes Kit]],Table_NFI[Clothes Kit])</f>
        <v>0</v>
      </c>
      <c r="AE887" s="436">
        <f>IF(NFI_Expiration=1,IF($A887&lt;VLOOKUP(P$5,NFI,5,0),1,0)*Table_NFI[[#This Row],[Plastic Bucket]],Table_NFI[Plastic Bucket])</f>
        <v>0</v>
      </c>
      <c r="AF887" s="436">
        <f>IF(NFI_Expiration=1,IF($A887&lt;VLOOKUP(Q$5,NFI,5,0),1,0)*Table_NFI[[#This Row],[Plastic Mat]],Table_NFI[Plastic Mat])*IF(Table_NFI[[#This Row],[Distribution Date]]&gt;"2014-04-01",1,2.5)</f>
        <v>0</v>
      </c>
      <c r="AG887" s="436">
        <f>IF(NFI_Expiration=1,IF($A887&lt;VLOOKUP(R$5,NFI,5,0),1,0)*Table_NFI[[#This Row],[Winter Clothes Adult]],Table_NFI[Winter Clothes Adult])</f>
        <v>0</v>
      </c>
      <c r="AH887" s="436">
        <f>IF(NFI_Expiration=1,IF($A887&lt;VLOOKUP(S$5,NFI,5,0),1,0)*Table_NFI[[#This Row],[Winter Clothes Children]],Table_NFI[Winter Clothes Children])</f>
        <v>0</v>
      </c>
      <c r="AI887" s="436">
        <f>IF(NFI_Expiration=1,IF($A887&lt;VLOOKUP(T$5,NFI,5,0),1,0)*Table_NFI[[#This Row],[Winter Items Other]],Table_NFI[Winter Items Other])</f>
        <v>0</v>
      </c>
      <c r="AJ887" s="436">
        <f>IF(NFI_Expiration=1,IF($A887&lt;VLOOKUP(M$5,NFI,5,0),1,0)*Table_NFI[[#This Row],[Winter Blanket]],Table_NFI[[#This Row],[Winter Blanket]])</f>
        <v>0</v>
      </c>
      <c r="AK887" s="436">
        <f>IF(Table_NFI[[#This Row],[Winter Clothes Adult]]+Table_NFI[[#This Row],[Winter Clothes Children]]+Table_NFI[[#This Row],[Winter Items Other]]+Table_NFI[[#This Row],[Winter Blanket]]&gt;0,1,0)</f>
        <v>0</v>
      </c>
      <c r="AL887" s="439">
        <f>IF(NFI_Expiration=1,IF($A887&lt;VLOOKUP(V$5,NFI,5,0),1,0)*Table_NFI[[#This Row],[Jerry Can]],Table_NFI[Jerry Can])</f>
        <v>0</v>
      </c>
      <c r="AM887" s="781" t="str">
        <f>IFERROR(VLOOKUP(Table_NFI[[#This Row],[Camp Name]],CL,2,0),"")</f>
        <v/>
      </c>
      <c r="AN887" s="782" t="str">
        <f ca="1">IF(Table_NFI[[#This Row],[Pcode]]="","",IF(OFFSET(CampList[Opening Date],MATCH(Table_NFI[[#This Row],[Pcode]],CampList[CP_Pcode],0)-1,0,1,1)&gt;=NFI_Monitor_Date,1,0))</f>
        <v/>
      </c>
      <c r="AO887" s="781" t="str">
        <f>IFERROR(VLOOKUP(Table_NFI[[#This Row],[Camp Name]],CL,3,0),"")</f>
        <v/>
      </c>
      <c r="AP887" s="436" t="str">
        <f ca="1">IF(Table_NFI[[#This Row],[Pcode]]="","",OFFSET(CampList[Priority],MATCH(Table_NFI[[#This Row],[Pcode]],CampList[CP_Pcode],0)-1,0,1,1))</f>
        <v/>
      </c>
      <c r="AQ887" s="438" t="str">
        <f>IFERROR(Table_NFI[[#This Row],[Kitchen Set]]/VLOOKUP(Table_NFI[[#This Row],[Camp Name]],CL,4,0),"")</f>
        <v/>
      </c>
      <c r="AR887" s="779" t="s">
        <v>1099</v>
      </c>
      <c r="AS887" s="783"/>
    </row>
    <row r="888" spans="1:45" x14ac:dyDescent="0.25">
      <c r="A888" s="455">
        <f t="shared" si="13"/>
        <v>47.366666666666667</v>
      </c>
      <c r="B888" s="778">
        <v>40888</v>
      </c>
      <c r="C888" s="779" t="s">
        <v>454</v>
      </c>
      <c r="D888" s="779" t="s">
        <v>462</v>
      </c>
      <c r="E888" s="779" t="s">
        <v>380</v>
      </c>
      <c r="F888" s="435" t="s">
        <v>237</v>
      </c>
      <c r="G888" s="435" t="s">
        <v>261</v>
      </c>
      <c r="H888" s="436"/>
      <c r="I888" s="436"/>
      <c r="J888" s="436"/>
      <c r="K888" s="436">
        <v>6</v>
      </c>
      <c r="L888" s="437">
        <v>4</v>
      </c>
      <c r="M888" s="437">
        <v>6</v>
      </c>
      <c r="N888" s="437">
        <v>4</v>
      </c>
      <c r="O888" s="437">
        <v>4</v>
      </c>
      <c r="P888" s="439">
        <v>4</v>
      </c>
      <c r="Q888" s="439">
        <v>4</v>
      </c>
      <c r="R888" s="436"/>
      <c r="S888" s="436"/>
      <c r="T888" s="436"/>
      <c r="U888" s="436"/>
      <c r="V888" s="436"/>
      <c r="W888" s="436">
        <f>IF(NFI_Expiration=1,IF($A888&lt;VLOOKUP(H$5,NFI,5,0),1,0)*Table_NFI[[#This Row],[Hygiene Kit]],Table_NFI[Hygiene Kit])</f>
        <v>0</v>
      </c>
      <c r="X888" s="436">
        <f>IF(NFI_Expiration=1,IF($A888&lt;VLOOKUP(I$5,NFI,5,0),1,0)*Table_NFI[[#This Row],[NFI Core Kit]],Table_NFI[NFI Core Kit])</f>
        <v>0</v>
      </c>
      <c r="Y888" s="436">
        <f>IF(NFI_Expiration=1,IF($A888&lt;VLOOKUP(J$5,NFI,5,0),1,0)*Table_NFI[[#This Row],[Sanitary Kit]],Table_NFI[Sanitary Kit])</f>
        <v>0</v>
      </c>
      <c r="Z888" s="436">
        <f>IF(NFI_Expiration=1,IF($A888&lt;VLOOKUP(K$5,NFI,5,0),1,0)*Table_NFI[[#This Row],[Mosquito net]],Table_NFI[Mosquito net])</f>
        <v>0</v>
      </c>
      <c r="AA888" s="436">
        <f>IF(NFI_Expiration=1,IF($A888&lt;VLOOKUP(L$5,NFI,5,0),1,0)*Table_NFI[[#This Row],[Tarpaulin]],Table_NFI[[#This Row],[Tarpaulin]])</f>
        <v>0</v>
      </c>
      <c r="AB888" s="436">
        <f>IF(NFI_Expiration=1,IF($A888&lt;VLOOKUP(M$5,NFI,5,0),1,0)*Table_NFI[[#This Row],[Blanket]],Table_NFI[[#This Row],[Blanket]])</f>
        <v>0</v>
      </c>
      <c r="AC888" s="436">
        <f>IF(NFI_Expiration=1,IF($A888&lt;VLOOKUP(N$5,NFI,5,0),1,0)*Table_NFI[[#This Row],[Kitchen Set]],Table_NFI[Kitchen Set])</f>
        <v>0</v>
      </c>
      <c r="AD888" s="436">
        <f>IF(NFI_Expiration=1,IF($A888&lt;VLOOKUP(O$5,NFI,5,0),1,0)*Table_NFI[[#This Row],[Clothes Kit]],Table_NFI[Clothes Kit])</f>
        <v>0</v>
      </c>
      <c r="AE888" s="436">
        <f>IF(NFI_Expiration=1,IF($A888&lt;VLOOKUP(P$5,NFI,5,0),1,0)*Table_NFI[[#This Row],[Plastic Bucket]],Table_NFI[Plastic Bucket])</f>
        <v>0</v>
      </c>
      <c r="AF888" s="436">
        <f>IF(NFI_Expiration=1,IF($A888&lt;VLOOKUP(Q$5,NFI,5,0),1,0)*Table_NFI[[#This Row],[Plastic Mat]],Table_NFI[Plastic Mat])*IF(Table_NFI[[#This Row],[Distribution Date]]&gt;"2014-04-01",1,2.5)</f>
        <v>0</v>
      </c>
      <c r="AG888" s="436">
        <f>IF(NFI_Expiration=1,IF($A888&lt;VLOOKUP(R$5,NFI,5,0),1,0)*Table_NFI[[#This Row],[Winter Clothes Adult]],Table_NFI[Winter Clothes Adult])</f>
        <v>0</v>
      </c>
      <c r="AH888" s="436">
        <f>IF(NFI_Expiration=1,IF($A888&lt;VLOOKUP(S$5,NFI,5,0),1,0)*Table_NFI[[#This Row],[Winter Clothes Children]],Table_NFI[Winter Clothes Children])</f>
        <v>0</v>
      </c>
      <c r="AI888" s="436">
        <f>IF(NFI_Expiration=1,IF($A888&lt;VLOOKUP(T$5,NFI,5,0),1,0)*Table_NFI[[#This Row],[Winter Items Other]],Table_NFI[Winter Items Other])</f>
        <v>0</v>
      </c>
      <c r="AJ888" s="436">
        <f>IF(NFI_Expiration=1,IF($A888&lt;VLOOKUP(M$5,NFI,5,0),1,0)*Table_NFI[[#This Row],[Winter Blanket]],Table_NFI[[#This Row],[Winter Blanket]])</f>
        <v>0</v>
      </c>
      <c r="AK888" s="436">
        <f>IF(Table_NFI[[#This Row],[Winter Clothes Adult]]+Table_NFI[[#This Row],[Winter Clothes Children]]+Table_NFI[[#This Row],[Winter Items Other]]+Table_NFI[[#This Row],[Winter Blanket]]&gt;0,1,0)</f>
        <v>0</v>
      </c>
      <c r="AL888" s="439">
        <f>IF(NFI_Expiration=1,IF($A888&lt;VLOOKUP(V$5,NFI,5,0),1,0)*Table_NFI[[#This Row],[Jerry Can]],Table_NFI[Jerry Can])</f>
        <v>0</v>
      </c>
      <c r="AM888" s="781" t="str">
        <f>IFERROR(VLOOKUP(Table_NFI[[#This Row],[Camp Name]],CL,2,0),"")</f>
        <v>MMR001CMP008</v>
      </c>
      <c r="AN888" s="782">
        <f ca="1">IF(Table_NFI[[#This Row],[Pcode]]="","",IF(OFFSET(CampList[Opening Date],MATCH(Table_NFI[[#This Row],[Pcode]],CampList[CP_Pcode],0)-1,0,1,1)&gt;=NFI_Monitor_Date,1,0))</f>
        <v>0</v>
      </c>
      <c r="AO888" s="781" t="str">
        <f>IFERROR(VLOOKUP(Table_NFI[[#This Row],[Camp Name]],CL,3,0),"")</f>
        <v>Open</v>
      </c>
      <c r="AP888" s="436" t="str">
        <f ca="1">IF(Table_NFI[[#This Row],[Pcode]]="","",OFFSET(CampList[Priority],MATCH(Table_NFI[[#This Row],[Pcode]],CampList[CP_Pcode],0)-1,0,1,1))</f>
        <v>P4</v>
      </c>
      <c r="AQ888" s="438">
        <f>IFERROR(Table_NFI[[#This Row],[Kitchen Set]]/VLOOKUP(Table_NFI[[#This Row],[Camp Name]],CL,4,0),"")</f>
        <v>4.1666666666666664E-2</v>
      </c>
      <c r="AR888" s="779" t="s">
        <v>1099</v>
      </c>
      <c r="AS888" s="783"/>
    </row>
    <row r="889" spans="1:45" ht="14.45" customHeight="1" x14ac:dyDescent="0.25">
      <c r="A889" s="491">
        <f t="shared" si="13"/>
        <v>47.366666666666667</v>
      </c>
      <c r="B889" s="808">
        <v>40888</v>
      </c>
      <c r="C889" s="809" t="s">
        <v>454</v>
      </c>
      <c r="D889" s="812" t="s">
        <v>462</v>
      </c>
      <c r="E889" s="809" t="s">
        <v>380</v>
      </c>
      <c r="F889" s="702" t="s">
        <v>237</v>
      </c>
      <c r="G889" s="702" t="s">
        <v>277</v>
      </c>
      <c r="H889" s="701"/>
      <c r="I889" s="701"/>
      <c r="J889" s="701"/>
      <c r="K889" s="701">
        <v>2</v>
      </c>
      <c r="L889" s="492">
        <v>2</v>
      </c>
      <c r="M889" s="492">
        <v>2</v>
      </c>
      <c r="N889" s="492">
        <v>2</v>
      </c>
      <c r="O889" s="492">
        <v>2</v>
      </c>
      <c r="P889" s="492">
        <v>2</v>
      </c>
      <c r="Q889" s="492">
        <v>2</v>
      </c>
      <c r="R889" s="701"/>
      <c r="S889" s="701"/>
      <c r="T889" s="701"/>
      <c r="U889" s="701"/>
      <c r="V889" s="701"/>
      <c r="W889" s="701">
        <f>IF(NFI_Expiration=1,IF($A889&lt;VLOOKUP(H$5,NFI,5,0),1,0)*Table_NFI[[#This Row],[Hygiene Kit]],Table_NFI[Hygiene Kit])</f>
        <v>0</v>
      </c>
      <c r="X889" s="701">
        <f>IF(NFI_Expiration=1,IF($A889&lt;VLOOKUP(I$5,NFI,5,0),1,0)*Table_NFI[[#This Row],[NFI Core Kit]],Table_NFI[NFI Core Kit])</f>
        <v>0</v>
      </c>
      <c r="Y889" s="701">
        <f>IF(NFI_Expiration=1,IF($A889&lt;VLOOKUP(J$5,NFI,5,0),1,0)*Table_NFI[[#This Row],[Sanitary Kit]],Table_NFI[Sanitary Kit])</f>
        <v>0</v>
      </c>
      <c r="Z889" s="701">
        <f>IF(NFI_Expiration=1,IF($A889&lt;VLOOKUP(K$5,NFI,5,0),1,0)*Table_NFI[[#This Row],[Mosquito net]],Table_NFI[Mosquito net])</f>
        <v>0</v>
      </c>
      <c r="AA889" s="701">
        <f>IF(NFI_Expiration=1,IF($A889&lt;VLOOKUP(L$5,NFI,5,0),1,0)*Table_NFI[[#This Row],[Tarpaulin]],Table_NFI[[#This Row],[Tarpaulin]])</f>
        <v>0</v>
      </c>
      <c r="AB889" s="701">
        <f>IF(NFI_Expiration=1,IF($A889&lt;VLOOKUP(M$5,NFI,5,0),1,0)*Table_NFI[[#This Row],[Blanket]],Table_NFI[[#This Row],[Blanket]])</f>
        <v>0</v>
      </c>
      <c r="AC889" s="701">
        <f>IF(NFI_Expiration=1,IF($A889&lt;VLOOKUP(N$5,NFI,5,0),1,0)*Table_NFI[[#This Row],[Kitchen Set]],Table_NFI[Kitchen Set])</f>
        <v>0</v>
      </c>
      <c r="AD889" s="701">
        <f>IF(NFI_Expiration=1,IF($A889&lt;VLOOKUP(O$5,NFI,5,0),1,0)*Table_NFI[[#This Row],[Clothes Kit]],Table_NFI[Clothes Kit])</f>
        <v>0</v>
      </c>
      <c r="AE889" s="701">
        <f>IF(NFI_Expiration=1,IF($A889&lt;VLOOKUP(P$5,NFI,5,0),1,0)*Table_NFI[[#This Row],[Plastic Bucket]],Table_NFI[Plastic Bucket])</f>
        <v>0</v>
      </c>
      <c r="AF889" s="701">
        <f>IF(NFI_Expiration=1,IF($A889&lt;VLOOKUP(Q$5,NFI,5,0),1,0)*Table_NFI[[#This Row],[Plastic Mat]],Table_NFI[Plastic Mat])*IF(Table_NFI[[#This Row],[Distribution Date]]&gt;"2014-04-01",1,2.5)</f>
        <v>0</v>
      </c>
      <c r="AG889" s="701">
        <f>IF(NFI_Expiration=1,IF($A889&lt;VLOOKUP(R$5,NFI,5,0),1,0)*Table_NFI[[#This Row],[Winter Clothes Adult]],Table_NFI[Winter Clothes Adult])</f>
        <v>0</v>
      </c>
      <c r="AH889" s="701">
        <f>IF(NFI_Expiration=1,IF($A889&lt;VLOOKUP(S$5,NFI,5,0),1,0)*Table_NFI[[#This Row],[Winter Clothes Children]],Table_NFI[Winter Clothes Children])</f>
        <v>0</v>
      </c>
      <c r="AI889" s="701">
        <f>IF(NFI_Expiration=1,IF($A889&lt;VLOOKUP(T$5,NFI,5,0),1,0)*Table_NFI[[#This Row],[Winter Items Other]],Table_NFI[Winter Items Other])</f>
        <v>0</v>
      </c>
      <c r="AJ889" s="701">
        <f>IF(NFI_Expiration=1,IF($A889&lt;VLOOKUP(M$5,NFI,5,0),1,0)*Table_NFI[[#This Row],[Winter Blanket]],Table_NFI[[#This Row],[Winter Blanket]])</f>
        <v>0</v>
      </c>
      <c r="AK889" s="701">
        <f>IF(Table_NFI[[#This Row],[Winter Clothes Adult]]+Table_NFI[[#This Row],[Winter Clothes Children]]+Table_NFI[[#This Row],[Winter Items Other]]+Table_NFI[[#This Row],[Winter Blanket]]&gt;0,1,0)</f>
        <v>0</v>
      </c>
      <c r="AL889" s="439">
        <f>IF(NFI_Expiration=1,IF($A889&lt;VLOOKUP(V$5,NFI,5,0),1,0)*Table_NFI[[#This Row],[Jerry Can]],Table_NFI[Jerry Can])</f>
        <v>0</v>
      </c>
      <c r="AM889" s="824" t="str">
        <f>IFERROR(VLOOKUP(Table_NFI[[#This Row],[Camp Name]],CL,2,0),"")</f>
        <v>MMR001CMP006</v>
      </c>
      <c r="AN889" s="811">
        <f ca="1">IF(Table_NFI[[#This Row],[Pcode]]="","",IF(OFFSET(CampList[Opening Date],MATCH(Table_NFI[[#This Row],[Pcode]],CampList[CP_Pcode],0)-1,0,1,1)&gt;=NFI_Monitor_Date,1,0))</f>
        <v>0</v>
      </c>
      <c r="AO889" s="824" t="str">
        <f>IFERROR(VLOOKUP(Table_NFI[[#This Row],[Camp Name]],CL,3,0),"")</f>
        <v>Open</v>
      </c>
      <c r="AP889" s="701" t="str">
        <f ca="1">IF(Table_NFI[[#This Row],[Pcode]]="","",OFFSET(CampList[Priority],MATCH(Table_NFI[[#This Row],[Pcode]],CampList[CP_Pcode],0)-1,0,1,1))</f>
        <v>P4</v>
      </c>
      <c r="AQ889" s="494">
        <f>IFERROR(Table_NFI[[#This Row],[Kitchen Set]]/VLOOKUP(Table_NFI[[#This Row],[Camp Name]],CL,4,0),"")</f>
        <v>2.1052631578947368E-2</v>
      </c>
      <c r="AR889" s="809" t="s">
        <v>1099</v>
      </c>
      <c r="AS889" s="807"/>
    </row>
    <row r="890" spans="1:45" s="822" customFormat="1" ht="14.45" customHeight="1" x14ac:dyDescent="0.25">
      <c r="A890" s="455">
        <f t="shared" si="13"/>
        <v>47.366666666666667</v>
      </c>
      <c r="B890" s="778">
        <v>40888</v>
      </c>
      <c r="C890" s="809" t="s">
        <v>454</v>
      </c>
      <c r="D890" s="812" t="s">
        <v>462</v>
      </c>
      <c r="E890" s="809" t="s">
        <v>380</v>
      </c>
      <c r="F890" s="702" t="s">
        <v>237</v>
      </c>
      <c r="G890" s="702" t="s">
        <v>275</v>
      </c>
      <c r="H890" s="436"/>
      <c r="I890" s="436"/>
      <c r="J890" s="436"/>
      <c r="K890" s="436">
        <v>3</v>
      </c>
      <c r="L890" s="437">
        <v>2</v>
      </c>
      <c r="M890" s="437">
        <v>3</v>
      </c>
      <c r="N890" s="437">
        <v>2</v>
      </c>
      <c r="O890" s="437">
        <v>2</v>
      </c>
      <c r="P890" s="437">
        <v>2</v>
      </c>
      <c r="Q890" s="437">
        <v>2</v>
      </c>
      <c r="R890" s="436"/>
      <c r="S890" s="436"/>
      <c r="T890" s="436"/>
      <c r="U890" s="436"/>
      <c r="V890" s="701"/>
      <c r="W890" s="436">
        <f>IF(NFI_Expiration=1,IF($A890&lt;VLOOKUP(H$5,NFI,5,0),1,0)*Table_NFI[[#This Row],[Hygiene Kit]],Table_NFI[Hygiene Kit])</f>
        <v>0</v>
      </c>
      <c r="X890" s="436">
        <f>IF(NFI_Expiration=1,IF($A890&lt;VLOOKUP(I$5,NFI,5,0),1,0)*Table_NFI[[#This Row],[NFI Core Kit]],Table_NFI[NFI Core Kit])</f>
        <v>0</v>
      </c>
      <c r="Y890" s="436">
        <f>IF(NFI_Expiration=1,IF($A890&lt;VLOOKUP(J$5,NFI,5,0),1,0)*Table_NFI[[#This Row],[Sanitary Kit]],Table_NFI[Sanitary Kit])</f>
        <v>0</v>
      </c>
      <c r="Z890" s="436">
        <f>IF(NFI_Expiration=1,IF($A890&lt;VLOOKUP(K$5,NFI,5,0),1,0)*Table_NFI[[#This Row],[Mosquito net]],Table_NFI[Mosquito net])</f>
        <v>0</v>
      </c>
      <c r="AA890" s="436">
        <f>IF(NFI_Expiration=1,IF($A890&lt;VLOOKUP(L$5,NFI,5,0),1,0)*Table_NFI[[#This Row],[Tarpaulin]],Table_NFI[[#This Row],[Tarpaulin]])</f>
        <v>0</v>
      </c>
      <c r="AB890" s="436">
        <f>IF(NFI_Expiration=1,IF($A890&lt;VLOOKUP(M$5,NFI,5,0),1,0)*Table_NFI[[#This Row],[Blanket]],Table_NFI[[#This Row],[Blanket]])</f>
        <v>0</v>
      </c>
      <c r="AC890" s="436">
        <f>IF(NFI_Expiration=1,IF($A890&lt;VLOOKUP(N$5,NFI,5,0),1,0)*Table_NFI[[#This Row],[Kitchen Set]],Table_NFI[Kitchen Set])</f>
        <v>0</v>
      </c>
      <c r="AD890" s="436">
        <f>IF(NFI_Expiration=1,IF($A890&lt;VLOOKUP(O$5,NFI,5,0),1,0)*Table_NFI[[#This Row],[Clothes Kit]],Table_NFI[Clothes Kit])</f>
        <v>0</v>
      </c>
      <c r="AE890" s="436">
        <f>IF(NFI_Expiration=1,IF($A890&lt;VLOOKUP(P$5,NFI,5,0),1,0)*Table_NFI[[#This Row],[Plastic Bucket]],Table_NFI[Plastic Bucket])</f>
        <v>0</v>
      </c>
      <c r="AF890" s="436">
        <f>IF(NFI_Expiration=1,IF($A890&lt;VLOOKUP(Q$5,NFI,5,0),1,0)*Table_NFI[[#This Row],[Plastic Mat]],Table_NFI[Plastic Mat])*IF(Table_NFI[[#This Row],[Distribution Date]]&gt;"2014-04-01",1,2.5)</f>
        <v>0</v>
      </c>
      <c r="AG890" s="436">
        <f>IF(NFI_Expiration=1,IF($A890&lt;VLOOKUP(R$5,NFI,5,0),1,0)*Table_NFI[[#This Row],[Winter Clothes Adult]],Table_NFI[Winter Clothes Adult])</f>
        <v>0</v>
      </c>
      <c r="AH890" s="436">
        <f>IF(NFI_Expiration=1,IF($A890&lt;VLOOKUP(S$5,NFI,5,0),1,0)*Table_NFI[[#This Row],[Winter Clothes Children]],Table_NFI[Winter Clothes Children])</f>
        <v>0</v>
      </c>
      <c r="AI890" s="436">
        <f>IF(NFI_Expiration=1,IF($A890&lt;VLOOKUP(T$5,NFI,5,0),1,0)*Table_NFI[[#This Row],[Winter Items Other]],Table_NFI[Winter Items Other])</f>
        <v>0</v>
      </c>
      <c r="AJ890" s="436">
        <f>IF(NFI_Expiration=1,IF($A890&lt;VLOOKUP(M$5,NFI,5,0),1,0)*Table_NFI[[#This Row],[Winter Blanket]],Table_NFI[[#This Row],[Winter Blanket]])</f>
        <v>0</v>
      </c>
      <c r="AK890" s="436">
        <f>IF(Table_NFI[[#This Row],[Winter Clothes Adult]]+Table_NFI[[#This Row],[Winter Clothes Children]]+Table_NFI[[#This Row],[Winter Items Other]]+Table_NFI[[#This Row],[Winter Blanket]]&gt;0,1,0)</f>
        <v>0</v>
      </c>
      <c r="AL890" s="493">
        <f>IF(NFI_Expiration=1,IF($A890&lt;VLOOKUP(V$5,NFI,5,0),1,0)*Table_NFI[[#This Row],[Jerry Can]],Table_NFI[Jerry Can])</f>
        <v>0</v>
      </c>
      <c r="AM890" s="781" t="str">
        <f>IFERROR(VLOOKUP(Table_NFI[[#This Row],[Camp Name]],CL,2,0),"")</f>
        <v>MMR001CMP005</v>
      </c>
      <c r="AN890" s="782">
        <f ca="1">IF(Table_NFI[[#This Row],[Pcode]]="","",IF(OFFSET(CampList[Opening Date],MATCH(Table_NFI[[#This Row],[Pcode]],CampList[CP_Pcode],0)-1,0,1,1)&gt;=NFI_Monitor_Date,1,0))</f>
        <v>0</v>
      </c>
      <c r="AO890" s="781" t="str">
        <f>IFERROR(VLOOKUP(Table_NFI[[#This Row],[Camp Name]],CL,3,0),"")</f>
        <v>Open</v>
      </c>
      <c r="AP890" s="436" t="str">
        <f ca="1">IF(Table_NFI[[#This Row],[Pcode]]="","",OFFSET(CampList[Priority],MATCH(Table_NFI[[#This Row],[Pcode]],CampList[CP_Pcode],0)-1,0,1,1))</f>
        <v>P4</v>
      </c>
      <c r="AQ890" s="438">
        <f>IFERROR(Table_NFI[[#This Row],[Kitchen Set]]/VLOOKUP(Table_NFI[[#This Row],[Camp Name]],CL,4,0),"")</f>
        <v>4.5454545454545456E-2</v>
      </c>
      <c r="AR890" s="779" t="s">
        <v>1099</v>
      </c>
      <c r="AS890" s="783"/>
    </row>
    <row r="891" spans="1:45" ht="14.45" customHeight="1" x14ac:dyDescent="0.25">
      <c r="A891" s="491">
        <f t="shared" si="13"/>
        <v>47.43333333333333</v>
      </c>
      <c r="B891" s="808">
        <v>40886</v>
      </c>
      <c r="C891" s="809" t="s">
        <v>454</v>
      </c>
      <c r="D891" s="812" t="s">
        <v>462</v>
      </c>
      <c r="E891" s="809" t="s">
        <v>380</v>
      </c>
      <c r="F891" s="702" t="s">
        <v>237</v>
      </c>
      <c r="G891" s="702" t="s">
        <v>240</v>
      </c>
      <c r="H891" s="701"/>
      <c r="I891" s="701"/>
      <c r="J891" s="701"/>
      <c r="K891" s="701">
        <v>13</v>
      </c>
      <c r="L891" s="492">
        <v>6</v>
      </c>
      <c r="M891" s="492">
        <v>13</v>
      </c>
      <c r="N891" s="492">
        <v>6</v>
      </c>
      <c r="O891" s="492">
        <v>6</v>
      </c>
      <c r="P891" s="492">
        <v>6</v>
      </c>
      <c r="Q891" s="492">
        <v>6</v>
      </c>
      <c r="R891" s="701"/>
      <c r="S891" s="701"/>
      <c r="T891" s="701"/>
      <c r="U891" s="701"/>
      <c r="V891" s="701"/>
      <c r="W891" s="701">
        <f>IF(NFI_Expiration=1,IF($A891&lt;VLOOKUP(H$5,NFI,5,0),1,0)*Table_NFI[[#This Row],[Hygiene Kit]],Table_NFI[Hygiene Kit])</f>
        <v>0</v>
      </c>
      <c r="X891" s="701">
        <f>IF(NFI_Expiration=1,IF($A891&lt;VLOOKUP(I$5,NFI,5,0),1,0)*Table_NFI[[#This Row],[NFI Core Kit]],Table_NFI[NFI Core Kit])</f>
        <v>0</v>
      </c>
      <c r="Y891" s="701">
        <f>IF(NFI_Expiration=1,IF($A891&lt;VLOOKUP(J$5,NFI,5,0),1,0)*Table_NFI[[#This Row],[Sanitary Kit]],Table_NFI[Sanitary Kit])</f>
        <v>0</v>
      </c>
      <c r="Z891" s="701">
        <f>IF(NFI_Expiration=1,IF($A891&lt;VLOOKUP(K$5,NFI,5,0),1,0)*Table_NFI[[#This Row],[Mosquito net]],Table_NFI[Mosquito net])</f>
        <v>0</v>
      </c>
      <c r="AA891" s="701">
        <f>IF(NFI_Expiration=1,IF($A891&lt;VLOOKUP(L$5,NFI,5,0),1,0)*Table_NFI[[#This Row],[Tarpaulin]],Table_NFI[[#This Row],[Tarpaulin]])</f>
        <v>0</v>
      </c>
      <c r="AB891" s="701">
        <f>IF(NFI_Expiration=1,IF($A891&lt;VLOOKUP(M$5,NFI,5,0),1,0)*Table_NFI[[#This Row],[Blanket]],Table_NFI[[#This Row],[Blanket]])</f>
        <v>0</v>
      </c>
      <c r="AC891" s="701">
        <f>IF(NFI_Expiration=1,IF($A891&lt;VLOOKUP(N$5,NFI,5,0),1,0)*Table_NFI[[#This Row],[Kitchen Set]],Table_NFI[Kitchen Set])</f>
        <v>0</v>
      </c>
      <c r="AD891" s="701">
        <f>IF(NFI_Expiration=1,IF($A891&lt;VLOOKUP(O$5,NFI,5,0),1,0)*Table_NFI[[#This Row],[Clothes Kit]],Table_NFI[Clothes Kit])</f>
        <v>0</v>
      </c>
      <c r="AE891" s="701">
        <f>IF(NFI_Expiration=1,IF($A891&lt;VLOOKUP(P$5,NFI,5,0),1,0)*Table_NFI[[#This Row],[Plastic Bucket]],Table_NFI[Plastic Bucket])</f>
        <v>0</v>
      </c>
      <c r="AF891" s="701">
        <f>IF(NFI_Expiration=1,IF($A891&lt;VLOOKUP(Q$5,NFI,5,0),1,0)*Table_NFI[[#This Row],[Plastic Mat]],Table_NFI[Plastic Mat])*IF(Table_NFI[[#This Row],[Distribution Date]]&gt;"2014-04-01",1,2.5)</f>
        <v>0</v>
      </c>
      <c r="AG891" s="701">
        <f>IF(NFI_Expiration=1,IF($A891&lt;VLOOKUP(R$5,NFI,5,0),1,0)*Table_NFI[[#This Row],[Winter Clothes Adult]],Table_NFI[Winter Clothes Adult])</f>
        <v>0</v>
      </c>
      <c r="AH891" s="701">
        <f>IF(NFI_Expiration=1,IF($A891&lt;VLOOKUP(S$5,NFI,5,0),1,0)*Table_NFI[[#This Row],[Winter Clothes Children]],Table_NFI[Winter Clothes Children])</f>
        <v>0</v>
      </c>
      <c r="AI891" s="701">
        <f>IF(NFI_Expiration=1,IF($A891&lt;VLOOKUP(T$5,NFI,5,0),1,0)*Table_NFI[[#This Row],[Winter Items Other]],Table_NFI[Winter Items Other])</f>
        <v>0</v>
      </c>
      <c r="AJ891" s="701">
        <f>IF(NFI_Expiration=1,IF($A891&lt;VLOOKUP(M$5,NFI,5,0),1,0)*Table_NFI[[#This Row],[Winter Blanket]],Table_NFI[[#This Row],[Winter Blanket]])</f>
        <v>0</v>
      </c>
      <c r="AK891" s="701">
        <f>IF(Table_NFI[[#This Row],[Winter Clothes Adult]]+Table_NFI[[#This Row],[Winter Clothes Children]]+Table_NFI[[#This Row],[Winter Items Other]]+Table_NFI[[#This Row],[Winter Blanket]]&gt;0,1,0)</f>
        <v>0</v>
      </c>
      <c r="AL891" s="439">
        <f>IF(NFI_Expiration=1,IF($A891&lt;VLOOKUP(V$5,NFI,5,0),1,0)*Table_NFI[[#This Row],[Jerry Can]],Table_NFI[Jerry Can])</f>
        <v>0</v>
      </c>
      <c r="AM891" s="824" t="str">
        <f>IFERROR(VLOOKUP(Table_NFI[[#This Row],[Camp Name]],CL,2,0),"")</f>
        <v>MMR001CMP015</v>
      </c>
      <c r="AN891" s="811">
        <f ca="1">IF(Table_NFI[[#This Row],[Pcode]]="","",IF(OFFSET(CampList[Opening Date],MATCH(Table_NFI[[#This Row],[Pcode]],CampList[CP_Pcode],0)-1,0,1,1)&gt;=NFI_Monitor_Date,1,0))</f>
        <v>0</v>
      </c>
      <c r="AO891" s="824" t="str">
        <f>IFERROR(VLOOKUP(Table_NFI[[#This Row],[Camp Name]],CL,3,0),"")</f>
        <v>Open</v>
      </c>
      <c r="AP891" s="701" t="str">
        <f ca="1">IF(Table_NFI[[#This Row],[Pcode]]="","",OFFSET(CampList[Priority],MATCH(Table_NFI[[#This Row],[Pcode]],CampList[CP_Pcode],0)-1,0,1,1))</f>
        <v>P4</v>
      </c>
      <c r="AQ891" s="494">
        <f>IFERROR(Table_NFI[[#This Row],[Kitchen Set]]/VLOOKUP(Table_NFI[[#This Row],[Camp Name]],CL,4,0),"")</f>
        <v>5.5555555555555552E-2</v>
      </c>
      <c r="AR891" s="809" t="s">
        <v>1099</v>
      </c>
      <c r="AS891" s="807"/>
    </row>
    <row r="892" spans="1:45" ht="14.45" customHeight="1" x14ac:dyDescent="0.25">
      <c r="A892" s="491">
        <f t="shared" si="13"/>
        <v>47.56666666666667</v>
      </c>
      <c r="B892" s="808">
        <v>40882</v>
      </c>
      <c r="C892" s="809" t="s">
        <v>454</v>
      </c>
      <c r="D892" s="812" t="s">
        <v>508</v>
      </c>
      <c r="E892" s="809" t="s">
        <v>380</v>
      </c>
      <c r="F892" s="702" t="s">
        <v>237</v>
      </c>
      <c r="G892" s="702" t="s">
        <v>253</v>
      </c>
      <c r="H892" s="701"/>
      <c r="I892" s="701"/>
      <c r="J892" s="701"/>
      <c r="K892" s="701">
        <v>80</v>
      </c>
      <c r="L892" s="492">
        <v>45</v>
      </c>
      <c r="M892" s="492">
        <v>80</v>
      </c>
      <c r="N892" s="492">
        <v>45</v>
      </c>
      <c r="O892" s="492">
        <v>45</v>
      </c>
      <c r="P892" s="492">
        <v>45</v>
      </c>
      <c r="Q892" s="492">
        <v>45</v>
      </c>
      <c r="R892" s="701"/>
      <c r="S892" s="701"/>
      <c r="T892" s="701"/>
      <c r="U892" s="701"/>
      <c r="V892" s="701"/>
      <c r="W892" s="701">
        <f>IF(NFI_Expiration=1,IF($A892&lt;VLOOKUP(H$5,NFI,5,0),1,0)*Table_NFI[[#This Row],[Hygiene Kit]],Table_NFI[Hygiene Kit])</f>
        <v>0</v>
      </c>
      <c r="X892" s="701">
        <f>IF(NFI_Expiration=1,IF($A892&lt;VLOOKUP(I$5,NFI,5,0),1,0)*Table_NFI[[#This Row],[NFI Core Kit]],Table_NFI[NFI Core Kit])</f>
        <v>0</v>
      </c>
      <c r="Y892" s="701">
        <f>IF(NFI_Expiration=1,IF($A892&lt;VLOOKUP(J$5,NFI,5,0),1,0)*Table_NFI[[#This Row],[Sanitary Kit]],Table_NFI[Sanitary Kit])</f>
        <v>0</v>
      </c>
      <c r="Z892" s="701">
        <f>IF(NFI_Expiration=1,IF($A892&lt;VLOOKUP(K$5,NFI,5,0),1,0)*Table_NFI[[#This Row],[Mosquito net]],Table_NFI[Mosquito net])</f>
        <v>0</v>
      </c>
      <c r="AA892" s="701">
        <f>IF(NFI_Expiration=1,IF($A892&lt;VLOOKUP(L$5,NFI,5,0),1,0)*Table_NFI[[#This Row],[Tarpaulin]],Table_NFI[[#This Row],[Tarpaulin]])</f>
        <v>0</v>
      </c>
      <c r="AB892" s="701">
        <f>IF(NFI_Expiration=1,IF($A892&lt;VLOOKUP(M$5,NFI,5,0),1,0)*Table_NFI[[#This Row],[Blanket]],Table_NFI[[#This Row],[Blanket]])</f>
        <v>0</v>
      </c>
      <c r="AC892" s="701">
        <f>IF(NFI_Expiration=1,IF($A892&lt;VLOOKUP(N$5,NFI,5,0),1,0)*Table_NFI[[#This Row],[Kitchen Set]],Table_NFI[Kitchen Set])</f>
        <v>0</v>
      </c>
      <c r="AD892" s="701">
        <f>IF(NFI_Expiration=1,IF($A892&lt;VLOOKUP(O$5,NFI,5,0),1,0)*Table_NFI[[#This Row],[Clothes Kit]],Table_NFI[Clothes Kit])</f>
        <v>0</v>
      </c>
      <c r="AE892" s="701">
        <f>IF(NFI_Expiration=1,IF($A892&lt;VLOOKUP(P$5,NFI,5,0),1,0)*Table_NFI[[#This Row],[Plastic Bucket]],Table_NFI[Plastic Bucket])</f>
        <v>0</v>
      </c>
      <c r="AF892" s="701">
        <f>IF(NFI_Expiration=1,IF($A892&lt;VLOOKUP(Q$5,NFI,5,0),1,0)*Table_NFI[[#This Row],[Plastic Mat]],Table_NFI[Plastic Mat])*IF(Table_NFI[[#This Row],[Distribution Date]]&gt;"2014-04-01",1,2.5)</f>
        <v>0</v>
      </c>
      <c r="AG892" s="701">
        <f>IF(NFI_Expiration=1,IF($A892&lt;VLOOKUP(R$5,NFI,5,0),1,0)*Table_NFI[[#This Row],[Winter Clothes Adult]],Table_NFI[Winter Clothes Adult])</f>
        <v>0</v>
      </c>
      <c r="AH892" s="701">
        <f>IF(NFI_Expiration=1,IF($A892&lt;VLOOKUP(S$5,NFI,5,0),1,0)*Table_NFI[[#This Row],[Winter Clothes Children]],Table_NFI[Winter Clothes Children])</f>
        <v>0</v>
      </c>
      <c r="AI892" s="701">
        <f>IF(NFI_Expiration=1,IF($A892&lt;VLOOKUP(T$5,NFI,5,0),1,0)*Table_NFI[[#This Row],[Winter Items Other]],Table_NFI[Winter Items Other])</f>
        <v>0</v>
      </c>
      <c r="AJ892" s="701">
        <f>IF(NFI_Expiration=1,IF($A892&lt;VLOOKUP(M$5,NFI,5,0),1,0)*Table_NFI[[#This Row],[Winter Blanket]],Table_NFI[[#This Row],[Winter Blanket]])</f>
        <v>0</v>
      </c>
      <c r="AK892" s="701">
        <f>IF(Table_NFI[[#This Row],[Winter Clothes Adult]]+Table_NFI[[#This Row],[Winter Clothes Children]]+Table_NFI[[#This Row],[Winter Items Other]]+Table_NFI[[#This Row],[Winter Blanket]]&gt;0,1,0)</f>
        <v>0</v>
      </c>
      <c r="AL892" s="439">
        <f>IF(NFI_Expiration=1,IF($A892&lt;VLOOKUP(V$5,NFI,5,0),1,0)*Table_NFI[[#This Row],[Jerry Can]],Table_NFI[Jerry Can])</f>
        <v>0</v>
      </c>
      <c r="AM892" s="824" t="str">
        <f>IFERROR(VLOOKUP(Table_NFI[[#This Row],[Camp Name]],CL,2,0),"")</f>
        <v>MMR001CMP018</v>
      </c>
      <c r="AN892" s="811">
        <f ca="1">IF(Table_NFI[[#This Row],[Pcode]]="","",IF(OFFSET(CampList[Opening Date],MATCH(Table_NFI[[#This Row],[Pcode]],CampList[CP_Pcode],0)-1,0,1,1)&gt;=NFI_Monitor_Date,1,0))</f>
        <v>0</v>
      </c>
      <c r="AO892" s="824" t="str">
        <f>IFERROR(VLOOKUP(Table_NFI[[#This Row],[Camp Name]],CL,3,0),"")</f>
        <v>Open</v>
      </c>
      <c r="AP892" s="701" t="str">
        <f ca="1">IF(Table_NFI[[#This Row],[Pcode]]="","",OFFSET(CampList[Priority],MATCH(Table_NFI[[#This Row],[Pcode]],CampList[CP_Pcode],0)-1,0,1,1))</f>
        <v>P4</v>
      </c>
      <c r="AQ892" s="494">
        <f>IFERROR(Table_NFI[[#This Row],[Kitchen Set]]/VLOOKUP(Table_NFI[[#This Row],[Camp Name]],CL,4,0),"")</f>
        <v>0.22167487684729065</v>
      </c>
      <c r="AR892" s="809" t="s">
        <v>1099</v>
      </c>
      <c r="AS892" s="807"/>
    </row>
    <row r="893" spans="1:45" ht="13.15" customHeight="1" x14ac:dyDescent="0.25">
      <c r="A893" s="491">
        <f t="shared" si="13"/>
        <v>47.6</v>
      </c>
      <c r="B893" s="808">
        <v>40881</v>
      </c>
      <c r="C893" s="809" t="s">
        <v>454</v>
      </c>
      <c r="D893" s="812" t="s">
        <v>462</v>
      </c>
      <c r="E893" s="809" t="s">
        <v>380</v>
      </c>
      <c r="F893" s="702" t="s">
        <v>237</v>
      </c>
      <c r="G893" s="702" t="s">
        <v>281</v>
      </c>
      <c r="H893" s="701"/>
      <c r="I893" s="701"/>
      <c r="J893" s="701"/>
      <c r="K893" s="701">
        <v>52</v>
      </c>
      <c r="L893" s="492">
        <v>27</v>
      </c>
      <c r="M893" s="492">
        <v>52</v>
      </c>
      <c r="N893" s="492">
        <v>27</v>
      </c>
      <c r="O893" s="492">
        <v>27</v>
      </c>
      <c r="P893" s="492">
        <v>27</v>
      </c>
      <c r="Q893" s="492">
        <v>27</v>
      </c>
      <c r="R893" s="701"/>
      <c r="S893" s="701"/>
      <c r="T893" s="701"/>
      <c r="U893" s="701"/>
      <c r="V893" s="701"/>
      <c r="W893" s="701">
        <f>IF(NFI_Expiration=1,IF($A893&lt;VLOOKUP(H$5,NFI,5,0),1,0)*Table_NFI[[#This Row],[Hygiene Kit]],Table_NFI[Hygiene Kit])</f>
        <v>0</v>
      </c>
      <c r="X893" s="701">
        <f>IF(NFI_Expiration=1,IF($A893&lt;VLOOKUP(I$5,NFI,5,0),1,0)*Table_NFI[[#This Row],[NFI Core Kit]],Table_NFI[NFI Core Kit])</f>
        <v>0</v>
      </c>
      <c r="Y893" s="701">
        <f>IF(NFI_Expiration=1,IF($A893&lt;VLOOKUP(J$5,NFI,5,0),1,0)*Table_NFI[[#This Row],[Sanitary Kit]],Table_NFI[Sanitary Kit])</f>
        <v>0</v>
      </c>
      <c r="Z893" s="701">
        <f>IF(NFI_Expiration=1,IF($A893&lt;VLOOKUP(K$5,NFI,5,0),1,0)*Table_NFI[[#This Row],[Mosquito net]],Table_NFI[Mosquito net])</f>
        <v>0</v>
      </c>
      <c r="AA893" s="701">
        <f>IF(NFI_Expiration=1,IF($A893&lt;VLOOKUP(L$5,NFI,5,0),1,0)*Table_NFI[[#This Row],[Tarpaulin]],Table_NFI[[#This Row],[Tarpaulin]])</f>
        <v>0</v>
      </c>
      <c r="AB893" s="701">
        <f>IF(NFI_Expiration=1,IF($A893&lt;VLOOKUP(M$5,NFI,5,0),1,0)*Table_NFI[[#This Row],[Blanket]],Table_NFI[[#This Row],[Blanket]])</f>
        <v>0</v>
      </c>
      <c r="AC893" s="701">
        <f>IF(NFI_Expiration=1,IF($A893&lt;VLOOKUP(N$5,NFI,5,0),1,0)*Table_NFI[[#This Row],[Kitchen Set]],Table_NFI[Kitchen Set])</f>
        <v>0</v>
      </c>
      <c r="AD893" s="701">
        <f>IF(NFI_Expiration=1,IF($A893&lt;VLOOKUP(O$5,NFI,5,0),1,0)*Table_NFI[[#This Row],[Clothes Kit]],Table_NFI[Clothes Kit])</f>
        <v>0</v>
      </c>
      <c r="AE893" s="701">
        <f>IF(NFI_Expiration=1,IF($A893&lt;VLOOKUP(P$5,NFI,5,0),1,0)*Table_NFI[[#This Row],[Plastic Bucket]],Table_NFI[Plastic Bucket])</f>
        <v>0</v>
      </c>
      <c r="AF893" s="701">
        <f>IF(NFI_Expiration=1,IF($A893&lt;VLOOKUP(Q$5,NFI,5,0),1,0)*Table_NFI[[#This Row],[Plastic Mat]],Table_NFI[Plastic Mat])*IF(Table_NFI[[#This Row],[Distribution Date]]&gt;"2014-04-01",1,2.5)</f>
        <v>0</v>
      </c>
      <c r="AG893" s="701">
        <f>IF(NFI_Expiration=1,IF($A893&lt;VLOOKUP(R$5,NFI,5,0),1,0)*Table_NFI[[#This Row],[Winter Clothes Adult]],Table_NFI[Winter Clothes Adult])</f>
        <v>0</v>
      </c>
      <c r="AH893" s="701">
        <f>IF(NFI_Expiration=1,IF($A893&lt;VLOOKUP(S$5,NFI,5,0),1,0)*Table_NFI[[#This Row],[Winter Clothes Children]],Table_NFI[Winter Clothes Children])</f>
        <v>0</v>
      </c>
      <c r="AI893" s="701">
        <f>IF(NFI_Expiration=1,IF($A893&lt;VLOOKUP(T$5,NFI,5,0),1,0)*Table_NFI[[#This Row],[Winter Items Other]],Table_NFI[Winter Items Other])</f>
        <v>0</v>
      </c>
      <c r="AJ893" s="701">
        <f>IF(NFI_Expiration=1,IF($A893&lt;VLOOKUP(M$5,NFI,5,0),1,0)*Table_NFI[[#This Row],[Winter Blanket]],Table_NFI[[#This Row],[Winter Blanket]])</f>
        <v>0</v>
      </c>
      <c r="AK893" s="701">
        <f>IF(Table_NFI[[#This Row],[Winter Clothes Adult]]+Table_NFI[[#This Row],[Winter Clothes Children]]+Table_NFI[[#This Row],[Winter Items Other]]+Table_NFI[[#This Row],[Winter Blanket]]&gt;0,1,0)</f>
        <v>0</v>
      </c>
      <c r="AL893" s="439">
        <f>IF(NFI_Expiration=1,IF($A893&lt;VLOOKUP(V$5,NFI,5,0),1,0)*Table_NFI[[#This Row],[Jerry Can]],Table_NFI[Jerry Can])</f>
        <v>0</v>
      </c>
      <c r="AM893" s="824" t="str">
        <f>IFERROR(VLOOKUP(Table_NFI[[#This Row],[Camp Name]],CL,2,0),"")</f>
        <v>MMR001CMP009</v>
      </c>
      <c r="AN893" s="811">
        <f ca="1">IF(Table_NFI[[#This Row],[Pcode]]="","",IF(OFFSET(CampList[Opening Date],MATCH(Table_NFI[[#This Row],[Pcode]],CampList[CP_Pcode],0)-1,0,1,1)&gt;=NFI_Monitor_Date,1,0))</f>
        <v>0</v>
      </c>
      <c r="AO893" s="824" t="str">
        <f>IFERROR(VLOOKUP(Table_NFI[[#This Row],[Camp Name]],CL,3,0),"")</f>
        <v>Open</v>
      </c>
      <c r="AP893" s="701" t="str">
        <f ca="1">IF(Table_NFI[[#This Row],[Pcode]]="","",OFFSET(CampList[Priority],MATCH(Table_NFI[[#This Row],[Pcode]],CampList[CP_Pcode],0)-1,0,1,1))</f>
        <v>P4</v>
      </c>
      <c r="AQ893" s="494">
        <f>IFERROR(Table_NFI[[#This Row],[Kitchen Set]]/VLOOKUP(Table_NFI[[#This Row],[Camp Name]],CL,4,0),"")</f>
        <v>0.3</v>
      </c>
      <c r="AR893" s="809" t="s">
        <v>1099</v>
      </c>
      <c r="AS893" s="807"/>
    </row>
    <row r="894" spans="1:45" ht="14.45" customHeight="1" x14ac:dyDescent="0.25">
      <c r="A894" s="491">
        <f t="shared" si="13"/>
        <v>48.133333333333333</v>
      </c>
      <c r="B894" s="808">
        <v>40865</v>
      </c>
      <c r="C894" s="809" t="s">
        <v>454</v>
      </c>
      <c r="D894" s="812" t="s">
        <v>454</v>
      </c>
      <c r="E894" s="809" t="s">
        <v>380</v>
      </c>
      <c r="F894" s="702" t="s">
        <v>237</v>
      </c>
      <c r="G894" s="702" t="s">
        <v>913</v>
      </c>
      <c r="H894" s="701"/>
      <c r="I894" s="701"/>
      <c r="J894" s="701"/>
      <c r="K894" s="701">
        <v>24</v>
      </c>
      <c r="L894" s="492">
        <v>3</v>
      </c>
      <c r="M894" s="492">
        <v>24</v>
      </c>
      <c r="N894" s="492">
        <v>3</v>
      </c>
      <c r="O894" s="492">
        <v>3</v>
      </c>
      <c r="P894" s="492">
        <v>3</v>
      </c>
      <c r="Q894" s="492">
        <v>3</v>
      </c>
      <c r="R894" s="701"/>
      <c r="S894" s="701"/>
      <c r="T894" s="701"/>
      <c r="U894" s="701"/>
      <c r="V894" s="701"/>
      <c r="W894" s="701">
        <f>IF(NFI_Expiration=1,IF($A894&lt;VLOOKUP(H$5,NFI,5,0),1,0)*Table_NFI[[#This Row],[Hygiene Kit]],Table_NFI[Hygiene Kit])</f>
        <v>0</v>
      </c>
      <c r="X894" s="701">
        <f>IF(NFI_Expiration=1,IF($A894&lt;VLOOKUP(I$5,NFI,5,0),1,0)*Table_NFI[[#This Row],[NFI Core Kit]],Table_NFI[NFI Core Kit])</f>
        <v>0</v>
      </c>
      <c r="Y894" s="701">
        <f>IF(NFI_Expiration=1,IF($A894&lt;VLOOKUP(J$5,NFI,5,0),1,0)*Table_NFI[[#This Row],[Sanitary Kit]],Table_NFI[Sanitary Kit])</f>
        <v>0</v>
      </c>
      <c r="Z894" s="701">
        <f>IF(NFI_Expiration=1,IF($A894&lt;VLOOKUP(K$5,NFI,5,0),1,0)*Table_NFI[[#This Row],[Mosquito net]],Table_NFI[Mosquito net])</f>
        <v>0</v>
      </c>
      <c r="AA894" s="701">
        <f>IF(NFI_Expiration=1,IF($A894&lt;VLOOKUP(L$5,NFI,5,0),1,0)*Table_NFI[[#This Row],[Tarpaulin]],Table_NFI[[#This Row],[Tarpaulin]])</f>
        <v>0</v>
      </c>
      <c r="AB894" s="701">
        <f>IF(NFI_Expiration=1,IF($A894&lt;VLOOKUP(M$5,NFI,5,0),1,0)*Table_NFI[[#This Row],[Blanket]],Table_NFI[[#This Row],[Blanket]])</f>
        <v>0</v>
      </c>
      <c r="AC894" s="701">
        <f>IF(NFI_Expiration=1,IF($A894&lt;VLOOKUP(N$5,NFI,5,0),1,0)*Table_NFI[[#This Row],[Kitchen Set]],Table_NFI[Kitchen Set])</f>
        <v>0</v>
      </c>
      <c r="AD894" s="701">
        <f>IF(NFI_Expiration=1,IF($A894&lt;VLOOKUP(O$5,NFI,5,0),1,0)*Table_NFI[[#This Row],[Clothes Kit]],Table_NFI[Clothes Kit])</f>
        <v>0</v>
      </c>
      <c r="AE894" s="701">
        <f>IF(NFI_Expiration=1,IF($A894&lt;VLOOKUP(P$5,NFI,5,0),1,0)*Table_NFI[[#This Row],[Plastic Bucket]],Table_NFI[Plastic Bucket])</f>
        <v>0</v>
      </c>
      <c r="AF894" s="701">
        <f>IF(NFI_Expiration=1,IF($A894&lt;VLOOKUP(Q$5,NFI,5,0),1,0)*Table_NFI[[#This Row],[Plastic Mat]],Table_NFI[Plastic Mat])*IF(Table_NFI[[#This Row],[Distribution Date]]&gt;"2014-04-01",1,2.5)</f>
        <v>0</v>
      </c>
      <c r="AG894" s="701">
        <f>IF(NFI_Expiration=1,IF($A894&lt;VLOOKUP(R$5,NFI,5,0),1,0)*Table_NFI[[#This Row],[Winter Clothes Adult]],Table_NFI[Winter Clothes Adult])</f>
        <v>0</v>
      </c>
      <c r="AH894" s="701">
        <f>IF(NFI_Expiration=1,IF($A894&lt;VLOOKUP(S$5,NFI,5,0),1,0)*Table_NFI[[#This Row],[Winter Clothes Children]],Table_NFI[Winter Clothes Children])</f>
        <v>0</v>
      </c>
      <c r="AI894" s="701">
        <f>IF(NFI_Expiration=1,IF($A894&lt;VLOOKUP(T$5,NFI,5,0),1,0)*Table_NFI[[#This Row],[Winter Items Other]],Table_NFI[Winter Items Other])</f>
        <v>0</v>
      </c>
      <c r="AJ894" s="701">
        <f>IF(NFI_Expiration=1,IF($A894&lt;VLOOKUP(M$5,NFI,5,0),1,0)*Table_NFI[[#This Row],[Winter Blanket]],Table_NFI[[#This Row],[Winter Blanket]])</f>
        <v>0</v>
      </c>
      <c r="AK894" s="701">
        <f>IF(Table_NFI[[#This Row],[Winter Clothes Adult]]+Table_NFI[[#This Row],[Winter Clothes Children]]+Table_NFI[[#This Row],[Winter Items Other]]+Table_NFI[[#This Row],[Winter Blanket]]&gt;0,1,0)</f>
        <v>0</v>
      </c>
      <c r="AL894" s="439">
        <f>IF(NFI_Expiration=1,IF($A894&lt;VLOOKUP(V$5,NFI,5,0),1,0)*Table_NFI[[#This Row],[Jerry Can]],Table_NFI[Jerry Can])</f>
        <v>0</v>
      </c>
      <c r="AM894" s="824" t="str">
        <f>IFERROR(VLOOKUP(Table_NFI[[#This Row],[Camp Name]],CL,2,0),"")</f>
        <v/>
      </c>
      <c r="AN894" s="811" t="str">
        <f ca="1">IF(Table_NFI[[#This Row],[Pcode]]="","",IF(OFFSET(CampList[Opening Date],MATCH(Table_NFI[[#This Row],[Pcode]],CampList[CP_Pcode],0)-1,0,1,1)&gt;=NFI_Monitor_Date,1,0))</f>
        <v/>
      </c>
      <c r="AO894" s="824" t="str">
        <f>IFERROR(VLOOKUP(Table_NFI[[#This Row],[Camp Name]],CL,3,0),"")</f>
        <v/>
      </c>
      <c r="AP894" s="701" t="str">
        <f ca="1">IF(Table_NFI[[#This Row],[Pcode]]="","",OFFSET(CampList[Priority],MATCH(Table_NFI[[#This Row],[Pcode]],CampList[CP_Pcode],0)-1,0,1,1))</f>
        <v/>
      </c>
      <c r="AQ894" s="494" t="str">
        <f>IFERROR(Table_NFI[[#This Row],[Kitchen Set]]/VLOOKUP(Table_NFI[[#This Row],[Camp Name]],CL,4,0),"")</f>
        <v/>
      </c>
      <c r="AR894" s="809" t="s">
        <v>1099</v>
      </c>
      <c r="AS894" s="807"/>
    </row>
    <row r="895" spans="1:45" ht="14.45" customHeight="1" x14ac:dyDescent="0.25">
      <c r="A895" s="491">
        <f t="shared" si="13"/>
        <v>48.133333333333333</v>
      </c>
      <c r="B895" s="808">
        <v>40865</v>
      </c>
      <c r="C895" s="809" t="s">
        <v>454</v>
      </c>
      <c r="D895" s="812" t="s">
        <v>454</v>
      </c>
      <c r="E895" s="809" t="s">
        <v>380</v>
      </c>
      <c r="F895" s="702" t="s">
        <v>237</v>
      </c>
      <c r="G895" s="702" t="s">
        <v>283</v>
      </c>
      <c r="H895" s="701"/>
      <c r="I895" s="701"/>
      <c r="J895" s="701"/>
      <c r="K895" s="701">
        <v>175</v>
      </c>
      <c r="L895" s="492">
        <v>0</v>
      </c>
      <c r="M895" s="492">
        <v>175</v>
      </c>
      <c r="N895" s="492">
        <v>0</v>
      </c>
      <c r="O895" s="492">
        <v>0</v>
      </c>
      <c r="P895" s="492"/>
      <c r="Q895" s="492"/>
      <c r="R895" s="701"/>
      <c r="S895" s="701"/>
      <c r="T895" s="701"/>
      <c r="U895" s="701"/>
      <c r="V895" s="701"/>
      <c r="W895" s="701">
        <f>IF(NFI_Expiration=1,IF($A895&lt;VLOOKUP(H$5,NFI,5,0),1,0)*Table_NFI[[#This Row],[Hygiene Kit]],Table_NFI[Hygiene Kit])</f>
        <v>0</v>
      </c>
      <c r="X895" s="701">
        <f>IF(NFI_Expiration=1,IF($A895&lt;VLOOKUP(I$5,NFI,5,0),1,0)*Table_NFI[[#This Row],[NFI Core Kit]],Table_NFI[NFI Core Kit])</f>
        <v>0</v>
      </c>
      <c r="Y895" s="701">
        <f>IF(NFI_Expiration=1,IF($A895&lt;VLOOKUP(J$5,NFI,5,0),1,0)*Table_NFI[[#This Row],[Sanitary Kit]],Table_NFI[Sanitary Kit])</f>
        <v>0</v>
      </c>
      <c r="Z895" s="701">
        <f>IF(NFI_Expiration=1,IF($A895&lt;VLOOKUP(K$5,NFI,5,0),1,0)*Table_NFI[[#This Row],[Mosquito net]],Table_NFI[Mosquito net])</f>
        <v>0</v>
      </c>
      <c r="AA895" s="701">
        <f>IF(NFI_Expiration=1,IF($A895&lt;VLOOKUP(L$5,NFI,5,0),1,0)*Table_NFI[[#This Row],[Tarpaulin]],Table_NFI[[#This Row],[Tarpaulin]])</f>
        <v>0</v>
      </c>
      <c r="AB895" s="701">
        <f>IF(NFI_Expiration=1,IF($A895&lt;VLOOKUP(M$5,NFI,5,0),1,0)*Table_NFI[[#This Row],[Blanket]],Table_NFI[[#This Row],[Blanket]])</f>
        <v>0</v>
      </c>
      <c r="AC895" s="701">
        <f>IF(NFI_Expiration=1,IF($A895&lt;VLOOKUP(N$5,NFI,5,0),1,0)*Table_NFI[[#This Row],[Kitchen Set]],Table_NFI[Kitchen Set])</f>
        <v>0</v>
      </c>
      <c r="AD895" s="701">
        <f>IF(NFI_Expiration=1,IF($A895&lt;VLOOKUP(O$5,NFI,5,0),1,0)*Table_NFI[[#This Row],[Clothes Kit]],Table_NFI[Clothes Kit])</f>
        <v>0</v>
      </c>
      <c r="AE895" s="701">
        <f>IF(NFI_Expiration=1,IF($A895&lt;VLOOKUP(P$5,NFI,5,0),1,0)*Table_NFI[[#This Row],[Plastic Bucket]],Table_NFI[Plastic Bucket])</f>
        <v>0</v>
      </c>
      <c r="AF895" s="701">
        <f>IF(NFI_Expiration=1,IF($A895&lt;VLOOKUP(Q$5,NFI,5,0),1,0)*Table_NFI[[#This Row],[Plastic Mat]],Table_NFI[Plastic Mat])*IF(Table_NFI[[#This Row],[Distribution Date]]&gt;"2014-04-01",1,2.5)</f>
        <v>0</v>
      </c>
      <c r="AG895" s="701">
        <f>IF(NFI_Expiration=1,IF($A895&lt;VLOOKUP(R$5,NFI,5,0),1,0)*Table_NFI[[#This Row],[Winter Clothes Adult]],Table_NFI[Winter Clothes Adult])</f>
        <v>0</v>
      </c>
      <c r="AH895" s="701">
        <f>IF(NFI_Expiration=1,IF($A895&lt;VLOOKUP(S$5,NFI,5,0),1,0)*Table_NFI[[#This Row],[Winter Clothes Children]],Table_NFI[Winter Clothes Children])</f>
        <v>0</v>
      </c>
      <c r="AI895" s="701">
        <f>IF(NFI_Expiration=1,IF($A895&lt;VLOOKUP(T$5,NFI,5,0),1,0)*Table_NFI[[#This Row],[Winter Items Other]],Table_NFI[Winter Items Other])</f>
        <v>0</v>
      </c>
      <c r="AJ895" s="701">
        <f>IF(NFI_Expiration=1,IF($A895&lt;VLOOKUP(M$5,NFI,5,0),1,0)*Table_NFI[[#This Row],[Winter Blanket]],Table_NFI[[#This Row],[Winter Blanket]])</f>
        <v>0</v>
      </c>
      <c r="AK895" s="701">
        <f>IF(Table_NFI[[#This Row],[Winter Clothes Adult]]+Table_NFI[[#This Row],[Winter Clothes Children]]+Table_NFI[[#This Row],[Winter Items Other]]+Table_NFI[[#This Row],[Winter Blanket]]&gt;0,1,0)</f>
        <v>0</v>
      </c>
      <c r="AL895" s="439">
        <f>IF(NFI_Expiration=1,IF($A895&lt;VLOOKUP(V$5,NFI,5,0),1,0)*Table_NFI[[#This Row],[Jerry Can]],Table_NFI[Jerry Can])</f>
        <v>0</v>
      </c>
      <c r="AM895" s="824" t="str">
        <f>IFERROR(VLOOKUP(Table_NFI[[#This Row],[Camp Name]],CL,2,0),"")</f>
        <v>MMR001CMP022</v>
      </c>
      <c r="AN895" s="811">
        <f ca="1">IF(Table_NFI[[#This Row],[Pcode]]="","",IF(OFFSET(CampList[Opening Date],MATCH(Table_NFI[[#This Row],[Pcode]],CampList[CP_Pcode],0)-1,0,1,1)&gt;=NFI_Monitor_Date,1,0))</f>
        <v>0</v>
      </c>
      <c r="AO895" s="824" t="str">
        <f>IFERROR(VLOOKUP(Table_NFI[[#This Row],[Camp Name]],CL,3,0),"")</f>
        <v>Open</v>
      </c>
      <c r="AP895" s="701" t="str">
        <f ca="1">IF(Table_NFI[[#This Row],[Pcode]]="","",OFFSET(CampList[Priority],MATCH(Table_NFI[[#This Row],[Pcode]],CampList[CP_Pcode],0)-1,0,1,1))</f>
        <v>P4</v>
      </c>
      <c r="AQ895" s="494">
        <f>IFERROR(Table_NFI[[#This Row],[Kitchen Set]]/VLOOKUP(Table_NFI[[#This Row],[Camp Name]],CL,4,0),"")</f>
        <v>0</v>
      </c>
      <c r="AR895" s="809" t="s">
        <v>1099</v>
      </c>
      <c r="AS895" s="807"/>
    </row>
    <row r="896" spans="1:45" ht="14.45" customHeight="1" x14ac:dyDescent="0.25">
      <c r="A896" s="491">
        <f t="shared" si="13"/>
        <v>48.2</v>
      </c>
      <c r="B896" s="808">
        <v>40863</v>
      </c>
      <c r="C896" s="809" t="s">
        <v>454</v>
      </c>
      <c r="D896" s="812" t="s">
        <v>462</v>
      </c>
      <c r="E896" s="809" t="s">
        <v>380</v>
      </c>
      <c r="F896" s="702" t="s">
        <v>237</v>
      </c>
      <c r="G896" s="702" t="s">
        <v>269</v>
      </c>
      <c r="H896" s="701"/>
      <c r="I896" s="701"/>
      <c r="J896" s="701"/>
      <c r="K896" s="701">
        <v>92</v>
      </c>
      <c r="L896" s="492">
        <v>53</v>
      </c>
      <c r="M896" s="492">
        <v>92</v>
      </c>
      <c r="N896" s="492">
        <v>53</v>
      </c>
      <c r="O896" s="492">
        <v>53</v>
      </c>
      <c r="P896" s="492">
        <v>53</v>
      </c>
      <c r="Q896" s="492">
        <v>53</v>
      </c>
      <c r="R896" s="701"/>
      <c r="S896" s="701"/>
      <c r="T896" s="701"/>
      <c r="U896" s="701"/>
      <c r="V896" s="701"/>
      <c r="W896" s="701">
        <f>IF(NFI_Expiration=1,IF($A896&lt;VLOOKUP(H$5,NFI,5,0),1,0)*Table_NFI[[#This Row],[Hygiene Kit]],Table_NFI[Hygiene Kit])</f>
        <v>0</v>
      </c>
      <c r="X896" s="701">
        <f>IF(NFI_Expiration=1,IF($A896&lt;VLOOKUP(I$5,NFI,5,0),1,0)*Table_NFI[[#This Row],[NFI Core Kit]],Table_NFI[NFI Core Kit])</f>
        <v>0</v>
      </c>
      <c r="Y896" s="701">
        <f>IF(NFI_Expiration=1,IF($A896&lt;VLOOKUP(J$5,NFI,5,0),1,0)*Table_NFI[[#This Row],[Sanitary Kit]],Table_NFI[Sanitary Kit])</f>
        <v>0</v>
      </c>
      <c r="Z896" s="701">
        <f>IF(NFI_Expiration=1,IF($A896&lt;VLOOKUP(K$5,NFI,5,0),1,0)*Table_NFI[[#This Row],[Mosquito net]],Table_NFI[Mosquito net])</f>
        <v>0</v>
      </c>
      <c r="AA896" s="701">
        <f>IF(NFI_Expiration=1,IF($A896&lt;VLOOKUP(L$5,NFI,5,0),1,0)*Table_NFI[[#This Row],[Tarpaulin]],Table_NFI[[#This Row],[Tarpaulin]])</f>
        <v>0</v>
      </c>
      <c r="AB896" s="701">
        <f>IF(NFI_Expiration=1,IF($A896&lt;VLOOKUP(M$5,NFI,5,0),1,0)*Table_NFI[[#This Row],[Blanket]],Table_NFI[[#This Row],[Blanket]])</f>
        <v>0</v>
      </c>
      <c r="AC896" s="701">
        <f>IF(NFI_Expiration=1,IF($A896&lt;VLOOKUP(N$5,NFI,5,0),1,0)*Table_NFI[[#This Row],[Kitchen Set]],Table_NFI[Kitchen Set])</f>
        <v>0</v>
      </c>
      <c r="AD896" s="701">
        <f>IF(NFI_Expiration=1,IF($A896&lt;VLOOKUP(O$5,NFI,5,0),1,0)*Table_NFI[[#This Row],[Clothes Kit]],Table_NFI[Clothes Kit])</f>
        <v>0</v>
      </c>
      <c r="AE896" s="701">
        <f>IF(NFI_Expiration=1,IF($A896&lt;VLOOKUP(P$5,NFI,5,0),1,0)*Table_NFI[[#This Row],[Plastic Bucket]],Table_NFI[Plastic Bucket])</f>
        <v>0</v>
      </c>
      <c r="AF896" s="701">
        <f>IF(NFI_Expiration=1,IF($A896&lt;VLOOKUP(Q$5,NFI,5,0),1,0)*Table_NFI[[#This Row],[Plastic Mat]],Table_NFI[Plastic Mat])*IF(Table_NFI[[#This Row],[Distribution Date]]&gt;"2014-04-01",1,2.5)</f>
        <v>0</v>
      </c>
      <c r="AG896" s="701">
        <f>IF(NFI_Expiration=1,IF($A896&lt;VLOOKUP(R$5,NFI,5,0),1,0)*Table_NFI[[#This Row],[Winter Clothes Adult]],Table_NFI[Winter Clothes Adult])</f>
        <v>0</v>
      </c>
      <c r="AH896" s="701">
        <f>IF(NFI_Expiration=1,IF($A896&lt;VLOOKUP(S$5,NFI,5,0),1,0)*Table_NFI[[#This Row],[Winter Clothes Children]],Table_NFI[Winter Clothes Children])</f>
        <v>0</v>
      </c>
      <c r="AI896" s="701">
        <f>IF(NFI_Expiration=1,IF($A896&lt;VLOOKUP(T$5,NFI,5,0),1,0)*Table_NFI[[#This Row],[Winter Items Other]],Table_NFI[Winter Items Other])</f>
        <v>0</v>
      </c>
      <c r="AJ896" s="701">
        <f>IF(NFI_Expiration=1,IF($A896&lt;VLOOKUP(M$5,NFI,5,0),1,0)*Table_NFI[[#This Row],[Winter Blanket]],Table_NFI[[#This Row],[Winter Blanket]])</f>
        <v>0</v>
      </c>
      <c r="AK896" s="701">
        <f>IF(Table_NFI[[#This Row],[Winter Clothes Adult]]+Table_NFI[[#This Row],[Winter Clothes Children]]+Table_NFI[[#This Row],[Winter Items Other]]+Table_NFI[[#This Row],[Winter Blanket]]&gt;0,1,0)</f>
        <v>0</v>
      </c>
      <c r="AL896" s="439">
        <f>IF(NFI_Expiration=1,IF($A896&lt;VLOOKUP(V$5,NFI,5,0),1,0)*Table_NFI[[#This Row],[Jerry Can]],Table_NFI[Jerry Can])</f>
        <v>0</v>
      </c>
      <c r="AM896" s="824" t="str">
        <f>IFERROR(VLOOKUP(Table_NFI[[#This Row],[Camp Name]],CL,2,0),"")</f>
        <v>MMR001CMP002</v>
      </c>
      <c r="AN896" s="811">
        <f ca="1">IF(Table_NFI[[#This Row],[Pcode]]="","",IF(OFFSET(CampList[Opening Date],MATCH(Table_NFI[[#This Row],[Pcode]],CampList[CP_Pcode],0)-1,0,1,1)&gt;=NFI_Monitor_Date,1,0))</f>
        <v>0</v>
      </c>
      <c r="AO896" s="824" t="str">
        <f>IFERROR(VLOOKUP(Table_NFI[[#This Row],[Camp Name]],CL,3,0),"")</f>
        <v>Open</v>
      </c>
      <c r="AP896" s="701" t="str">
        <f ca="1">IF(Table_NFI[[#This Row],[Pcode]]="","",OFFSET(CampList[Priority],MATCH(Table_NFI[[#This Row],[Pcode]],CampList[CP_Pcode],0)-1,0,1,1))</f>
        <v>P4</v>
      </c>
      <c r="AQ896" s="494">
        <f>IFERROR(Table_NFI[[#This Row],[Kitchen Set]]/VLOOKUP(Table_NFI[[#This Row],[Camp Name]],CL,4,0),"")</f>
        <v>0.92982456140350878</v>
      </c>
      <c r="AR896" s="809" t="s">
        <v>1099</v>
      </c>
      <c r="AS896" s="807"/>
    </row>
    <row r="897" spans="1:45" ht="14.45" customHeight="1" x14ac:dyDescent="0.25">
      <c r="A897" s="491">
        <f t="shared" si="13"/>
        <v>48.2</v>
      </c>
      <c r="B897" s="808">
        <v>40863</v>
      </c>
      <c r="C897" s="809" t="s">
        <v>454</v>
      </c>
      <c r="D897" s="809" t="s">
        <v>462</v>
      </c>
      <c r="E897" s="809" t="s">
        <v>380</v>
      </c>
      <c r="F897" s="702" t="s">
        <v>237</v>
      </c>
      <c r="G897" s="702" t="s">
        <v>251</v>
      </c>
      <c r="H897" s="701"/>
      <c r="I897" s="701"/>
      <c r="J897" s="701"/>
      <c r="K897" s="701">
        <v>53</v>
      </c>
      <c r="L897" s="492">
        <v>31</v>
      </c>
      <c r="M897" s="492">
        <v>53</v>
      </c>
      <c r="N897" s="492">
        <v>31</v>
      </c>
      <c r="O897" s="492">
        <v>31</v>
      </c>
      <c r="P897" s="493">
        <v>31</v>
      </c>
      <c r="Q897" s="493">
        <v>31</v>
      </c>
      <c r="R897" s="701"/>
      <c r="S897" s="701"/>
      <c r="T897" s="701"/>
      <c r="U897" s="701"/>
      <c r="V897" s="701"/>
      <c r="W897" s="701">
        <f>IF(NFI_Expiration=1,IF($A897&lt;VLOOKUP(H$5,NFI,5,0),1,0)*Table_NFI[[#This Row],[Hygiene Kit]],Table_NFI[Hygiene Kit])</f>
        <v>0</v>
      </c>
      <c r="X897" s="701">
        <f>IF(NFI_Expiration=1,IF($A897&lt;VLOOKUP(I$5,NFI,5,0),1,0)*Table_NFI[[#This Row],[NFI Core Kit]],Table_NFI[NFI Core Kit])</f>
        <v>0</v>
      </c>
      <c r="Y897" s="701">
        <f>IF(NFI_Expiration=1,IF($A897&lt;VLOOKUP(J$5,NFI,5,0),1,0)*Table_NFI[[#This Row],[Sanitary Kit]],Table_NFI[Sanitary Kit])</f>
        <v>0</v>
      </c>
      <c r="Z897" s="701">
        <f>IF(NFI_Expiration=1,IF($A897&lt;VLOOKUP(K$5,NFI,5,0),1,0)*Table_NFI[[#This Row],[Mosquito net]],Table_NFI[Mosquito net])</f>
        <v>0</v>
      </c>
      <c r="AA897" s="701">
        <f>IF(NFI_Expiration=1,IF($A897&lt;VLOOKUP(L$5,NFI,5,0),1,0)*Table_NFI[[#This Row],[Tarpaulin]],Table_NFI[[#This Row],[Tarpaulin]])</f>
        <v>0</v>
      </c>
      <c r="AB897" s="701">
        <f>IF(NFI_Expiration=1,IF($A897&lt;VLOOKUP(M$5,NFI,5,0),1,0)*Table_NFI[[#This Row],[Blanket]],Table_NFI[[#This Row],[Blanket]])</f>
        <v>0</v>
      </c>
      <c r="AC897" s="701">
        <f>IF(NFI_Expiration=1,IF($A897&lt;VLOOKUP(N$5,NFI,5,0),1,0)*Table_NFI[[#This Row],[Kitchen Set]],Table_NFI[Kitchen Set])</f>
        <v>0</v>
      </c>
      <c r="AD897" s="701">
        <f>IF(NFI_Expiration=1,IF($A897&lt;VLOOKUP(O$5,NFI,5,0),1,0)*Table_NFI[[#This Row],[Clothes Kit]],Table_NFI[Clothes Kit])</f>
        <v>0</v>
      </c>
      <c r="AE897" s="701">
        <f>IF(NFI_Expiration=1,IF($A897&lt;VLOOKUP(P$5,NFI,5,0),1,0)*Table_NFI[[#This Row],[Plastic Bucket]],Table_NFI[Plastic Bucket])</f>
        <v>0</v>
      </c>
      <c r="AF897" s="701">
        <f>IF(NFI_Expiration=1,IF($A897&lt;VLOOKUP(Q$5,NFI,5,0),1,0)*Table_NFI[[#This Row],[Plastic Mat]],Table_NFI[Plastic Mat])*IF(Table_NFI[[#This Row],[Distribution Date]]&gt;"2014-04-01",1,2.5)</f>
        <v>0</v>
      </c>
      <c r="AG897" s="701">
        <f>IF(NFI_Expiration=1,IF($A897&lt;VLOOKUP(R$5,NFI,5,0),1,0)*Table_NFI[[#This Row],[Winter Clothes Adult]],Table_NFI[Winter Clothes Adult])</f>
        <v>0</v>
      </c>
      <c r="AH897" s="701">
        <f>IF(NFI_Expiration=1,IF($A897&lt;VLOOKUP(S$5,NFI,5,0),1,0)*Table_NFI[[#This Row],[Winter Clothes Children]],Table_NFI[Winter Clothes Children])</f>
        <v>0</v>
      </c>
      <c r="AI897" s="701">
        <f>IF(NFI_Expiration=1,IF($A897&lt;VLOOKUP(T$5,NFI,5,0),1,0)*Table_NFI[[#This Row],[Winter Items Other]],Table_NFI[Winter Items Other])</f>
        <v>0</v>
      </c>
      <c r="AJ897" s="701">
        <f>IF(NFI_Expiration=1,IF($A897&lt;VLOOKUP(M$5,NFI,5,0),1,0)*Table_NFI[[#This Row],[Winter Blanket]],Table_NFI[[#This Row],[Winter Blanket]])</f>
        <v>0</v>
      </c>
      <c r="AK897" s="701">
        <f>IF(Table_NFI[[#This Row],[Winter Clothes Adult]]+Table_NFI[[#This Row],[Winter Clothes Children]]+Table_NFI[[#This Row],[Winter Items Other]]+Table_NFI[[#This Row],[Winter Blanket]]&gt;0,1,0)</f>
        <v>0</v>
      </c>
      <c r="AL897" s="439">
        <f>IF(NFI_Expiration=1,IF($A897&lt;VLOOKUP(V$5,NFI,5,0),1,0)*Table_NFI[[#This Row],[Jerry Can]],Table_NFI[Jerry Can])</f>
        <v>0</v>
      </c>
      <c r="AM897" s="824" t="str">
        <f>IFERROR(VLOOKUP(Table_NFI[[#This Row],[Camp Name]],CL,2,0),"")</f>
        <v>MMR001CMP003</v>
      </c>
      <c r="AN897" s="811">
        <f ca="1">IF(Table_NFI[[#This Row],[Pcode]]="","",IF(OFFSET(CampList[Opening Date],MATCH(Table_NFI[[#This Row],[Pcode]],CampList[CP_Pcode],0)-1,0,1,1)&gt;=NFI_Monitor_Date,1,0))</f>
        <v>0</v>
      </c>
      <c r="AO897" s="824" t="str">
        <f>IFERROR(VLOOKUP(Table_NFI[[#This Row],[Camp Name]],CL,3,0),"")</f>
        <v>Open</v>
      </c>
      <c r="AP897" s="701" t="str">
        <f ca="1">IF(Table_NFI[[#This Row],[Pcode]]="","",OFFSET(CampList[Priority],MATCH(Table_NFI[[#This Row],[Pcode]],CampList[CP_Pcode],0)-1,0,1,1))</f>
        <v>P4</v>
      </c>
      <c r="AQ897" s="494">
        <f>IFERROR(Table_NFI[[#This Row],[Kitchen Set]]/VLOOKUP(Table_NFI[[#This Row],[Camp Name]],CL,4,0),"")</f>
        <v>0.96875</v>
      </c>
      <c r="AR897" s="809" t="s">
        <v>1099</v>
      </c>
      <c r="AS897" s="807"/>
    </row>
    <row r="898" spans="1:45" x14ac:dyDescent="0.25">
      <c r="A898" s="491">
        <f t="shared" si="13"/>
        <v>48.2</v>
      </c>
      <c r="B898" s="808">
        <v>40863</v>
      </c>
      <c r="C898" s="809" t="s">
        <v>454</v>
      </c>
      <c r="D898" s="812" t="s">
        <v>462</v>
      </c>
      <c r="E898" s="809" t="s">
        <v>380</v>
      </c>
      <c r="F898" s="702" t="s">
        <v>237</v>
      </c>
      <c r="G898" s="702" t="s">
        <v>281</v>
      </c>
      <c r="H898" s="701"/>
      <c r="I898" s="701"/>
      <c r="J898" s="701"/>
      <c r="K898" s="701">
        <v>63</v>
      </c>
      <c r="L898" s="492">
        <v>30</v>
      </c>
      <c r="M898" s="492">
        <v>63</v>
      </c>
      <c r="N898" s="492">
        <v>30</v>
      </c>
      <c r="O898" s="492">
        <v>30</v>
      </c>
      <c r="P898" s="492">
        <v>30</v>
      </c>
      <c r="Q898" s="492">
        <v>30</v>
      </c>
      <c r="R898" s="701"/>
      <c r="S898" s="701"/>
      <c r="T898" s="701"/>
      <c r="U898" s="701"/>
      <c r="V898" s="701"/>
      <c r="W898" s="701">
        <f>IF(NFI_Expiration=1,IF($A898&lt;VLOOKUP(H$5,NFI,5,0),1,0)*Table_NFI[[#This Row],[Hygiene Kit]],Table_NFI[Hygiene Kit])</f>
        <v>0</v>
      </c>
      <c r="X898" s="701">
        <f>IF(NFI_Expiration=1,IF($A898&lt;VLOOKUP(I$5,NFI,5,0),1,0)*Table_NFI[[#This Row],[NFI Core Kit]],Table_NFI[NFI Core Kit])</f>
        <v>0</v>
      </c>
      <c r="Y898" s="701">
        <f>IF(NFI_Expiration=1,IF($A898&lt;VLOOKUP(J$5,NFI,5,0),1,0)*Table_NFI[[#This Row],[Sanitary Kit]],Table_NFI[Sanitary Kit])</f>
        <v>0</v>
      </c>
      <c r="Z898" s="701">
        <f>IF(NFI_Expiration=1,IF($A898&lt;VLOOKUP(K$5,NFI,5,0),1,0)*Table_NFI[[#This Row],[Mosquito net]],Table_NFI[Mosquito net])</f>
        <v>0</v>
      </c>
      <c r="AA898" s="701">
        <f>IF(NFI_Expiration=1,IF($A898&lt;VLOOKUP(L$5,NFI,5,0),1,0)*Table_NFI[[#This Row],[Tarpaulin]],Table_NFI[[#This Row],[Tarpaulin]])</f>
        <v>0</v>
      </c>
      <c r="AB898" s="701">
        <f>IF(NFI_Expiration=1,IF($A898&lt;VLOOKUP(M$5,NFI,5,0),1,0)*Table_NFI[[#This Row],[Blanket]],Table_NFI[[#This Row],[Blanket]])</f>
        <v>0</v>
      </c>
      <c r="AC898" s="701">
        <f>IF(NFI_Expiration=1,IF($A898&lt;VLOOKUP(N$5,NFI,5,0),1,0)*Table_NFI[[#This Row],[Kitchen Set]],Table_NFI[Kitchen Set])</f>
        <v>0</v>
      </c>
      <c r="AD898" s="701">
        <f>IF(NFI_Expiration=1,IF($A898&lt;VLOOKUP(O$5,NFI,5,0),1,0)*Table_NFI[[#This Row],[Clothes Kit]],Table_NFI[Clothes Kit])</f>
        <v>0</v>
      </c>
      <c r="AE898" s="701">
        <f>IF(NFI_Expiration=1,IF($A898&lt;VLOOKUP(P$5,NFI,5,0),1,0)*Table_NFI[[#This Row],[Plastic Bucket]],Table_NFI[Plastic Bucket])</f>
        <v>0</v>
      </c>
      <c r="AF898" s="701">
        <f>IF(NFI_Expiration=1,IF($A898&lt;VLOOKUP(Q$5,NFI,5,0),1,0)*Table_NFI[[#This Row],[Plastic Mat]],Table_NFI[Plastic Mat])*IF(Table_NFI[[#This Row],[Distribution Date]]&gt;"2014-04-01",1,2.5)</f>
        <v>0</v>
      </c>
      <c r="AG898" s="701">
        <f>IF(NFI_Expiration=1,IF($A898&lt;VLOOKUP(R$5,NFI,5,0),1,0)*Table_NFI[[#This Row],[Winter Clothes Adult]],Table_NFI[Winter Clothes Adult])</f>
        <v>0</v>
      </c>
      <c r="AH898" s="701">
        <f>IF(NFI_Expiration=1,IF($A898&lt;VLOOKUP(S$5,NFI,5,0),1,0)*Table_NFI[[#This Row],[Winter Clothes Children]],Table_NFI[Winter Clothes Children])</f>
        <v>0</v>
      </c>
      <c r="AI898" s="701">
        <f>IF(NFI_Expiration=1,IF($A898&lt;VLOOKUP(T$5,NFI,5,0),1,0)*Table_NFI[[#This Row],[Winter Items Other]],Table_NFI[Winter Items Other])</f>
        <v>0</v>
      </c>
      <c r="AJ898" s="701">
        <f>IF(NFI_Expiration=1,IF($A898&lt;VLOOKUP(M$5,NFI,5,0),1,0)*Table_NFI[[#This Row],[Winter Blanket]],Table_NFI[[#This Row],[Winter Blanket]])</f>
        <v>0</v>
      </c>
      <c r="AK898" s="701">
        <f>IF(Table_NFI[[#This Row],[Winter Clothes Adult]]+Table_NFI[[#This Row],[Winter Clothes Children]]+Table_NFI[[#This Row],[Winter Items Other]]+Table_NFI[[#This Row],[Winter Blanket]]&gt;0,1,0)</f>
        <v>0</v>
      </c>
      <c r="AL898" s="439">
        <f>IF(NFI_Expiration=1,IF($A898&lt;VLOOKUP(V$5,NFI,5,0),1,0)*Table_NFI[[#This Row],[Jerry Can]],Table_NFI[Jerry Can])</f>
        <v>0</v>
      </c>
      <c r="AM898" s="824" t="str">
        <f>IFERROR(VLOOKUP(Table_NFI[[#This Row],[Camp Name]],CL,2,0),"")</f>
        <v>MMR001CMP009</v>
      </c>
      <c r="AN898" s="811">
        <f ca="1">IF(Table_NFI[[#This Row],[Pcode]]="","",IF(OFFSET(CampList[Opening Date],MATCH(Table_NFI[[#This Row],[Pcode]],CampList[CP_Pcode],0)-1,0,1,1)&gt;=NFI_Monitor_Date,1,0))</f>
        <v>0</v>
      </c>
      <c r="AO898" s="824" t="str">
        <f>IFERROR(VLOOKUP(Table_NFI[[#This Row],[Camp Name]],CL,3,0),"")</f>
        <v>Open</v>
      </c>
      <c r="AP898" s="701" t="str">
        <f ca="1">IF(Table_NFI[[#This Row],[Pcode]]="","",OFFSET(CampList[Priority],MATCH(Table_NFI[[#This Row],[Pcode]],CampList[CP_Pcode],0)-1,0,1,1))</f>
        <v>P4</v>
      </c>
      <c r="AQ898" s="494">
        <f>IFERROR(Table_NFI[[#This Row],[Kitchen Set]]/VLOOKUP(Table_NFI[[#This Row],[Camp Name]],CL,4,0),"")</f>
        <v>0.33333333333333331</v>
      </c>
      <c r="AR898" s="809" t="s">
        <v>1099</v>
      </c>
      <c r="AS898" s="807"/>
    </row>
    <row r="899" spans="1:45" x14ac:dyDescent="0.25">
      <c r="A899" s="491">
        <f t="shared" si="13"/>
        <v>48.233333333333334</v>
      </c>
      <c r="B899" s="808">
        <v>40862</v>
      </c>
      <c r="C899" s="809" t="s">
        <v>454</v>
      </c>
      <c r="D899" s="812" t="s">
        <v>462</v>
      </c>
      <c r="E899" s="809" t="s">
        <v>380</v>
      </c>
      <c r="F899" s="702" t="s">
        <v>237</v>
      </c>
      <c r="G899" s="702" t="s">
        <v>275</v>
      </c>
      <c r="H899" s="701"/>
      <c r="I899" s="701"/>
      <c r="J899" s="701"/>
      <c r="K899" s="701">
        <v>30</v>
      </c>
      <c r="L899" s="492">
        <v>17</v>
      </c>
      <c r="M899" s="492">
        <v>30</v>
      </c>
      <c r="N899" s="492">
        <v>17</v>
      </c>
      <c r="O899" s="492">
        <v>17</v>
      </c>
      <c r="P899" s="492">
        <v>17</v>
      </c>
      <c r="Q899" s="492">
        <v>17</v>
      </c>
      <c r="R899" s="701"/>
      <c r="S899" s="701"/>
      <c r="T899" s="701"/>
      <c r="U899" s="701"/>
      <c r="V899" s="701"/>
      <c r="W899" s="701">
        <f>IF(NFI_Expiration=1,IF($A899&lt;VLOOKUP(H$5,NFI,5,0),1,0)*Table_NFI[[#This Row],[Hygiene Kit]],Table_NFI[Hygiene Kit])</f>
        <v>0</v>
      </c>
      <c r="X899" s="701">
        <f>IF(NFI_Expiration=1,IF($A899&lt;VLOOKUP(I$5,NFI,5,0),1,0)*Table_NFI[[#This Row],[NFI Core Kit]],Table_NFI[NFI Core Kit])</f>
        <v>0</v>
      </c>
      <c r="Y899" s="701">
        <f>IF(NFI_Expiration=1,IF($A899&lt;VLOOKUP(J$5,NFI,5,0),1,0)*Table_NFI[[#This Row],[Sanitary Kit]],Table_NFI[Sanitary Kit])</f>
        <v>0</v>
      </c>
      <c r="Z899" s="701">
        <f>IF(NFI_Expiration=1,IF($A899&lt;VLOOKUP(K$5,NFI,5,0),1,0)*Table_NFI[[#This Row],[Mosquito net]],Table_NFI[Mosquito net])</f>
        <v>0</v>
      </c>
      <c r="AA899" s="701">
        <f>IF(NFI_Expiration=1,IF($A899&lt;VLOOKUP(L$5,NFI,5,0),1,0)*Table_NFI[[#This Row],[Tarpaulin]],Table_NFI[[#This Row],[Tarpaulin]])</f>
        <v>0</v>
      </c>
      <c r="AB899" s="701">
        <f>IF(NFI_Expiration=1,IF($A899&lt;VLOOKUP(M$5,NFI,5,0),1,0)*Table_NFI[[#This Row],[Blanket]],Table_NFI[[#This Row],[Blanket]])</f>
        <v>0</v>
      </c>
      <c r="AC899" s="701">
        <f>IF(NFI_Expiration=1,IF($A899&lt;VLOOKUP(N$5,NFI,5,0),1,0)*Table_NFI[[#This Row],[Kitchen Set]],Table_NFI[Kitchen Set])</f>
        <v>0</v>
      </c>
      <c r="AD899" s="701">
        <f>IF(NFI_Expiration=1,IF($A899&lt;VLOOKUP(O$5,NFI,5,0),1,0)*Table_NFI[[#This Row],[Clothes Kit]],Table_NFI[Clothes Kit])</f>
        <v>0</v>
      </c>
      <c r="AE899" s="701">
        <f>IF(NFI_Expiration=1,IF($A899&lt;VLOOKUP(P$5,NFI,5,0),1,0)*Table_NFI[[#This Row],[Plastic Bucket]],Table_NFI[Plastic Bucket])</f>
        <v>0</v>
      </c>
      <c r="AF899" s="701">
        <f>IF(NFI_Expiration=1,IF($A899&lt;VLOOKUP(Q$5,NFI,5,0),1,0)*Table_NFI[[#This Row],[Plastic Mat]],Table_NFI[Plastic Mat])*IF(Table_NFI[[#This Row],[Distribution Date]]&gt;"2014-04-01",1,2.5)</f>
        <v>0</v>
      </c>
      <c r="AG899" s="701">
        <f>IF(NFI_Expiration=1,IF($A899&lt;VLOOKUP(R$5,NFI,5,0),1,0)*Table_NFI[[#This Row],[Winter Clothes Adult]],Table_NFI[Winter Clothes Adult])</f>
        <v>0</v>
      </c>
      <c r="AH899" s="701">
        <f>IF(NFI_Expiration=1,IF($A899&lt;VLOOKUP(S$5,NFI,5,0),1,0)*Table_NFI[[#This Row],[Winter Clothes Children]],Table_NFI[Winter Clothes Children])</f>
        <v>0</v>
      </c>
      <c r="AI899" s="701">
        <f>IF(NFI_Expiration=1,IF($A899&lt;VLOOKUP(T$5,NFI,5,0),1,0)*Table_NFI[[#This Row],[Winter Items Other]],Table_NFI[Winter Items Other])</f>
        <v>0</v>
      </c>
      <c r="AJ899" s="701">
        <f>IF(NFI_Expiration=1,IF($A899&lt;VLOOKUP(M$5,NFI,5,0),1,0)*Table_NFI[[#This Row],[Winter Blanket]],Table_NFI[[#This Row],[Winter Blanket]])</f>
        <v>0</v>
      </c>
      <c r="AK899" s="701">
        <f>IF(Table_NFI[[#This Row],[Winter Clothes Adult]]+Table_NFI[[#This Row],[Winter Clothes Children]]+Table_NFI[[#This Row],[Winter Items Other]]+Table_NFI[[#This Row],[Winter Blanket]]&gt;0,1,0)</f>
        <v>0</v>
      </c>
      <c r="AL899" s="439">
        <f>IF(NFI_Expiration=1,IF($A899&lt;VLOOKUP(V$5,NFI,5,0),1,0)*Table_NFI[[#This Row],[Jerry Can]],Table_NFI[Jerry Can])</f>
        <v>0</v>
      </c>
      <c r="AM899" s="824" t="str">
        <f>IFERROR(VLOOKUP(Table_NFI[[#This Row],[Camp Name]],CL,2,0),"")</f>
        <v>MMR001CMP005</v>
      </c>
      <c r="AN899" s="811">
        <f ca="1">IF(Table_NFI[[#This Row],[Pcode]]="","",IF(OFFSET(CampList[Opening Date],MATCH(Table_NFI[[#This Row],[Pcode]],CampList[CP_Pcode],0)-1,0,1,1)&gt;=NFI_Monitor_Date,1,0))</f>
        <v>0</v>
      </c>
      <c r="AO899" s="824" t="str">
        <f>IFERROR(VLOOKUP(Table_NFI[[#This Row],[Camp Name]],CL,3,0),"")</f>
        <v>Open</v>
      </c>
      <c r="AP899" s="701" t="str">
        <f ca="1">IF(Table_NFI[[#This Row],[Pcode]]="","",OFFSET(CampList[Priority],MATCH(Table_NFI[[#This Row],[Pcode]],CampList[CP_Pcode],0)-1,0,1,1))</f>
        <v>P4</v>
      </c>
      <c r="AQ899" s="494">
        <f>IFERROR(Table_NFI[[#This Row],[Kitchen Set]]/VLOOKUP(Table_NFI[[#This Row],[Camp Name]],CL,4,0),"")</f>
        <v>0.38636363636363635</v>
      </c>
      <c r="AR899" s="809" t="s">
        <v>1099</v>
      </c>
      <c r="AS899" s="807"/>
    </row>
    <row r="900" spans="1:45" x14ac:dyDescent="0.25">
      <c r="A900" s="491">
        <f t="shared" si="13"/>
        <v>48.266666666666666</v>
      </c>
      <c r="B900" s="808">
        <v>40861</v>
      </c>
      <c r="C900" s="809" t="s">
        <v>454</v>
      </c>
      <c r="D900" s="812" t="s">
        <v>462</v>
      </c>
      <c r="E900" s="809" t="s">
        <v>380</v>
      </c>
      <c r="F900" s="702" t="s">
        <v>237</v>
      </c>
      <c r="G900" s="702" t="s">
        <v>257</v>
      </c>
      <c r="H900" s="701"/>
      <c r="I900" s="701"/>
      <c r="J900" s="701"/>
      <c r="K900" s="701">
        <v>47</v>
      </c>
      <c r="L900" s="492">
        <v>28</v>
      </c>
      <c r="M900" s="492">
        <v>47</v>
      </c>
      <c r="N900" s="492">
        <v>28</v>
      </c>
      <c r="O900" s="492">
        <v>28</v>
      </c>
      <c r="P900" s="492">
        <v>28</v>
      </c>
      <c r="Q900" s="492">
        <v>28</v>
      </c>
      <c r="R900" s="701"/>
      <c r="S900" s="701"/>
      <c r="T900" s="701"/>
      <c r="U900" s="701"/>
      <c r="V900" s="701"/>
      <c r="W900" s="701">
        <f>IF(NFI_Expiration=1,IF($A900&lt;VLOOKUP(H$5,NFI,5,0),1,0)*Table_NFI[[#This Row],[Hygiene Kit]],Table_NFI[Hygiene Kit])</f>
        <v>0</v>
      </c>
      <c r="X900" s="701">
        <f>IF(NFI_Expiration=1,IF($A900&lt;VLOOKUP(I$5,NFI,5,0),1,0)*Table_NFI[[#This Row],[NFI Core Kit]],Table_NFI[NFI Core Kit])</f>
        <v>0</v>
      </c>
      <c r="Y900" s="701">
        <f>IF(NFI_Expiration=1,IF($A900&lt;VLOOKUP(J$5,NFI,5,0),1,0)*Table_NFI[[#This Row],[Sanitary Kit]],Table_NFI[Sanitary Kit])</f>
        <v>0</v>
      </c>
      <c r="Z900" s="701">
        <f>IF(NFI_Expiration=1,IF($A900&lt;VLOOKUP(K$5,NFI,5,0),1,0)*Table_NFI[[#This Row],[Mosquito net]],Table_NFI[Mosquito net])</f>
        <v>0</v>
      </c>
      <c r="AA900" s="701">
        <f>IF(NFI_Expiration=1,IF($A900&lt;VLOOKUP(L$5,NFI,5,0),1,0)*Table_NFI[[#This Row],[Tarpaulin]],Table_NFI[[#This Row],[Tarpaulin]])</f>
        <v>0</v>
      </c>
      <c r="AB900" s="701">
        <f>IF(NFI_Expiration=1,IF($A900&lt;VLOOKUP(M$5,NFI,5,0),1,0)*Table_NFI[[#This Row],[Blanket]],Table_NFI[[#This Row],[Blanket]])</f>
        <v>0</v>
      </c>
      <c r="AC900" s="701">
        <f>IF(NFI_Expiration=1,IF($A900&lt;VLOOKUP(N$5,NFI,5,0),1,0)*Table_NFI[[#This Row],[Kitchen Set]],Table_NFI[Kitchen Set])</f>
        <v>0</v>
      </c>
      <c r="AD900" s="701">
        <f>IF(NFI_Expiration=1,IF($A900&lt;VLOOKUP(O$5,NFI,5,0),1,0)*Table_NFI[[#This Row],[Clothes Kit]],Table_NFI[Clothes Kit])</f>
        <v>0</v>
      </c>
      <c r="AE900" s="701">
        <f>IF(NFI_Expiration=1,IF($A900&lt;VLOOKUP(P$5,NFI,5,0),1,0)*Table_NFI[[#This Row],[Plastic Bucket]],Table_NFI[Plastic Bucket])</f>
        <v>0</v>
      </c>
      <c r="AF900" s="701">
        <f>IF(NFI_Expiration=1,IF($A900&lt;VLOOKUP(Q$5,NFI,5,0),1,0)*Table_NFI[[#This Row],[Plastic Mat]],Table_NFI[Plastic Mat])*IF(Table_NFI[[#This Row],[Distribution Date]]&gt;"2014-04-01",1,2.5)</f>
        <v>0</v>
      </c>
      <c r="AG900" s="701">
        <f>IF(NFI_Expiration=1,IF($A900&lt;VLOOKUP(R$5,NFI,5,0),1,0)*Table_NFI[[#This Row],[Winter Clothes Adult]],Table_NFI[Winter Clothes Adult])</f>
        <v>0</v>
      </c>
      <c r="AH900" s="701">
        <f>IF(NFI_Expiration=1,IF($A900&lt;VLOOKUP(S$5,NFI,5,0),1,0)*Table_NFI[[#This Row],[Winter Clothes Children]],Table_NFI[Winter Clothes Children])</f>
        <v>0</v>
      </c>
      <c r="AI900" s="701">
        <f>IF(NFI_Expiration=1,IF($A900&lt;VLOOKUP(T$5,NFI,5,0),1,0)*Table_NFI[[#This Row],[Winter Items Other]],Table_NFI[Winter Items Other])</f>
        <v>0</v>
      </c>
      <c r="AJ900" s="701">
        <f>IF(NFI_Expiration=1,IF($A900&lt;VLOOKUP(M$5,NFI,5,0),1,0)*Table_NFI[[#This Row],[Winter Blanket]],Table_NFI[[#This Row],[Winter Blanket]])</f>
        <v>0</v>
      </c>
      <c r="AK900" s="701">
        <f>IF(Table_NFI[[#This Row],[Winter Clothes Adult]]+Table_NFI[[#This Row],[Winter Clothes Children]]+Table_NFI[[#This Row],[Winter Items Other]]+Table_NFI[[#This Row],[Winter Blanket]]&gt;0,1,0)</f>
        <v>0</v>
      </c>
      <c r="AL900" s="439">
        <f>IF(NFI_Expiration=1,IF($A900&lt;VLOOKUP(V$5,NFI,5,0),1,0)*Table_NFI[[#This Row],[Jerry Can]],Table_NFI[Jerry Can])</f>
        <v>0</v>
      </c>
      <c r="AM900" s="824" t="str">
        <f>IFERROR(VLOOKUP(Table_NFI[[#This Row],[Camp Name]],CL,2,0),"")</f>
        <v>MMR001CMP013</v>
      </c>
      <c r="AN900" s="811">
        <f ca="1">IF(Table_NFI[[#This Row],[Pcode]]="","",IF(OFFSET(CampList[Opening Date],MATCH(Table_NFI[[#This Row],[Pcode]],CampList[CP_Pcode],0)-1,0,1,1)&gt;=NFI_Monitor_Date,1,0))</f>
        <v>0</v>
      </c>
      <c r="AO900" s="824" t="str">
        <f>IFERROR(VLOOKUP(Table_NFI[[#This Row],[Camp Name]],CL,3,0),"")</f>
        <v>Open</v>
      </c>
      <c r="AP900" s="701" t="str">
        <f ca="1">IF(Table_NFI[[#This Row],[Pcode]]="","",OFFSET(CampList[Priority],MATCH(Table_NFI[[#This Row],[Pcode]],CampList[CP_Pcode],0)-1,0,1,1))</f>
        <v>P4</v>
      </c>
      <c r="AQ900" s="494">
        <f>IFERROR(Table_NFI[[#This Row],[Kitchen Set]]/VLOOKUP(Table_NFI[[#This Row],[Camp Name]],CL,4,0),"")</f>
        <v>0.62222222222222223</v>
      </c>
      <c r="AR900" s="809" t="s">
        <v>1099</v>
      </c>
      <c r="AS900" s="807"/>
    </row>
    <row r="901" spans="1:45" x14ac:dyDescent="0.25">
      <c r="A901" s="491">
        <f t="shared" si="13"/>
        <v>48.266666666666666</v>
      </c>
      <c r="B901" s="808">
        <v>40861</v>
      </c>
      <c r="C901" s="809" t="s">
        <v>454</v>
      </c>
      <c r="D901" s="812" t="s">
        <v>462</v>
      </c>
      <c r="E901" s="809" t="s">
        <v>380</v>
      </c>
      <c r="F901" s="702" t="s">
        <v>237</v>
      </c>
      <c r="G901" s="702" t="s">
        <v>240</v>
      </c>
      <c r="H901" s="701"/>
      <c r="I901" s="701"/>
      <c r="J901" s="701"/>
      <c r="K901" s="701">
        <v>52</v>
      </c>
      <c r="L901" s="492">
        <v>25</v>
      </c>
      <c r="M901" s="492">
        <v>52</v>
      </c>
      <c r="N901" s="492">
        <v>25</v>
      </c>
      <c r="O901" s="492">
        <v>25</v>
      </c>
      <c r="P901" s="492">
        <v>25</v>
      </c>
      <c r="Q901" s="492">
        <v>25</v>
      </c>
      <c r="R901" s="701"/>
      <c r="S901" s="701"/>
      <c r="T901" s="701"/>
      <c r="U901" s="701"/>
      <c r="V901" s="701"/>
      <c r="W901" s="701">
        <f>IF(NFI_Expiration=1,IF($A901&lt;VLOOKUP(H$5,NFI,5,0),1,0)*Table_NFI[[#This Row],[Hygiene Kit]],Table_NFI[Hygiene Kit])</f>
        <v>0</v>
      </c>
      <c r="X901" s="701">
        <f>IF(NFI_Expiration=1,IF($A901&lt;VLOOKUP(I$5,NFI,5,0),1,0)*Table_NFI[[#This Row],[NFI Core Kit]],Table_NFI[NFI Core Kit])</f>
        <v>0</v>
      </c>
      <c r="Y901" s="701">
        <f>IF(NFI_Expiration=1,IF($A901&lt;VLOOKUP(J$5,NFI,5,0),1,0)*Table_NFI[[#This Row],[Sanitary Kit]],Table_NFI[Sanitary Kit])</f>
        <v>0</v>
      </c>
      <c r="Z901" s="701">
        <f>IF(NFI_Expiration=1,IF($A901&lt;VLOOKUP(K$5,NFI,5,0),1,0)*Table_NFI[[#This Row],[Mosquito net]],Table_NFI[Mosquito net])</f>
        <v>0</v>
      </c>
      <c r="AA901" s="701">
        <f>IF(NFI_Expiration=1,IF($A901&lt;VLOOKUP(L$5,NFI,5,0),1,0)*Table_NFI[[#This Row],[Tarpaulin]],Table_NFI[[#This Row],[Tarpaulin]])</f>
        <v>0</v>
      </c>
      <c r="AB901" s="701">
        <f>IF(NFI_Expiration=1,IF($A901&lt;VLOOKUP(M$5,NFI,5,0),1,0)*Table_NFI[[#This Row],[Blanket]],Table_NFI[[#This Row],[Blanket]])</f>
        <v>0</v>
      </c>
      <c r="AC901" s="701">
        <f>IF(NFI_Expiration=1,IF($A901&lt;VLOOKUP(N$5,NFI,5,0),1,0)*Table_NFI[[#This Row],[Kitchen Set]],Table_NFI[Kitchen Set])</f>
        <v>0</v>
      </c>
      <c r="AD901" s="701">
        <f>IF(NFI_Expiration=1,IF($A901&lt;VLOOKUP(O$5,NFI,5,0),1,0)*Table_NFI[[#This Row],[Clothes Kit]],Table_NFI[Clothes Kit])</f>
        <v>0</v>
      </c>
      <c r="AE901" s="701">
        <f>IF(NFI_Expiration=1,IF($A901&lt;VLOOKUP(P$5,NFI,5,0),1,0)*Table_NFI[[#This Row],[Plastic Bucket]],Table_NFI[Plastic Bucket])</f>
        <v>0</v>
      </c>
      <c r="AF901" s="701">
        <f>IF(NFI_Expiration=1,IF($A901&lt;VLOOKUP(Q$5,NFI,5,0),1,0)*Table_NFI[[#This Row],[Plastic Mat]],Table_NFI[Plastic Mat])*IF(Table_NFI[[#This Row],[Distribution Date]]&gt;"2014-04-01",1,2.5)</f>
        <v>0</v>
      </c>
      <c r="AG901" s="701">
        <f>IF(NFI_Expiration=1,IF($A901&lt;VLOOKUP(R$5,NFI,5,0),1,0)*Table_NFI[[#This Row],[Winter Clothes Adult]],Table_NFI[Winter Clothes Adult])</f>
        <v>0</v>
      </c>
      <c r="AH901" s="701">
        <f>IF(NFI_Expiration=1,IF($A901&lt;VLOOKUP(S$5,NFI,5,0),1,0)*Table_NFI[[#This Row],[Winter Clothes Children]],Table_NFI[Winter Clothes Children])</f>
        <v>0</v>
      </c>
      <c r="AI901" s="701">
        <f>IF(NFI_Expiration=1,IF($A901&lt;VLOOKUP(T$5,NFI,5,0),1,0)*Table_NFI[[#This Row],[Winter Items Other]],Table_NFI[Winter Items Other])</f>
        <v>0</v>
      </c>
      <c r="AJ901" s="701">
        <f>IF(NFI_Expiration=1,IF($A901&lt;VLOOKUP(M$5,NFI,5,0),1,0)*Table_NFI[[#This Row],[Winter Blanket]],Table_NFI[[#This Row],[Winter Blanket]])</f>
        <v>0</v>
      </c>
      <c r="AK901" s="701">
        <f>IF(Table_NFI[[#This Row],[Winter Clothes Adult]]+Table_NFI[[#This Row],[Winter Clothes Children]]+Table_NFI[[#This Row],[Winter Items Other]]+Table_NFI[[#This Row],[Winter Blanket]]&gt;0,1,0)</f>
        <v>0</v>
      </c>
      <c r="AL901" s="439">
        <f>IF(NFI_Expiration=1,IF($A901&lt;VLOOKUP(V$5,NFI,5,0),1,0)*Table_NFI[[#This Row],[Jerry Can]],Table_NFI[Jerry Can])</f>
        <v>0</v>
      </c>
      <c r="AM901" s="824" t="str">
        <f>IFERROR(VLOOKUP(Table_NFI[[#This Row],[Camp Name]],CL,2,0),"")</f>
        <v>MMR001CMP015</v>
      </c>
      <c r="AN901" s="811">
        <f ca="1">IF(Table_NFI[[#This Row],[Pcode]]="","",IF(OFFSET(CampList[Opening Date],MATCH(Table_NFI[[#This Row],[Pcode]],CampList[CP_Pcode],0)-1,0,1,1)&gt;=NFI_Monitor_Date,1,0))</f>
        <v>0</v>
      </c>
      <c r="AO901" s="824" t="str">
        <f>IFERROR(VLOOKUP(Table_NFI[[#This Row],[Camp Name]],CL,3,0),"")</f>
        <v>Open</v>
      </c>
      <c r="AP901" s="701" t="str">
        <f ca="1">IF(Table_NFI[[#This Row],[Pcode]]="","",OFFSET(CampList[Priority],MATCH(Table_NFI[[#This Row],[Pcode]],CampList[CP_Pcode],0)-1,0,1,1))</f>
        <v>P4</v>
      </c>
      <c r="AQ901" s="494">
        <f>IFERROR(Table_NFI[[#This Row],[Kitchen Set]]/VLOOKUP(Table_NFI[[#This Row],[Camp Name]],CL,4,0),"")</f>
        <v>0.23148148148148148</v>
      </c>
      <c r="AR901" s="809" t="s">
        <v>1099</v>
      </c>
      <c r="AS901" s="807"/>
    </row>
    <row r="902" spans="1:45" ht="16.899999999999999" customHeight="1" x14ac:dyDescent="0.25">
      <c r="A902" s="491">
        <f t="shared" ref="A902:A915" si="14">IF(ISBLANK(B902),"",(Report_Date-B902)/30)</f>
        <v>48.266666666666666</v>
      </c>
      <c r="B902" s="808">
        <v>40861</v>
      </c>
      <c r="C902" s="809" t="s">
        <v>454</v>
      </c>
      <c r="D902" s="812" t="s">
        <v>462</v>
      </c>
      <c r="E902" s="809" t="s">
        <v>380</v>
      </c>
      <c r="F902" s="702" t="s">
        <v>237</v>
      </c>
      <c r="G902" s="702" t="s">
        <v>259</v>
      </c>
      <c r="H902" s="701"/>
      <c r="I902" s="701"/>
      <c r="J902" s="701"/>
      <c r="K902" s="701">
        <v>57</v>
      </c>
      <c r="L902" s="492">
        <v>30</v>
      </c>
      <c r="M902" s="492">
        <v>57</v>
      </c>
      <c r="N902" s="492">
        <v>30</v>
      </c>
      <c r="O902" s="492">
        <v>30</v>
      </c>
      <c r="P902" s="492">
        <v>30</v>
      </c>
      <c r="Q902" s="492">
        <v>30</v>
      </c>
      <c r="R902" s="701"/>
      <c r="S902" s="701"/>
      <c r="T902" s="701"/>
      <c r="U902" s="701"/>
      <c r="V902" s="701"/>
      <c r="W902" s="701">
        <f>IF(NFI_Expiration=1,IF($A902&lt;VLOOKUP(H$5,NFI,5,0),1,0)*Table_NFI[[#This Row],[Hygiene Kit]],Table_NFI[Hygiene Kit])</f>
        <v>0</v>
      </c>
      <c r="X902" s="701">
        <f>IF(NFI_Expiration=1,IF($A902&lt;VLOOKUP(I$5,NFI,5,0),1,0)*Table_NFI[[#This Row],[NFI Core Kit]],Table_NFI[NFI Core Kit])</f>
        <v>0</v>
      </c>
      <c r="Y902" s="701">
        <f>IF(NFI_Expiration=1,IF($A902&lt;VLOOKUP(J$5,NFI,5,0),1,0)*Table_NFI[[#This Row],[Sanitary Kit]],Table_NFI[Sanitary Kit])</f>
        <v>0</v>
      </c>
      <c r="Z902" s="701">
        <f>IF(NFI_Expiration=1,IF($A902&lt;VLOOKUP(K$5,NFI,5,0),1,0)*Table_NFI[[#This Row],[Mosquito net]],Table_NFI[Mosquito net])</f>
        <v>0</v>
      </c>
      <c r="AA902" s="701">
        <f>IF(NFI_Expiration=1,IF($A902&lt;VLOOKUP(L$5,NFI,5,0),1,0)*Table_NFI[[#This Row],[Tarpaulin]],Table_NFI[[#This Row],[Tarpaulin]])</f>
        <v>0</v>
      </c>
      <c r="AB902" s="701">
        <f>IF(NFI_Expiration=1,IF($A902&lt;VLOOKUP(M$5,NFI,5,0),1,0)*Table_NFI[[#This Row],[Blanket]],Table_NFI[[#This Row],[Blanket]])</f>
        <v>0</v>
      </c>
      <c r="AC902" s="701">
        <f>IF(NFI_Expiration=1,IF($A902&lt;VLOOKUP(N$5,NFI,5,0),1,0)*Table_NFI[[#This Row],[Kitchen Set]],Table_NFI[Kitchen Set])</f>
        <v>0</v>
      </c>
      <c r="AD902" s="701">
        <f>IF(NFI_Expiration=1,IF($A902&lt;VLOOKUP(O$5,NFI,5,0),1,0)*Table_NFI[[#This Row],[Clothes Kit]],Table_NFI[Clothes Kit])</f>
        <v>0</v>
      </c>
      <c r="AE902" s="701">
        <f>IF(NFI_Expiration=1,IF($A902&lt;VLOOKUP(P$5,NFI,5,0),1,0)*Table_NFI[[#This Row],[Plastic Bucket]],Table_NFI[Plastic Bucket])</f>
        <v>0</v>
      </c>
      <c r="AF902" s="701">
        <f>IF(NFI_Expiration=1,IF($A902&lt;VLOOKUP(Q$5,NFI,5,0),1,0)*Table_NFI[[#This Row],[Plastic Mat]],Table_NFI[Plastic Mat])*IF(Table_NFI[[#This Row],[Distribution Date]]&gt;"2014-04-01",1,2.5)</f>
        <v>0</v>
      </c>
      <c r="AG902" s="701">
        <f>IF(NFI_Expiration=1,IF($A902&lt;VLOOKUP(R$5,NFI,5,0),1,0)*Table_NFI[[#This Row],[Winter Clothes Adult]],Table_NFI[Winter Clothes Adult])</f>
        <v>0</v>
      </c>
      <c r="AH902" s="701">
        <f>IF(NFI_Expiration=1,IF($A902&lt;VLOOKUP(S$5,NFI,5,0),1,0)*Table_NFI[[#This Row],[Winter Clothes Children]],Table_NFI[Winter Clothes Children])</f>
        <v>0</v>
      </c>
      <c r="AI902" s="701">
        <f>IF(NFI_Expiration=1,IF($A902&lt;VLOOKUP(T$5,NFI,5,0),1,0)*Table_NFI[[#This Row],[Winter Items Other]],Table_NFI[Winter Items Other])</f>
        <v>0</v>
      </c>
      <c r="AJ902" s="701">
        <f>IF(NFI_Expiration=1,IF($A902&lt;VLOOKUP(M$5,NFI,5,0),1,0)*Table_NFI[[#This Row],[Winter Blanket]],Table_NFI[[#This Row],[Winter Blanket]])</f>
        <v>0</v>
      </c>
      <c r="AK902" s="701">
        <f>IF(Table_NFI[[#This Row],[Winter Clothes Adult]]+Table_NFI[[#This Row],[Winter Clothes Children]]+Table_NFI[[#This Row],[Winter Items Other]]+Table_NFI[[#This Row],[Winter Blanket]]&gt;0,1,0)</f>
        <v>0</v>
      </c>
      <c r="AL902" s="439">
        <f>IF(NFI_Expiration=1,IF($A902&lt;VLOOKUP(V$5,NFI,5,0),1,0)*Table_NFI[[#This Row],[Jerry Can]],Table_NFI[Jerry Can])</f>
        <v>0</v>
      </c>
      <c r="AM902" s="824" t="str">
        <f>IFERROR(VLOOKUP(Table_NFI[[#This Row],[Camp Name]],CL,2,0),"")</f>
        <v>MMR001CMP016</v>
      </c>
      <c r="AN902" s="811">
        <f ca="1">IF(Table_NFI[[#This Row],[Pcode]]="","",IF(OFFSET(CampList[Opening Date],MATCH(Table_NFI[[#This Row],[Pcode]],CampList[CP_Pcode],0)-1,0,1,1)&gt;=NFI_Monitor_Date,1,0))</f>
        <v>0</v>
      </c>
      <c r="AO902" s="824" t="str">
        <f>IFERROR(VLOOKUP(Table_NFI[[#This Row],[Camp Name]],CL,3,0),"")</f>
        <v>Open</v>
      </c>
      <c r="AP902" s="701" t="str">
        <f ca="1">IF(Table_NFI[[#This Row],[Pcode]]="","",OFFSET(CampList[Priority],MATCH(Table_NFI[[#This Row],[Pcode]],CampList[CP_Pcode],0)-1,0,1,1))</f>
        <v>P4</v>
      </c>
      <c r="AQ902" s="494">
        <f>IFERROR(Table_NFI[[#This Row],[Kitchen Set]]/VLOOKUP(Table_NFI[[#This Row],[Camp Name]],CL,4,0),"")</f>
        <v>0.41666666666666669</v>
      </c>
      <c r="AR902" s="809" t="s">
        <v>1099</v>
      </c>
      <c r="AS902" s="807"/>
    </row>
    <row r="903" spans="1:45" ht="19.899999999999999" customHeight="1" x14ac:dyDescent="0.25">
      <c r="A903" s="491">
        <f t="shared" si="14"/>
        <v>48.6</v>
      </c>
      <c r="B903" s="808">
        <v>40851</v>
      </c>
      <c r="C903" s="809" t="s">
        <v>454</v>
      </c>
      <c r="D903" s="812" t="s">
        <v>462</v>
      </c>
      <c r="E903" s="779" t="s">
        <v>380</v>
      </c>
      <c r="F903" s="435" t="s">
        <v>237</v>
      </c>
      <c r="G903" s="435" t="s">
        <v>253</v>
      </c>
      <c r="H903" s="701"/>
      <c r="I903" s="701"/>
      <c r="J903" s="701"/>
      <c r="K903" s="701">
        <v>208</v>
      </c>
      <c r="L903" s="492">
        <v>102</v>
      </c>
      <c r="M903" s="492">
        <v>208</v>
      </c>
      <c r="N903" s="492">
        <v>102</v>
      </c>
      <c r="O903" s="492">
        <v>102</v>
      </c>
      <c r="P903" s="492">
        <v>102</v>
      </c>
      <c r="Q903" s="492">
        <v>102</v>
      </c>
      <c r="R903" s="701"/>
      <c r="S903" s="701"/>
      <c r="T903" s="701"/>
      <c r="U903" s="701"/>
      <c r="V903" s="701"/>
      <c r="W903" s="701">
        <f>IF(NFI_Expiration=1,IF($A903&lt;VLOOKUP(H$5,NFI,5,0),1,0)*Table_NFI[[#This Row],[Hygiene Kit]],Table_NFI[Hygiene Kit])</f>
        <v>0</v>
      </c>
      <c r="X903" s="701">
        <f>IF(NFI_Expiration=1,IF($A903&lt;VLOOKUP(I$5,NFI,5,0),1,0)*Table_NFI[[#This Row],[NFI Core Kit]],Table_NFI[NFI Core Kit])</f>
        <v>0</v>
      </c>
      <c r="Y903" s="701">
        <f>IF(NFI_Expiration=1,IF($A903&lt;VLOOKUP(J$5,NFI,5,0),1,0)*Table_NFI[[#This Row],[Sanitary Kit]],Table_NFI[Sanitary Kit])</f>
        <v>0</v>
      </c>
      <c r="Z903" s="701">
        <f>IF(NFI_Expiration=1,IF($A903&lt;VLOOKUP(K$5,NFI,5,0),1,0)*Table_NFI[[#This Row],[Mosquito net]],Table_NFI[Mosquito net])</f>
        <v>0</v>
      </c>
      <c r="AA903" s="701">
        <f>IF(NFI_Expiration=1,IF($A903&lt;VLOOKUP(L$5,NFI,5,0),1,0)*Table_NFI[[#This Row],[Tarpaulin]],Table_NFI[[#This Row],[Tarpaulin]])</f>
        <v>0</v>
      </c>
      <c r="AB903" s="701">
        <f>IF(NFI_Expiration=1,IF($A903&lt;VLOOKUP(M$5,NFI,5,0),1,0)*Table_NFI[[#This Row],[Blanket]],Table_NFI[[#This Row],[Blanket]])</f>
        <v>0</v>
      </c>
      <c r="AC903" s="701">
        <f>IF(NFI_Expiration=1,IF($A903&lt;VLOOKUP(N$5,NFI,5,0),1,0)*Table_NFI[[#This Row],[Kitchen Set]],Table_NFI[Kitchen Set])</f>
        <v>0</v>
      </c>
      <c r="AD903" s="701">
        <f>IF(NFI_Expiration=1,IF($A903&lt;VLOOKUP(O$5,NFI,5,0),1,0)*Table_NFI[[#This Row],[Clothes Kit]],Table_NFI[Clothes Kit])</f>
        <v>0</v>
      </c>
      <c r="AE903" s="701">
        <f>IF(NFI_Expiration=1,IF($A903&lt;VLOOKUP(P$5,NFI,5,0),1,0)*Table_NFI[[#This Row],[Plastic Bucket]],Table_NFI[Plastic Bucket])</f>
        <v>0</v>
      </c>
      <c r="AF903" s="701">
        <f>IF(NFI_Expiration=1,IF($A903&lt;VLOOKUP(Q$5,NFI,5,0),1,0)*Table_NFI[[#This Row],[Plastic Mat]],Table_NFI[Plastic Mat])*IF(Table_NFI[[#This Row],[Distribution Date]]&gt;"2014-04-01",1,2.5)</f>
        <v>0</v>
      </c>
      <c r="AG903" s="701">
        <f>IF(NFI_Expiration=1,IF($A903&lt;VLOOKUP(R$5,NFI,5,0),1,0)*Table_NFI[[#This Row],[Winter Clothes Adult]],Table_NFI[Winter Clothes Adult])</f>
        <v>0</v>
      </c>
      <c r="AH903" s="701">
        <f>IF(NFI_Expiration=1,IF($A903&lt;VLOOKUP(S$5,NFI,5,0),1,0)*Table_NFI[[#This Row],[Winter Clothes Children]],Table_NFI[Winter Clothes Children])</f>
        <v>0</v>
      </c>
      <c r="AI903" s="701">
        <f>IF(NFI_Expiration=1,IF($A903&lt;VLOOKUP(T$5,NFI,5,0),1,0)*Table_NFI[[#This Row],[Winter Items Other]],Table_NFI[Winter Items Other])</f>
        <v>0</v>
      </c>
      <c r="AJ903" s="701">
        <f>IF(NFI_Expiration=1,IF($A903&lt;VLOOKUP(M$5,NFI,5,0),1,0)*Table_NFI[[#This Row],[Winter Blanket]],Table_NFI[[#This Row],[Winter Blanket]])</f>
        <v>0</v>
      </c>
      <c r="AK903" s="701">
        <f>IF(Table_NFI[[#This Row],[Winter Clothes Adult]]+Table_NFI[[#This Row],[Winter Clothes Children]]+Table_NFI[[#This Row],[Winter Items Other]]+Table_NFI[[#This Row],[Winter Blanket]]&gt;0,1,0)</f>
        <v>0</v>
      </c>
      <c r="AL903" s="439">
        <f>IF(NFI_Expiration=1,IF($A903&lt;VLOOKUP(V$5,NFI,5,0),1,0)*Table_NFI[[#This Row],[Jerry Can]],Table_NFI[Jerry Can])</f>
        <v>0</v>
      </c>
      <c r="AM903" s="824" t="str">
        <f>IFERROR(VLOOKUP(Table_NFI[[#This Row],[Camp Name]],CL,2,0),"")</f>
        <v>MMR001CMP018</v>
      </c>
      <c r="AN903" s="811">
        <f ca="1">IF(Table_NFI[[#This Row],[Pcode]]="","",IF(OFFSET(CampList[Opening Date],MATCH(Table_NFI[[#This Row],[Pcode]],CampList[CP_Pcode],0)-1,0,1,1)&gt;=NFI_Monitor_Date,1,0))</f>
        <v>0</v>
      </c>
      <c r="AO903" s="824" t="str">
        <f>IFERROR(VLOOKUP(Table_NFI[[#This Row],[Camp Name]],CL,3,0),"")</f>
        <v>Open</v>
      </c>
      <c r="AP903" s="701" t="str">
        <f ca="1">IF(Table_NFI[[#This Row],[Pcode]]="","",OFFSET(CampList[Priority],MATCH(Table_NFI[[#This Row],[Pcode]],CampList[CP_Pcode],0)-1,0,1,1))</f>
        <v>P4</v>
      </c>
      <c r="AQ903" s="494">
        <f>IFERROR(Table_NFI[[#This Row],[Kitchen Set]]/VLOOKUP(Table_NFI[[#This Row],[Camp Name]],CL,4,0),"")</f>
        <v>0.50246305418719217</v>
      </c>
      <c r="AR903" s="809" t="s">
        <v>1099</v>
      </c>
      <c r="AS903" s="807"/>
    </row>
    <row r="904" spans="1:45" ht="19.149999999999999" customHeight="1" x14ac:dyDescent="0.25">
      <c r="A904" s="491">
        <f t="shared" si="14"/>
        <v>48.6</v>
      </c>
      <c r="B904" s="808">
        <v>40851</v>
      </c>
      <c r="C904" s="809" t="s">
        <v>454</v>
      </c>
      <c r="D904" s="812" t="s">
        <v>462</v>
      </c>
      <c r="E904" s="809" t="s">
        <v>380</v>
      </c>
      <c r="F904" s="702" t="s">
        <v>237</v>
      </c>
      <c r="G904" s="702" t="s">
        <v>267</v>
      </c>
      <c r="H904" s="701"/>
      <c r="I904" s="701"/>
      <c r="J904" s="701"/>
      <c r="K904" s="701">
        <v>10</v>
      </c>
      <c r="L904" s="492">
        <v>6</v>
      </c>
      <c r="M904" s="492">
        <v>10</v>
      </c>
      <c r="N904" s="492">
        <v>6</v>
      </c>
      <c r="O904" s="492">
        <v>6</v>
      </c>
      <c r="P904" s="492">
        <v>6</v>
      </c>
      <c r="Q904" s="492">
        <v>6</v>
      </c>
      <c r="R904" s="701"/>
      <c r="S904" s="701"/>
      <c r="T904" s="701"/>
      <c r="U904" s="701"/>
      <c r="V904" s="701"/>
      <c r="W904" s="701">
        <f>IF(NFI_Expiration=1,IF($A904&lt;VLOOKUP(H$5,NFI,5,0),1,0)*Table_NFI[[#This Row],[Hygiene Kit]],Table_NFI[Hygiene Kit])</f>
        <v>0</v>
      </c>
      <c r="X904" s="701">
        <f>IF(NFI_Expiration=1,IF($A904&lt;VLOOKUP(I$5,NFI,5,0),1,0)*Table_NFI[[#This Row],[NFI Core Kit]],Table_NFI[NFI Core Kit])</f>
        <v>0</v>
      </c>
      <c r="Y904" s="701">
        <f>IF(NFI_Expiration=1,IF($A904&lt;VLOOKUP(J$5,NFI,5,0),1,0)*Table_NFI[[#This Row],[Sanitary Kit]],Table_NFI[Sanitary Kit])</f>
        <v>0</v>
      </c>
      <c r="Z904" s="701">
        <f>IF(NFI_Expiration=1,IF($A904&lt;VLOOKUP(K$5,NFI,5,0),1,0)*Table_NFI[[#This Row],[Mosquito net]],Table_NFI[Mosquito net])</f>
        <v>0</v>
      </c>
      <c r="AA904" s="701">
        <f>IF(NFI_Expiration=1,IF($A904&lt;VLOOKUP(L$5,NFI,5,0),1,0)*Table_NFI[[#This Row],[Tarpaulin]],Table_NFI[[#This Row],[Tarpaulin]])</f>
        <v>0</v>
      </c>
      <c r="AB904" s="701">
        <f>IF(NFI_Expiration=1,IF($A904&lt;VLOOKUP(M$5,NFI,5,0),1,0)*Table_NFI[[#This Row],[Blanket]],Table_NFI[[#This Row],[Blanket]])</f>
        <v>0</v>
      </c>
      <c r="AC904" s="701">
        <f>IF(NFI_Expiration=1,IF($A904&lt;VLOOKUP(N$5,NFI,5,0),1,0)*Table_NFI[[#This Row],[Kitchen Set]],Table_NFI[Kitchen Set])</f>
        <v>0</v>
      </c>
      <c r="AD904" s="701">
        <f>IF(NFI_Expiration=1,IF($A904&lt;VLOOKUP(O$5,NFI,5,0),1,0)*Table_NFI[[#This Row],[Clothes Kit]],Table_NFI[Clothes Kit])</f>
        <v>0</v>
      </c>
      <c r="AE904" s="701">
        <f>IF(NFI_Expiration=1,IF($A904&lt;VLOOKUP(P$5,NFI,5,0),1,0)*Table_NFI[[#This Row],[Plastic Bucket]],Table_NFI[Plastic Bucket])</f>
        <v>0</v>
      </c>
      <c r="AF904" s="701">
        <f>IF(NFI_Expiration=1,IF($A904&lt;VLOOKUP(Q$5,NFI,5,0),1,0)*Table_NFI[[#This Row],[Plastic Mat]],Table_NFI[Plastic Mat])*IF(Table_NFI[[#This Row],[Distribution Date]]&gt;"2014-04-01",1,2.5)</f>
        <v>0</v>
      </c>
      <c r="AG904" s="701">
        <f>IF(NFI_Expiration=1,IF($A904&lt;VLOOKUP(R$5,NFI,5,0),1,0)*Table_NFI[[#This Row],[Winter Clothes Adult]],Table_NFI[Winter Clothes Adult])</f>
        <v>0</v>
      </c>
      <c r="AH904" s="701">
        <f>IF(NFI_Expiration=1,IF($A904&lt;VLOOKUP(S$5,NFI,5,0),1,0)*Table_NFI[[#This Row],[Winter Clothes Children]],Table_NFI[Winter Clothes Children])</f>
        <v>0</v>
      </c>
      <c r="AI904" s="701">
        <f>IF(NFI_Expiration=1,IF($A904&lt;VLOOKUP(T$5,NFI,5,0),1,0)*Table_NFI[[#This Row],[Winter Items Other]],Table_NFI[Winter Items Other])</f>
        <v>0</v>
      </c>
      <c r="AJ904" s="701">
        <f>IF(NFI_Expiration=1,IF($A904&lt;VLOOKUP(M$5,NFI,5,0),1,0)*Table_NFI[[#This Row],[Winter Blanket]],Table_NFI[[#This Row],[Winter Blanket]])</f>
        <v>0</v>
      </c>
      <c r="AK904" s="701">
        <f>IF(Table_NFI[[#This Row],[Winter Clothes Adult]]+Table_NFI[[#This Row],[Winter Clothes Children]]+Table_NFI[[#This Row],[Winter Items Other]]+Table_NFI[[#This Row],[Winter Blanket]]&gt;0,1,0)</f>
        <v>0</v>
      </c>
      <c r="AL904" s="439">
        <f>IF(NFI_Expiration=1,IF($A904&lt;VLOOKUP(V$5,NFI,5,0),1,0)*Table_NFI[[#This Row],[Jerry Can]],Table_NFI[Jerry Can])</f>
        <v>0</v>
      </c>
      <c r="AM904" s="824" t="str">
        <f>IFERROR(VLOOKUP(Table_NFI[[#This Row],[Camp Name]],CL,2,0),"")</f>
        <v>MMR001CMP017</v>
      </c>
      <c r="AN904" s="811">
        <f ca="1">IF(Table_NFI[[#This Row],[Pcode]]="","",IF(OFFSET(CampList[Opening Date],MATCH(Table_NFI[[#This Row],[Pcode]],CampList[CP_Pcode],0)-1,0,1,1)&gt;=NFI_Monitor_Date,1,0))</f>
        <v>0</v>
      </c>
      <c r="AO904" s="824" t="str">
        <f>IFERROR(VLOOKUP(Table_NFI[[#This Row],[Camp Name]],CL,3,0),"")</f>
        <v>Closed</v>
      </c>
      <c r="AP904" s="701" t="str">
        <f ca="1">IF(Table_NFI[[#This Row],[Pcode]]="","",OFFSET(CampList[Priority],MATCH(Table_NFI[[#This Row],[Pcode]],CampList[CP_Pcode],0)-1,0,1,1))</f>
        <v>P4</v>
      </c>
      <c r="AQ904" s="494" t="str">
        <f>IFERROR(Table_NFI[[#This Row],[Kitchen Set]]/VLOOKUP(Table_NFI[[#This Row],[Camp Name]],CL,4,0),"")</f>
        <v/>
      </c>
      <c r="AR904" s="809" t="s">
        <v>1099</v>
      </c>
      <c r="AS904" s="807"/>
    </row>
    <row r="905" spans="1:45" ht="13.15" customHeight="1" x14ac:dyDescent="0.25">
      <c r="A905" s="491">
        <f t="shared" si="14"/>
        <v>48.633333333333333</v>
      </c>
      <c r="B905" s="808">
        <v>40850</v>
      </c>
      <c r="C905" s="779" t="s">
        <v>454</v>
      </c>
      <c r="D905" s="812" t="s">
        <v>508</v>
      </c>
      <c r="E905" s="779" t="s">
        <v>380</v>
      </c>
      <c r="F905" s="435" t="s">
        <v>237</v>
      </c>
      <c r="G905" s="435" t="s">
        <v>253</v>
      </c>
      <c r="H905" s="701"/>
      <c r="I905" s="701"/>
      <c r="J905" s="701"/>
      <c r="K905" s="701">
        <v>106</v>
      </c>
      <c r="L905" s="492">
        <v>52</v>
      </c>
      <c r="M905" s="492">
        <v>106</v>
      </c>
      <c r="N905" s="492">
        <v>52</v>
      </c>
      <c r="O905" s="492">
        <v>52</v>
      </c>
      <c r="P905" s="492">
        <v>52</v>
      </c>
      <c r="Q905" s="492">
        <v>52</v>
      </c>
      <c r="R905" s="701"/>
      <c r="S905" s="701"/>
      <c r="T905" s="701"/>
      <c r="U905" s="701"/>
      <c r="V905" s="701"/>
      <c r="W905" s="701">
        <f>IF(NFI_Expiration=1,IF($A905&lt;VLOOKUP(H$5,NFI,5,0),1,0)*Table_NFI[[#This Row],[Hygiene Kit]],Table_NFI[Hygiene Kit])</f>
        <v>0</v>
      </c>
      <c r="X905" s="701">
        <f>IF(NFI_Expiration=1,IF($A905&lt;VLOOKUP(I$5,NFI,5,0),1,0)*Table_NFI[[#This Row],[NFI Core Kit]],Table_NFI[NFI Core Kit])</f>
        <v>0</v>
      </c>
      <c r="Y905" s="701">
        <f>IF(NFI_Expiration=1,IF($A905&lt;VLOOKUP(J$5,NFI,5,0),1,0)*Table_NFI[[#This Row],[Sanitary Kit]],Table_NFI[Sanitary Kit])</f>
        <v>0</v>
      </c>
      <c r="Z905" s="701">
        <f>IF(NFI_Expiration=1,IF($A905&lt;VLOOKUP(K$5,NFI,5,0),1,0)*Table_NFI[[#This Row],[Mosquito net]],Table_NFI[Mosquito net])</f>
        <v>0</v>
      </c>
      <c r="AA905" s="701">
        <f>IF(NFI_Expiration=1,IF($A905&lt;VLOOKUP(L$5,NFI,5,0),1,0)*Table_NFI[[#This Row],[Tarpaulin]],Table_NFI[[#This Row],[Tarpaulin]])</f>
        <v>0</v>
      </c>
      <c r="AB905" s="701">
        <f>IF(NFI_Expiration=1,IF($A905&lt;VLOOKUP(M$5,NFI,5,0),1,0)*Table_NFI[[#This Row],[Blanket]],Table_NFI[[#This Row],[Blanket]])</f>
        <v>0</v>
      </c>
      <c r="AC905" s="701">
        <f>IF(NFI_Expiration=1,IF($A905&lt;VLOOKUP(N$5,NFI,5,0),1,0)*Table_NFI[[#This Row],[Kitchen Set]],Table_NFI[Kitchen Set])</f>
        <v>0</v>
      </c>
      <c r="AD905" s="701">
        <f>IF(NFI_Expiration=1,IF($A905&lt;VLOOKUP(O$5,NFI,5,0),1,0)*Table_NFI[[#This Row],[Clothes Kit]],Table_NFI[Clothes Kit])</f>
        <v>0</v>
      </c>
      <c r="AE905" s="701">
        <f>IF(NFI_Expiration=1,IF($A905&lt;VLOOKUP(P$5,NFI,5,0),1,0)*Table_NFI[[#This Row],[Plastic Bucket]],Table_NFI[Plastic Bucket])</f>
        <v>0</v>
      </c>
      <c r="AF905" s="701">
        <f>IF(NFI_Expiration=1,IF($A905&lt;VLOOKUP(Q$5,NFI,5,0),1,0)*Table_NFI[[#This Row],[Plastic Mat]],Table_NFI[Plastic Mat])*IF(Table_NFI[[#This Row],[Distribution Date]]&gt;"2014-04-01",1,2.5)</f>
        <v>0</v>
      </c>
      <c r="AG905" s="701">
        <f>IF(NFI_Expiration=1,IF($A905&lt;VLOOKUP(R$5,NFI,5,0),1,0)*Table_NFI[[#This Row],[Winter Clothes Adult]],Table_NFI[Winter Clothes Adult])</f>
        <v>0</v>
      </c>
      <c r="AH905" s="701">
        <f>IF(NFI_Expiration=1,IF($A905&lt;VLOOKUP(S$5,NFI,5,0),1,0)*Table_NFI[[#This Row],[Winter Clothes Children]],Table_NFI[Winter Clothes Children])</f>
        <v>0</v>
      </c>
      <c r="AI905" s="701">
        <f>IF(NFI_Expiration=1,IF($A905&lt;VLOOKUP(T$5,NFI,5,0),1,0)*Table_NFI[[#This Row],[Winter Items Other]],Table_NFI[Winter Items Other])</f>
        <v>0</v>
      </c>
      <c r="AJ905" s="701">
        <f>IF(NFI_Expiration=1,IF($A905&lt;VLOOKUP(M$5,NFI,5,0),1,0)*Table_NFI[[#This Row],[Winter Blanket]],Table_NFI[[#This Row],[Winter Blanket]])</f>
        <v>0</v>
      </c>
      <c r="AK905" s="701">
        <f>IF(Table_NFI[[#This Row],[Winter Clothes Adult]]+Table_NFI[[#This Row],[Winter Clothes Children]]+Table_NFI[[#This Row],[Winter Items Other]]+Table_NFI[[#This Row],[Winter Blanket]]&gt;0,1,0)</f>
        <v>0</v>
      </c>
      <c r="AL905" s="439">
        <f>IF(NFI_Expiration=1,IF($A905&lt;VLOOKUP(V$5,NFI,5,0),1,0)*Table_NFI[[#This Row],[Jerry Can]],Table_NFI[Jerry Can])</f>
        <v>0</v>
      </c>
      <c r="AM905" s="824" t="str">
        <f>IFERROR(VLOOKUP(Table_NFI[[#This Row],[Camp Name]],CL,2,0),"")</f>
        <v>MMR001CMP018</v>
      </c>
      <c r="AN905" s="811">
        <f ca="1">IF(Table_NFI[[#This Row],[Pcode]]="","",IF(OFFSET(CampList[Opening Date],MATCH(Table_NFI[[#This Row],[Pcode]],CampList[CP_Pcode],0)-1,0,1,1)&gt;=NFI_Monitor_Date,1,0))</f>
        <v>0</v>
      </c>
      <c r="AO905" s="824" t="str">
        <f>IFERROR(VLOOKUP(Table_NFI[[#This Row],[Camp Name]],CL,3,0),"")</f>
        <v>Open</v>
      </c>
      <c r="AP905" s="701" t="str">
        <f ca="1">IF(Table_NFI[[#This Row],[Pcode]]="","",OFFSET(CampList[Priority],MATCH(Table_NFI[[#This Row],[Pcode]],CampList[CP_Pcode],0)-1,0,1,1))</f>
        <v>P4</v>
      </c>
      <c r="AQ905" s="494">
        <f>IFERROR(Table_NFI[[#This Row],[Kitchen Set]]/VLOOKUP(Table_NFI[[#This Row],[Camp Name]],CL,4,0),"")</f>
        <v>0.25615763546798032</v>
      </c>
      <c r="AR905" s="809" t="s">
        <v>1099</v>
      </c>
      <c r="AS905" s="807"/>
    </row>
    <row r="906" spans="1:45" ht="13.15" customHeight="1" x14ac:dyDescent="0.25">
      <c r="A906" s="455">
        <f t="shared" si="14"/>
        <v>48.633333333333333</v>
      </c>
      <c r="B906" s="778">
        <v>40850</v>
      </c>
      <c r="C906" s="779" t="s">
        <v>454</v>
      </c>
      <c r="D906" s="780" t="s">
        <v>462</v>
      </c>
      <c r="E906" s="779" t="s">
        <v>380</v>
      </c>
      <c r="F906" s="435" t="s">
        <v>237</v>
      </c>
      <c r="G906" s="435" t="s">
        <v>285</v>
      </c>
      <c r="H906" s="436"/>
      <c r="I906" s="436"/>
      <c r="J906" s="436"/>
      <c r="K906" s="436">
        <v>116</v>
      </c>
      <c r="L906" s="437">
        <v>49</v>
      </c>
      <c r="M906" s="437">
        <v>116</v>
      </c>
      <c r="N906" s="437">
        <v>49</v>
      </c>
      <c r="O906" s="437">
        <v>49</v>
      </c>
      <c r="P906" s="437">
        <v>49</v>
      </c>
      <c r="Q906" s="437">
        <v>49</v>
      </c>
      <c r="R906" s="436"/>
      <c r="S906" s="436"/>
      <c r="T906" s="436"/>
      <c r="U906" s="436"/>
      <c r="V906" s="701"/>
      <c r="W906" s="436">
        <f>IF(NFI_Expiration=1,IF($A906&lt;VLOOKUP(H$5,NFI,5,0),1,0)*Table_NFI[[#This Row],[Hygiene Kit]],Table_NFI[Hygiene Kit])</f>
        <v>0</v>
      </c>
      <c r="X906" s="436">
        <f>IF(NFI_Expiration=1,IF($A906&lt;VLOOKUP(I$5,NFI,5,0),1,0)*Table_NFI[[#This Row],[NFI Core Kit]],Table_NFI[NFI Core Kit])</f>
        <v>0</v>
      </c>
      <c r="Y906" s="436">
        <f>IF(NFI_Expiration=1,IF($A906&lt;VLOOKUP(J$5,NFI,5,0),1,0)*Table_NFI[[#This Row],[Sanitary Kit]],Table_NFI[Sanitary Kit])</f>
        <v>0</v>
      </c>
      <c r="Z906" s="436">
        <f>IF(NFI_Expiration=1,IF($A906&lt;VLOOKUP(K$5,NFI,5,0),1,0)*Table_NFI[[#This Row],[Mosquito net]],Table_NFI[Mosquito net])</f>
        <v>0</v>
      </c>
      <c r="AA906" s="436">
        <f>IF(NFI_Expiration=1,IF($A906&lt;VLOOKUP(L$5,NFI,5,0),1,0)*Table_NFI[[#This Row],[Tarpaulin]],Table_NFI[[#This Row],[Tarpaulin]])</f>
        <v>0</v>
      </c>
      <c r="AB906" s="436">
        <f>IF(NFI_Expiration=1,IF($A906&lt;VLOOKUP(M$5,NFI,5,0),1,0)*Table_NFI[[#This Row],[Blanket]],Table_NFI[[#This Row],[Blanket]])</f>
        <v>0</v>
      </c>
      <c r="AC906" s="436">
        <f>IF(NFI_Expiration=1,IF($A906&lt;VLOOKUP(N$5,NFI,5,0),1,0)*Table_NFI[[#This Row],[Kitchen Set]],Table_NFI[Kitchen Set])</f>
        <v>0</v>
      </c>
      <c r="AD906" s="436">
        <f>IF(NFI_Expiration=1,IF($A906&lt;VLOOKUP(O$5,NFI,5,0),1,0)*Table_NFI[[#This Row],[Clothes Kit]],Table_NFI[Clothes Kit])</f>
        <v>0</v>
      </c>
      <c r="AE906" s="436">
        <f>IF(NFI_Expiration=1,IF($A906&lt;VLOOKUP(P$5,NFI,5,0),1,0)*Table_NFI[[#This Row],[Plastic Bucket]],Table_NFI[Plastic Bucket])</f>
        <v>0</v>
      </c>
      <c r="AF906" s="436">
        <f>IF(NFI_Expiration=1,IF($A906&lt;VLOOKUP(Q$5,NFI,5,0),1,0)*Table_NFI[[#This Row],[Plastic Mat]],Table_NFI[Plastic Mat])*IF(Table_NFI[[#This Row],[Distribution Date]]&gt;"2014-04-01",1,2.5)</f>
        <v>0</v>
      </c>
      <c r="AG906" s="436">
        <f>IF(NFI_Expiration=1,IF($A906&lt;VLOOKUP(R$5,NFI,5,0),1,0)*Table_NFI[[#This Row],[Winter Clothes Adult]],Table_NFI[Winter Clothes Adult])</f>
        <v>0</v>
      </c>
      <c r="AH906" s="436">
        <f>IF(NFI_Expiration=1,IF($A906&lt;VLOOKUP(S$5,NFI,5,0),1,0)*Table_NFI[[#This Row],[Winter Clothes Children]],Table_NFI[Winter Clothes Children])</f>
        <v>0</v>
      </c>
      <c r="AI906" s="436">
        <f>IF(NFI_Expiration=1,IF($A906&lt;VLOOKUP(T$5,NFI,5,0),1,0)*Table_NFI[[#This Row],[Winter Items Other]],Table_NFI[Winter Items Other])</f>
        <v>0</v>
      </c>
      <c r="AJ906" s="436">
        <f>IF(NFI_Expiration=1,IF($A906&lt;VLOOKUP(M$5,NFI,5,0),1,0)*Table_NFI[[#This Row],[Winter Blanket]],Table_NFI[[#This Row],[Winter Blanket]])</f>
        <v>0</v>
      </c>
      <c r="AK906" s="436">
        <f>IF(Table_NFI[[#This Row],[Winter Clothes Adult]]+Table_NFI[[#This Row],[Winter Clothes Children]]+Table_NFI[[#This Row],[Winter Items Other]]+Table_NFI[[#This Row],[Winter Blanket]]&gt;0,1,0)</f>
        <v>0</v>
      </c>
      <c r="AL906" s="493">
        <f>IF(NFI_Expiration=1,IF($A906&lt;VLOOKUP(V$5,NFI,5,0),1,0)*Table_NFI[[#This Row],[Jerry Can]],Table_NFI[Jerry Can])</f>
        <v>0</v>
      </c>
      <c r="AM906" s="781" t="str">
        <f>IFERROR(VLOOKUP(Table_NFI[[#This Row],[Camp Name]],CL,2,0),"")</f>
        <v>MMR001CMP014</v>
      </c>
      <c r="AN906" s="782">
        <f ca="1">IF(Table_NFI[[#This Row],[Pcode]]="","",IF(OFFSET(CampList[Opening Date],MATCH(Table_NFI[[#This Row],[Pcode]],CampList[CP_Pcode],0)-1,0,1,1)&gt;=NFI_Monitor_Date,1,0))</f>
        <v>0</v>
      </c>
      <c r="AO906" s="781" t="str">
        <f>IFERROR(VLOOKUP(Table_NFI[[#This Row],[Camp Name]],CL,3,0),"")</f>
        <v>Open</v>
      </c>
      <c r="AP906" s="436" t="str">
        <f ca="1">IF(Table_NFI[[#This Row],[Pcode]]="","",OFFSET(CampList[Priority],MATCH(Table_NFI[[#This Row],[Pcode]],CampList[CP_Pcode],0)-1,0,1,1))</f>
        <v>P4</v>
      </c>
      <c r="AQ906" s="438">
        <f>IFERROR(Table_NFI[[#This Row],[Kitchen Set]]/VLOOKUP(Table_NFI[[#This Row],[Camp Name]],CL,4,0),"")</f>
        <v>0.30061349693251532</v>
      </c>
      <c r="AR906" s="779" t="s">
        <v>1099</v>
      </c>
      <c r="AS906" s="807"/>
    </row>
    <row r="907" spans="1:45" ht="13.15" customHeight="1" x14ac:dyDescent="0.25">
      <c r="A907" s="455">
        <f t="shared" si="14"/>
        <v>48.633333333333333</v>
      </c>
      <c r="B907" s="778">
        <v>40850</v>
      </c>
      <c r="C907" s="779" t="s">
        <v>454</v>
      </c>
      <c r="D907" s="780" t="s">
        <v>462</v>
      </c>
      <c r="E907" s="779" t="s">
        <v>380</v>
      </c>
      <c r="F907" s="435" t="s">
        <v>237</v>
      </c>
      <c r="G907" s="435" t="s">
        <v>238</v>
      </c>
      <c r="H907" s="436"/>
      <c r="I907" s="436"/>
      <c r="J907" s="436"/>
      <c r="K907" s="436">
        <v>73</v>
      </c>
      <c r="L907" s="437">
        <v>34</v>
      </c>
      <c r="M907" s="437">
        <v>73</v>
      </c>
      <c r="N907" s="437">
        <v>34</v>
      </c>
      <c r="O907" s="437">
        <v>34</v>
      </c>
      <c r="P907" s="437">
        <v>34</v>
      </c>
      <c r="Q907" s="437">
        <v>34</v>
      </c>
      <c r="R907" s="436"/>
      <c r="S907" s="436"/>
      <c r="T907" s="436"/>
      <c r="U907" s="436"/>
      <c r="V907" s="701"/>
      <c r="W907" s="436">
        <f>IF(NFI_Expiration=1,IF($A907&lt;VLOOKUP(H$5,NFI,5,0),1,0)*Table_NFI[[#This Row],[Hygiene Kit]],Table_NFI[Hygiene Kit])</f>
        <v>0</v>
      </c>
      <c r="X907" s="436">
        <f>IF(NFI_Expiration=1,IF($A907&lt;VLOOKUP(I$5,NFI,5,0),1,0)*Table_NFI[[#This Row],[NFI Core Kit]],Table_NFI[NFI Core Kit])</f>
        <v>0</v>
      </c>
      <c r="Y907" s="436">
        <f>IF(NFI_Expiration=1,IF($A907&lt;VLOOKUP(J$5,NFI,5,0),1,0)*Table_NFI[[#This Row],[Sanitary Kit]],Table_NFI[Sanitary Kit])</f>
        <v>0</v>
      </c>
      <c r="Z907" s="436">
        <f>IF(NFI_Expiration=1,IF($A907&lt;VLOOKUP(K$5,NFI,5,0),1,0)*Table_NFI[[#This Row],[Mosquito net]],Table_NFI[Mosquito net])</f>
        <v>0</v>
      </c>
      <c r="AA907" s="436">
        <f>IF(NFI_Expiration=1,IF($A907&lt;VLOOKUP(L$5,NFI,5,0),1,0)*Table_NFI[[#This Row],[Tarpaulin]],Table_NFI[[#This Row],[Tarpaulin]])</f>
        <v>0</v>
      </c>
      <c r="AB907" s="436">
        <f>IF(NFI_Expiration=1,IF($A907&lt;VLOOKUP(M$5,NFI,5,0),1,0)*Table_NFI[[#This Row],[Blanket]],Table_NFI[[#This Row],[Blanket]])</f>
        <v>0</v>
      </c>
      <c r="AC907" s="436">
        <f>IF(NFI_Expiration=1,IF($A907&lt;VLOOKUP(N$5,NFI,5,0),1,0)*Table_NFI[[#This Row],[Kitchen Set]],Table_NFI[Kitchen Set])</f>
        <v>0</v>
      </c>
      <c r="AD907" s="436">
        <f>IF(NFI_Expiration=1,IF($A907&lt;VLOOKUP(O$5,NFI,5,0),1,0)*Table_NFI[[#This Row],[Clothes Kit]],Table_NFI[Clothes Kit])</f>
        <v>0</v>
      </c>
      <c r="AE907" s="436">
        <f>IF(NFI_Expiration=1,IF($A907&lt;VLOOKUP(P$5,NFI,5,0),1,0)*Table_NFI[[#This Row],[Plastic Bucket]],Table_NFI[Plastic Bucket])</f>
        <v>0</v>
      </c>
      <c r="AF907" s="436">
        <f>IF(NFI_Expiration=1,IF($A907&lt;VLOOKUP(Q$5,NFI,5,0),1,0)*Table_NFI[[#This Row],[Plastic Mat]],Table_NFI[Plastic Mat])*IF(Table_NFI[[#This Row],[Distribution Date]]&gt;"2014-04-01",1,2.5)</f>
        <v>0</v>
      </c>
      <c r="AG907" s="436">
        <f>IF(NFI_Expiration=1,IF($A907&lt;VLOOKUP(R$5,NFI,5,0),1,0)*Table_NFI[[#This Row],[Winter Clothes Adult]],Table_NFI[Winter Clothes Adult])</f>
        <v>0</v>
      </c>
      <c r="AH907" s="436">
        <f>IF(NFI_Expiration=1,IF($A907&lt;VLOOKUP(S$5,NFI,5,0),1,0)*Table_NFI[[#This Row],[Winter Clothes Children]],Table_NFI[Winter Clothes Children])</f>
        <v>0</v>
      </c>
      <c r="AI907" s="436">
        <f>IF(NFI_Expiration=1,IF($A907&lt;VLOOKUP(T$5,NFI,5,0),1,0)*Table_NFI[[#This Row],[Winter Items Other]],Table_NFI[Winter Items Other])</f>
        <v>0</v>
      </c>
      <c r="AJ907" s="436">
        <f>IF(NFI_Expiration=1,IF($A907&lt;VLOOKUP(M$5,NFI,5,0),1,0)*Table_NFI[[#This Row],[Winter Blanket]],Table_NFI[[#This Row],[Winter Blanket]])</f>
        <v>0</v>
      </c>
      <c r="AK907" s="436">
        <f>IF(Table_NFI[[#This Row],[Winter Clothes Adult]]+Table_NFI[[#This Row],[Winter Clothes Children]]+Table_NFI[[#This Row],[Winter Items Other]]+Table_NFI[[#This Row],[Winter Blanket]]&gt;0,1,0)</f>
        <v>0</v>
      </c>
      <c r="AL907" s="493">
        <f>IF(NFI_Expiration=1,IF($A907&lt;VLOOKUP(V$5,NFI,5,0),1,0)*Table_NFI[[#This Row],[Jerry Can]],Table_NFI[Jerry Can])</f>
        <v>0</v>
      </c>
      <c r="AM907" s="781" t="str">
        <f>IFERROR(VLOOKUP(Table_NFI[[#This Row],[Camp Name]],CL,2,0),"")</f>
        <v>MMR001CMP001</v>
      </c>
      <c r="AN907" s="782">
        <f ca="1">IF(Table_NFI[[#This Row],[Pcode]]="","",IF(OFFSET(CampList[Opening Date],MATCH(Table_NFI[[#This Row],[Pcode]],CampList[CP_Pcode],0)-1,0,1,1)&gt;=NFI_Monitor_Date,1,0))</f>
        <v>0</v>
      </c>
      <c r="AO907" s="781" t="str">
        <f>IFERROR(VLOOKUP(Table_NFI[[#This Row],[Camp Name]],CL,3,0),"")</f>
        <v>Open</v>
      </c>
      <c r="AP907" s="436" t="str">
        <f ca="1">IF(Table_NFI[[#This Row],[Pcode]]="","",OFFSET(CampList[Priority],MATCH(Table_NFI[[#This Row],[Pcode]],CampList[CP_Pcode],0)-1,0,1,1))</f>
        <v>P4</v>
      </c>
      <c r="AQ907" s="438">
        <f>IFERROR(Table_NFI[[#This Row],[Kitchen Set]]/VLOOKUP(Table_NFI[[#This Row],[Camp Name]],CL,4,0),"")</f>
        <v>0.48571428571428571</v>
      </c>
      <c r="AR907" s="779" t="s">
        <v>1099</v>
      </c>
      <c r="AS907" s="807"/>
    </row>
    <row r="908" spans="1:45" s="813" customFormat="1" ht="16.899999999999999" customHeight="1" x14ac:dyDescent="0.25">
      <c r="A908" s="455">
        <f t="shared" si="14"/>
        <v>48.633333333333333</v>
      </c>
      <c r="B908" s="778">
        <v>40850</v>
      </c>
      <c r="C908" s="779" t="s">
        <v>454</v>
      </c>
      <c r="D908" s="812" t="s">
        <v>508</v>
      </c>
      <c r="E908" s="809" t="s">
        <v>380</v>
      </c>
      <c r="F908" s="702" t="s">
        <v>237</v>
      </c>
      <c r="G908" s="702" t="s">
        <v>249</v>
      </c>
      <c r="H908" s="436"/>
      <c r="I908" s="436"/>
      <c r="J908" s="436"/>
      <c r="K908" s="436">
        <v>18</v>
      </c>
      <c r="L908" s="437">
        <v>8</v>
      </c>
      <c r="M908" s="437">
        <v>18</v>
      </c>
      <c r="N908" s="437">
        <v>8</v>
      </c>
      <c r="O908" s="437">
        <v>8</v>
      </c>
      <c r="P908" s="437">
        <v>8</v>
      </c>
      <c r="Q908" s="437">
        <v>8</v>
      </c>
      <c r="R908" s="436"/>
      <c r="S908" s="436"/>
      <c r="T908" s="436"/>
      <c r="U908" s="436"/>
      <c r="V908" s="436"/>
      <c r="W908" s="436">
        <f>IF(NFI_Expiration=1,IF($A908&lt;VLOOKUP(H$5,NFI,5,0),1,0)*Table_NFI[[#This Row],[Hygiene Kit]],Table_NFI[Hygiene Kit])</f>
        <v>0</v>
      </c>
      <c r="X908" s="436">
        <f>IF(NFI_Expiration=1,IF($A908&lt;VLOOKUP(I$5,NFI,5,0),1,0)*Table_NFI[[#This Row],[NFI Core Kit]],Table_NFI[NFI Core Kit])</f>
        <v>0</v>
      </c>
      <c r="Y908" s="436">
        <f>IF(NFI_Expiration=1,IF($A908&lt;VLOOKUP(J$5,NFI,5,0),1,0)*Table_NFI[[#This Row],[Sanitary Kit]],Table_NFI[Sanitary Kit])</f>
        <v>0</v>
      </c>
      <c r="Z908" s="436">
        <f>IF(NFI_Expiration=1,IF($A908&lt;VLOOKUP(K$5,NFI,5,0),1,0)*Table_NFI[[#This Row],[Mosquito net]],Table_NFI[Mosquito net])</f>
        <v>0</v>
      </c>
      <c r="AA908" s="436">
        <f>IF(NFI_Expiration=1,IF($A908&lt;VLOOKUP(L$5,NFI,5,0),1,0)*Table_NFI[[#This Row],[Tarpaulin]],Table_NFI[[#This Row],[Tarpaulin]])</f>
        <v>0</v>
      </c>
      <c r="AB908" s="436">
        <f>IF(NFI_Expiration=1,IF($A908&lt;VLOOKUP(M$5,NFI,5,0),1,0)*Table_NFI[[#This Row],[Blanket]],Table_NFI[[#This Row],[Blanket]])</f>
        <v>0</v>
      </c>
      <c r="AC908" s="436">
        <f>IF(NFI_Expiration=1,IF($A908&lt;VLOOKUP(N$5,NFI,5,0),1,0)*Table_NFI[[#This Row],[Kitchen Set]],Table_NFI[Kitchen Set])</f>
        <v>0</v>
      </c>
      <c r="AD908" s="436">
        <f>IF(NFI_Expiration=1,IF($A908&lt;VLOOKUP(O$5,NFI,5,0),1,0)*Table_NFI[[#This Row],[Clothes Kit]],Table_NFI[Clothes Kit])</f>
        <v>0</v>
      </c>
      <c r="AE908" s="436">
        <f>IF(NFI_Expiration=1,IF($A908&lt;VLOOKUP(P$5,NFI,5,0),1,0)*Table_NFI[[#This Row],[Plastic Bucket]],Table_NFI[Plastic Bucket])</f>
        <v>0</v>
      </c>
      <c r="AF908" s="436">
        <f>IF(NFI_Expiration=1,IF($A908&lt;VLOOKUP(Q$5,NFI,5,0),1,0)*Table_NFI[[#This Row],[Plastic Mat]],Table_NFI[Plastic Mat])*IF(Table_NFI[[#This Row],[Distribution Date]]&gt;"2014-04-01",1,2.5)</f>
        <v>0</v>
      </c>
      <c r="AG908" s="436">
        <f>IF(NFI_Expiration=1,IF($A908&lt;VLOOKUP(R$5,NFI,5,0),1,0)*Table_NFI[[#This Row],[Winter Clothes Adult]],Table_NFI[Winter Clothes Adult])</f>
        <v>0</v>
      </c>
      <c r="AH908" s="436">
        <f>IF(NFI_Expiration=1,IF($A908&lt;VLOOKUP(S$5,NFI,5,0),1,0)*Table_NFI[[#This Row],[Winter Clothes Children]],Table_NFI[Winter Clothes Children])</f>
        <v>0</v>
      </c>
      <c r="AI908" s="436">
        <f>IF(NFI_Expiration=1,IF($A908&lt;VLOOKUP(T$5,NFI,5,0),1,0)*Table_NFI[[#This Row],[Winter Items Other]],Table_NFI[Winter Items Other])</f>
        <v>0</v>
      </c>
      <c r="AJ908" s="436">
        <f>IF(NFI_Expiration=1,IF($A908&lt;VLOOKUP(M$5,NFI,5,0),1,0)*Table_NFI[[#This Row],[Winter Blanket]],Table_NFI[[#This Row],[Winter Blanket]])</f>
        <v>0</v>
      </c>
      <c r="AK908" s="436">
        <f>IF(Table_NFI[[#This Row],[Winter Clothes Adult]]+Table_NFI[[#This Row],[Winter Clothes Children]]+Table_NFI[[#This Row],[Winter Items Other]]+Table_NFI[[#This Row],[Winter Blanket]]&gt;0,1,0)</f>
        <v>0</v>
      </c>
      <c r="AL908" s="439">
        <f>IF(NFI_Expiration=1,IF($A908&lt;VLOOKUP(V$5,NFI,5,0),1,0)*Table_NFI[[#This Row],[Jerry Can]],Table_NFI[Jerry Can])</f>
        <v>0</v>
      </c>
      <c r="AM908" s="781" t="str">
        <f>IFERROR(VLOOKUP(Table_NFI[[#This Row],[Camp Name]],CL,2,0),"")</f>
        <v>MMR001CMP004</v>
      </c>
      <c r="AN908" s="782">
        <f ca="1">IF(Table_NFI[[#This Row],[Pcode]]="","",IF(OFFSET(CampList[Opening Date],MATCH(Table_NFI[[#This Row],[Pcode]],CampList[CP_Pcode],0)-1,0,1,1)&gt;=NFI_Monitor_Date,1,0))</f>
        <v>0</v>
      </c>
      <c r="AO908" s="781" t="str">
        <f>IFERROR(VLOOKUP(Table_NFI[[#This Row],[Camp Name]],CL,3,0),"")</f>
        <v>Open</v>
      </c>
      <c r="AP908" s="436" t="str">
        <f ca="1">IF(Table_NFI[[#This Row],[Pcode]]="","",OFFSET(CampList[Priority],MATCH(Table_NFI[[#This Row],[Pcode]],CampList[CP_Pcode],0)-1,0,1,1))</f>
        <v>P4</v>
      </c>
      <c r="AQ908" s="438">
        <f>IFERROR(Table_NFI[[#This Row],[Kitchen Set]]/VLOOKUP(Table_NFI[[#This Row],[Camp Name]],CL,4,0),"")</f>
        <v>0.66666666666666663</v>
      </c>
      <c r="AR908" s="779" t="s">
        <v>1099</v>
      </c>
      <c r="AS908" s="807"/>
    </row>
    <row r="909" spans="1:45" s="813" customFormat="1" x14ac:dyDescent="0.25">
      <c r="A909" s="455">
        <f t="shared" si="14"/>
        <v>48.633333333333333</v>
      </c>
      <c r="B909" s="778">
        <v>40850</v>
      </c>
      <c r="C909" s="779" t="s">
        <v>454</v>
      </c>
      <c r="D909" s="812" t="s">
        <v>508</v>
      </c>
      <c r="E909" s="809" t="s">
        <v>380</v>
      </c>
      <c r="F909" s="702" t="s">
        <v>237</v>
      </c>
      <c r="G909" s="702" t="s">
        <v>281</v>
      </c>
      <c r="H909" s="436"/>
      <c r="I909" s="436"/>
      <c r="J909" s="436"/>
      <c r="K909" s="436">
        <v>18</v>
      </c>
      <c r="L909" s="437">
        <v>8</v>
      </c>
      <c r="M909" s="437">
        <v>18</v>
      </c>
      <c r="N909" s="437">
        <v>8</v>
      </c>
      <c r="O909" s="437">
        <v>8</v>
      </c>
      <c r="P909" s="437">
        <v>8</v>
      </c>
      <c r="Q909" s="437">
        <v>8</v>
      </c>
      <c r="R909" s="436"/>
      <c r="S909" s="436"/>
      <c r="T909" s="436"/>
      <c r="U909" s="436"/>
      <c r="V909" s="436"/>
      <c r="W909" s="436">
        <f>IF(NFI_Expiration=1,IF($A909&lt;VLOOKUP(H$5,NFI,5,0),1,0)*Table_NFI[[#This Row],[Hygiene Kit]],Table_NFI[Hygiene Kit])</f>
        <v>0</v>
      </c>
      <c r="X909" s="436">
        <f>IF(NFI_Expiration=1,IF($A909&lt;VLOOKUP(I$5,NFI,5,0),1,0)*Table_NFI[[#This Row],[NFI Core Kit]],Table_NFI[NFI Core Kit])</f>
        <v>0</v>
      </c>
      <c r="Y909" s="436">
        <f>IF(NFI_Expiration=1,IF($A909&lt;VLOOKUP(J$5,NFI,5,0),1,0)*Table_NFI[[#This Row],[Sanitary Kit]],Table_NFI[Sanitary Kit])</f>
        <v>0</v>
      </c>
      <c r="Z909" s="436">
        <f>IF(NFI_Expiration=1,IF($A909&lt;VLOOKUP(K$5,NFI,5,0),1,0)*Table_NFI[[#This Row],[Mosquito net]],Table_NFI[Mosquito net])</f>
        <v>0</v>
      </c>
      <c r="AA909" s="436">
        <f>IF(NFI_Expiration=1,IF($A909&lt;VLOOKUP(L$5,NFI,5,0),1,0)*Table_NFI[[#This Row],[Tarpaulin]],Table_NFI[[#This Row],[Tarpaulin]])</f>
        <v>0</v>
      </c>
      <c r="AB909" s="436">
        <f>IF(NFI_Expiration=1,IF($A909&lt;VLOOKUP(M$5,NFI,5,0),1,0)*Table_NFI[[#This Row],[Blanket]],Table_NFI[[#This Row],[Blanket]])</f>
        <v>0</v>
      </c>
      <c r="AC909" s="436">
        <f>IF(NFI_Expiration=1,IF($A909&lt;VLOOKUP(N$5,NFI,5,0),1,0)*Table_NFI[[#This Row],[Kitchen Set]],Table_NFI[Kitchen Set])</f>
        <v>0</v>
      </c>
      <c r="AD909" s="436">
        <f>IF(NFI_Expiration=1,IF($A909&lt;VLOOKUP(O$5,NFI,5,0),1,0)*Table_NFI[[#This Row],[Clothes Kit]],Table_NFI[Clothes Kit])</f>
        <v>0</v>
      </c>
      <c r="AE909" s="436">
        <f>IF(NFI_Expiration=1,IF($A909&lt;VLOOKUP(P$5,NFI,5,0),1,0)*Table_NFI[[#This Row],[Plastic Bucket]],Table_NFI[Plastic Bucket])</f>
        <v>0</v>
      </c>
      <c r="AF909" s="436">
        <f>IF(NFI_Expiration=1,IF($A909&lt;VLOOKUP(Q$5,NFI,5,0),1,0)*Table_NFI[[#This Row],[Plastic Mat]],Table_NFI[Plastic Mat])*IF(Table_NFI[[#This Row],[Distribution Date]]&gt;"2014-04-01",1,2.5)</f>
        <v>0</v>
      </c>
      <c r="AG909" s="436">
        <f>IF(NFI_Expiration=1,IF($A909&lt;VLOOKUP(R$5,NFI,5,0),1,0)*Table_NFI[[#This Row],[Winter Clothes Adult]],Table_NFI[Winter Clothes Adult])</f>
        <v>0</v>
      </c>
      <c r="AH909" s="436">
        <f>IF(NFI_Expiration=1,IF($A909&lt;VLOOKUP(S$5,NFI,5,0),1,0)*Table_NFI[[#This Row],[Winter Clothes Children]],Table_NFI[Winter Clothes Children])</f>
        <v>0</v>
      </c>
      <c r="AI909" s="436">
        <f>IF(NFI_Expiration=1,IF($A909&lt;VLOOKUP(T$5,NFI,5,0),1,0)*Table_NFI[[#This Row],[Winter Items Other]],Table_NFI[Winter Items Other])</f>
        <v>0</v>
      </c>
      <c r="AJ909" s="436">
        <f>IF(NFI_Expiration=1,IF($A909&lt;VLOOKUP(M$5,NFI,5,0),1,0)*Table_NFI[[#This Row],[Winter Blanket]],Table_NFI[[#This Row],[Winter Blanket]])</f>
        <v>0</v>
      </c>
      <c r="AK909" s="436">
        <f>IF(Table_NFI[[#This Row],[Winter Clothes Adult]]+Table_NFI[[#This Row],[Winter Clothes Children]]+Table_NFI[[#This Row],[Winter Items Other]]+Table_NFI[[#This Row],[Winter Blanket]]&gt;0,1,0)</f>
        <v>0</v>
      </c>
      <c r="AL909" s="439">
        <f>IF(NFI_Expiration=1,IF($A909&lt;VLOOKUP(V$5,NFI,5,0),1,0)*Table_NFI[[#This Row],[Jerry Can]],Table_NFI[Jerry Can])</f>
        <v>0</v>
      </c>
      <c r="AM909" s="781" t="str">
        <f>IFERROR(VLOOKUP(Table_NFI[[#This Row],[Camp Name]],CL,2,0),"")</f>
        <v>MMR001CMP009</v>
      </c>
      <c r="AN909" s="782">
        <f ca="1">IF(Table_NFI[[#This Row],[Pcode]]="","",IF(OFFSET(CampList[Opening Date],MATCH(Table_NFI[[#This Row],[Pcode]],CampList[CP_Pcode],0)-1,0,1,1)&gt;=NFI_Monitor_Date,1,0))</f>
        <v>0</v>
      </c>
      <c r="AO909" s="781" t="str">
        <f>IFERROR(VLOOKUP(Table_NFI[[#This Row],[Camp Name]],CL,3,0),"")</f>
        <v>Open</v>
      </c>
      <c r="AP909" s="436" t="str">
        <f ca="1">IF(Table_NFI[[#This Row],[Pcode]]="","",OFFSET(CampList[Priority],MATCH(Table_NFI[[#This Row],[Pcode]],CampList[CP_Pcode],0)-1,0,1,1))</f>
        <v>P4</v>
      </c>
      <c r="AQ909" s="438">
        <f>IFERROR(Table_NFI[[#This Row],[Kitchen Set]]/VLOOKUP(Table_NFI[[#This Row],[Camp Name]],CL,4,0),"")</f>
        <v>8.8888888888888892E-2</v>
      </c>
      <c r="AR909" s="779" t="s">
        <v>1099</v>
      </c>
      <c r="AS909" s="807"/>
    </row>
    <row r="910" spans="1:45" s="813" customFormat="1" x14ac:dyDescent="0.25">
      <c r="A910" s="491">
        <f t="shared" si="14"/>
        <v>48.666666666666664</v>
      </c>
      <c r="B910" s="808">
        <v>40849</v>
      </c>
      <c r="C910" s="809" t="s">
        <v>454</v>
      </c>
      <c r="D910" s="812" t="s">
        <v>462</v>
      </c>
      <c r="E910" s="809" t="s">
        <v>380</v>
      </c>
      <c r="F910" s="702" t="s">
        <v>237</v>
      </c>
      <c r="G910" s="702" t="s">
        <v>243</v>
      </c>
      <c r="H910" s="701"/>
      <c r="I910" s="701"/>
      <c r="J910" s="701"/>
      <c r="K910" s="701">
        <v>0</v>
      </c>
      <c r="L910" s="492">
        <v>5</v>
      </c>
      <c r="M910" s="492">
        <v>0</v>
      </c>
      <c r="N910" s="492">
        <v>5</v>
      </c>
      <c r="O910" s="492">
        <v>5</v>
      </c>
      <c r="P910" s="492">
        <v>5</v>
      </c>
      <c r="Q910" s="492">
        <v>5</v>
      </c>
      <c r="R910" s="701"/>
      <c r="S910" s="701"/>
      <c r="T910" s="701"/>
      <c r="U910" s="701"/>
      <c r="V910" s="701"/>
      <c r="W910" s="701">
        <f>IF(NFI_Expiration=1,IF($A910&lt;VLOOKUP(H$5,NFI,5,0),1,0)*Table_NFI[[#This Row],[Hygiene Kit]],Table_NFI[Hygiene Kit])</f>
        <v>0</v>
      </c>
      <c r="X910" s="701">
        <f>IF(NFI_Expiration=1,IF($A910&lt;VLOOKUP(I$5,NFI,5,0),1,0)*Table_NFI[[#This Row],[NFI Core Kit]],Table_NFI[NFI Core Kit])</f>
        <v>0</v>
      </c>
      <c r="Y910" s="701">
        <f>IF(NFI_Expiration=1,IF($A910&lt;VLOOKUP(J$5,NFI,5,0),1,0)*Table_NFI[[#This Row],[Sanitary Kit]],Table_NFI[Sanitary Kit])</f>
        <v>0</v>
      </c>
      <c r="Z910" s="701">
        <f>IF(NFI_Expiration=1,IF($A910&lt;VLOOKUP(K$5,NFI,5,0),1,0)*Table_NFI[[#This Row],[Mosquito net]],Table_NFI[Mosquito net])</f>
        <v>0</v>
      </c>
      <c r="AA910" s="701">
        <f>IF(NFI_Expiration=1,IF($A910&lt;VLOOKUP(L$5,NFI,5,0),1,0)*Table_NFI[[#This Row],[Tarpaulin]],Table_NFI[[#This Row],[Tarpaulin]])</f>
        <v>0</v>
      </c>
      <c r="AB910" s="701">
        <f>IF(NFI_Expiration=1,IF($A910&lt;VLOOKUP(M$5,NFI,5,0),1,0)*Table_NFI[[#This Row],[Blanket]],Table_NFI[[#This Row],[Blanket]])</f>
        <v>0</v>
      </c>
      <c r="AC910" s="701">
        <f>IF(NFI_Expiration=1,IF($A910&lt;VLOOKUP(N$5,NFI,5,0),1,0)*Table_NFI[[#This Row],[Kitchen Set]],Table_NFI[Kitchen Set])</f>
        <v>0</v>
      </c>
      <c r="AD910" s="701">
        <f>IF(NFI_Expiration=1,IF($A910&lt;VLOOKUP(O$5,NFI,5,0),1,0)*Table_NFI[[#This Row],[Clothes Kit]],Table_NFI[Clothes Kit])</f>
        <v>0</v>
      </c>
      <c r="AE910" s="701">
        <f>IF(NFI_Expiration=1,IF($A910&lt;VLOOKUP(P$5,NFI,5,0),1,0)*Table_NFI[[#This Row],[Plastic Bucket]],Table_NFI[Plastic Bucket])</f>
        <v>0</v>
      </c>
      <c r="AF910" s="701">
        <f>IF(NFI_Expiration=1,IF($A910&lt;VLOOKUP(Q$5,NFI,5,0),1,0)*Table_NFI[[#This Row],[Plastic Mat]],Table_NFI[Plastic Mat])*IF(Table_NFI[[#This Row],[Distribution Date]]&gt;"2014-04-01",1,2.5)</f>
        <v>0</v>
      </c>
      <c r="AG910" s="701">
        <f>IF(NFI_Expiration=1,IF($A910&lt;VLOOKUP(R$5,NFI,5,0),1,0)*Table_NFI[[#This Row],[Winter Clothes Adult]],Table_NFI[Winter Clothes Adult])</f>
        <v>0</v>
      </c>
      <c r="AH910" s="701">
        <f>IF(NFI_Expiration=1,IF($A910&lt;VLOOKUP(S$5,NFI,5,0),1,0)*Table_NFI[[#This Row],[Winter Clothes Children]],Table_NFI[Winter Clothes Children])</f>
        <v>0</v>
      </c>
      <c r="AI910" s="701">
        <f>IF(NFI_Expiration=1,IF($A910&lt;VLOOKUP(T$5,NFI,5,0),1,0)*Table_NFI[[#This Row],[Winter Items Other]],Table_NFI[Winter Items Other])</f>
        <v>0</v>
      </c>
      <c r="AJ910" s="701">
        <f>IF(NFI_Expiration=1,IF($A910&lt;VLOOKUP(M$5,NFI,5,0),1,0)*Table_NFI[[#This Row],[Winter Blanket]],Table_NFI[[#This Row],[Winter Blanket]])</f>
        <v>0</v>
      </c>
      <c r="AK910" s="701">
        <f>IF(Table_NFI[[#This Row],[Winter Clothes Adult]]+Table_NFI[[#This Row],[Winter Clothes Children]]+Table_NFI[[#This Row],[Winter Items Other]]+Table_NFI[[#This Row],[Winter Blanket]]&gt;0,1,0)</f>
        <v>0</v>
      </c>
      <c r="AL910" s="439">
        <f>IF(NFI_Expiration=1,IF($A910&lt;VLOOKUP(V$5,NFI,5,0),1,0)*Table_NFI[[#This Row],[Jerry Can]],Table_NFI[Jerry Can])</f>
        <v>0</v>
      </c>
      <c r="AM910" s="824" t="str">
        <f>IFERROR(VLOOKUP(Table_NFI[[#This Row],[Camp Name]],CL,2,0),"")</f>
        <v>MMR001CMP012</v>
      </c>
      <c r="AN910" s="811">
        <f ca="1">IF(Table_NFI[[#This Row],[Pcode]]="","",IF(OFFSET(CampList[Opening Date],MATCH(Table_NFI[[#This Row],[Pcode]],CampList[CP_Pcode],0)-1,0,1,1)&gt;=NFI_Monitor_Date,1,0))</f>
        <v>0</v>
      </c>
      <c r="AO910" s="824" t="str">
        <f>IFERROR(VLOOKUP(Table_NFI[[#This Row],[Camp Name]],CL,3,0),"")</f>
        <v>Open</v>
      </c>
      <c r="AP910" s="701" t="str">
        <f ca="1">IF(Table_NFI[[#This Row],[Pcode]]="","",OFFSET(CampList[Priority],MATCH(Table_NFI[[#This Row],[Pcode]],CampList[CP_Pcode],0)-1,0,1,1))</f>
        <v>P4</v>
      </c>
      <c r="AQ910" s="494">
        <f>IFERROR(Table_NFI[[#This Row],[Kitchen Set]]/VLOOKUP(Table_NFI[[#This Row],[Camp Name]],CL,4,0),"")</f>
        <v>0.83333333333333337</v>
      </c>
      <c r="AR910" s="809" t="s">
        <v>1099</v>
      </c>
      <c r="AS910" s="807"/>
    </row>
    <row r="911" spans="1:45" s="813" customFormat="1" x14ac:dyDescent="0.25">
      <c r="A911" s="491">
        <f t="shared" si="14"/>
        <v>48.666666666666664</v>
      </c>
      <c r="B911" s="808">
        <v>40849</v>
      </c>
      <c r="C911" s="809" t="s">
        <v>454</v>
      </c>
      <c r="D911" s="812" t="s">
        <v>462</v>
      </c>
      <c r="E911" s="809" t="s">
        <v>380</v>
      </c>
      <c r="F911" s="702" t="s">
        <v>237</v>
      </c>
      <c r="G911" s="702" t="s">
        <v>245</v>
      </c>
      <c r="H911" s="701"/>
      <c r="I911" s="701"/>
      <c r="J911" s="701"/>
      <c r="K911" s="701">
        <v>0</v>
      </c>
      <c r="L911" s="492">
        <v>6</v>
      </c>
      <c r="M911" s="492">
        <v>0</v>
      </c>
      <c r="N911" s="492">
        <v>6</v>
      </c>
      <c r="O911" s="492">
        <v>6</v>
      </c>
      <c r="P911" s="492">
        <v>6</v>
      </c>
      <c r="Q911" s="492">
        <v>6</v>
      </c>
      <c r="R911" s="701"/>
      <c r="S911" s="701"/>
      <c r="T911" s="701"/>
      <c r="U911" s="701"/>
      <c r="V911" s="701"/>
      <c r="W911" s="701">
        <f>IF(NFI_Expiration=1,IF($A911&lt;VLOOKUP(H$5,NFI,5,0),1,0)*Table_NFI[[#This Row],[Hygiene Kit]],Table_NFI[Hygiene Kit])</f>
        <v>0</v>
      </c>
      <c r="X911" s="701">
        <f>IF(NFI_Expiration=1,IF($A911&lt;VLOOKUP(I$5,NFI,5,0),1,0)*Table_NFI[[#This Row],[NFI Core Kit]],Table_NFI[NFI Core Kit])</f>
        <v>0</v>
      </c>
      <c r="Y911" s="701">
        <f>IF(NFI_Expiration=1,IF($A911&lt;VLOOKUP(J$5,NFI,5,0),1,0)*Table_NFI[[#This Row],[Sanitary Kit]],Table_NFI[Sanitary Kit])</f>
        <v>0</v>
      </c>
      <c r="Z911" s="701">
        <f>IF(NFI_Expiration=1,IF($A911&lt;VLOOKUP(K$5,NFI,5,0),1,0)*Table_NFI[[#This Row],[Mosquito net]],Table_NFI[Mosquito net])</f>
        <v>0</v>
      </c>
      <c r="AA911" s="701">
        <f>IF(NFI_Expiration=1,IF($A911&lt;VLOOKUP(L$5,NFI,5,0),1,0)*Table_NFI[[#This Row],[Tarpaulin]],Table_NFI[[#This Row],[Tarpaulin]])</f>
        <v>0</v>
      </c>
      <c r="AB911" s="701">
        <f>IF(NFI_Expiration=1,IF($A911&lt;VLOOKUP(M$5,NFI,5,0),1,0)*Table_NFI[[#This Row],[Blanket]],Table_NFI[[#This Row],[Blanket]])</f>
        <v>0</v>
      </c>
      <c r="AC911" s="701">
        <f>IF(NFI_Expiration=1,IF($A911&lt;VLOOKUP(N$5,NFI,5,0),1,0)*Table_NFI[[#This Row],[Kitchen Set]],Table_NFI[Kitchen Set])</f>
        <v>0</v>
      </c>
      <c r="AD911" s="701">
        <f>IF(NFI_Expiration=1,IF($A911&lt;VLOOKUP(O$5,NFI,5,0),1,0)*Table_NFI[[#This Row],[Clothes Kit]],Table_NFI[Clothes Kit])</f>
        <v>0</v>
      </c>
      <c r="AE911" s="701">
        <f>IF(NFI_Expiration=1,IF($A911&lt;VLOOKUP(P$5,NFI,5,0),1,0)*Table_NFI[[#This Row],[Plastic Bucket]],Table_NFI[Plastic Bucket])</f>
        <v>0</v>
      </c>
      <c r="AF911" s="701">
        <f>IF(NFI_Expiration=1,IF($A911&lt;VLOOKUP(Q$5,NFI,5,0),1,0)*Table_NFI[[#This Row],[Plastic Mat]],Table_NFI[Plastic Mat])*IF(Table_NFI[[#This Row],[Distribution Date]]&gt;"2014-04-01",1,2.5)</f>
        <v>0</v>
      </c>
      <c r="AG911" s="701">
        <f>IF(NFI_Expiration=1,IF($A911&lt;VLOOKUP(R$5,NFI,5,0),1,0)*Table_NFI[[#This Row],[Winter Clothes Adult]],Table_NFI[Winter Clothes Adult])</f>
        <v>0</v>
      </c>
      <c r="AH911" s="701">
        <f>IF(NFI_Expiration=1,IF($A911&lt;VLOOKUP(S$5,NFI,5,0),1,0)*Table_NFI[[#This Row],[Winter Clothes Children]],Table_NFI[Winter Clothes Children])</f>
        <v>0</v>
      </c>
      <c r="AI911" s="701">
        <f>IF(NFI_Expiration=1,IF($A911&lt;VLOOKUP(T$5,NFI,5,0),1,0)*Table_NFI[[#This Row],[Winter Items Other]],Table_NFI[Winter Items Other])</f>
        <v>0</v>
      </c>
      <c r="AJ911" s="701">
        <f>IF(NFI_Expiration=1,IF($A911&lt;VLOOKUP(M$5,NFI,5,0),1,0)*Table_NFI[[#This Row],[Winter Blanket]],Table_NFI[[#This Row],[Winter Blanket]])</f>
        <v>0</v>
      </c>
      <c r="AK911" s="701">
        <f>IF(Table_NFI[[#This Row],[Winter Clothes Adult]]+Table_NFI[[#This Row],[Winter Clothes Children]]+Table_NFI[[#This Row],[Winter Items Other]]+Table_NFI[[#This Row],[Winter Blanket]]&gt;0,1,0)</f>
        <v>0</v>
      </c>
      <c r="AL911" s="439">
        <f>IF(NFI_Expiration=1,IF($A911&lt;VLOOKUP(V$5,NFI,5,0),1,0)*Table_NFI[[#This Row],[Jerry Can]],Table_NFI[Jerry Can])</f>
        <v>0</v>
      </c>
      <c r="AM911" s="824" t="str">
        <f>IFERROR(VLOOKUP(Table_NFI[[#This Row],[Camp Name]],CL,2,0),"")</f>
        <v>MMR001CMP010</v>
      </c>
      <c r="AN911" s="811">
        <f ca="1">IF(Table_NFI[[#This Row],[Pcode]]="","",IF(OFFSET(CampList[Opening Date],MATCH(Table_NFI[[#This Row],[Pcode]],CampList[CP_Pcode],0)-1,0,1,1)&gt;=NFI_Monitor_Date,1,0))</f>
        <v>0</v>
      </c>
      <c r="AO911" s="824" t="str">
        <f>IFERROR(VLOOKUP(Table_NFI[[#This Row],[Camp Name]],CL,3,0),"")</f>
        <v>Open</v>
      </c>
      <c r="AP911" s="701" t="str">
        <f ca="1">IF(Table_NFI[[#This Row],[Pcode]]="","",OFFSET(CampList[Priority],MATCH(Table_NFI[[#This Row],[Pcode]],CampList[CP_Pcode],0)-1,0,1,1))</f>
        <v>P4</v>
      </c>
      <c r="AQ911" s="494">
        <f>IFERROR(Table_NFI[[#This Row],[Kitchen Set]]/VLOOKUP(Table_NFI[[#This Row],[Camp Name]],CL,4,0),"")</f>
        <v>1</v>
      </c>
      <c r="AR911" s="809" t="s">
        <v>1099</v>
      </c>
      <c r="AS911" s="807"/>
    </row>
    <row r="912" spans="1:45" s="813" customFormat="1" x14ac:dyDescent="0.25">
      <c r="A912" s="491">
        <f t="shared" si="14"/>
        <v>48.666666666666664</v>
      </c>
      <c r="B912" s="808">
        <v>40849</v>
      </c>
      <c r="C912" s="809" t="s">
        <v>454</v>
      </c>
      <c r="D912" s="812" t="s">
        <v>462</v>
      </c>
      <c r="E912" s="809" t="s">
        <v>380</v>
      </c>
      <c r="F912" s="702" t="s">
        <v>237</v>
      </c>
      <c r="G912" s="702" t="s">
        <v>247</v>
      </c>
      <c r="H912" s="701"/>
      <c r="I912" s="701"/>
      <c r="J912" s="701"/>
      <c r="K912" s="701">
        <v>39</v>
      </c>
      <c r="L912" s="492">
        <v>8</v>
      </c>
      <c r="M912" s="492">
        <v>39</v>
      </c>
      <c r="N912" s="492">
        <v>8</v>
      </c>
      <c r="O912" s="492">
        <v>8</v>
      </c>
      <c r="P912" s="492">
        <v>8</v>
      </c>
      <c r="Q912" s="492">
        <v>8</v>
      </c>
      <c r="R912" s="701"/>
      <c r="S912" s="701"/>
      <c r="T912" s="701"/>
      <c r="U912" s="701"/>
      <c r="V912" s="701"/>
      <c r="W912" s="701">
        <f>IF(NFI_Expiration=1,IF($A912&lt;VLOOKUP(H$5,NFI,5,0),1,0)*Table_NFI[[#This Row],[Hygiene Kit]],Table_NFI[Hygiene Kit])</f>
        <v>0</v>
      </c>
      <c r="X912" s="701">
        <f>IF(NFI_Expiration=1,IF($A912&lt;VLOOKUP(I$5,NFI,5,0),1,0)*Table_NFI[[#This Row],[NFI Core Kit]],Table_NFI[NFI Core Kit])</f>
        <v>0</v>
      </c>
      <c r="Y912" s="701">
        <f>IF(NFI_Expiration=1,IF($A912&lt;VLOOKUP(J$5,NFI,5,0),1,0)*Table_NFI[[#This Row],[Sanitary Kit]],Table_NFI[Sanitary Kit])</f>
        <v>0</v>
      </c>
      <c r="Z912" s="701">
        <f>IF(NFI_Expiration=1,IF($A912&lt;VLOOKUP(K$5,NFI,5,0),1,0)*Table_NFI[[#This Row],[Mosquito net]],Table_NFI[Mosquito net])</f>
        <v>0</v>
      </c>
      <c r="AA912" s="701">
        <f>IF(NFI_Expiration=1,IF($A912&lt;VLOOKUP(L$5,NFI,5,0),1,0)*Table_NFI[[#This Row],[Tarpaulin]],Table_NFI[[#This Row],[Tarpaulin]])</f>
        <v>0</v>
      </c>
      <c r="AB912" s="701">
        <f>IF(NFI_Expiration=1,IF($A912&lt;VLOOKUP(M$5,NFI,5,0),1,0)*Table_NFI[[#This Row],[Blanket]],Table_NFI[[#This Row],[Blanket]])</f>
        <v>0</v>
      </c>
      <c r="AC912" s="701">
        <f>IF(NFI_Expiration=1,IF($A912&lt;VLOOKUP(N$5,NFI,5,0),1,0)*Table_NFI[[#This Row],[Kitchen Set]],Table_NFI[Kitchen Set])</f>
        <v>0</v>
      </c>
      <c r="AD912" s="701">
        <f>IF(NFI_Expiration=1,IF($A912&lt;VLOOKUP(O$5,NFI,5,0),1,0)*Table_NFI[[#This Row],[Clothes Kit]],Table_NFI[Clothes Kit])</f>
        <v>0</v>
      </c>
      <c r="AE912" s="701">
        <f>IF(NFI_Expiration=1,IF($A912&lt;VLOOKUP(P$5,NFI,5,0),1,0)*Table_NFI[[#This Row],[Plastic Bucket]],Table_NFI[Plastic Bucket])</f>
        <v>0</v>
      </c>
      <c r="AF912" s="701">
        <f>IF(NFI_Expiration=1,IF($A912&lt;VLOOKUP(Q$5,NFI,5,0),1,0)*Table_NFI[[#This Row],[Plastic Mat]],Table_NFI[Plastic Mat])*IF(Table_NFI[[#This Row],[Distribution Date]]&gt;"2014-04-01",1,2.5)</f>
        <v>0</v>
      </c>
      <c r="AG912" s="701">
        <f>IF(NFI_Expiration=1,IF($A912&lt;VLOOKUP(R$5,NFI,5,0),1,0)*Table_NFI[[#This Row],[Winter Clothes Adult]],Table_NFI[Winter Clothes Adult])</f>
        <v>0</v>
      </c>
      <c r="AH912" s="701">
        <f>IF(NFI_Expiration=1,IF($A912&lt;VLOOKUP(S$5,NFI,5,0),1,0)*Table_NFI[[#This Row],[Winter Clothes Children]],Table_NFI[Winter Clothes Children])</f>
        <v>0</v>
      </c>
      <c r="AI912" s="701">
        <f>IF(NFI_Expiration=1,IF($A912&lt;VLOOKUP(T$5,NFI,5,0),1,0)*Table_NFI[[#This Row],[Winter Items Other]],Table_NFI[Winter Items Other])</f>
        <v>0</v>
      </c>
      <c r="AJ912" s="701">
        <f>IF(NFI_Expiration=1,IF($A912&lt;VLOOKUP(M$5,NFI,5,0),1,0)*Table_NFI[[#This Row],[Winter Blanket]],Table_NFI[[#This Row],[Winter Blanket]])</f>
        <v>0</v>
      </c>
      <c r="AK912" s="701">
        <f>IF(Table_NFI[[#This Row],[Winter Clothes Adult]]+Table_NFI[[#This Row],[Winter Clothes Children]]+Table_NFI[[#This Row],[Winter Items Other]]+Table_NFI[[#This Row],[Winter Blanket]]&gt;0,1,0)</f>
        <v>0</v>
      </c>
      <c r="AL912" s="439">
        <f>IF(NFI_Expiration=1,IF($A912&lt;VLOOKUP(V$5,NFI,5,0),1,0)*Table_NFI[[#This Row],[Jerry Can]],Table_NFI[Jerry Can])</f>
        <v>0</v>
      </c>
      <c r="AM912" s="824" t="str">
        <f>IFERROR(VLOOKUP(Table_NFI[[#This Row],[Camp Name]],CL,2,0),"")</f>
        <v>MMR001CMP011</v>
      </c>
      <c r="AN912" s="811">
        <f ca="1">IF(Table_NFI[[#This Row],[Pcode]]="","",IF(OFFSET(CampList[Opening Date],MATCH(Table_NFI[[#This Row],[Pcode]],CampList[CP_Pcode],0)-1,0,1,1)&gt;=NFI_Monitor_Date,1,0))</f>
        <v>0</v>
      </c>
      <c r="AO912" s="824" t="str">
        <f>IFERROR(VLOOKUP(Table_NFI[[#This Row],[Camp Name]],CL,3,0),"")</f>
        <v>Open</v>
      </c>
      <c r="AP912" s="701" t="str">
        <f ca="1">IF(Table_NFI[[#This Row],[Pcode]]="","",OFFSET(CampList[Priority],MATCH(Table_NFI[[#This Row],[Pcode]],CampList[CP_Pcode],0)-1,0,1,1))</f>
        <v>P4</v>
      </c>
      <c r="AQ912" s="494">
        <f>IFERROR(Table_NFI[[#This Row],[Kitchen Set]]/VLOOKUP(Table_NFI[[#This Row],[Camp Name]],CL,4,0),"")</f>
        <v>0.16</v>
      </c>
      <c r="AR912" s="809" t="s">
        <v>1099</v>
      </c>
      <c r="AS912" s="807"/>
    </row>
    <row r="913" spans="1:45" s="813" customFormat="1" x14ac:dyDescent="0.25">
      <c r="A913" s="491">
        <f t="shared" si="14"/>
        <v>48.666666666666664</v>
      </c>
      <c r="B913" s="808">
        <v>40849</v>
      </c>
      <c r="C913" s="809" t="s">
        <v>454</v>
      </c>
      <c r="D913" s="812" t="s">
        <v>462</v>
      </c>
      <c r="E913" s="809" t="s">
        <v>380</v>
      </c>
      <c r="F913" s="702" t="s">
        <v>237</v>
      </c>
      <c r="G913" s="435" t="s">
        <v>261</v>
      </c>
      <c r="H913" s="701"/>
      <c r="I913" s="701"/>
      <c r="J913" s="701"/>
      <c r="K913" s="701">
        <v>112</v>
      </c>
      <c r="L913" s="492">
        <v>68</v>
      </c>
      <c r="M913" s="492">
        <v>112</v>
      </c>
      <c r="N913" s="492">
        <v>68</v>
      </c>
      <c r="O913" s="492">
        <v>68</v>
      </c>
      <c r="P913" s="492">
        <v>68</v>
      </c>
      <c r="Q913" s="492">
        <v>68</v>
      </c>
      <c r="R913" s="701"/>
      <c r="S913" s="701"/>
      <c r="T913" s="701"/>
      <c r="U913" s="701"/>
      <c r="V913" s="701"/>
      <c r="W913" s="701">
        <f>IF(NFI_Expiration=1,IF($A913&lt;VLOOKUP(H$5,NFI,5,0),1,0)*Table_NFI[[#This Row],[Hygiene Kit]],Table_NFI[Hygiene Kit])</f>
        <v>0</v>
      </c>
      <c r="X913" s="701">
        <f>IF(NFI_Expiration=1,IF($A913&lt;VLOOKUP(I$5,NFI,5,0),1,0)*Table_NFI[[#This Row],[NFI Core Kit]],Table_NFI[NFI Core Kit])</f>
        <v>0</v>
      </c>
      <c r="Y913" s="701">
        <f>IF(NFI_Expiration=1,IF($A913&lt;VLOOKUP(J$5,NFI,5,0),1,0)*Table_NFI[[#This Row],[Sanitary Kit]],Table_NFI[Sanitary Kit])</f>
        <v>0</v>
      </c>
      <c r="Z913" s="701">
        <f>IF(NFI_Expiration=1,IF($A913&lt;VLOOKUP(K$5,NFI,5,0),1,0)*Table_NFI[[#This Row],[Mosquito net]],Table_NFI[Mosquito net])</f>
        <v>0</v>
      </c>
      <c r="AA913" s="701">
        <f>IF(NFI_Expiration=1,IF($A913&lt;VLOOKUP(L$5,NFI,5,0),1,0)*Table_NFI[[#This Row],[Tarpaulin]],Table_NFI[[#This Row],[Tarpaulin]])</f>
        <v>0</v>
      </c>
      <c r="AB913" s="701">
        <f>IF(NFI_Expiration=1,IF($A913&lt;VLOOKUP(M$5,NFI,5,0),1,0)*Table_NFI[[#This Row],[Blanket]],Table_NFI[[#This Row],[Blanket]])</f>
        <v>0</v>
      </c>
      <c r="AC913" s="701">
        <f>IF(NFI_Expiration=1,IF($A913&lt;VLOOKUP(N$5,NFI,5,0),1,0)*Table_NFI[[#This Row],[Kitchen Set]],Table_NFI[Kitchen Set])</f>
        <v>0</v>
      </c>
      <c r="AD913" s="701">
        <f>IF(NFI_Expiration=1,IF($A913&lt;VLOOKUP(O$5,NFI,5,0),1,0)*Table_NFI[[#This Row],[Clothes Kit]],Table_NFI[Clothes Kit])</f>
        <v>0</v>
      </c>
      <c r="AE913" s="701">
        <f>IF(NFI_Expiration=1,IF($A913&lt;VLOOKUP(P$5,NFI,5,0),1,0)*Table_NFI[[#This Row],[Plastic Bucket]],Table_NFI[Plastic Bucket])</f>
        <v>0</v>
      </c>
      <c r="AF913" s="701">
        <f>IF(NFI_Expiration=1,IF($A913&lt;VLOOKUP(Q$5,NFI,5,0),1,0)*Table_NFI[[#This Row],[Plastic Mat]],Table_NFI[Plastic Mat])*IF(Table_NFI[[#This Row],[Distribution Date]]&gt;"2014-04-01",1,2.5)</f>
        <v>0</v>
      </c>
      <c r="AG913" s="701">
        <f>IF(NFI_Expiration=1,IF($A913&lt;VLOOKUP(R$5,NFI,5,0),1,0)*Table_NFI[[#This Row],[Winter Clothes Adult]],Table_NFI[Winter Clothes Adult])</f>
        <v>0</v>
      </c>
      <c r="AH913" s="701">
        <f>IF(NFI_Expiration=1,IF($A913&lt;VLOOKUP(S$5,NFI,5,0),1,0)*Table_NFI[[#This Row],[Winter Clothes Children]],Table_NFI[Winter Clothes Children])</f>
        <v>0</v>
      </c>
      <c r="AI913" s="701">
        <f>IF(NFI_Expiration=1,IF($A913&lt;VLOOKUP(T$5,NFI,5,0),1,0)*Table_NFI[[#This Row],[Winter Items Other]],Table_NFI[Winter Items Other])</f>
        <v>0</v>
      </c>
      <c r="AJ913" s="701">
        <f>IF(NFI_Expiration=1,IF($A913&lt;VLOOKUP(M$5,NFI,5,0),1,0)*Table_NFI[[#This Row],[Winter Blanket]],Table_NFI[[#This Row],[Winter Blanket]])</f>
        <v>0</v>
      </c>
      <c r="AK913" s="701">
        <f>IF(Table_NFI[[#This Row],[Winter Clothes Adult]]+Table_NFI[[#This Row],[Winter Clothes Children]]+Table_NFI[[#This Row],[Winter Items Other]]+Table_NFI[[#This Row],[Winter Blanket]]&gt;0,1,0)</f>
        <v>0</v>
      </c>
      <c r="AL913" s="439">
        <f>IF(NFI_Expiration=1,IF($A913&lt;VLOOKUP(V$5,NFI,5,0),1,0)*Table_NFI[[#This Row],[Jerry Can]],Table_NFI[Jerry Can])</f>
        <v>0</v>
      </c>
      <c r="AM913" s="824" t="str">
        <f>IFERROR(VLOOKUP(Table_NFI[[#This Row],[Camp Name]],CL,2,0),"")</f>
        <v>MMR001CMP008</v>
      </c>
      <c r="AN913" s="811">
        <f ca="1">IF(Table_NFI[[#This Row],[Pcode]]="","",IF(OFFSET(CampList[Opening Date],MATCH(Table_NFI[[#This Row],[Pcode]],CampList[CP_Pcode],0)-1,0,1,1)&gt;=NFI_Monitor_Date,1,0))</f>
        <v>0</v>
      </c>
      <c r="AO913" s="824" t="str">
        <f>IFERROR(VLOOKUP(Table_NFI[[#This Row],[Camp Name]],CL,3,0),"")</f>
        <v>Open</v>
      </c>
      <c r="AP913" s="701" t="str">
        <f ca="1">IF(Table_NFI[[#This Row],[Pcode]]="","",OFFSET(CampList[Priority],MATCH(Table_NFI[[#This Row],[Pcode]],CampList[CP_Pcode],0)-1,0,1,1))</f>
        <v>P4</v>
      </c>
      <c r="AQ913" s="494">
        <f>IFERROR(Table_NFI[[#This Row],[Kitchen Set]]/VLOOKUP(Table_NFI[[#This Row],[Camp Name]],CL,4,0),"")</f>
        <v>0.70833333333333337</v>
      </c>
      <c r="AR913" s="809" t="s">
        <v>1099</v>
      </c>
      <c r="AS913" s="807"/>
    </row>
    <row r="914" spans="1:45" s="813" customFormat="1" x14ac:dyDescent="0.25">
      <c r="A914" s="455">
        <f t="shared" si="14"/>
        <v>48.666666666666664</v>
      </c>
      <c r="B914" s="778">
        <v>40849</v>
      </c>
      <c r="C914" s="779" t="s">
        <v>454</v>
      </c>
      <c r="D914" s="779" t="s">
        <v>462</v>
      </c>
      <c r="E914" s="779" t="s">
        <v>380</v>
      </c>
      <c r="F914" s="435" t="s">
        <v>237</v>
      </c>
      <c r="G914" s="435" t="s">
        <v>277</v>
      </c>
      <c r="H914" s="436"/>
      <c r="I914" s="436"/>
      <c r="J914" s="436"/>
      <c r="K914" s="436">
        <v>219</v>
      </c>
      <c r="L914" s="437">
        <v>117</v>
      </c>
      <c r="M914" s="437">
        <v>219</v>
      </c>
      <c r="N914" s="437">
        <v>117</v>
      </c>
      <c r="O914" s="437">
        <v>117</v>
      </c>
      <c r="P914" s="439">
        <v>117</v>
      </c>
      <c r="Q914" s="439">
        <v>117</v>
      </c>
      <c r="R914" s="436"/>
      <c r="S914" s="436"/>
      <c r="T914" s="436"/>
      <c r="U914" s="436"/>
      <c r="V914" s="701"/>
      <c r="W914" s="436">
        <f>IF(NFI_Expiration=1,IF($A914&lt;VLOOKUP(H$5,NFI,5,0),1,0)*Table_NFI[[#This Row],[Hygiene Kit]],Table_NFI[Hygiene Kit])</f>
        <v>0</v>
      </c>
      <c r="X914" s="436">
        <f>IF(NFI_Expiration=1,IF($A914&lt;VLOOKUP(I$5,NFI,5,0),1,0)*Table_NFI[[#This Row],[NFI Core Kit]],Table_NFI[NFI Core Kit])</f>
        <v>0</v>
      </c>
      <c r="Y914" s="436">
        <f>IF(NFI_Expiration=1,IF($A914&lt;VLOOKUP(J$5,NFI,5,0),1,0)*Table_NFI[[#This Row],[Sanitary Kit]],Table_NFI[Sanitary Kit])</f>
        <v>0</v>
      </c>
      <c r="Z914" s="436">
        <f>IF(NFI_Expiration=1,IF($A914&lt;VLOOKUP(K$5,NFI,5,0),1,0)*Table_NFI[[#This Row],[Mosquito net]],Table_NFI[Mosquito net])</f>
        <v>0</v>
      </c>
      <c r="AA914" s="436">
        <f>IF(NFI_Expiration=1,IF($A914&lt;VLOOKUP(L$5,NFI,5,0),1,0)*Table_NFI[[#This Row],[Tarpaulin]],Table_NFI[[#This Row],[Tarpaulin]])</f>
        <v>0</v>
      </c>
      <c r="AB914" s="436">
        <f>IF(NFI_Expiration=1,IF($A914&lt;VLOOKUP(M$5,NFI,5,0),1,0)*Table_NFI[[#This Row],[Blanket]],Table_NFI[[#This Row],[Blanket]])</f>
        <v>0</v>
      </c>
      <c r="AC914" s="436">
        <f>IF(NFI_Expiration=1,IF($A914&lt;VLOOKUP(N$5,NFI,5,0),1,0)*Table_NFI[[#This Row],[Kitchen Set]],Table_NFI[Kitchen Set])</f>
        <v>0</v>
      </c>
      <c r="AD914" s="436">
        <f>IF(NFI_Expiration=1,IF($A914&lt;VLOOKUP(O$5,NFI,5,0),1,0)*Table_NFI[[#This Row],[Clothes Kit]],Table_NFI[Clothes Kit])</f>
        <v>0</v>
      </c>
      <c r="AE914" s="436">
        <f>IF(NFI_Expiration=1,IF($A914&lt;VLOOKUP(P$5,NFI,5,0),1,0)*Table_NFI[[#This Row],[Plastic Bucket]],Table_NFI[Plastic Bucket])</f>
        <v>0</v>
      </c>
      <c r="AF914" s="436">
        <f>IF(NFI_Expiration=1,IF($A914&lt;VLOOKUP(Q$5,NFI,5,0),1,0)*Table_NFI[[#This Row],[Plastic Mat]],Table_NFI[Plastic Mat])*IF(Table_NFI[[#This Row],[Distribution Date]]&gt;"2014-04-01",1,2.5)</f>
        <v>0</v>
      </c>
      <c r="AG914" s="436">
        <f>IF(NFI_Expiration=1,IF($A914&lt;VLOOKUP(R$5,NFI,5,0),1,0)*Table_NFI[[#This Row],[Winter Clothes Adult]],Table_NFI[Winter Clothes Adult])</f>
        <v>0</v>
      </c>
      <c r="AH914" s="436">
        <f>IF(NFI_Expiration=1,IF($A914&lt;VLOOKUP(S$5,NFI,5,0),1,0)*Table_NFI[[#This Row],[Winter Clothes Children]],Table_NFI[Winter Clothes Children])</f>
        <v>0</v>
      </c>
      <c r="AI914" s="436">
        <f>IF(NFI_Expiration=1,IF($A914&lt;VLOOKUP(T$5,NFI,5,0),1,0)*Table_NFI[[#This Row],[Winter Items Other]],Table_NFI[Winter Items Other])</f>
        <v>0</v>
      </c>
      <c r="AJ914" s="436">
        <f>IF(NFI_Expiration=1,IF($A914&lt;VLOOKUP(M$5,NFI,5,0),1,0)*Table_NFI[[#This Row],[Winter Blanket]],Table_NFI[[#This Row],[Winter Blanket]])</f>
        <v>0</v>
      </c>
      <c r="AK914" s="436">
        <f>IF(Table_NFI[[#This Row],[Winter Clothes Adult]]+Table_NFI[[#This Row],[Winter Clothes Children]]+Table_NFI[[#This Row],[Winter Items Other]]+Table_NFI[[#This Row],[Winter Blanket]]&gt;0,1,0)</f>
        <v>0</v>
      </c>
      <c r="AL914" s="493">
        <f>IF(NFI_Expiration=1,IF($A914&lt;VLOOKUP(V$5,NFI,5,0),1,0)*Table_NFI[[#This Row],[Jerry Can]],Table_NFI[Jerry Can])</f>
        <v>0</v>
      </c>
      <c r="AM914" s="781" t="str">
        <f>IFERROR(VLOOKUP(Table_NFI[[#This Row],[Camp Name]],CL,2,0),"")</f>
        <v>MMR001CMP006</v>
      </c>
      <c r="AN914" s="782">
        <f ca="1">IF(Table_NFI[[#This Row],[Pcode]]="","",IF(OFFSET(CampList[Opening Date],MATCH(Table_NFI[[#This Row],[Pcode]],CampList[CP_Pcode],0)-1,0,1,1)&gt;=NFI_Monitor_Date,1,0))</f>
        <v>0</v>
      </c>
      <c r="AO914" s="781" t="str">
        <f>IFERROR(VLOOKUP(Table_NFI[[#This Row],[Camp Name]],CL,3,0),"")</f>
        <v>Open</v>
      </c>
      <c r="AP914" s="436" t="str">
        <f ca="1">IF(Table_NFI[[#This Row],[Pcode]]="","",OFFSET(CampList[Priority],MATCH(Table_NFI[[#This Row],[Pcode]],CampList[CP_Pcode],0)-1,0,1,1))</f>
        <v>P4</v>
      </c>
      <c r="AQ914" s="438">
        <f>IFERROR(Table_NFI[[#This Row],[Kitchen Set]]/VLOOKUP(Table_NFI[[#This Row],[Camp Name]],CL,4,0),"")</f>
        <v>1.2315789473684211</v>
      </c>
      <c r="AR914" s="779" t="s">
        <v>1099</v>
      </c>
      <c r="AS914" s="807"/>
    </row>
    <row r="915" spans="1:45" s="813" customFormat="1" x14ac:dyDescent="0.25">
      <c r="A915" s="491">
        <f t="shared" si="14"/>
        <v>48.666666666666664</v>
      </c>
      <c r="B915" s="808">
        <v>40849</v>
      </c>
      <c r="C915" s="809" t="s">
        <v>454</v>
      </c>
      <c r="D915" s="812" t="s">
        <v>462</v>
      </c>
      <c r="E915" s="809" t="s">
        <v>380</v>
      </c>
      <c r="F915" s="702" t="s">
        <v>237</v>
      </c>
      <c r="G915" s="702" t="s">
        <v>279</v>
      </c>
      <c r="H915" s="701"/>
      <c r="I915" s="701"/>
      <c r="J915" s="701"/>
      <c r="K915" s="701">
        <v>2</v>
      </c>
      <c r="L915" s="492">
        <v>1</v>
      </c>
      <c r="M915" s="492">
        <v>2</v>
      </c>
      <c r="N915" s="492">
        <v>1</v>
      </c>
      <c r="O915" s="492">
        <v>1</v>
      </c>
      <c r="P915" s="492">
        <v>1</v>
      </c>
      <c r="Q915" s="492">
        <v>1</v>
      </c>
      <c r="R915" s="701"/>
      <c r="S915" s="701"/>
      <c r="T915" s="701"/>
      <c r="U915" s="701"/>
      <c r="V915" s="701"/>
      <c r="W915" s="701">
        <f>IF(NFI_Expiration=1,IF($A915&lt;VLOOKUP(H$5,NFI,5,0),1,0)*Table_NFI[[#This Row],[Hygiene Kit]],Table_NFI[Hygiene Kit])</f>
        <v>0</v>
      </c>
      <c r="X915" s="701">
        <f>IF(NFI_Expiration=1,IF($A915&lt;VLOOKUP(I$5,NFI,5,0),1,0)*Table_NFI[[#This Row],[NFI Core Kit]],Table_NFI[NFI Core Kit])</f>
        <v>0</v>
      </c>
      <c r="Y915" s="701">
        <f>IF(NFI_Expiration=1,IF($A915&lt;VLOOKUP(J$5,NFI,5,0),1,0)*Table_NFI[[#This Row],[Sanitary Kit]],Table_NFI[Sanitary Kit])</f>
        <v>0</v>
      </c>
      <c r="Z915" s="701">
        <f>IF(NFI_Expiration=1,IF($A915&lt;VLOOKUP(K$5,NFI,5,0),1,0)*Table_NFI[[#This Row],[Mosquito net]],Table_NFI[Mosquito net])</f>
        <v>0</v>
      </c>
      <c r="AA915" s="701">
        <f>IF(NFI_Expiration=1,IF($A915&lt;VLOOKUP(L$5,NFI,5,0),1,0)*Table_NFI[[#This Row],[Tarpaulin]],Table_NFI[[#This Row],[Tarpaulin]])</f>
        <v>0</v>
      </c>
      <c r="AB915" s="701">
        <f>IF(NFI_Expiration=1,IF($A915&lt;VLOOKUP(M$5,NFI,5,0),1,0)*Table_NFI[[#This Row],[Blanket]],Table_NFI[[#This Row],[Blanket]])</f>
        <v>0</v>
      </c>
      <c r="AC915" s="701">
        <f>IF(NFI_Expiration=1,IF($A915&lt;VLOOKUP(N$5,NFI,5,0),1,0)*Table_NFI[[#This Row],[Kitchen Set]],Table_NFI[Kitchen Set])</f>
        <v>0</v>
      </c>
      <c r="AD915" s="701">
        <f>IF(NFI_Expiration=1,IF($A915&lt;VLOOKUP(O$5,NFI,5,0),1,0)*Table_NFI[[#This Row],[Clothes Kit]],Table_NFI[Clothes Kit])</f>
        <v>0</v>
      </c>
      <c r="AE915" s="701">
        <f>IF(NFI_Expiration=1,IF($A915&lt;VLOOKUP(P$5,NFI,5,0),1,0)*Table_NFI[[#This Row],[Plastic Bucket]],Table_NFI[Plastic Bucket])</f>
        <v>0</v>
      </c>
      <c r="AF915" s="701">
        <f>IF(NFI_Expiration=1,IF($A915&lt;VLOOKUP(Q$5,NFI,5,0),1,0)*Table_NFI[[#This Row],[Plastic Mat]],Table_NFI[Plastic Mat])*IF(Table_NFI[[#This Row],[Distribution Date]]&gt;"2014-04-01",1,2.5)</f>
        <v>0</v>
      </c>
      <c r="AG915" s="701">
        <f>IF(NFI_Expiration=1,IF($A915&lt;VLOOKUP(R$5,NFI,5,0),1,0)*Table_NFI[[#This Row],[Winter Clothes Adult]],Table_NFI[Winter Clothes Adult])</f>
        <v>0</v>
      </c>
      <c r="AH915" s="701">
        <f>IF(NFI_Expiration=1,IF($A915&lt;VLOOKUP(S$5,NFI,5,0),1,0)*Table_NFI[[#This Row],[Winter Clothes Children]],Table_NFI[Winter Clothes Children])</f>
        <v>0</v>
      </c>
      <c r="AI915" s="701">
        <f>IF(NFI_Expiration=1,IF($A915&lt;VLOOKUP(T$5,NFI,5,0),1,0)*Table_NFI[[#This Row],[Winter Items Other]],Table_NFI[Winter Items Other])</f>
        <v>0</v>
      </c>
      <c r="AJ915" s="701">
        <f>IF(NFI_Expiration=1,IF($A915&lt;VLOOKUP(M$5,NFI,5,0),1,0)*Table_NFI[[#This Row],[Winter Blanket]],Table_NFI[[#This Row],[Winter Blanket]])</f>
        <v>0</v>
      </c>
      <c r="AK915" s="701">
        <f>IF(Table_NFI[[#This Row],[Winter Clothes Adult]]+Table_NFI[[#This Row],[Winter Clothes Children]]+Table_NFI[[#This Row],[Winter Items Other]]+Table_NFI[[#This Row],[Winter Blanket]]&gt;0,1,0)</f>
        <v>0</v>
      </c>
      <c r="AL915" s="439">
        <f>IF(NFI_Expiration=1,IF($A915&lt;VLOOKUP(V$5,NFI,5,0),1,0)*Table_NFI[[#This Row],[Jerry Can]],Table_NFI[Jerry Can])</f>
        <v>0</v>
      </c>
      <c r="AM915" s="824" t="str">
        <f>IFERROR(VLOOKUP(Table_NFI[[#This Row],[Camp Name]],CL,2,0),"")</f>
        <v>MMR001CMP007</v>
      </c>
      <c r="AN915" s="811">
        <f ca="1">IF(Table_NFI[[#This Row],[Pcode]]="","",IF(OFFSET(CampList[Opening Date],MATCH(Table_NFI[[#This Row],[Pcode]],CampList[CP_Pcode],0)-1,0,1,1)&gt;=NFI_Monitor_Date,1,0))</f>
        <v>0</v>
      </c>
      <c r="AO915" s="824" t="str">
        <f>IFERROR(VLOOKUP(Table_NFI[[#This Row],[Camp Name]],CL,3,0),"")</f>
        <v>Open</v>
      </c>
      <c r="AP915" s="701" t="str">
        <f ca="1">IF(Table_NFI[[#This Row],[Pcode]]="","",OFFSET(CampList[Priority],MATCH(Table_NFI[[#This Row],[Pcode]],CampList[CP_Pcode],0)-1,0,1,1))</f>
        <v>P4</v>
      </c>
      <c r="AQ915" s="494">
        <f>IFERROR(Table_NFI[[#This Row],[Kitchen Set]]/VLOOKUP(Table_NFI[[#This Row],[Camp Name]],CL,4,0),"")</f>
        <v>3.5714285714285712E-2</v>
      </c>
      <c r="AR915" s="809" t="s">
        <v>1099</v>
      </c>
      <c r="AS915" s="807"/>
    </row>
    <row r="916" spans="1:45" x14ac:dyDescent="0.25">
      <c r="B916" s="815"/>
      <c r="G916" s="810"/>
    </row>
  </sheetData>
  <sortState ref="A5:A1000">
    <sortCondition descending="1" ref="A8"/>
  </sortState>
  <mergeCells count="3">
    <mergeCell ref="A4:C4"/>
    <mergeCell ref="A2:H2"/>
    <mergeCell ref="A3:H3"/>
  </mergeCells>
  <conditionalFormatting sqref="AM779:AO797 AM6:AO775">
    <cfRule type="containsText" dxfId="352" priority="5" operator="containsText" text="close">
      <formula>NOT(ISERROR(SEARCH("close",AM6)))</formula>
    </cfRule>
    <cfRule type="containsText" dxfId="351" priority="6" operator="containsText" text="open">
      <formula>NOT(ISERROR(SEARCH("open",AM6)))</formula>
    </cfRule>
  </conditionalFormatting>
  <conditionalFormatting sqref="AM776:AO778">
    <cfRule type="containsText" dxfId="350" priority="1" operator="containsText" text="close">
      <formula>NOT(ISERROR(SEARCH("close",AM776)))</formula>
    </cfRule>
    <cfRule type="containsText" dxfId="349" priority="2" operator="containsText" text="open">
      <formula>NOT(ISERROR(SEARCH("open",AM776)))</formula>
    </cfRule>
  </conditionalFormatting>
  <dataValidations count="3">
    <dataValidation type="list" allowBlank="1" showInputMessage="1" showErrorMessage="1" sqref="E6:E915">
      <formula1>State</formula1>
    </dataValidation>
    <dataValidation type="list" allowBlank="1" showInputMessage="1" showErrorMessage="1" sqref="G914:G916 G6:G912">
      <formula1>OFFSET(TCL_T1,MATCH(F6,TCL_T,0)-1,1,COUNTIF(TCL_T,F6),1)</formula1>
    </dataValidation>
    <dataValidation type="list" showInputMessage="1" showErrorMessage="1" sqref="F6:F915">
      <formula1>INDIRECT(E6)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M399"/>
  <sheetViews>
    <sheetView showZeros="0" zoomScale="80" zoomScaleNormal="80" workbookViewId="0">
      <selection activeCell="AN11" sqref="AN11"/>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48" customWidth="1"/>
    <col min="7" max="7" width="6.140625" style="1" customWidth="1"/>
    <col min="8" max="8" width="6.140625" style="49" customWidth="1"/>
    <col min="9" max="9" width="6.140625" style="48" customWidth="1"/>
    <col min="10" max="10" width="6.140625" style="1" customWidth="1"/>
    <col min="11" max="11" width="6.140625" style="49" customWidth="1"/>
    <col min="12" max="12" width="6.140625" style="48" customWidth="1"/>
    <col min="13" max="13" width="6.140625" style="1" customWidth="1"/>
    <col min="14" max="14" width="6.140625" style="49" customWidth="1"/>
    <col min="15" max="15" width="9.7109375" style="48" customWidth="1"/>
    <col min="16" max="16" width="9.140625" style="1" customWidth="1"/>
    <col min="17" max="17" width="6.5703125" style="1" customWidth="1"/>
    <col min="18" max="18" width="8.85546875" style="48" customWidth="1"/>
    <col min="19" max="19" width="9.7109375" style="1" customWidth="1"/>
    <col min="20" max="20" width="6.140625" style="49" bestFit="1" customWidth="1"/>
    <col min="21" max="21" width="8.85546875" customWidth="1"/>
    <col min="22" max="22" width="9.140625" style="37" customWidth="1"/>
    <col min="23" max="23" width="6.140625" style="37" bestFit="1" customWidth="1"/>
    <col min="24" max="24" width="8.85546875" style="48" customWidth="1"/>
    <col min="25" max="25" width="10" style="1" customWidth="1"/>
    <col min="26" max="26" width="6.140625" style="49" bestFit="1" customWidth="1"/>
    <col min="27" max="27" width="9" style="48" customWidth="1"/>
    <col min="28" max="28" width="9.28515625" style="1" customWidth="1"/>
    <col min="29" max="29" width="6.140625" style="49" bestFit="1" customWidth="1"/>
    <col min="30" max="30" width="8.7109375" style="48" customWidth="1"/>
    <col min="31" max="31" width="9.42578125" style="1" customWidth="1"/>
    <col min="32" max="32" width="6.140625" style="49" bestFit="1" customWidth="1"/>
    <col min="33" max="33" width="8.85546875" style="48" customWidth="1"/>
    <col min="34" max="34" width="9.28515625" style="1" customWidth="1"/>
    <col min="35" max="35" width="6.7109375" style="49" customWidth="1"/>
    <col min="36" max="36" width="8.85546875" style="48" customWidth="1"/>
    <col min="37" max="37" width="9.42578125" style="1" customWidth="1"/>
    <col min="38" max="38" width="7.5703125" style="49" customWidth="1"/>
    <col min="39" max="39" width="8.85546875" style="48" customWidth="1"/>
    <col min="40" max="40" width="9.5703125" style="1" customWidth="1"/>
    <col min="41" max="41" width="8.85546875" style="49" customWidth="1"/>
    <col min="42" max="42" width="8.85546875" style="48" customWidth="1"/>
    <col min="43" max="43" width="9.7109375" style="1" customWidth="1"/>
    <col min="44" max="44" width="8.85546875" style="49" customWidth="1"/>
    <col min="45" max="45" width="8.85546875" style="48" customWidth="1"/>
    <col min="46" max="46" width="9.28515625" style="1" customWidth="1"/>
    <col min="47" max="47" width="8.85546875" style="49" customWidth="1"/>
  </cols>
  <sheetData>
    <row r="1" spans="1:65" s="1" customFormat="1" ht="36" x14ac:dyDescent="0.25">
      <c r="A1" s="303"/>
      <c r="B1" s="304"/>
      <c r="C1" s="304"/>
      <c r="D1" s="304"/>
      <c r="E1" s="304"/>
      <c r="F1" s="304"/>
      <c r="G1" s="304"/>
      <c r="H1" s="304"/>
      <c r="I1" s="309"/>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10"/>
      <c r="AS1" s="253"/>
      <c r="AT1" s="253"/>
      <c r="AU1" s="254"/>
      <c r="BL1" s="59"/>
      <c r="BM1" s="59"/>
    </row>
    <row r="2" spans="1:65" s="1" customFormat="1" ht="66" customHeight="1" x14ac:dyDescent="0.25">
      <c r="A2" s="457" t="s">
        <v>511</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16"/>
      <c r="AT2" s="216"/>
      <c r="AU2" s="255"/>
      <c r="BL2" s="59"/>
      <c r="BM2" s="59"/>
    </row>
    <row r="3" spans="1:65" s="18" customFormat="1" ht="18" customHeight="1" thickBot="1" x14ac:dyDescent="0.3">
      <c r="A3" s="844">
        <f>Report_Date</f>
        <v>42309</v>
      </c>
      <c r="B3" s="845"/>
      <c r="C3" s="845"/>
      <c r="D3" s="423"/>
      <c r="E3" s="423"/>
      <c r="F3" s="423"/>
      <c r="G3" s="423"/>
      <c r="H3" s="423"/>
      <c r="I3" s="423"/>
      <c r="J3" s="423"/>
      <c r="K3" s="257"/>
      <c r="L3" s="423"/>
      <c r="M3" s="423"/>
      <c r="N3" s="423"/>
      <c r="O3" s="423"/>
      <c r="P3" s="423"/>
      <c r="Q3" s="423"/>
      <c r="R3" s="423"/>
      <c r="S3" s="458"/>
      <c r="T3" s="423"/>
      <c r="U3" s="423"/>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8"/>
      <c r="BL3" s="60"/>
      <c r="BM3" s="60"/>
    </row>
    <row r="4" spans="1:65" s="50" customFormat="1" ht="16.5" hidden="1" customHeight="1" thickBot="1" x14ac:dyDescent="0.3">
      <c r="AA4" s="82"/>
      <c r="AB4" s="82"/>
      <c r="AC4" s="82"/>
      <c r="AD4" s="82"/>
      <c r="AE4" s="82"/>
      <c r="AF4" s="82"/>
      <c r="AJ4" s="129"/>
      <c r="AK4" s="129"/>
      <c r="AL4" s="129"/>
      <c r="AM4" s="129"/>
      <c r="AN4" s="129"/>
      <c r="AO4" s="129"/>
      <c r="AP4" s="129"/>
      <c r="AQ4" s="129"/>
      <c r="AR4" s="129"/>
      <c r="AS4" s="129"/>
      <c r="AT4" s="129"/>
      <c r="AU4" s="129"/>
    </row>
    <row r="5" spans="1:65" s="43" customFormat="1" ht="47.25" customHeight="1" thickBot="1" x14ac:dyDescent="0.3">
      <c r="A5" s="869" t="s">
        <v>410</v>
      </c>
      <c r="B5" s="859" t="s">
        <v>403</v>
      </c>
      <c r="C5" s="859" t="s">
        <v>414</v>
      </c>
      <c r="D5" s="867" t="s">
        <v>396</v>
      </c>
      <c r="E5" s="859" t="s">
        <v>0</v>
      </c>
      <c r="F5" s="876" t="s">
        <v>404</v>
      </c>
      <c r="G5" s="876"/>
      <c r="H5" s="876"/>
      <c r="I5" s="877" t="s">
        <v>405</v>
      </c>
      <c r="J5" s="877"/>
      <c r="K5" s="877"/>
      <c r="L5" s="875" t="s">
        <v>406</v>
      </c>
      <c r="M5" s="875"/>
      <c r="N5" s="875"/>
      <c r="O5" s="874" t="s">
        <v>407</v>
      </c>
      <c r="P5" s="874"/>
      <c r="Q5" s="874"/>
      <c r="R5" s="871" t="s">
        <v>408</v>
      </c>
      <c r="S5" s="872"/>
      <c r="T5" s="873"/>
      <c r="U5" s="864" t="s">
        <v>436</v>
      </c>
      <c r="V5" s="865"/>
      <c r="W5" s="866"/>
      <c r="X5" s="861" t="s">
        <v>437</v>
      </c>
      <c r="Y5" s="862"/>
      <c r="Z5" s="863"/>
      <c r="AA5" s="853" t="s">
        <v>1246</v>
      </c>
      <c r="AB5" s="854"/>
      <c r="AC5" s="855"/>
      <c r="AD5" s="856" t="s">
        <v>579</v>
      </c>
      <c r="AE5" s="857"/>
      <c r="AF5" s="858"/>
      <c r="AG5" s="850" t="s">
        <v>580</v>
      </c>
      <c r="AH5" s="851"/>
      <c r="AI5" s="852"/>
      <c r="AJ5" s="853" t="s">
        <v>994</v>
      </c>
      <c r="AK5" s="854"/>
      <c r="AL5" s="855"/>
      <c r="AM5" s="856" t="s">
        <v>998</v>
      </c>
      <c r="AN5" s="857"/>
      <c r="AO5" s="858"/>
      <c r="AP5" s="850" t="s">
        <v>1002</v>
      </c>
      <c r="AQ5" s="851"/>
      <c r="AR5" s="852"/>
      <c r="AS5" s="850" t="s">
        <v>1120</v>
      </c>
      <c r="AT5" s="851"/>
      <c r="AU5" s="852"/>
    </row>
    <row r="6" spans="1:65" s="43" customFormat="1" ht="75.75" customHeight="1" thickBot="1" x14ac:dyDescent="0.3">
      <c r="A6" s="870"/>
      <c r="B6" s="860"/>
      <c r="C6" s="860"/>
      <c r="D6" s="868"/>
      <c r="E6" s="860"/>
      <c r="F6" s="821" t="s">
        <v>409</v>
      </c>
      <c r="G6" s="821" t="s">
        <v>411</v>
      </c>
      <c r="H6" s="821" t="s">
        <v>412</v>
      </c>
      <c r="I6" s="821" t="s">
        <v>409</v>
      </c>
      <c r="J6" s="821" t="s">
        <v>411</v>
      </c>
      <c r="K6" s="821" t="s">
        <v>412</v>
      </c>
      <c r="L6" s="821" t="s">
        <v>409</v>
      </c>
      <c r="M6" s="821" t="s">
        <v>411</v>
      </c>
      <c r="N6" s="821" t="s">
        <v>412</v>
      </c>
      <c r="O6" s="460" t="s">
        <v>409</v>
      </c>
      <c r="P6" s="460" t="s">
        <v>411</v>
      </c>
      <c r="Q6" s="460" t="s">
        <v>412</v>
      </c>
      <c r="R6" s="459" t="s">
        <v>409</v>
      </c>
      <c r="S6" s="460" t="s">
        <v>411</v>
      </c>
      <c r="T6" s="462" t="s">
        <v>412</v>
      </c>
      <c r="U6" s="461" t="s">
        <v>409</v>
      </c>
      <c r="V6" s="460" t="s">
        <v>411</v>
      </c>
      <c r="W6" s="461" t="s">
        <v>412</v>
      </c>
      <c r="X6" s="459" t="s">
        <v>409</v>
      </c>
      <c r="Y6" s="460" t="s">
        <v>411</v>
      </c>
      <c r="Z6" s="462" t="s">
        <v>412</v>
      </c>
      <c r="AA6" s="459" t="s">
        <v>409</v>
      </c>
      <c r="AB6" s="460" t="s">
        <v>411</v>
      </c>
      <c r="AC6" s="462" t="s">
        <v>412</v>
      </c>
      <c r="AD6" s="459" t="s">
        <v>409</v>
      </c>
      <c r="AE6" s="460" t="s">
        <v>411</v>
      </c>
      <c r="AF6" s="462" t="s">
        <v>412</v>
      </c>
      <c r="AG6" s="459" t="s">
        <v>409</v>
      </c>
      <c r="AH6" s="460" t="s">
        <v>411</v>
      </c>
      <c r="AI6" s="462" t="s">
        <v>412</v>
      </c>
      <c r="AJ6" s="459" t="s">
        <v>409</v>
      </c>
      <c r="AK6" s="460" t="s">
        <v>411</v>
      </c>
      <c r="AL6" s="462" t="s">
        <v>412</v>
      </c>
      <c r="AM6" s="459" t="s">
        <v>409</v>
      </c>
      <c r="AN6" s="460" t="s">
        <v>411</v>
      </c>
      <c r="AO6" s="462" t="s">
        <v>412</v>
      </c>
      <c r="AP6" s="459" t="s">
        <v>409</v>
      </c>
      <c r="AQ6" s="460" t="s">
        <v>411</v>
      </c>
      <c r="AR6" s="462" t="s">
        <v>412</v>
      </c>
      <c r="AS6" s="459" t="s">
        <v>409</v>
      </c>
      <c r="AT6" s="460" t="s">
        <v>411</v>
      </c>
      <c r="AU6" s="462" t="s">
        <v>412</v>
      </c>
    </row>
    <row r="7" spans="1:65" s="4" customFormat="1" ht="23.25" customHeight="1" x14ac:dyDescent="0.25">
      <c r="A7" s="710">
        <v>42340</v>
      </c>
      <c r="B7" s="4" t="s">
        <v>454</v>
      </c>
      <c r="C7" s="4" t="s">
        <v>454</v>
      </c>
      <c r="D7" s="4" t="s">
        <v>380</v>
      </c>
      <c r="E7" s="4" t="s">
        <v>237</v>
      </c>
      <c r="F7" s="708"/>
      <c r="G7" s="504"/>
      <c r="H7" s="709"/>
      <c r="I7" s="708">
        <v>855</v>
      </c>
      <c r="J7" s="504"/>
      <c r="K7" s="709"/>
      <c r="L7" s="708">
        <v>153</v>
      </c>
      <c r="M7" s="504"/>
      <c r="N7" s="709"/>
      <c r="O7" s="708">
        <v>2641</v>
      </c>
      <c r="P7" s="504"/>
      <c r="Q7" s="504"/>
      <c r="R7" s="708">
        <v>1147</v>
      </c>
      <c r="S7" s="504"/>
      <c r="T7" s="709"/>
      <c r="U7" s="4">
        <v>4139</v>
      </c>
      <c r="X7" s="708">
        <v>976</v>
      </c>
      <c r="Y7" s="504"/>
      <c r="Z7" s="709"/>
      <c r="AA7" s="708">
        <v>855</v>
      </c>
      <c r="AB7" s="504"/>
      <c r="AC7" s="709"/>
      <c r="AD7" s="708">
        <v>834</v>
      </c>
      <c r="AE7" s="504"/>
      <c r="AF7" s="709"/>
      <c r="AG7" s="708">
        <v>4192</v>
      </c>
      <c r="AH7" s="504"/>
      <c r="AI7" s="709"/>
      <c r="AJ7" s="708"/>
      <c r="AK7" s="504"/>
      <c r="AL7" s="709"/>
      <c r="AM7" s="708"/>
      <c r="AN7" s="504"/>
      <c r="AO7" s="709"/>
      <c r="AP7" s="708"/>
      <c r="AQ7" s="504"/>
      <c r="AR7" s="709"/>
      <c r="AS7" s="708">
        <v>348</v>
      </c>
      <c r="AT7" s="504"/>
      <c r="AU7" s="709"/>
    </row>
    <row r="8" spans="1:65" s="4" customFormat="1" ht="23.25" customHeight="1" x14ac:dyDescent="0.25">
      <c r="A8" s="710">
        <v>42299</v>
      </c>
      <c r="B8" s="4" t="s">
        <v>454</v>
      </c>
      <c r="C8" s="4" t="s">
        <v>454</v>
      </c>
      <c r="D8" s="4" t="s">
        <v>380</v>
      </c>
      <c r="E8" s="4" t="s">
        <v>5</v>
      </c>
      <c r="F8" s="708"/>
      <c r="G8" s="504"/>
      <c r="H8" s="709"/>
      <c r="I8" s="708">
        <v>203</v>
      </c>
      <c r="J8" s="504"/>
      <c r="K8" s="709"/>
      <c r="L8" s="708">
        <v>103</v>
      </c>
      <c r="M8" s="504"/>
      <c r="N8" s="709"/>
      <c r="O8" s="708">
        <v>665</v>
      </c>
      <c r="P8" s="504"/>
      <c r="Q8" s="504"/>
      <c r="R8" s="708">
        <v>328</v>
      </c>
      <c r="S8" s="504"/>
      <c r="T8" s="709"/>
      <c r="U8" s="4">
        <v>498</v>
      </c>
      <c r="X8" s="708">
        <v>205</v>
      </c>
      <c r="Y8" s="504"/>
      <c r="Z8" s="709"/>
      <c r="AA8" s="708">
        <v>183</v>
      </c>
      <c r="AB8" s="504"/>
      <c r="AC8" s="709"/>
      <c r="AD8" s="708">
        <v>106</v>
      </c>
      <c r="AE8" s="504"/>
      <c r="AF8" s="709"/>
      <c r="AG8" s="708">
        <v>654</v>
      </c>
      <c r="AH8" s="504"/>
      <c r="AI8" s="709"/>
      <c r="AJ8" s="708"/>
      <c r="AK8" s="504"/>
      <c r="AL8" s="709"/>
      <c r="AM8" s="708"/>
      <c r="AN8" s="504"/>
      <c r="AO8" s="709"/>
      <c r="AP8" s="708"/>
      <c r="AQ8" s="504"/>
      <c r="AR8" s="709"/>
      <c r="AS8" s="708">
        <v>705</v>
      </c>
      <c r="AT8" s="504"/>
      <c r="AU8" s="709"/>
    </row>
    <row r="9" spans="1:65" ht="23.25" customHeight="1" x14ac:dyDescent="0.25">
      <c r="A9" s="135">
        <v>41888</v>
      </c>
      <c r="B9" s="129" t="s">
        <v>454</v>
      </c>
      <c r="C9" s="129" t="s">
        <v>454</v>
      </c>
      <c r="D9" s="129" t="s">
        <v>380</v>
      </c>
      <c r="E9" s="129"/>
      <c r="P9" s="1">
        <v>20000</v>
      </c>
      <c r="S9" s="1">
        <v>10000</v>
      </c>
      <c r="U9" s="129"/>
      <c r="V9" s="129">
        <v>20000</v>
      </c>
      <c r="W9" s="129"/>
      <c r="Y9" s="1">
        <v>10000</v>
      </c>
      <c r="AB9" s="1">
        <v>10000</v>
      </c>
      <c r="AE9" s="1">
        <v>10000</v>
      </c>
      <c r="AH9" s="1">
        <v>50000</v>
      </c>
    </row>
    <row r="10" spans="1:65" ht="23.25" customHeight="1" x14ac:dyDescent="0.25"/>
    <row r="11" spans="1:65" ht="23.25" customHeight="1" x14ac:dyDescent="0.25"/>
    <row r="12" spans="1:65" ht="23.25" customHeight="1" x14ac:dyDescent="0.25"/>
    <row r="13" spans="1:65" ht="23.25" customHeight="1" x14ac:dyDescent="0.25"/>
    <row r="14" spans="1:65" ht="23.25" customHeight="1" x14ac:dyDescent="0.25"/>
    <row r="15" spans="1:65" ht="23.25" customHeight="1" x14ac:dyDescent="0.25"/>
    <row r="16" spans="1:65"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sheetData>
  <mergeCells count="20">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 ref="AS5:AU5"/>
    <mergeCell ref="AJ5:AL5"/>
    <mergeCell ref="AM5:AO5"/>
    <mergeCell ref="AP5:AR5"/>
    <mergeCell ref="C5:C6"/>
  </mergeCells>
  <pageMargins left="0.25" right="0.25" top="0.75" bottom="0.75" header="0.3" footer="0.3"/>
  <pageSetup paperSize="9"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440</v>
      </c>
      <c r="B1" t="s">
        <v>413</v>
      </c>
      <c r="C1" t="s">
        <v>403</v>
      </c>
      <c r="D1" t="s">
        <v>414</v>
      </c>
      <c r="E1" t="s">
        <v>396</v>
      </c>
      <c r="F1" t="s">
        <v>0</v>
      </c>
      <c r="G1" t="s">
        <v>395</v>
      </c>
      <c r="H1" t="s">
        <v>457</v>
      </c>
      <c r="I1" t="s">
        <v>405</v>
      </c>
      <c r="J1" t="s">
        <v>458</v>
      </c>
      <c r="K1" t="s">
        <v>597</v>
      </c>
      <c r="L1" t="s">
        <v>459</v>
      </c>
      <c r="M1" t="s">
        <v>436</v>
      </c>
      <c r="N1" t="s">
        <v>437</v>
      </c>
      <c r="O1" t="s">
        <v>1241</v>
      </c>
      <c r="P1" t="s">
        <v>579</v>
      </c>
      <c r="Q1" t="s">
        <v>580</v>
      </c>
      <c r="R1" t="s">
        <v>994</v>
      </c>
      <c r="S1" t="s">
        <v>998</v>
      </c>
      <c r="T1" t="s">
        <v>1002</v>
      </c>
      <c r="U1" t="s">
        <v>1120</v>
      </c>
      <c r="V1" t="s">
        <v>1151</v>
      </c>
      <c r="W1" t="s">
        <v>1152</v>
      </c>
      <c r="X1" t="s">
        <v>1153</v>
      </c>
      <c r="Y1" t="s">
        <v>1154</v>
      </c>
      <c r="Z1" t="s">
        <v>1155</v>
      </c>
      <c r="AA1" t="s">
        <v>1157</v>
      </c>
      <c r="AB1" t="s">
        <v>1156</v>
      </c>
      <c r="AC1" t="s">
        <v>1242</v>
      </c>
      <c r="AD1" t="s">
        <v>1158</v>
      </c>
      <c r="AE1" t="s">
        <v>1159</v>
      </c>
      <c r="AF1" t="s">
        <v>1160</v>
      </c>
      <c r="AG1" t="s">
        <v>1161</v>
      </c>
      <c r="AH1" t="s">
        <v>1162</v>
      </c>
      <c r="AI1" t="s">
        <v>1163</v>
      </c>
      <c r="AJ1" t="s">
        <v>1166</v>
      </c>
      <c r="AK1" t="s">
        <v>560</v>
      </c>
      <c r="AL1" t="s">
        <v>1150</v>
      </c>
      <c r="AM1" t="s">
        <v>500</v>
      </c>
      <c r="AN1" t="s">
        <v>1087</v>
      </c>
      <c r="AO1" t="s">
        <v>442</v>
      </c>
      <c r="AP1" t="s">
        <v>1098</v>
      </c>
      <c r="AQ1" t="s">
        <v>498</v>
      </c>
    </row>
    <row r="2" spans="1:43" x14ac:dyDescent="0.25">
      <c r="A2">
        <v>15.566666666666666</v>
      </c>
      <c r="B2" s="188">
        <v>41750</v>
      </c>
      <c r="C2" t="s">
        <v>454</v>
      </c>
      <c r="E2" t="s">
        <v>555</v>
      </c>
      <c r="F2" t="s">
        <v>289</v>
      </c>
      <c r="G2" t="s">
        <v>1062</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1063</v>
      </c>
      <c r="AL2">
        <v>1</v>
      </c>
      <c r="AM2" t="s">
        <v>502</v>
      </c>
      <c r="AN2" t="s">
        <v>1100</v>
      </c>
      <c r="AO2">
        <v>1.1951219512195121</v>
      </c>
    </row>
    <row r="3" spans="1:43" x14ac:dyDescent="0.25">
      <c r="A3">
        <v>15.566666666666666</v>
      </c>
      <c r="B3" s="188">
        <v>41750</v>
      </c>
      <c r="C3" t="s">
        <v>454</v>
      </c>
      <c r="E3" t="s">
        <v>555</v>
      </c>
      <c r="F3" t="s">
        <v>289</v>
      </c>
      <c r="G3" t="s">
        <v>1062</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1063</v>
      </c>
      <c r="AL3">
        <v>1</v>
      </c>
      <c r="AM3" t="s">
        <v>502</v>
      </c>
      <c r="AN3" t="s">
        <v>1100</v>
      </c>
      <c r="AO3">
        <v>2.4390243902439025E-2</v>
      </c>
      <c r="AQ3" t="s">
        <v>1255</v>
      </c>
    </row>
    <row r="4" spans="1:43" x14ac:dyDescent="0.25">
      <c r="A4">
        <v>14.866666666666667</v>
      </c>
      <c r="B4" s="188">
        <v>41771</v>
      </c>
      <c r="C4" t="s">
        <v>454</v>
      </c>
      <c r="E4" t="s">
        <v>555</v>
      </c>
      <c r="F4" t="s">
        <v>230</v>
      </c>
      <c r="G4" t="s">
        <v>1070</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1071</v>
      </c>
      <c r="AL4">
        <v>1</v>
      </c>
      <c r="AM4" t="s">
        <v>502</v>
      </c>
      <c r="AN4" t="s">
        <v>1100</v>
      </c>
      <c r="AO4">
        <v>1.3666666666666667</v>
      </c>
    </row>
    <row r="5" spans="1:43" x14ac:dyDescent="0.25">
      <c r="A5">
        <v>14.866666666666667</v>
      </c>
      <c r="B5" s="188">
        <v>41771</v>
      </c>
      <c r="C5" t="s">
        <v>454</v>
      </c>
      <c r="E5" t="s">
        <v>555</v>
      </c>
      <c r="F5" t="s">
        <v>230</v>
      </c>
      <c r="G5" t="s">
        <v>1070</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1071</v>
      </c>
      <c r="AL5">
        <v>1</v>
      </c>
      <c r="AM5" t="s">
        <v>502</v>
      </c>
      <c r="AN5" t="s">
        <v>1100</v>
      </c>
      <c r="AO5">
        <v>0.3</v>
      </c>
      <c r="AQ5" t="s">
        <v>1255</v>
      </c>
    </row>
    <row r="6" spans="1:43" x14ac:dyDescent="0.25">
      <c r="A6">
        <v>14.9</v>
      </c>
      <c r="B6" s="188">
        <v>41770</v>
      </c>
      <c r="C6" t="s">
        <v>454</v>
      </c>
      <c r="E6" t="s">
        <v>555</v>
      </c>
      <c r="F6" t="s">
        <v>230</v>
      </c>
      <c r="G6" t="s">
        <v>1060</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1061</v>
      </c>
      <c r="AL6">
        <v>1</v>
      </c>
      <c r="AM6" t="s">
        <v>502</v>
      </c>
      <c r="AN6" t="s">
        <v>1100</v>
      </c>
      <c r="AO6">
        <v>1.3278688524590163</v>
      </c>
    </row>
    <row r="7" spans="1:43" x14ac:dyDescent="0.25">
      <c r="A7">
        <v>14.9</v>
      </c>
      <c r="B7" s="188">
        <v>41770</v>
      </c>
      <c r="C7" t="s">
        <v>454</v>
      </c>
      <c r="E7" t="s">
        <v>555</v>
      </c>
      <c r="F7" t="s">
        <v>230</v>
      </c>
      <c r="G7" t="s">
        <v>1060</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1061</v>
      </c>
      <c r="AL7">
        <v>1</v>
      </c>
      <c r="AM7" t="s">
        <v>502</v>
      </c>
      <c r="AN7" t="s">
        <v>1100</v>
      </c>
      <c r="AO7">
        <v>0.31147540983606559</v>
      </c>
      <c r="AQ7" t="s">
        <v>1255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79"/>
  <sheetViews>
    <sheetView showZeros="0" zoomScale="70" zoomScaleNormal="70" workbookViewId="0">
      <pane ySplit="2" topLeftCell="A5" activePane="bottomLeft" state="frozen"/>
      <selection pane="bottomLeft" activeCell="G21" sqref="G21"/>
    </sheetView>
  </sheetViews>
  <sheetFormatPr defaultRowHeight="15" x14ac:dyDescent="0.25"/>
  <cols>
    <col min="1" max="1" width="17.85546875" customWidth="1"/>
    <col min="2" max="2" width="25" customWidth="1"/>
    <col min="3" max="3" width="11.140625" customWidth="1"/>
    <col min="4" max="4" width="10.28515625" customWidth="1"/>
    <col min="5" max="5" width="15" customWidth="1"/>
    <col min="6" max="6" width="18.85546875" customWidth="1"/>
    <col min="7"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x14ac:dyDescent="0.25">
      <c r="A1" s="303"/>
      <c r="B1" s="304"/>
      <c r="C1" s="304"/>
      <c r="D1" s="304"/>
      <c r="E1" s="304"/>
      <c r="F1" s="304"/>
      <c r="G1" s="304"/>
      <c r="H1" s="304"/>
      <c r="I1" s="304"/>
      <c r="J1" s="304"/>
      <c r="K1" s="304"/>
      <c r="L1" s="304"/>
      <c r="M1" s="304"/>
      <c r="N1" s="305"/>
      <c r="O1" s="291"/>
      <c r="P1" s="291"/>
      <c r="Q1" s="291"/>
      <c r="R1" s="291"/>
      <c r="S1" s="291"/>
      <c r="T1" s="291"/>
      <c r="U1" s="291"/>
      <c r="V1" s="291"/>
      <c r="W1" s="291"/>
      <c r="X1" s="291"/>
      <c r="Y1" s="291"/>
      <c r="Z1" s="291"/>
      <c r="AA1" s="18"/>
      <c r="AB1" s="18"/>
      <c r="BF1" s="59"/>
      <c r="BG1" s="59"/>
    </row>
    <row r="2" spans="1:59" s="1" customFormat="1" ht="33.75" x14ac:dyDescent="0.35">
      <c r="A2" s="842" t="s">
        <v>460</v>
      </c>
      <c r="B2" s="843"/>
      <c r="C2" s="843"/>
      <c r="D2" s="843"/>
      <c r="E2" s="843"/>
      <c r="F2" s="843"/>
      <c r="G2" s="843"/>
      <c r="H2" s="843"/>
      <c r="I2" s="85"/>
      <c r="J2" s="85"/>
      <c r="K2" s="85"/>
      <c r="L2" s="85"/>
      <c r="M2" s="85"/>
      <c r="N2" s="306"/>
      <c r="O2" s="292"/>
      <c r="P2" s="18"/>
      <c r="Q2" s="18"/>
      <c r="R2" s="18"/>
      <c r="S2" s="18"/>
      <c r="T2" s="18"/>
      <c r="U2" s="18"/>
      <c r="V2" s="4"/>
      <c r="W2" s="4"/>
      <c r="X2" s="4"/>
      <c r="Y2" s="4"/>
      <c r="Z2" s="4"/>
      <c r="AA2" s="4"/>
      <c r="AB2" s="4"/>
      <c r="AC2" s="82"/>
      <c r="AD2" s="82"/>
      <c r="AE2" s="82"/>
      <c r="AF2" s="82"/>
      <c r="AG2" s="82"/>
      <c r="AH2" s="82"/>
      <c r="AI2" s="82"/>
      <c r="AJ2" s="82"/>
      <c r="AK2" s="82"/>
      <c r="AL2" s="82"/>
      <c r="AM2" s="82"/>
      <c r="AN2" s="82"/>
      <c r="AO2" s="82"/>
      <c r="AP2" s="82"/>
      <c r="AZ2" s="59"/>
      <c r="BA2" s="59"/>
    </row>
    <row r="3" spans="1:59" s="18" customFormat="1" ht="33.75" x14ac:dyDescent="0.35">
      <c r="A3" s="844">
        <f>Report_Date</f>
        <v>42309</v>
      </c>
      <c r="B3" s="845"/>
      <c r="C3" s="845"/>
      <c r="D3" s="845"/>
      <c r="E3" s="845"/>
      <c r="F3" s="845"/>
      <c r="G3" s="845"/>
      <c r="H3" s="845"/>
      <c r="I3" s="307"/>
      <c r="J3" s="307"/>
      <c r="K3" s="307"/>
      <c r="L3" s="307"/>
      <c r="M3" s="307"/>
      <c r="N3" s="308"/>
      <c r="O3" s="292"/>
      <c r="W3" s="4"/>
      <c r="X3" s="4"/>
      <c r="Y3" s="4"/>
      <c r="Z3" s="4"/>
      <c r="AA3" s="4"/>
      <c r="AB3" s="4"/>
      <c r="AC3" s="82"/>
      <c r="AD3" s="82"/>
      <c r="AE3" s="82"/>
      <c r="AF3" s="82"/>
      <c r="AG3" s="82"/>
      <c r="AH3" s="82"/>
      <c r="AI3" s="82"/>
      <c r="AJ3" s="82"/>
      <c r="AK3" s="82"/>
      <c r="AL3" s="82"/>
      <c r="AM3" s="82"/>
      <c r="AN3" s="82"/>
      <c r="AO3" s="82"/>
      <c r="AP3" s="82"/>
      <c r="AZ3" s="60"/>
      <c r="BA3" s="60"/>
    </row>
    <row r="4" spans="1:59" s="18" customFormat="1" ht="36" x14ac:dyDescent="0.25">
      <c r="A4" s="61"/>
      <c r="B4" s="61"/>
      <c r="C4" s="61"/>
      <c r="D4" s="45"/>
      <c r="E4" s="45"/>
      <c r="F4" s="45"/>
      <c r="G4" s="45"/>
      <c r="H4" s="45"/>
      <c r="I4" s="45"/>
      <c r="J4" s="45"/>
      <c r="L4" s="45"/>
      <c r="M4" s="45"/>
      <c r="N4" s="45"/>
      <c r="O4" s="45"/>
      <c r="P4" s="45"/>
      <c r="Q4" s="45"/>
      <c r="R4" s="45"/>
      <c r="S4" s="60"/>
      <c r="T4" s="45"/>
      <c r="U4" s="45"/>
      <c r="BF4" s="60"/>
      <c r="BG4" s="60"/>
    </row>
    <row r="5" spans="1:59" s="50" customFormat="1" ht="32.25" thickBot="1" x14ac:dyDescent="0.55000000000000004">
      <c r="A5" s="55" t="s">
        <v>380</v>
      </c>
      <c r="B5" s="57"/>
      <c r="C5" s="57"/>
      <c r="D5" s="57"/>
      <c r="E5" s="57"/>
      <c r="F5" s="57"/>
      <c r="G5" s="57"/>
      <c r="H5" s="57"/>
      <c r="I5" s="57"/>
      <c r="J5" s="57"/>
      <c r="K5" s="57"/>
      <c r="L5" s="57"/>
      <c r="M5" s="57"/>
      <c r="N5" s="57"/>
      <c r="O5" s="293"/>
      <c r="P5" s="293"/>
      <c r="Q5" s="293"/>
      <c r="R5" s="293"/>
      <c r="S5" s="293"/>
      <c r="T5" s="293"/>
      <c r="U5" s="293"/>
      <c r="V5" s="293"/>
      <c r="W5" s="293"/>
      <c r="X5" s="293"/>
      <c r="Y5" s="293"/>
      <c r="Z5" s="293"/>
      <c r="AA5" s="4"/>
      <c r="AB5" s="4"/>
    </row>
    <row r="6" spans="1:59" ht="25.5" x14ac:dyDescent="0.25">
      <c r="A6" s="878" t="s">
        <v>0</v>
      </c>
      <c r="B6" s="880" t="s">
        <v>427</v>
      </c>
      <c r="C6" s="880" t="s">
        <v>428</v>
      </c>
      <c r="D6" s="328" t="s">
        <v>485</v>
      </c>
      <c r="E6" s="328" t="s">
        <v>459</v>
      </c>
      <c r="F6" s="328" t="s">
        <v>436</v>
      </c>
      <c r="G6" s="328" t="s">
        <v>437</v>
      </c>
      <c r="H6" s="328" t="s">
        <v>486</v>
      </c>
      <c r="I6" s="328" t="s">
        <v>579</v>
      </c>
      <c r="J6" s="328" t="s">
        <v>580</v>
      </c>
      <c r="K6" s="328" t="s">
        <v>994</v>
      </c>
      <c r="L6" s="328" t="s">
        <v>998</v>
      </c>
      <c r="M6" s="328" t="s">
        <v>1002</v>
      </c>
      <c r="N6" s="97" t="s">
        <v>1002</v>
      </c>
      <c r="O6" s="4"/>
      <c r="P6" s="4"/>
      <c r="Q6" s="4"/>
      <c r="R6" s="4"/>
      <c r="S6" s="4"/>
      <c r="T6" s="4"/>
      <c r="U6" s="4"/>
      <c r="V6" s="4"/>
      <c r="W6" s="4"/>
      <c r="X6" s="4"/>
      <c r="Y6" s="4"/>
      <c r="Z6" s="4"/>
      <c r="AA6" s="4"/>
      <c r="AB6" s="4"/>
    </row>
    <row r="7" spans="1:59" x14ac:dyDescent="0.25">
      <c r="A7" s="879"/>
      <c r="B7" s="881"/>
      <c r="C7" s="881"/>
      <c r="D7" s="329" t="s">
        <v>438</v>
      </c>
      <c r="E7" s="329" t="s">
        <v>438</v>
      </c>
      <c r="F7" s="329" t="s">
        <v>438</v>
      </c>
      <c r="G7" s="329" t="s">
        <v>438</v>
      </c>
      <c r="H7" s="329" t="s">
        <v>438</v>
      </c>
      <c r="I7" s="329" t="s">
        <v>438</v>
      </c>
      <c r="J7" s="329" t="s">
        <v>438</v>
      </c>
      <c r="K7" s="329" t="s">
        <v>438</v>
      </c>
      <c r="L7" s="329" t="s">
        <v>438</v>
      </c>
      <c r="M7" s="329" t="s">
        <v>438</v>
      </c>
      <c r="N7" s="98" t="s">
        <v>438</v>
      </c>
      <c r="O7" s="4"/>
      <c r="P7" s="4"/>
      <c r="Q7" s="4"/>
      <c r="R7" s="4"/>
      <c r="S7" s="4"/>
      <c r="T7" s="4"/>
      <c r="U7" s="4"/>
      <c r="V7" s="4"/>
      <c r="W7" s="4"/>
      <c r="X7" s="4"/>
      <c r="Y7" s="4"/>
      <c r="Z7" s="4"/>
      <c r="AA7" s="4"/>
      <c r="AB7" s="4"/>
    </row>
    <row r="8" spans="1:59" x14ac:dyDescent="0.25">
      <c r="A8" s="464" t="s">
        <v>5</v>
      </c>
      <c r="B8" s="463">
        <f>SUMIFS(Camplist_HH,Camplist_Township,'NFI Distribution (by Tship)'!$A8,Camplist_Type_Of_Acc,"Camp")</f>
        <v>1367</v>
      </c>
      <c r="C8" s="463">
        <f>SUMIFS(Camplist_Popl,Camplist_Township,'NFI Distribution (by Tship)'!$A8,Camplist_Type_Of_Acc,"Camp")</f>
        <v>7196</v>
      </c>
      <c r="D8" s="34">
        <f t="shared" ref="D8:D28" si="0">SUMIF(NFI_Township,$A8,NFI_Mosquito_Track)</f>
        <v>4</v>
      </c>
      <c r="E8" s="34">
        <f t="shared" ref="E8:E28" si="1">SUMIF(NFI_Township,$A8,NFI_Tarpaulin_Track)</f>
        <v>40</v>
      </c>
      <c r="F8" s="34">
        <f t="shared" ref="F8:F28" si="2">SUMIF(NFI_Township,$A8,NFI_Blanket_Track)</f>
        <v>46</v>
      </c>
      <c r="G8" s="34">
        <f t="shared" ref="G8:G28" si="3">SUMIF(NFI_Township,$A8,NFI_Kitchen_Track)</f>
        <v>3</v>
      </c>
      <c r="H8" s="34">
        <f t="shared" ref="H8:H28" si="4">SUMIF(NFI_Township,$A8,NFI_Clothes_Track)</f>
        <v>0</v>
      </c>
      <c r="I8" s="34">
        <f t="shared" ref="I8:I28" si="5">SUMIF(NFI_Township,$A8,NFI_Plastic_Bucket_Track)</f>
        <v>3</v>
      </c>
      <c r="J8" s="34">
        <f t="shared" ref="J8:J28" si="6">SUMIF(NFI_Township,$A8,NFI_Plastic_Mat_Track)</f>
        <v>27.5</v>
      </c>
      <c r="K8" s="34">
        <f t="shared" ref="K8:K28" si="7">SUMIF(NFI_Township,$A8,NFI_Winter_Clothes_Adult_Track)</f>
        <v>0</v>
      </c>
      <c r="L8" s="34">
        <f t="shared" ref="L8:L28" si="8">SUMIF(NFI_Township,$A8,NFI_Winter_Clothes_Children_Track)</f>
        <v>0</v>
      </c>
      <c r="M8" s="34">
        <f t="shared" ref="M8:M28" si="9">SUMIF(NFI_Township,$A8,NFI_Winter_Items_Other_Track)</f>
        <v>0</v>
      </c>
      <c r="N8" s="465">
        <f t="shared" ref="N8:N28" si="10">SUMIF(NFI_Township,$A8,NFI_Winter_Blanket_Track)</f>
        <v>0</v>
      </c>
      <c r="O8" s="4"/>
      <c r="P8" s="4"/>
      <c r="Q8" s="4"/>
      <c r="R8" s="4"/>
      <c r="S8" s="4"/>
      <c r="T8" s="4"/>
      <c r="U8" s="4"/>
      <c r="V8" s="4"/>
      <c r="W8" s="4"/>
      <c r="X8" s="4"/>
      <c r="Y8" s="4"/>
      <c r="Z8" s="4"/>
      <c r="AA8" s="4"/>
      <c r="AB8" s="4"/>
    </row>
    <row r="9" spans="1:59" x14ac:dyDescent="0.25">
      <c r="A9" s="464" t="s">
        <v>27</v>
      </c>
      <c r="B9" s="463">
        <f>SUMIFS(Camplist_HH,Camplist_Township,'NFI Distribution (by Tship)'!$A9,Camplist_Type_Of_Acc,"Camp")</f>
        <v>511</v>
      </c>
      <c r="C9" s="463">
        <f>SUMIFS(Camplist_Popl,Camplist_Township,'NFI Distribution (by Tship)'!$A9,Camplist_Type_Of_Acc,"Camp")</f>
        <v>2570</v>
      </c>
      <c r="D9" s="34">
        <f t="shared" si="0"/>
        <v>0</v>
      </c>
      <c r="E9" s="34">
        <f t="shared" si="1"/>
        <v>0</v>
      </c>
      <c r="F9" s="34">
        <f t="shared" si="2"/>
        <v>0</v>
      </c>
      <c r="G9" s="34">
        <f t="shared" si="3"/>
        <v>0</v>
      </c>
      <c r="H9" s="34">
        <f t="shared" si="4"/>
        <v>0</v>
      </c>
      <c r="I9" s="34">
        <f t="shared" si="5"/>
        <v>0</v>
      </c>
      <c r="J9" s="34">
        <f t="shared" si="6"/>
        <v>0</v>
      </c>
      <c r="K9" s="34">
        <f t="shared" si="7"/>
        <v>1261</v>
      </c>
      <c r="L9" s="34">
        <f t="shared" si="8"/>
        <v>1084</v>
      </c>
      <c r="M9" s="34">
        <f t="shared" si="9"/>
        <v>0</v>
      </c>
      <c r="N9" s="465">
        <f t="shared" si="10"/>
        <v>859</v>
      </c>
      <c r="O9" s="4"/>
      <c r="P9" s="4"/>
      <c r="Q9" s="4"/>
      <c r="R9" s="4"/>
      <c r="S9" s="4"/>
      <c r="T9" s="4"/>
      <c r="U9" s="4"/>
      <c r="V9" s="4"/>
      <c r="W9" s="4"/>
      <c r="X9" s="4"/>
      <c r="Y9" s="4"/>
      <c r="Z9" s="4"/>
      <c r="AA9" s="4"/>
      <c r="AB9" s="4"/>
    </row>
    <row r="10" spans="1:59" x14ac:dyDescent="0.25">
      <c r="A10" s="464" t="s">
        <v>529</v>
      </c>
      <c r="B10" s="463">
        <f>SUMIFS(Camplist_HH,Camplist_Township,'NFI Distribution (by Tship)'!$A10,Camplist_Type_Of_Acc,"Camp")</f>
        <v>724</v>
      </c>
      <c r="C10" s="463">
        <f>SUMIFS(Camplist_Popl,Camplist_Township,'NFI Distribution (by Tship)'!$A10,Camplist_Type_Of_Acc,"Camp")</f>
        <v>3574</v>
      </c>
      <c r="D10" s="34">
        <f t="shared" si="0"/>
        <v>638</v>
      </c>
      <c r="E10" s="34">
        <f t="shared" si="1"/>
        <v>469</v>
      </c>
      <c r="F10" s="34">
        <f t="shared" si="2"/>
        <v>638</v>
      </c>
      <c r="G10" s="34">
        <f t="shared" si="3"/>
        <v>319</v>
      </c>
      <c r="H10" s="34">
        <f t="shared" si="4"/>
        <v>377</v>
      </c>
      <c r="I10" s="34">
        <f t="shared" si="5"/>
        <v>319</v>
      </c>
      <c r="J10" s="34">
        <f t="shared" si="6"/>
        <v>4852.5</v>
      </c>
      <c r="K10" s="34">
        <f t="shared" si="7"/>
        <v>354</v>
      </c>
      <c r="L10" s="34">
        <f t="shared" si="8"/>
        <v>171</v>
      </c>
      <c r="M10" s="34">
        <f t="shared" si="9"/>
        <v>0</v>
      </c>
      <c r="N10" s="465">
        <f t="shared" si="10"/>
        <v>400</v>
      </c>
    </row>
    <row r="11" spans="1:59" x14ac:dyDescent="0.25">
      <c r="A11" s="464" t="s">
        <v>784</v>
      </c>
      <c r="B11" s="463">
        <f>SUMIFS(Camplist_HH,Camplist_Township,'NFI Distribution (by Tship)'!$A11,Camplist_Type_Of_Acc,"Camp")</f>
        <v>44</v>
      </c>
      <c r="C11" s="463">
        <f>SUMIFS(Camplist_Popl,Camplist_Township,'NFI Distribution (by Tship)'!$A11,Camplist_Type_Of_Acc,"Camp")</f>
        <v>273</v>
      </c>
      <c r="D11" s="34">
        <f t="shared" si="0"/>
        <v>95</v>
      </c>
      <c r="E11" s="34">
        <f t="shared" si="1"/>
        <v>43</v>
      </c>
      <c r="F11" s="34">
        <f t="shared" si="2"/>
        <v>0</v>
      </c>
      <c r="G11" s="34">
        <f t="shared" si="3"/>
        <v>43</v>
      </c>
      <c r="H11" s="34">
        <f t="shared" si="4"/>
        <v>43</v>
      </c>
      <c r="I11" s="34">
        <f t="shared" si="5"/>
        <v>43</v>
      </c>
      <c r="J11" s="34">
        <f t="shared" si="6"/>
        <v>237.5</v>
      </c>
      <c r="K11" s="34">
        <f t="shared" si="7"/>
        <v>0</v>
      </c>
      <c r="L11" s="34">
        <f t="shared" si="8"/>
        <v>0</v>
      </c>
      <c r="M11" s="34">
        <f t="shared" si="9"/>
        <v>0</v>
      </c>
      <c r="N11" s="465">
        <f t="shared" si="10"/>
        <v>0</v>
      </c>
    </row>
    <row r="12" spans="1:59" x14ac:dyDescent="0.25">
      <c r="A12" s="464" t="s">
        <v>363</v>
      </c>
      <c r="B12" s="463">
        <f>SUMIFS(Camplist_HH,Camplist_Township,'NFI Distribution (by Tship)'!$A12,Camplist_Type_Of_Acc,"Camp")</f>
        <v>0</v>
      </c>
      <c r="C12" s="463">
        <f>SUMIFS(Camplist_Popl,Camplist_Township,'NFI Distribution (by Tship)'!$A12,Camplist_Type_Of_Acc,"Camp")</f>
        <v>0</v>
      </c>
      <c r="D12" s="34">
        <f t="shared" si="0"/>
        <v>0</v>
      </c>
      <c r="E12" s="34">
        <f t="shared" si="1"/>
        <v>0</v>
      </c>
      <c r="F12" s="34">
        <f t="shared" si="2"/>
        <v>0</v>
      </c>
      <c r="G12" s="34">
        <f t="shared" si="3"/>
        <v>0</v>
      </c>
      <c r="H12" s="34">
        <f t="shared" si="4"/>
        <v>0</v>
      </c>
      <c r="I12" s="34">
        <f t="shared" si="5"/>
        <v>0</v>
      </c>
      <c r="J12" s="34">
        <f t="shared" si="6"/>
        <v>0</v>
      </c>
      <c r="K12" s="34">
        <f t="shared" si="7"/>
        <v>0</v>
      </c>
      <c r="L12" s="34">
        <f t="shared" si="8"/>
        <v>0</v>
      </c>
      <c r="M12" s="34">
        <f t="shared" si="9"/>
        <v>0</v>
      </c>
      <c r="N12" s="465">
        <f t="shared" si="10"/>
        <v>0</v>
      </c>
    </row>
    <row r="13" spans="1:59" s="82" customFormat="1" x14ac:dyDescent="0.25">
      <c r="A13" s="464" t="s">
        <v>144</v>
      </c>
      <c r="B13" s="463">
        <f>SUMIFS(Camplist_HH,Camplist_Township,'NFI Distribution (by Tship)'!$A13,Camplist_Type_Of_Acc,"Camp")</f>
        <v>11</v>
      </c>
      <c r="C13" s="463">
        <f>SUMIFS(Camplist_Popl,Camplist_Township,'NFI Distribution (by Tship)'!$A13,Camplist_Type_Of_Acc,"Camp")</f>
        <v>17</v>
      </c>
      <c r="D13" s="34">
        <f t="shared" si="0"/>
        <v>0</v>
      </c>
      <c r="E13" s="34">
        <f t="shared" si="1"/>
        <v>0</v>
      </c>
      <c r="F13" s="34">
        <f t="shared" si="2"/>
        <v>0</v>
      </c>
      <c r="G13" s="34">
        <f t="shared" si="3"/>
        <v>0</v>
      </c>
      <c r="H13" s="34">
        <f t="shared" si="4"/>
        <v>0</v>
      </c>
      <c r="I13" s="34">
        <f t="shared" si="5"/>
        <v>0</v>
      </c>
      <c r="J13" s="34">
        <f t="shared" si="6"/>
        <v>0</v>
      </c>
      <c r="K13" s="34">
        <f t="shared" si="7"/>
        <v>0</v>
      </c>
      <c r="L13" s="34">
        <f t="shared" si="8"/>
        <v>0</v>
      </c>
      <c r="M13" s="34">
        <f t="shared" si="9"/>
        <v>0</v>
      </c>
      <c r="N13" s="465">
        <f t="shared" si="10"/>
        <v>0</v>
      </c>
    </row>
    <row r="14" spans="1:59" s="82" customFormat="1" x14ac:dyDescent="0.25">
      <c r="A14" s="464" t="s">
        <v>146</v>
      </c>
      <c r="B14" s="463">
        <f>SUMIFS(Camplist_HH,Camplist_Township,'NFI Distribution (by Tship)'!$A14,Camplist_Type_Of_Acc,"Camp")</f>
        <v>686</v>
      </c>
      <c r="C14" s="463">
        <f>SUMIFS(Camplist_Popl,Camplist_Township,'NFI Distribution (by Tship)'!$A14,Camplist_Type_Of_Acc,"Camp")</f>
        <v>3291</v>
      </c>
      <c r="D14" s="34">
        <f t="shared" si="0"/>
        <v>108</v>
      </c>
      <c r="E14" s="34">
        <f t="shared" si="1"/>
        <v>54</v>
      </c>
      <c r="F14" s="34">
        <f t="shared" si="2"/>
        <v>0</v>
      </c>
      <c r="G14" s="34">
        <f t="shared" si="3"/>
        <v>54</v>
      </c>
      <c r="H14" s="34">
        <f t="shared" si="4"/>
        <v>54</v>
      </c>
      <c r="I14" s="34">
        <f t="shared" si="5"/>
        <v>54</v>
      </c>
      <c r="J14" s="34">
        <f t="shared" si="6"/>
        <v>270</v>
      </c>
      <c r="K14" s="34">
        <f t="shared" si="7"/>
        <v>0</v>
      </c>
      <c r="L14" s="34">
        <f t="shared" si="8"/>
        <v>0</v>
      </c>
      <c r="M14" s="34">
        <f t="shared" si="9"/>
        <v>0</v>
      </c>
      <c r="N14" s="465">
        <f t="shared" si="10"/>
        <v>108</v>
      </c>
    </row>
    <row r="15" spans="1:59" s="82" customFormat="1" x14ac:dyDescent="0.25">
      <c r="A15" s="464" t="s">
        <v>899</v>
      </c>
      <c r="B15" s="463">
        <f>SUMIFS(Camplist_HH,Camplist_Township,'NFI Distribution (by Tship)'!$A15,Camplist_Type_Of_Acc,"Camp")</f>
        <v>0</v>
      </c>
      <c r="C15" s="463">
        <f>SUMIFS(Camplist_Popl,Camplist_Township,'NFI Distribution (by Tship)'!$A15,Camplist_Type_Of_Acc,"Camp")</f>
        <v>0</v>
      </c>
      <c r="D15" s="34">
        <f t="shared" si="0"/>
        <v>0</v>
      </c>
      <c r="E15" s="34">
        <f t="shared" si="1"/>
        <v>0</v>
      </c>
      <c r="F15" s="34">
        <f t="shared" si="2"/>
        <v>0</v>
      </c>
      <c r="G15" s="34">
        <f t="shared" si="3"/>
        <v>0</v>
      </c>
      <c r="H15" s="34">
        <f t="shared" si="4"/>
        <v>0</v>
      </c>
      <c r="I15" s="34">
        <f t="shared" si="5"/>
        <v>0</v>
      </c>
      <c r="J15" s="34">
        <f t="shared" si="6"/>
        <v>0</v>
      </c>
      <c r="K15" s="34">
        <f t="shared" si="7"/>
        <v>0</v>
      </c>
      <c r="L15" s="34">
        <f t="shared" si="8"/>
        <v>0</v>
      </c>
      <c r="M15" s="34">
        <f t="shared" si="9"/>
        <v>0</v>
      </c>
      <c r="N15" s="465">
        <f t="shared" si="10"/>
        <v>0</v>
      </c>
    </row>
    <row r="16" spans="1:59" s="82" customFormat="1" x14ac:dyDescent="0.25">
      <c r="A16" s="464" t="s">
        <v>151</v>
      </c>
      <c r="B16" s="463">
        <f>SUMIFS(Camplist_HH,Camplist_Township,'NFI Distribution (by Tship)'!$A16,Camplist_Type_Of_Acc,"Camp")</f>
        <v>2477</v>
      </c>
      <c r="C16" s="463">
        <f>SUMIFS(Camplist_Popl,Camplist_Township,'NFI Distribution (by Tship)'!$A16,Camplist_Type_Of_Acc,"Camp")</f>
        <v>11344</v>
      </c>
      <c r="D16" s="34">
        <f t="shared" si="0"/>
        <v>1990</v>
      </c>
      <c r="E16" s="34">
        <f t="shared" si="1"/>
        <v>296</v>
      </c>
      <c r="F16" s="34">
        <f t="shared" si="2"/>
        <v>2211</v>
      </c>
      <c r="G16" s="34">
        <f t="shared" si="3"/>
        <v>257</v>
      </c>
      <c r="H16" s="34">
        <f t="shared" si="4"/>
        <v>77</v>
      </c>
      <c r="I16" s="34">
        <f t="shared" si="5"/>
        <v>194</v>
      </c>
      <c r="J16" s="34">
        <f t="shared" si="6"/>
        <v>3805</v>
      </c>
      <c r="K16" s="34">
        <f t="shared" si="7"/>
        <v>0</v>
      </c>
      <c r="L16" s="34">
        <f t="shared" si="8"/>
        <v>0</v>
      </c>
      <c r="M16" s="34">
        <f t="shared" si="9"/>
        <v>0</v>
      </c>
      <c r="N16" s="465">
        <f t="shared" si="10"/>
        <v>51</v>
      </c>
    </row>
    <row r="17" spans="1:15" x14ac:dyDescent="0.25">
      <c r="A17" s="464" t="s">
        <v>166</v>
      </c>
      <c r="B17" s="463">
        <f>SUMIFS(Camplist_HH,Camplist_Township,'NFI Distribution (by Tship)'!$A17,Camplist_Type_Of_Acc,"Camp")</f>
        <v>69</v>
      </c>
      <c r="C17" s="463">
        <f>SUMIFS(Camplist_Popl,Camplist_Township,'NFI Distribution (by Tship)'!$A17,Camplist_Type_Of_Acc,"Camp")</f>
        <v>355</v>
      </c>
      <c r="D17" s="34">
        <f t="shared" si="0"/>
        <v>0</v>
      </c>
      <c r="E17" s="34">
        <f t="shared" si="1"/>
        <v>0</v>
      </c>
      <c r="F17" s="34">
        <f t="shared" si="2"/>
        <v>0</v>
      </c>
      <c r="G17" s="34">
        <f t="shared" si="3"/>
        <v>0</v>
      </c>
      <c r="H17" s="34">
        <f t="shared" si="4"/>
        <v>0</v>
      </c>
      <c r="I17" s="34">
        <f t="shared" si="5"/>
        <v>0</v>
      </c>
      <c r="J17" s="34">
        <f t="shared" si="6"/>
        <v>0</v>
      </c>
      <c r="K17" s="34">
        <f t="shared" si="7"/>
        <v>0</v>
      </c>
      <c r="L17" s="34">
        <f t="shared" si="8"/>
        <v>0</v>
      </c>
      <c r="M17" s="34">
        <f t="shared" si="9"/>
        <v>0</v>
      </c>
      <c r="N17" s="465">
        <f t="shared" si="10"/>
        <v>0</v>
      </c>
    </row>
    <row r="18" spans="1:15" x14ac:dyDescent="0.25">
      <c r="A18" s="464" t="s">
        <v>173</v>
      </c>
      <c r="B18" s="463">
        <f>SUMIFS(Camplist_HH,Camplist_Township,'NFI Distribution (by Tship)'!$A18,Camplist_Type_Of_Acc,"Camp")</f>
        <v>57</v>
      </c>
      <c r="C18" s="463">
        <f>SUMIFS(Camplist_Popl,Camplist_Township,'NFI Distribution (by Tship)'!$A18,Camplist_Type_Of_Acc,"Camp")</f>
        <v>231</v>
      </c>
      <c r="D18" s="34">
        <f t="shared" si="0"/>
        <v>14</v>
      </c>
      <c r="E18" s="34">
        <f t="shared" si="1"/>
        <v>29</v>
      </c>
      <c r="F18" s="34">
        <f t="shared" si="2"/>
        <v>0</v>
      </c>
      <c r="G18" s="34">
        <f t="shared" si="3"/>
        <v>0</v>
      </c>
      <c r="H18" s="34">
        <f t="shared" si="4"/>
        <v>0</v>
      </c>
      <c r="I18" s="34">
        <f t="shared" si="5"/>
        <v>0</v>
      </c>
      <c r="J18" s="34">
        <f t="shared" si="6"/>
        <v>62.5</v>
      </c>
      <c r="K18" s="34">
        <f t="shared" si="7"/>
        <v>0</v>
      </c>
      <c r="L18" s="34">
        <f t="shared" si="8"/>
        <v>0</v>
      </c>
      <c r="M18" s="34">
        <f t="shared" si="9"/>
        <v>0</v>
      </c>
      <c r="N18" s="465">
        <f t="shared" si="10"/>
        <v>0</v>
      </c>
    </row>
    <row r="19" spans="1:15" x14ac:dyDescent="0.25">
      <c r="A19" s="464" t="s">
        <v>180</v>
      </c>
      <c r="B19" s="463">
        <f>SUMIFS(Camplist_HH,Camplist_Township,'NFI Distribution (by Tship)'!$A19,Camplist_Type_Of_Acc,"Camp")</f>
        <v>30</v>
      </c>
      <c r="C19" s="463">
        <f>SUMIFS(Camplist_Popl,Camplist_Township,'NFI Distribution (by Tship)'!$A19,Camplist_Type_Of_Acc,"Camp")</f>
        <v>193</v>
      </c>
      <c r="D19" s="34">
        <f t="shared" si="0"/>
        <v>0</v>
      </c>
      <c r="E19" s="34">
        <f t="shared" si="1"/>
        <v>0</v>
      </c>
      <c r="F19" s="34">
        <f t="shared" si="2"/>
        <v>0</v>
      </c>
      <c r="G19" s="34">
        <f t="shared" si="3"/>
        <v>0</v>
      </c>
      <c r="H19" s="34">
        <f t="shared" si="4"/>
        <v>0</v>
      </c>
      <c r="I19" s="34">
        <f t="shared" si="5"/>
        <v>0</v>
      </c>
      <c r="J19" s="34">
        <f t="shared" si="6"/>
        <v>0</v>
      </c>
      <c r="K19" s="34">
        <f t="shared" si="7"/>
        <v>0</v>
      </c>
      <c r="L19" s="34">
        <f t="shared" si="8"/>
        <v>0</v>
      </c>
      <c r="M19" s="34">
        <f t="shared" si="9"/>
        <v>0</v>
      </c>
      <c r="N19" s="465">
        <f t="shared" si="10"/>
        <v>0</v>
      </c>
    </row>
    <row r="20" spans="1:15" x14ac:dyDescent="0.25">
      <c r="A20" s="464" t="s">
        <v>185</v>
      </c>
      <c r="B20" s="463">
        <f>SUMIFS(Camplist_HH,Camplist_Township,'NFI Distribution (by Tship)'!$A20,Camplist_Type_Of_Acc,"Camp")</f>
        <v>4550</v>
      </c>
      <c r="C20" s="463">
        <f>SUMIFS(Camplist_Popl,Camplist_Township,'NFI Distribution (by Tship)'!$A20,Camplist_Type_Of_Acc,"Camp")</f>
        <v>22714</v>
      </c>
      <c r="D20" s="34">
        <f t="shared" si="0"/>
        <v>80</v>
      </c>
      <c r="E20" s="34">
        <f t="shared" si="1"/>
        <v>229</v>
      </c>
      <c r="F20" s="34">
        <f t="shared" si="2"/>
        <v>358</v>
      </c>
      <c r="G20" s="34">
        <f t="shared" si="3"/>
        <v>35</v>
      </c>
      <c r="H20" s="34">
        <f t="shared" si="4"/>
        <v>0</v>
      </c>
      <c r="I20" s="34">
        <f t="shared" si="5"/>
        <v>35</v>
      </c>
      <c r="J20" s="34">
        <f t="shared" si="6"/>
        <v>2092.5</v>
      </c>
      <c r="K20" s="34">
        <f t="shared" si="7"/>
        <v>4110</v>
      </c>
      <c r="L20" s="34">
        <f t="shared" si="8"/>
        <v>6798</v>
      </c>
      <c r="M20" s="34">
        <f t="shared" si="9"/>
        <v>0</v>
      </c>
      <c r="N20" s="465">
        <f t="shared" si="10"/>
        <v>4369</v>
      </c>
    </row>
    <row r="21" spans="1:15" x14ac:dyDescent="0.25">
      <c r="A21" s="464" t="s">
        <v>230</v>
      </c>
      <c r="B21" s="463">
        <f>SUMIFS(Camplist_HH,Camplist_Township,'NFI Distribution (by Tship)'!$A21,Camplist_Type_Of_Acc,"Camp")</f>
        <v>103</v>
      </c>
      <c r="C21" s="463">
        <f>SUMIFS(Camplist_Popl,Camplist_Township,'NFI Distribution (by Tship)'!$A21,Camplist_Type_Of_Acc,"Camp")</f>
        <v>521</v>
      </c>
      <c r="D21" s="34">
        <f t="shared" si="0"/>
        <v>0</v>
      </c>
      <c r="E21" s="34">
        <f t="shared" si="1"/>
        <v>0</v>
      </c>
      <c r="F21" s="34">
        <f t="shared" si="2"/>
        <v>0</v>
      </c>
      <c r="G21" s="34">
        <f t="shared" si="3"/>
        <v>0</v>
      </c>
      <c r="H21" s="34">
        <f t="shared" si="4"/>
        <v>0</v>
      </c>
      <c r="I21" s="34">
        <f t="shared" si="5"/>
        <v>0</v>
      </c>
      <c r="J21" s="34">
        <f t="shared" si="6"/>
        <v>0</v>
      </c>
      <c r="K21" s="34">
        <f t="shared" si="7"/>
        <v>0</v>
      </c>
      <c r="L21" s="34">
        <f t="shared" si="8"/>
        <v>0</v>
      </c>
      <c r="M21" s="34">
        <f t="shared" si="9"/>
        <v>0</v>
      </c>
      <c r="N21" s="465">
        <f t="shared" si="10"/>
        <v>0</v>
      </c>
    </row>
    <row r="22" spans="1:15" x14ac:dyDescent="0.25">
      <c r="A22" s="464" t="s">
        <v>237</v>
      </c>
      <c r="B22" s="463">
        <f>SUMIFS(Camplist_HH,Camplist_Township,'NFI Distribution (by Tship)'!$A22,Camplist_Type_Of_Acc,"Camp")</f>
        <v>1524</v>
      </c>
      <c r="C22" s="463">
        <f>SUMIFS(Camplist_Popl,Camplist_Township,'NFI Distribution (by Tship)'!$A22,Camplist_Type_Of_Acc,"Camp")</f>
        <v>7446</v>
      </c>
      <c r="D22" s="34">
        <f t="shared" si="0"/>
        <v>99</v>
      </c>
      <c r="E22" s="34">
        <f t="shared" si="1"/>
        <v>58</v>
      </c>
      <c r="F22" s="34">
        <f t="shared" si="2"/>
        <v>117</v>
      </c>
      <c r="G22" s="34">
        <f t="shared" si="3"/>
        <v>60</v>
      </c>
      <c r="H22" s="34">
        <f t="shared" si="4"/>
        <v>0</v>
      </c>
      <c r="I22" s="34">
        <f t="shared" si="5"/>
        <v>80</v>
      </c>
      <c r="J22" s="34">
        <f t="shared" si="6"/>
        <v>942.5</v>
      </c>
      <c r="K22" s="34">
        <f t="shared" si="7"/>
        <v>323</v>
      </c>
      <c r="L22" s="34">
        <f t="shared" si="8"/>
        <v>178</v>
      </c>
      <c r="M22" s="34">
        <f t="shared" si="9"/>
        <v>0</v>
      </c>
      <c r="N22" s="465">
        <f t="shared" si="10"/>
        <v>18</v>
      </c>
    </row>
    <row r="23" spans="1:15" x14ac:dyDescent="0.25">
      <c r="A23" s="464" t="s">
        <v>289</v>
      </c>
      <c r="B23" s="463">
        <f>SUMIFS(Camplist_HH,Camplist_Township,'NFI Distribution (by Tship)'!$A23,Camplist_Type_Of_Acc,"Camp")</f>
        <v>382</v>
      </c>
      <c r="C23" s="463">
        <f>SUMIFS(Camplist_Popl,Camplist_Township,'NFI Distribution (by Tship)'!$A23,Camplist_Type_Of_Acc,"Camp")</f>
        <v>1896</v>
      </c>
      <c r="D23" s="34">
        <f t="shared" si="0"/>
        <v>0</v>
      </c>
      <c r="E23" s="34">
        <f t="shared" si="1"/>
        <v>0</v>
      </c>
      <c r="F23" s="34">
        <f t="shared" si="2"/>
        <v>0</v>
      </c>
      <c r="G23" s="34">
        <f t="shared" si="3"/>
        <v>0</v>
      </c>
      <c r="H23" s="34">
        <f t="shared" si="4"/>
        <v>0</v>
      </c>
      <c r="I23" s="34">
        <f t="shared" si="5"/>
        <v>0</v>
      </c>
      <c r="J23" s="34">
        <f t="shared" si="6"/>
        <v>0</v>
      </c>
      <c r="K23" s="34">
        <f t="shared" si="7"/>
        <v>0</v>
      </c>
      <c r="L23" s="34">
        <f t="shared" si="8"/>
        <v>0</v>
      </c>
      <c r="M23" s="34">
        <f t="shared" si="9"/>
        <v>0</v>
      </c>
      <c r="N23" s="465">
        <f t="shared" si="10"/>
        <v>0</v>
      </c>
    </row>
    <row r="24" spans="1:15" x14ac:dyDescent="0.25">
      <c r="A24" s="464" t="s">
        <v>298</v>
      </c>
      <c r="B24" s="463">
        <f>SUMIFS(Camplist_HH,Camplist_Township,'NFI Distribution (by Tship)'!$A24,Camplist_Type_Of_Acc,"Camp")</f>
        <v>10</v>
      </c>
      <c r="C24" s="463">
        <f>SUMIFS(Camplist_Popl,Camplist_Township,'NFI Distribution (by Tship)'!$A24,Camplist_Type_Of_Acc,"Camp")</f>
        <v>41</v>
      </c>
      <c r="D24" s="34">
        <f t="shared" si="0"/>
        <v>0</v>
      </c>
      <c r="E24" s="34">
        <f t="shared" si="1"/>
        <v>0</v>
      </c>
      <c r="F24" s="34">
        <f t="shared" si="2"/>
        <v>0</v>
      </c>
      <c r="G24" s="34">
        <f t="shared" si="3"/>
        <v>0</v>
      </c>
      <c r="H24" s="34">
        <f t="shared" si="4"/>
        <v>0</v>
      </c>
      <c r="I24" s="34">
        <f t="shared" si="5"/>
        <v>0</v>
      </c>
      <c r="J24" s="34">
        <f t="shared" si="6"/>
        <v>0</v>
      </c>
      <c r="K24" s="34">
        <f t="shared" si="7"/>
        <v>0</v>
      </c>
      <c r="L24" s="34">
        <f t="shared" si="8"/>
        <v>0</v>
      </c>
      <c r="M24" s="34">
        <f t="shared" si="9"/>
        <v>0</v>
      </c>
      <c r="N24" s="465">
        <f t="shared" si="10"/>
        <v>0</v>
      </c>
    </row>
    <row r="25" spans="1:15" x14ac:dyDescent="0.25">
      <c r="A25" s="464" t="s">
        <v>300</v>
      </c>
      <c r="B25" s="463">
        <f>SUMIFS(Camplist_HH,Camplist_Township,'NFI Distribution (by Tship)'!$A25,Camplist_Type_Of_Acc,"Camp")</f>
        <v>59</v>
      </c>
      <c r="C25" s="463">
        <f>SUMIFS(Camplist_Popl,Camplist_Township,'NFI Distribution (by Tship)'!$A25,Camplist_Type_Of_Acc,"Camp")</f>
        <v>274</v>
      </c>
      <c r="D25" s="34">
        <f t="shared" si="0"/>
        <v>202</v>
      </c>
      <c r="E25" s="34">
        <f t="shared" si="1"/>
        <v>101</v>
      </c>
      <c r="F25" s="34">
        <f t="shared" si="2"/>
        <v>92</v>
      </c>
      <c r="G25" s="34">
        <f t="shared" si="3"/>
        <v>101</v>
      </c>
      <c r="H25" s="34">
        <f t="shared" si="4"/>
        <v>154</v>
      </c>
      <c r="I25" s="34">
        <f>SUMIF(NFI_Township,$A25,NFI_Plastic_Bucket_Track)</f>
        <v>101</v>
      </c>
      <c r="J25" s="34">
        <f t="shared" si="6"/>
        <v>1992.5</v>
      </c>
      <c r="K25" s="34">
        <f t="shared" si="7"/>
        <v>124</v>
      </c>
      <c r="L25" s="34">
        <f t="shared" si="8"/>
        <v>27</v>
      </c>
      <c r="M25" s="34">
        <f t="shared" si="9"/>
        <v>0</v>
      </c>
      <c r="N25" s="465">
        <f t="shared" si="10"/>
        <v>0</v>
      </c>
    </row>
    <row r="26" spans="1:15" s="82" customFormat="1" x14ac:dyDescent="0.25">
      <c r="A26" s="464" t="s">
        <v>302</v>
      </c>
      <c r="B26" s="463">
        <f>SUMIFS(Camplist_HH,Camplist_Township,'NFI Distribution (by Tship)'!$A26,Camplist_Type_Of_Acc,"Camp")</f>
        <v>123</v>
      </c>
      <c r="C26" s="463">
        <f>SUMIFS(Camplist_Popl,Camplist_Township,'NFI Distribution (by Tship)'!$A26,Camplist_Type_Of_Acc,"Camp")</f>
        <v>501</v>
      </c>
      <c r="D26" s="34">
        <f t="shared" si="0"/>
        <v>0</v>
      </c>
      <c r="E26" s="34">
        <f t="shared" si="1"/>
        <v>17</v>
      </c>
      <c r="F26" s="34">
        <f t="shared" si="2"/>
        <v>51</v>
      </c>
      <c r="G26" s="34">
        <f t="shared" si="3"/>
        <v>17</v>
      </c>
      <c r="H26" s="34">
        <f t="shared" si="4"/>
        <v>0</v>
      </c>
      <c r="I26" s="34">
        <f t="shared" si="5"/>
        <v>17</v>
      </c>
      <c r="J26" s="34">
        <f t="shared" si="6"/>
        <v>152.5</v>
      </c>
      <c r="K26" s="34">
        <f t="shared" si="7"/>
        <v>0</v>
      </c>
      <c r="L26" s="34">
        <f t="shared" si="8"/>
        <v>0</v>
      </c>
      <c r="M26" s="34">
        <f t="shared" si="9"/>
        <v>0</v>
      </c>
      <c r="N26" s="465">
        <f t="shared" si="10"/>
        <v>0</v>
      </c>
    </row>
    <row r="27" spans="1:15" s="82" customFormat="1" x14ac:dyDescent="0.25">
      <c r="A27" s="464" t="s">
        <v>813</v>
      </c>
      <c r="B27" s="463">
        <f>SUMIFS(Camplist_HH,Camplist_Township,'NFI Distribution (by Tship)'!$A27,Camplist_Type_Of_Acc,"Camp")</f>
        <v>166</v>
      </c>
      <c r="C27" s="463">
        <f>SUMIFS(Camplist_Popl,Camplist_Township,'NFI Distribution (by Tship)'!$A27,Camplist_Type_Of_Acc,"Camp")</f>
        <v>1232</v>
      </c>
      <c r="D27" s="34">
        <f t="shared" si="0"/>
        <v>0</v>
      </c>
      <c r="E27" s="34">
        <f t="shared" si="1"/>
        <v>250</v>
      </c>
      <c r="F27" s="34">
        <f t="shared" si="2"/>
        <v>0</v>
      </c>
      <c r="G27" s="34">
        <f t="shared" si="3"/>
        <v>0</v>
      </c>
      <c r="H27" s="34">
        <f t="shared" si="4"/>
        <v>0</v>
      </c>
      <c r="I27" s="34">
        <f t="shared" si="5"/>
        <v>0</v>
      </c>
      <c r="J27" s="34">
        <f t="shared" si="6"/>
        <v>0</v>
      </c>
      <c r="K27" s="34">
        <f t="shared" si="7"/>
        <v>91</v>
      </c>
      <c r="L27" s="34">
        <f t="shared" si="8"/>
        <v>32</v>
      </c>
      <c r="M27" s="34">
        <f t="shared" si="9"/>
        <v>0</v>
      </c>
      <c r="N27" s="465">
        <f t="shared" si="10"/>
        <v>36</v>
      </c>
    </row>
    <row r="28" spans="1:15" x14ac:dyDescent="0.25">
      <c r="A28" s="464" t="s">
        <v>310</v>
      </c>
      <c r="B28" s="463">
        <f>SUMIFS(Camplist_HH,Camplist_Township,'NFI Distribution (by Tship)'!$A28,Camplist_Type_Of_Acc,"Camp")</f>
        <v>4801</v>
      </c>
      <c r="C28" s="463">
        <f>SUMIFS(Camplist_Popl,Camplist_Township,'NFI Distribution (by Tship)'!$A28,Camplist_Type_Of_Acc,"Camp")</f>
        <v>23305</v>
      </c>
      <c r="D28" s="34">
        <f t="shared" si="0"/>
        <v>677</v>
      </c>
      <c r="E28" s="34">
        <f t="shared" si="1"/>
        <v>206</v>
      </c>
      <c r="F28" s="34">
        <f t="shared" si="2"/>
        <v>389</v>
      </c>
      <c r="G28" s="34">
        <f t="shared" si="3"/>
        <v>290</v>
      </c>
      <c r="H28" s="34">
        <f t="shared" si="4"/>
        <v>174</v>
      </c>
      <c r="I28" s="34">
        <f t="shared" si="5"/>
        <v>190</v>
      </c>
      <c r="J28" s="34">
        <f t="shared" si="6"/>
        <v>1970</v>
      </c>
      <c r="K28" s="34">
        <f t="shared" si="7"/>
        <v>5124</v>
      </c>
      <c r="L28" s="34">
        <f t="shared" si="8"/>
        <v>8254</v>
      </c>
      <c r="M28" s="34">
        <f t="shared" si="9"/>
        <v>0</v>
      </c>
      <c r="N28" s="465">
        <f t="shared" si="10"/>
        <v>21490</v>
      </c>
    </row>
    <row r="29" spans="1:15" ht="21" customHeight="1" thickBot="1" x14ac:dyDescent="0.3">
      <c r="A29" s="100" t="s">
        <v>3</v>
      </c>
      <c r="B29" s="101">
        <f t="shared" ref="B29:J29" si="11">SUM(B8:B28)</f>
        <v>17694</v>
      </c>
      <c r="C29" s="101">
        <f t="shared" si="11"/>
        <v>86974</v>
      </c>
      <c r="D29" s="101">
        <f t="shared" si="11"/>
        <v>3907</v>
      </c>
      <c r="E29" s="101">
        <f t="shared" si="11"/>
        <v>1792</v>
      </c>
      <c r="F29" s="101">
        <f t="shared" si="11"/>
        <v>3902</v>
      </c>
      <c r="G29" s="101">
        <f t="shared" si="11"/>
        <v>1179</v>
      </c>
      <c r="H29" s="101">
        <f t="shared" si="11"/>
        <v>879</v>
      </c>
      <c r="I29" s="101">
        <f t="shared" si="11"/>
        <v>1036</v>
      </c>
      <c r="J29" s="466">
        <f t="shared" si="11"/>
        <v>16405</v>
      </c>
      <c r="K29" s="101">
        <f t="shared" ref="K29:M29" si="12">SUM(K8:K28)</f>
        <v>11387</v>
      </c>
      <c r="L29" s="101">
        <f t="shared" si="12"/>
        <v>16544</v>
      </c>
      <c r="M29" s="101">
        <f t="shared" si="12"/>
        <v>0</v>
      </c>
      <c r="N29" s="102">
        <f t="shared" ref="N29" si="13">SUM(N8:N28)</f>
        <v>27331</v>
      </c>
    </row>
    <row r="30" spans="1:15" s="129" customFormat="1" ht="21" hidden="1" customHeight="1" x14ac:dyDescent="0.25">
      <c r="A30" s="153"/>
      <c r="B30" s="153"/>
      <c r="C30" s="153"/>
      <c r="D30" s="153"/>
      <c r="E30" s="153"/>
      <c r="F30" s="153"/>
      <c r="G30" s="153"/>
      <c r="H30" s="153"/>
      <c r="I30" s="153"/>
      <c r="J30" s="153"/>
      <c r="K30" s="153"/>
      <c r="L30" s="153"/>
      <c r="M30" s="153"/>
      <c r="N30" s="153"/>
    </row>
    <row r="31" spans="1:15" s="82" customFormat="1" ht="21" hidden="1" customHeight="1" thickBot="1" x14ac:dyDescent="0.3">
      <c r="A31"/>
      <c r="B31"/>
      <c r="C31"/>
      <c r="D31"/>
      <c r="E31"/>
      <c r="F31"/>
      <c r="G31"/>
      <c r="H31"/>
      <c r="I31"/>
      <c r="J31"/>
    </row>
    <row r="32" spans="1:15" s="82" customFormat="1" ht="21" hidden="1" customHeight="1" x14ac:dyDescent="0.25">
      <c r="A32" s="878" t="s">
        <v>0</v>
      </c>
      <c r="B32" s="880" t="s">
        <v>427</v>
      </c>
      <c r="C32" s="880" t="s">
        <v>428</v>
      </c>
      <c r="D32" s="883" t="s">
        <v>457</v>
      </c>
      <c r="E32" s="883"/>
      <c r="F32" s="883"/>
      <c r="G32" s="884"/>
      <c r="H32" s="130" t="s">
        <v>405</v>
      </c>
      <c r="I32" s="131"/>
      <c r="J32" s="131"/>
      <c r="K32" s="132"/>
      <c r="L32" s="882" t="s">
        <v>458</v>
      </c>
      <c r="M32" s="883"/>
      <c r="N32" s="883"/>
      <c r="O32" s="884"/>
    </row>
    <row r="33" spans="1:15" s="82" customFormat="1" ht="21" hidden="1" customHeight="1" x14ac:dyDescent="0.25">
      <c r="A33" s="879"/>
      <c r="B33" s="881"/>
      <c r="C33" s="881"/>
      <c r="D33" s="92" t="s">
        <v>438</v>
      </c>
      <c r="E33" s="93" t="s">
        <v>441</v>
      </c>
      <c r="F33" s="93" t="s">
        <v>411</v>
      </c>
      <c r="G33" s="13" t="s">
        <v>439</v>
      </c>
      <c r="H33" s="93" t="s">
        <v>438</v>
      </c>
      <c r="I33" s="93" t="s">
        <v>441</v>
      </c>
      <c r="J33" s="93" t="s">
        <v>411</v>
      </c>
      <c r="K33" s="13" t="s">
        <v>439</v>
      </c>
      <c r="L33" s="93" t="s">
        <v>438</v>
      </c>
      <c r="M33" s="93" t="s">
        <v>441</v>
      </c>
      <c r="N33" s="93" t="s">
        <v>411</v>
      </c>
      <c r="O33" s="13" t="s">
        <v>439</v>
      </c>
    </row>
    <row r="34" spans="1:15" s="82" customFormat="1" ht="21" hidden="1" customHeight="1" x14ac:dyDescent="0.25">
      <c r="A34" s="99" t="s">
        <v>5</v>
      </c>
      <c r="B34" s="9">
        <f>SUMIF(Camplist_Township,'NFI Distribution (by Tship)'!$A34,Camplist_HH)</f>
        <v>1578</v>
      </c>
      <c r="C34" s="9">
        <f>SUMIF(Camplist_Township,'NFI Distribution (by Tship)'!$A34,Camplist_Popl)</f>
        <v>8185</v>
      </c>
      <c r="D34" s="95">
        <f t="shared" ref="D34:D53" si="14">SUMIF(NFI_Township,$A34,NFI_Hygiene_Track)</f>
        <v>0</v>
      </c>
      <c r="E34" s="9">
        <f t="shared" ref="E34:E53" si="15">SUMIF(NFI_Pipeline_Township,$A34,NFI_Hygiene_Stock)</f>
        <v>0</v>
      </c>
      <c r="F34" s="9">
        <f t="shared" ref="F34:F53" si="16">SUMIF(NFI_Pipeline_Township,$A32,NFI_Hygiene_Pipeline)</f>
        <v>0</v>
      </c>
      <c r="G34" s="14">
        <f t="shared" ref="G34:G53" si="17">IF(B34-(D34+E34+F34)&lt;0,0,B34-(D34+E34+F34))</f>
        <v>1578</v>
      </c>
      <c r="H34" s="8">
        <f t="shared" ref="H34:H53" si="18">SUMIF(NFI_Township,$A34,NFI_Core_Track)</f>
        <v>0</v>
      </c>
      <c r="I34" s="8">
        <f t="shared" ref="I34:I53" si="19">SUMIF(NFI_Pipeline_Township,$A34,NFI_Core_Stock)</f>
        <v>203</v>
      </c>
      <c r="J34" s="8">
        <f t="shared" ref="J34:J53" si="20">SUMIF(NFI_Pipeline_Township,$A32,NFI_Core_Pipeline)</f>
        <v>0</v>
      </c>
      <c r="K34" s="16">
        <f t="shared" ref="K34:K53" si="21">IF(B34-(H34+I34+J34)&lt;0,0,B34-(H34+I34+J34))</f>
        <v>1375</v>
      </c>
      <c r="L34" s="8">
        <f t="shared" ref="L34:L53" si="22">SUMIF(NFI_Township,$A34,NFI_Sanitary_Track)</f>
        <v>0</v>
      </c>
      <c r="M34" s="8">
        <f t="shared" ref="M34:M53" si="23">SUMIF(NFI_Pipeline_Township,$A34,NFI_Sanitary_Stock)</f>
        <v>103</v>
      </c>
      <c r="N34" s="8">
        <f t="shared" ref="N34:N53" si="24">SUMIF(NFI_Pipeline_Township,$A32,NFI_Sanitary_Pipeline)</f>
        <v>0</v>
      </c>
      <c r="O34" s="16">
        <f t="shared" ref="O34:O53" si="25">IF(B34-(L34+M34+N34)&lt;0,0,B34-(L34+M34+N34))</f>
        <v>1475</v>
      </c>
    </row>
    <row r="35" spans="1:15" s="82" customFormat="1" ht="21" hidden="1" customHeight="1" x14ac:dyDescent="0.25">
      <c r="A35" s="99" t="s">
        <v>27</v>
      </c>
      <c r="B35" s="9">
        <f>SUMIF(Camplist_Township,'NFI Distribution (by Tship)'!$A35,Camplist_HH)</f>
        <v>511</v>
      </c>
      <c r="C35" s="9">
        <f>SUMIF(Camplist_Township,'NFI Distribution (by Tship)'!$A35,Camplist_Popl)</f>
        <v>2570</v>
      </c>
      <c r="D35" s="95">
        <f t="shared" si="14"/>
        <v>0</v>
      </c>
      <c r="E35" s="9">
        <f t="shared" si="15"/>
        <v>0</v>
      </c>
      <c r="F35" s="9">
        <f t="shared" si="16"/>
        <v>0</v>
      </c>
      <c r="G35" s="14">
        <f t="shared" si="17"/>
        <v>511</v>
      </c>
      <c r="H35" s="8">
        <f t="shared" si="18"/>
        <v>0</v>
      </c>
      <c r="I35" s="8">
        <f t="shared" si="19"/>
        <v>0</v>
      </c>
      <c r="J35" s="8">
        <f t="shared" si="20"/>
        <v>0</v>
      </c>
      <c r="K35" s="16">
        <f t="shared" si="21"/>
        <v>511</v>
      </c>
      <c r="L35" s="8">
        <f t="shared" si="22"/>
        <v>0</v>
      </c>
      <c r="M35" s="8">
        <f t="shared" si="23"/>
        <v>0</v>
      </c>
      <c r="N35" s="8">
        <f t="shared" si="24"/>
        <v>0</v>
      </c>
      <c r="O35" s="16">
        <f t="shared" si="25"/>
        <v>511</v>
      </c>
    </row>
    <row r="36" spans="1:15" s="82" customFormat="1" ht="21" hidden="1" customHeight="1" x14ac:dyDescent="0.25">
      <c r="A36" s="99" t="s">
        <v>529</v>
      </c>
      <c r="B36" s="9">
        <f>SUMIF(Camplist_Township,'NFI Distribution (by Tship)'!$A36,Camplist_HH)</f>
        <v>724</v>
      </c>
      <c r="C36" s="9">
        <f>SUMIF(Camplist_Township,'NFI Distribution (by Tship)'!$A36,Camplist_Popl)</f>
        <v>3574</v>
      </c>
      <c r="D36" s="95">
        <f t="shared" si="14"/>
        <v>0</v>
      </c>
      <c r="E36" s="9">
        <f t="shared" si="15"/>
        <v>0</v>
      </c>
      <c r="F36" s="9">
        <f t="shared" si="16"/>
        <v>0</v>
      </c>
      <c r="G36" s="14">
        <f t="shared" si="17"/>
        <v>724</v>
      </c>
      <c r="H36" s="8">
        <f t="shared" si="18"/>
        <v>0</v>
      </c>
      <c r="I36" s="8">
        <f t="shared" si="19"/>
        <v>0</v>
      </c>
      <c r="J36" s="8">
        <f t="shared" si="20"/>
        <v>0</v>
      </c>
      <c r="K36" s="16">
        <f t="shared" si="21"/>
        <v>724</v>
      </c>
      <c r="L36" s="8">
        <f t="shared" si="22"/>
        <v>76</v>
      </c>
      <c r="M36" s="8">
        <f t="shared" si="23"/>
        <v>0</v>
      </c>
      <c r="N36" s="8">
        <f t="shared" si="24"/>
        <v>0</v>
      </c>
      <c r="O36" s="16">
        <f t="shared" si="25"/>
        <v>648</v>
      </c>
    </row>
    <row r="37" spans="1:15" s="82" customFormat="1" ht="21" hidden="1" customHeight="1" x14ac:dyDescent="0.25">
      <c r="A37" s="99" t="s">
        <v>784</v>
      </c>
      <c r="B37" s="9">
        <f>SUMIF(Camplist_Township,'NFI Distribution (by Tship)'!$A37,Camplist_HH)</f>
        <v>111</v>
      </c>
      <c r="C37" s="9">
        <f>SUMIF(Camplist_Township,'NFI Distribution (by Tship)'!$A37,Camplist_Popl)</f>
        <v>665</v>
      </c>
      <c r="D37" s="95">
        <f t="shared" si="14"/>
        <v>0</v>
      </c>
      <c r="E37" s="9">
        <f t="shared" si="15"/>
        <v>0</v>
      </c>
      <c r="F37" s="9">
        <f t="shared" si="16"/>
        <v>0</v>
      </c>
      <c r="G37" s="14">
        <f t="shared" si="17"/>
        <v>111</v>
      </c>
      <c r="H37" s="8">
        <f t="shared" si="18"/>
        <v>0</v>
      </c>
      <c r="I37" s="8">
        <f t="shared" si="19"/>
        <v>0</v>
      </c>
      <c r="J37" s="8">
        <f t="shared" si="20"/>
        <v>0</v>
      </c>
      <c r="K37" s="16">
        <f t="shared" si="21"/>
        <v>111</v>
      </c>
      <c r="L37" s="8">
        <f t="shared" si="22"/>
        <v>43</v>
      </c>
      <c r="M37" s="8">
        <f t="shared" si="23"/>
        <v>0</v>
      </c>
      <c r="N37" s="8">
        <f t="shared" si="24"/>
        <v>0</v>
      </c>
      <c r="O37" s="16">
        <f t="shared" si="25"/>
        <v>68</v>
      </c>
    </row>
    <row r="38" spans="1:15" s="82" customFormat="1" ht="21" hidden="1" customHeight="1" x14ac:dyDescent="0.25">
      <c r="A38" s="99" t="s">
        <v>363</v>
      </c>
      <c r="B38" s="9">
        <f>SUMIF(Camplist_Township,'NFI Distribution (by Tship)'!$A38,Camplist_HH)</f>
        <v>0</v>
      </c>
      <c r="C38" s="9">
        <f>SUMIF(Camplist_Township,'NFI Distribution (by Tship)'!$A38,Camplist_Popl)</f>
        <v>0</v>
      </c>
      <c r="D38" s="95">
        <f t="shared" si="14"/>
        <v>0</v>
      </c>
      <c r="E38" s="9">
        <f t="shared" si="15"/>
        <v>0</v>
      </c>
      <c r="F38" s="9">
        <f t="shared" si="16"/>
        <v>0</v>
      </c>
      <c r="G38" s="14">
        <f t="shared" si="17"/>
        <v>0</v>
      </c>
      <c r="H38" s="8">
        <f t="shared" si="18"/>
        <v>0</v>
      </c>
      <c r="I38" s="8">
        <f t="shared" si="19"/>
        <v>0</v>
      </c>
      <c r="J38" s="8">
        <f t="shared" si="20"/>
        <v>0</v>
      </c>
      <c r="K38" s="16">
        <f t="shared" si="21"/>
        <v>0</v>
      </c>
      <c r="L38" s="8">
        <f t="shared" si="22"/>
        <v>0</v>
      </c>
      <c r="M38" s="8">
        <f t="shared" si="23"/>
        <v>0</v>
      </c>
      <c r="N38" s="8">
        <f t="shared" si="24"/>
        <v>0</v>
      </c>
      <c r="O38" s="16">
        <f t="shared" si="25"/>
        <v>0</v>
      </c>
    </row>
    <row r="39" spans="1:15" s="82" customFormat="1" ht="21" hidden="1" customHeight="1" x14ac:dyDescent="0.25">
      <c r="A39" s="99" t="s">
        <v>144</v>
      </c>
      <c r="B39" s="9">
        <f>SUMIF(Camplist_Township,'NFI Distribution (by Tship)'!$A39,Camplist_HH)</f>
        <v>11</v>
      </c>
      <c r="C39" s="9">
        <f>SUMIF(Camplist_Township,'NFI Distribution (by Tship)'!$A39,Camplist_Popl)</f>
        <v>17</v>
      </c>
      <c r="D39" s="95">
        <f t="shared" si="14"/>
        <v>0</v>
      </c>
      <c r="E39" s="9">
        <f t="shared" si="15"/>
        <v>0</v>
      </c>
      <c r="F39" s="9">
        <f t="shared" si="16"/>
        <v>0</v>
      </c>
      <c r="G39" s="14">
        <f t="shared" si="17"/>
        <v>11</v>
      </c>
      <c r="H39" s="8">
        <f t="shared" si="18"/>
        <v>0</v>
      </c>
      <c r="I39" s="8">
        <f t="shared" si="19"/>
        <v>0</v>
      </c>
      <c r="J39" s="8">
        <f t="shared" si="20"/>
        <v>0</v>
      </c>
      <c r="K39" s="16">
        <f t="shared" si="21"/>
        <v>11</v>
      </c>
      <c r="L39" s="8">
        <f t="shared" si="22"/>
        <v>0</v>
      </c>
      <c r="M39" s="8">
        <f t="shared" si="23"/>
        <v>0</v>
      </c>
      <c r="N39" s="8">
        <f t="shared" si="24"/>
        <v>0</v>
      </c>
      <c r="O39" s="16">
        <f t="shared" si="25"/>
        <v>11</v>
      </c>
    </row>
    <row r="40" spans="1:15" s="82" customFormat="1" ht="21" hidden="1" customHeight="1" x14ac:dyDescent="0.25">
      <c r="A40" s="99" t="s">
        <v>146</v>
      </c>
      <c r="B40" s="9">
        <f>SUMIF(Camplist_Township,'NFI Distribution (by Tship)'!$A40,Camplist_HH)</f>
        <v>686</v>
      </c>
      <c r="C40" s="9">
        <f>SUMIF(Camplist_Township,'NFI Distribution (by Tship)'!$A40,Camplist_Popl)</f>
        <v>3291</v>
      </c>
      <c r="D40" s="95">
        <f t="shared" si="14"/>
        <v>0</v>
      </c>
      <c r="E40" s="9">
        <f t="shared" si="15"/>
        <v>0</v>
      </c>
      <c r="F40" s="9">
        <f t="shared" si="16"/>
        <v>0</v>
      </c>
      <c r="G40" s="14">
        <f t="shared" si="17"/>
        <v>686</v>
      </c>
      <c r="H40" s="8">
        <f t="shared" si="18"/>
        <v>0</v>
      </c>
      <c r="I40" s="8">
        <f t="shared" si="19"/>
        <v>0</v>
      </c>
      <c r="J40" s="8">
        <f t="shared" si="20"/>
        <v>0</v>
      </c>
      <c r="K40" s="16">
        <f t="shared" si="21"/>
        <v>686</v>
      </c>
      <c r="L40" s="8">
        <f t="shared" si="22"/>
        <v>36</v>
      </c>
      <c r="M40" s="8">
        <f t="shared" si="23"/>
        <v>0</v>
      </c>
      <c r="N40" s="8">
        <f t="shared" si="24"/>
        <v>0</v>
      </c>
      <c r="O40" s="16">
        <f t="shared" si="25"/>
        <v>650</v>
      </c>
    </row>
    <row r="41" spans="1:15" s="82" customFormat="1" ht="21" hidden="1" customHeight="1" x14ac:dyDescent="0.25">
      <c r="A41" s="99" t="s">
        <v>151</v>
      </c>
      <c r="B41" s="9">
        <f>SUMIF(Camplist_Township,'NFI Distribution (by Tship)'!$A41,Camplist_HH)</f>
        <v>2758</v>
      </c>
      <c r="C41" s="9">
        <f>SUMIF(Camplist_Township,'NFI Distribution (by Tship)'!$A41,Camplist_Popl)</f>
        <v>12643</v>
      </c>
      <c r="D41" s="95">
        <f t="shared" si="14"/>
        <v>0</v>
      </c>
      <c r="E41" s="9">
        <f t="shared" si="15"/>
        <v>0</v>
      </c>
      <c r="F41" s="9">
        <f t="shared" si="16"/>
        <v>0</v>
      </c>
      <c r="G41" s="14">
        <f t="shared" si="17"/>
        <v>2758</v>
      </c>
      <c r="H41" s="8">
        <f t="shared" si="18"/>
        <v>0</v>
      </c>
      <c r="I41" s="8">
        <f t="shared" si="19"/>
        <v>0</v>
      </c>
      <c r="J41" s="8">
        <f t="shared" si="20"/>
        <v>0</v>
      </c>
      <c r="K41" s="16">
        <f t="shared" si="21"/>
        <v>2758</v>
      </c>
      <c r="L41" s="8">
        <f t="shared" si="22"/>
        <v>658</v>
      </c>
      <c r="M41" s="8">
        <f t="shared" si="23"/>
        <v>0</v>
      </c>
      <c r="N41" s="8">
        <f t="shared" si="24"/>
        <v>0</v>
      </c>
      <c r="O41" s="16">
        <f t="shared" si="25"/>
        <v>2100</v>
      </c>
    </row>
    <row r="42" spans="1:15" s="82" customFormat="1" ht="21" hidden="1" customHeight="1" x14ac:dyDescent="0.25">
      <c r="A42" s="99" t="s">
        <v>166</v>
      </c>
      <c r="B42" s="9">
        <f>SUMIF(Camplist_Township,'NFI Distribution (by Tship)'!$A42,Camplist_HH)</f>
        <v>69</v>
      </c>
      <c r="C42" s="9">
        <f>SUMIF(Camplist_Township,'NFI Distribution (by Tship)'!$A42,Camplist_Popl)</f>
        <v>355</v>
      </c>
      <c r="D42" s="95">
        <f t="shared" si="14"/>
        <v>0</v>
      </c>
      <c r="E42" s="9">
        <f t="shared" si="15"/>
        <v>0</v>
      </c>
      <c r="F42" s="9">
        <f t="shared" si="16"/>
        <v>0</v>
      </c>
      <c r="G42" s="14">
        <f t="shared" si="17"/>
        <v>69</v>
      </c>
      <c r="H42" s="8">
        <f t="shared" si="18"/>
        <v>0</v>
      </c>
      <c r="I42" s="8">
        <f t="shared" si="19"/>
        <v>0</v>
      </c>
      <c r="J42" s="8">
        <f t="shared" si="20"/>
        <v>0</v>
      </c>
      <c r="K42" s="16">
        <f t="shared" si="21"/>
        <v>69</v>
      </c>
      <c r="L42" s="8">
        <f t="shared" si="22"/>
        <v>0</v>
      </c>
      <c r="M42" s="8">
        <f t="shared" si="23"/>
        <v>0</v>
      </c>
      <c r="N42" s="8">
        <f t="shared" si="24"/>
        <v>0</v>
      </c>
      <c r="O42" s="16">
        <f t="shared" si="25"/>
        <v>69</v>
      </c>
    </row>
    <row r="43" spans="1:15" s="82" customFormat="1" ht="21" hidden="1" customHeight="1" x14ac:dyDescent="0.25">
      <c r="A43" s="99" t="s">
        <v>173</v>
      </c>
      <c r="B43" s="9">
        <f>SUMIF(Camplist_Township,'NFI Distribution (by Tship)'!$A43,Camplist_HH)</f>
        <v>121</v>
      </c>
      <c r="C43" s="9">
        <f>SUMIF(Camplist_Township,'NFI Distribution (by Tship)'!$A43,Camplist_Popl)</f>
        <v>472</v>
      </c>
      <c r="D43" s="95">
        <f t="shared" si="14"/>
        <v>0</v>
      </c>
      <c r="E43" s="9">
        <f t="shared" si="15"/>
        <v>0</v>
      </c>
      <c r="F43" s="9">
        <f t="shared" si="16"/>
        <v>0</v>
      </c>
      <c r="G43" s="14">
        <f t="shared" si="17"/>
        <v>121</v>
      </c>
      <c r="H43" s="8">
        <f t="shared" si="18"/>
        <v>0</v>
      </c>
      <c r="I43" s="8">
        <f t="shared" si="19"/>
        <v>0</v>
      </c>
      <c r="J43" s="8">
        <f t="shared" si="20"/>
        <v>0</v>
      </c>
      <c r="K43" s="16">
        <f t="shared" si="21"/>
        <v>121</v>
      </c>
      <c r="L43" s="8">
        <f t="shared" si="22"/>
        <v>0</v>
      </c>
      <c r="M43" s="8">
        <f t="shared" si="23"/>
        <v>0</v>
      </c>
      <c r="N43" s="8">
        <f t="shared" si="24"/>
        <v>0</v>
      </c>
      <c r="O43" s="16">
        <f t="shared" si="25"/>
        <v>121</v>
      </c>
    </row>
    <row r="44" spans="1:15" s="82" customFormat="1" ht="21" hidden="1" customHeight="1" x14ac:dyDescent="0.25">
      <c r="A44" s="99" t="s">
        <v>180</v>
      </c>
      <c r="B44" s="9">
        <f>SUMIF(Camplist_Township,'NFI Distribution (by Tship)'!$A44,Camplist_HH)</f>
        <v>84</v>
      </c>
      <c r="C44" s="9">
        <f>SUMIF(Camplist_Township,'NFI Distribution (by Tship)'!$A44,Camplist_Popl)</f>
        <v>420</v>
      </c>
      <c r="D44" s="95">
        <f t="shared" si="14"/>
        <v>0</v>
      </c>
      <c r="E44" s="9">
        <f t="shared" si="15"/>
        <v>0</v>
      </c>
      <c r="F44" s="9">
        <f t="shared" si="16"/>
        <v>0</v>
      </c>
      <c r="G44" s="14">
        <f t="shared" si="17"/>
        <v>84</v>
      </c>
      <c r="H44" s="8">
        <f t="shared" si="18"/>
        <v>0</v>
      </c>
      <c r="I44" s="8">
        <f t="shared" si="19"/>
        <v>0</v>
      </c>
      <c r="J44" s="8">
        <f t="shared" si="20"/>
        <v>0</v>
      </c>
      <c r="K44" s="16">
        <f t="shared" si="21"/>
        <v>84</v>
      </c>
      <c r="L44" s="8">
        <f t="shared" si="22"/>
        <v>0</v>
      </c>
      <c r="M44" s="8">
        <f t="shared" si="23"/>
        <v>0</v>
      </c>
      <c r="N44" s="8">
        <f t="shared" si="24"/>
        <v>0</v>
      </c>
      <c r="O44" s="16">
        <f t="shared" si="25"/>
        <v>84</v>
      </c>
    </row>
    <row r="45" spans="1:15" s="82" customFormat="1" ht="21" hidden="1" customHeight="1" x14ac:dyDescent="0.25">
      <c r="A45" s="99" t="s">
        <v>185</v>
      </c>
      <c r="B45" s="9">
        <f>SUMIF(Camplist_Township,'NFI Distribution (by Tship)'!$A45,Camplist_HH)</f>
        <v>4966</v>
      </c>
      <c r="C45" s="9">
        <f>SUMIF(Camplist_Township,'NFI Distribution (by Tship)'!$A45,Camplist_Popl)</f>
        <v>24326</v>
      </c>
      <c r="D45" s="95">
        <f t="shared" si="14"/>
        <v>0</v>
      </c>
      <c r="E45" s="9">
        <f t="shared" si="15"/>
        <v>0</v>
      </c>
      <c r="F45" s="9">
        <f t="shared" si="16"/>
        <v>0</v>
      </c>
      <c r="G45" s="14">
        <f t="shared" si="17"/>
        <v>4966</v>
      </c>
      <c r="H45" s="8">
        <f t="shared" si="18"/>
        <v>0</v>
      </c>
      <c r="I45" s="8">
        <f t="shared" si="19"/>
        <v>0</v>
      </c>
      <c r="J45" s="8">
        <f t="shared" si="20"/>
        <v>0</v>
      </c>
      <c r="K45" s="16">
        <f t="shared" si="21"/>
        <v>4966</v>
      </c>
      <c r="L45" s="8">
        <f t="shared" si="22"/>
        <v>0</v>
      </c>
      <c r="M45" s="8">
        <f t="shared" si="23"/>
        <v>0</v>
      </c>
      <c r="N45" s="8">
        <f t="shared" si="24"/>
        <v>0</v>
      </c>
      <c r="O45" s="16">
        <f t="shared" si="25"/>
        <v>4966</v>
      </c>
    </row>
    <row r="46" spans="1:15" s="82" customFormat="1" ht="21" hidden="1" customHeight="1" x14ac:dyDescent="0.25">
      <c r="A46" s="99" t="s">
        <v>230</v>
      </c>
      <c r="B46" s="9">
        <f>SUMIF(Camplist_Township,'NFI Distribution (by Tship)'!$A46,Camplist_HH)</f>
        <v>296</v>
      </c>
      <c r="C46" s="9">
        <f>SUMIF(Camplist_Township,'NFI Distribution (by Tship)'!$A46,Camplist_Popl)</f>
        <v>1211</v>
      </c>
      <c r="D46" s="95">
        <f t="shared" si="14"/>
        <v>0</v>
      </c>
      <c r="E46" s="9">
        <f t="shared" si="15"/>
        <v>0</v>
      </c>
      <c r="F46" s="9">
        <f t="shared" si="16"/>
        <v>0</v>
      </c>
      <c r="G46" s="14">
        <f t="shared" si="17"/>
        <v>296</v>
      </c>
      <c r="H46" s="8">
        <f t="shared" si="18"/>
        <v>0</v>
      </c>
      <c r="I46" s="8">
        <f t="shared" si="19"/>
        <v>0</v>
      </c>
      <c r="J46" s="8">
        <f t="shared" si="20"/>
        <v>0</v>
      </c>
      <c r="K46" s="16">
        <f t="shared" si="21"/>
        <v>296</v>
      </c>
      <c r="L46" s="8">
        <f t="shared" si="22"/>
        <v>0</v>
      </c>
      <c r="M46" s="8">
        <f t="shared" si="23"/>
        <v>0</v>
      </c>
      <c r="N46" s="8">
        <f t="shared" si="24"/>
        <v>0</v>
      </c>
      <c r="O46" s="16">
        <f t="shared" si="25"/>
        <v>296</v>
      </c>
    </row>
    <row r="47" spans="1:15" s="82" customFormat="1" ht="21" hidden="1" customHeight="1" x14ac:dyDescent="0.25">
      <c r="A47" s="99" t="s">
        <v>237</v>
      </c>
      <c r="B47" s="9">
        <f>SUMIF(Camplist_Township,'NFI Distribution (by Tship)'!$A47,Camplist_HH)</f>
        <v>1524</v>
      </c>
      <c r="C47" s="9">
        <f>SUMIF(Camplist_Township,'NFI Distribution (by Tship)'!$A47,Camplist_Popl)</f>
        <v>7446</v>
      </c>
      <c r="D47" s="95">
        <f t="shared" si="14"/>
        <v>0</v>
      </c>
      <c r="E47" s="9">
        <f t="shared" si="15"/>
        <v>0</v>
      </c>
      <c r="F47" s="9">
        <f t="shared" si="16"/>
        <v>0</v>
      </c>
      <c r="G47" s="14">
        <f t="shared" si="17"/>
        <v>1524</v>
      </c>
      <c r="H47" s="8">
        <f t="shared" si="18"/>
        <v>132</v>
      </c>
      <c r="I47" s="8">
        <f t="shared" si="19"/>
        <v>855</v>
      </c>
      <c r="J47" s="8">
        <f t="shared" si="20"/>
        <v>0</v>
      </c>
      <c r="K47" s="16">
        <f t="shared" si="21"/>
        <v>537</v>
      </c>
      <c r="L47" s="8">
        <f t="shared" si="22"/>
        <v>165</v>
      </c>
      <c r="M47" s="8">
        <f t="shared" si="23"/>
        <v>153</v>
      </c>
      <c r="N47" s="8">
        <f t="shared" si="24"/>
        <v>0</v>
      </c>
      <c r="O47" s="16">
        <f t="shared" si="25"/>
        <v>1206</v>
      </c>
    </row>
    <row r="48" spans="1:15" s="82" customFormat="1" ht="21" hidden="1" customHeight="1" x14ac:dyDescent="0.25">
      <c r="A48" s="99" t="s">
        <v>289</v>
      </c>
      <c r="B48" s="9">
        <f>SUMIF(Camplist_Township,'NFI Distribution (by Tship)'!$A48,Camplist_HH)</f>
        <v>382</v>
      </c>
      <c r="C48" s="9">
        <f>SUMIF(Camplist_Township,'NFI Distribution (by Tship)'!$A48,Camplist_Popl)</f>
        <v>1896</v>
      </c>
      <c r="D48" s="95">
        <f t="shared" si="14"/>
        <v>0</v>
      </c>
      <c r="E48" s="9">
        <f t="shared" si="15"/>
        <v>0</v>
      </c>
      <c r="F48" s="9">
        <f t="shared" si="16"/>
        <v>0</v>
      </c>
      <c r="G48" s="14">
        <f t="shared" si="17"/>
        <v>382</v>
      </c>
      <c r="H48" s="8">
        <f t="shared" si="18"/>
        <v>0</v>
      </c>
      <c r="I48" s="8">
        <f t="shared" si="19"/>
        <v>0</v>
      </c>
      <c r="J48" s="8">
        <f t="shared" si="20"/>
        <v>0</v>
      </c>
      <c r="K48" s="16">
        <f t="shared" si="21"/>
        <v>382</v>
      </c>
      <c r="L48" s="8">
        <f t="shared" si="22"/>
        <v>0</v>
      </c>
      <c r="M48" s="8">
        <f t="shared" si="23"/>
        <v>0</v>
      </c>
      <c r="N48" s="8">
        <f t="shared" si="24"/>
        <v>0</v>
      </c>
      <c r="O48" s="16">
        <f t="shared" si="25"/>
        <v>382</v>
      </c>
    </row>
    <row r="49" spans="1:15" s="82" customFormat="1" ht="21" hidden="1" customHeight="1" x14ac:dyDescent="0.25">
      <c r="A49" s="99" t="s">
        <v>298</v>
      </c>
      <c r="B49" s="9">
        <f>SUMIF(Camplist_Township,'NFI Distribution (by Tship)'!$A49,Camplist_HH)</f>
        <v>128</v>
      </c>
      <c r="C49" s="9">
        <f>SUMIF(Camplist_Township,'NFI Distribution (by Tship)'!$A49,Camplist_Popl)</f>
        <v>561</v>
      </c>
      <c r="D49" s="95">
        <f t="shared" si="14"/>
        <v>0</v>
      </c>
      <c r="E49" s="9">
        <f t="shared" si="15"/>
        <v>0</v>
      </c>
      <c r="F49" s="9">
        <f t="shared" si="16"/>
        <v>0</v>
      </c>
      <c r="G49" s="14">
        <f t="shared" si="17"/>
        <v>128</v>
      </c>
      <c r="H49" s="8">
        <f t="shared" si="18"/>
        <v>0</v>
      </c>
      <c r="I49" s="8">
        <f t="shared" si="19"/>
        <v>0</v>
      </c>
      <c r="J49" s="8">
        <f t="shared" si="20"/>
        <v>0</v>
      </c>
      <c r="K49" s="16">
        <f t="shared" si="21"/>
        <v>128</v>
      </c>
      <c r="L49" s="8">
        <f t="shared" si="22"/>
        <v>0</v>
      </c>
      <c r="M49" s="8">
        <f t="shared" si="23"/>
        <v>0</v>
      </c>
      <c r="N49" s="8">
        <f t="shared" si="24"/>
        <v>0</v>
      </c>
      <c r="O49" s="16">
        <f t="shared" si="25"/>
        <v>128</v>
      </c>
    </row>
    <row r="50" spans="1:15" s="82" customFormat="1" ht="21" hidden="1" customHeight="1" x14ac:dyDescent="0.25">
      <c r="A50" s="99" t="s">
        <v>300</v>
      </c>
      <c r="B50" s="9">
        <f>SUMIF(Camplist_Township,'NFI Distribution (by Tship)'!$A50,Camplist_HH)</f>
        <v>83</v>
      </c>
      <c r="C50" s="9">
        <f>SUMIF(Camplist_Township,'NFI Distribution (by Tship)'!$A50,Camplist_Popl)</f>
        <v>394</v>
      </c>
      <c r="D50" s="95">
        <f t="shared" si="14"/>
        <v>0</v>
      </c>
      <c r="E50" s="9">
        <f t="shared" si="15"/>
        <v>0</v>
      </c>
      <c r="F50" s="9">
        <f t="shared" si="16"/>
        <v>0</v>
      </c>
      <c r="G50" s="14">
        <f t="shared" si="17"/>
        <v>83</v>
      </c>
      <c r="H50" s="8">
        <f t="shared" si="18"/>
        <v>0</v>
      </c>
      <c r="I50" s="8">
        <f t="shared" si="19"/>
        <v>0</v>
      </c>
      <c r="J50" s="8">
        <f t="shared" si="20"/>
        <v>0</v>
      </c>
      <c r="K50" s="16">
        <f t="shared" si="21"/>
        <v>83</v>
      </c>
      <c r="L50" s="8">
        <f t="shared" si="22"/>
        <v>215</v>
      </c>
      <c r="M50" s="8">
        <f t="shared" si="23"/>
        <v>0</v>
      </c>
      <c r="N50" s="8">
        <f t="shared" si="24"/>
        <v>0</v>
      </c>
      <c r="O50" s="16">
        <f t="shared" si="25"/>
        <v>0</v>
      </c>
    </row>
    <row r="51" spans="1:15" s="82" customFormat="1" ht="21" hidden="1" customHeight="1" x14ac:dyDescent="0.25">
      <c r="A51" s="99" t="s">
        <v>302</v>
      </c>
      <c r="B51" s="9">
        <f>SUMIF(Camplist_Township,'NFI Distribution (by Tship)'!$A51,Camplist_HH)</f>
        <v>507</v>
      </c>
      <c r="C51" s="9">
        <f>SUMIF(Camplist_Township,'NFI Distribution (by Tship)'!$A51,Camplist_Popl)</f>
        <v>2222</v>
      </c>
      <c r="D51" s="95">
        <f t="shared" si="14"/>
        <v>0</v>
      </c>
      <c r="E51" s="9">
        <f t="shared" si="15"/>
        <v>0</v>
      </c>
      <c r="F51" s="9">
        <f t="shared" si="16"/>
        <v>0</v>
      </c>
      <c r="G51" s="14">
        <f t="shared" si="17"/>
        <v>507</v>
      </c>
      <c r="H51" s="8">
        <f t="shared" si="18"/>
        <v>0</v>
      </c>
      <c r="I51" s="8">
        <f t="shared" si="19"/>
        <v>0</v>
      </c>
      <c r="J51" s="8">
        <f t="shared" si="20"/>
        <v>0</v>
      </c>
      <c r="K51" s="16">
        <f t="shared" si="21"/>
        <v>507</v>
      </c>
      <c r="L51" s="8">
        <f t="shared" si="22"/>
        <v>0</v>
      </c>
      <c r="M51" s="8">
        <f t="shared" si="23"/>
        <v>0</v>
      </c>
      <c r="N51" s="8">
        <f t="shared" si="24"/>
        <v>0</v>
      </c>
      <c r="O51" s="16">
        <f t="shared" si="25"/>
        <v>507</v>
      </c>
    </row>
    <row r="52" spans="1:15" s="82" customFormat="1" ht="21" hidden="1" customHeight="1" x14ac:dyDescent="0.25">
      <c r="A52" s="99" t="s">
        <v>813</v>
      </c>
      <c r="B52" s="9">
        <f>SUMIF(Camplist_Township,'NFI Distribution (by Tship)'!$A52,Camplist_HH)</f>
        <v>166</v>
      </c>
      <c r="C52" s="9">
        <f>SUMIF(Camplist_Township,'NFI Distribution (by Tship)'!$A52,Camplist_Popl)</f>
        <v>1232</v>
      </c>
      <c r="D52" s="95">
        <f t="shared" si="14"/>
        <v>0</v>
      </c>
      <c r="E52" s="9">
        <f t="shared" si="15"/>
        <v>0</v>
      </c>
      <c r="F52" s="9">
        <f t="shared" si="16"/>
        <v>0</v>
      </c>
      <c r="G52" s="14">
        <f t="shared" si="17"/>
        <v>166</v>
      </c>
      <c r="H52" s="8">
        <f t="shared" si="18"/>
        <v>0</v>
      </c>
      <c r="I52" s="8">
        <f t="shared" si="19"/>
        <v>0</v>
      </c>
      <c r="J52" s="8">
        <f t="shared" si="20"/>
        <v>0</v>
      </c>
      <c r="K52" s="16">
        <f t="shared" si="21"/>
        <v>166</v>
      </c>
      <c r="L52" s="8">
        <f t="shared" si="22"/>
        <v>0</v>
      </c>
      <c r="M52" s="8">
        <f t="shared" si="23"/>
        <v>0</v>
      </c>
      <c r="N52" s="8">
        <f t="shared" si="24"/>
        <v>0</v>
      </c>
      <c r="O52" s="16">
        <f t="shared" si="25"/>
        <v>166</v>
      </c>
    </row>
    <row r="53" spans="1:15" s="82" customFormat="1" ht="21" hidden="1" customHeight="1" x14ac:dyDescent="0.25">
      <c r="A53" s="99" t="s">
        <v>310</v>
      </c>
      <c r="B53" s="9">
        <f>SUMIF(Camplist_Township,'NFI Distribution (by Tship)'!$A53,Camplist_HH)</f>
        <v>5156</v>
      </c>
      <c r="C53" s="9">
        <f>SUMIF(Camplist_Township,'NFI Distribution (by Tship)'!$A53,Camplist_Popl)</f>
        <v>28892</v>
      </c>
      <c r="D53" s="95">
        <f t="shared" si="14"/>
        <v>0</v>
      </c>
      <c r="E53" s="9">
        <f t="shared" si="15"/>
        <v>0</v>
      </c>
      <c r="F53" s="9">
        <f t="shared" si="16"/>
        <v>0</v>
      </c>
      <c r="G53" s="14">
        <f t="shared" si="17"/>
        <v>5156</v>
      </c>
      <c r="H53" s="8">
        <f t="shared" si="18"/>
        <v>0</v>
      </c>
      <c r="I53" s="8">
        <f t="shared" si="19"/>
        <v>0</v>
      </c>
      <c r="J53" s="8">
        <f t="shared" si="20"/>
        <v>0</v>
      </c>
      <c r="K53" s="16">
        <f t="shared" si="21"/>
        <v>5156</v>
      </c>
      <c r="L53" s="8">
        <f t="shared" si="22"/>
        <v>120</v>
      </c>
      <c r="M53" s="8">
        <f t="shared" si="23"/>
        <v>0</v>
      </c>
      <c r="N53" s="8">
        <f t="shared" si="24"/>
        <v>0</v>
      </c>
      <c r="O53" s="16">
        <f t="shared" si="25"/>
        <v>5036</v>
      </c>
    </row>
    <row r="54" spans="1:15" ht="21" hidden="1" customHeight="1" thickBot="1" x14ac:dyDescent="0.3">
      <c r="A54" s="100" t="s">
        <v>3</v>
      </c>
      <c r="B54" s="101">
        <f t="shared" ref="B54:J54" si="26">SUM(B34:B53)</f>
        <v>19861</v>
      </c>
      <c r="C54" s="101">
        <f t="shared" si="26"/>
        <v>100372</v>
      </c>
      <c r="D54" s="96">
        <f t="shared" si="26"/>
        <v>0</v>
      </c>
      <c r="E54" s="10">
        <f t="shared" si="26"/>
        <v>0</v>
      </c>
      <c r="F54" s="10">
        <f t="shared" si="26"/>
        <v>0</v>
      </c>
      <c r="G54" s="15">
        <f t="shared" si="26"/>
        <v>19861</v>
      </c>
      <c r="H54" s="10">
        <f t="shared" si="26"/>
        <v>132</v>
      </c>
      <c r="I54" s="10">
        <f t="shared" si="26"/>
        <v>1058</v>
      </c>
      <c r="J54" s="10">
        <f t="shared" si="26"/>
        <v>0</v>
      </c>
      <c r="K54" s="15">
        <f>SUM(K34:K53)</f>
        <v>18671</v>
      </c>
      <c r="L54" s="10">
        <f>SUM(L34:L53)</f>
        <v>1313</v>
      </c>
      <c r="M54" s="10">
        <f>SUM(M34:M53)</f>
        <v>256</v>
      </c>
      <c r="N54" s="10">
        <f>SUM(N34:N53)</f>
        <v>0</v>
      </c>
      <c r="O54" s="36">
        <f>SUM(O34:O53)</f>
        <v>18424</v>
      </c>
    </row>
    <row r="55" spans="1:15" ht="21" customHeight="1" x14ac:dyDescent="0.25"/>
    <row r="56" spans="1:15" ht="17.25" hidden="1" customHeight="1" x14ac:dyDescent="0.25">
      <c r="I56" s="37"/>
    </row>
    <row r="57" spans="1:15" hidden="1" x14ac:dyDescent="0.25">
      <c r="I57" s="37"/>
    </row>
    <row r="59" spans="1:15" x14ac:dyDescent="0.25">
      <c r="A59" s="421" t="s">
        <v>500</v>
      </c>
      <c r="B59" s="26" t="s">
        <v>502</v>
      </c>
    </row>
    <row r="60" spans="1:15" x14ac:dyDescent="0.25">
      <c r="A60" s="421" t="s">
        <v>1150</v>
      </c>
      <c r="B60" s="26" t="s">
        <v>1132</v>
      </c>
      <c r="C60" s="37"/>
      <c r="D60" s="37"/>
      <c r="E60" s="37"/>
      <c r="F60" s="37"/>
      <c r="G60" s="37"/>
      <c r="H60" s="37"/>
    </row>
    <row r="61" spans="1:15" x14ac:dyDescent="0.25">
      <c r="A61" s="37"/>
      <c r="B61" s="37"/>
      <c r="C61" s="37"/>
      <c r="D61" s="37"/>
      <c r="E61" s="37"/>
      <c r="F61" s="37"/>
      <c r="G61" s="37"/>
      <c r="H61" s="37"/>
    </row>
    <row r="62" spans="1:15" x14ac:dyDescent="0.25">
      <c r="A62" s="421" t="s">
        <v>415</v>
      </c>
      <c r="B62" s="26" t="s">
        <v>1248</v>
      </c>
      <c r="C62" s="26" t="s">
        <v>459</v>
      </c>
      <c r="D62" s="26" t="s">
        <v>436</v>
      </c>
      <c r="E62" s="26" t="s">
        <v>437</v>
      </c>
      <c r="F62" s="26" t="s">
        <v>1249</v>
      </c>
      <c r="G62" s="26" t="s">
        <v>1250</v>
      </c>
    </row>
    <row r="63" spans="1:15" s="129" customFormat="1" x14ac:dyDescent="0.25">
      <c r="A63" s="420" t="s">
        <v>454</v>
      </c>
      <c r="B63" s="660">
        <v>540</v>
      </c>
      <c r="C63" s="660">
        <v>200</v>
      </c>
      <c r="D63" s="660">
        <v>865</v>
      </c>
      <c r="E63" s="660">
        <v>200</v>
      </c>
      <c r="F63" s="660">
        <v>200</v>
      </c>
      <c r="G63" s="660">
        <v>975</v>
      </c>
      <c r="H63"/>
      <c r="I63"/>
      <c r="J63"/>
      <c r="K63"/>
      <c r="L63"/>
    </row>
    <row r="64" spans="1:15" s="129" customFormat="1" x14ac:dyDescent="0.25">
      <c r="A64" s="420" t="s">
        <v>416</v>
      </c>
      <c r="B64" s="660">
        <v>540</v>
      </c>
      <c r="C64" s="660">
        <v>200</v>
      </c>
      <c r="D64" s="660">
        <v>865</v>
      </c>
      <c r="E64" s="660">
        <v>200</v>
      </c>
      <c r="F64" s="660">
        <v>200</v>
      </c>
      <c r="G64" s="660">
        <v>975</v>
      </c>
      <c r="H64"/>
    </row>
    <row r="65" spans="1:12" s="129" customFormat="1" x14ac:dyDescent="0.25">
      <c r="A65"/>
      <c r="B65"/>
      <c r="C65"/>
      <c r="D65"/>
      <c r="E65"/>
      <c r="F65"/>
      <c r="G65"/>
      <c r="H65"/>
    </row>
    <row r="66" spans="1:12" s="129" customFormat="1" x14ac:dyDescent="0.25">
      <c r="A66"/>
      <c r="B66"/>
      <c r="C66"/>
      <c r="D66"/>
      <c r="E66"/>
      <c r="F66"/>
      <c r="G66"/>
      <c r="H66"/>
    </row>
    <row r="67" spans="1:12" s="129" customFormat="1" x14ac:dyDescent="0.25">
      <c r="A67"/>
      <c r="B67"/>
      <c r="C67"/>
      <c r="D67"/>
      <c r="E67"/>
      <c r="F67"/>
      <c r="G67"/>
      <c r="H67"/>
    </row>
    <row r="68" spans="1:12" s="129" customFormat="1" x14ac:dyDescent="0.25">
      <c r="A68" s="421" t="s">
        <v>500</v>
      </c>
      <c r="B68" s="26" t="s">
        <v>502</v>
      </c>
      <c r="C68"/>
      <c r="D68"/>
      <c r="E68"/>
      <c r="F68"/>
      <c r="G68"/>
      <c r="H68"/>
    </row>
    <row r="69" spans="1:12" s="129" customFormat="1" x14ac:dyDescent="0.25">
      <c r="A69" s="421" t="s">
        <v>1087</v>
      </c>
      <c r="B69" s="26" t="s">
        <v>1132</v>
      </c>
      <c r="E69"/>
      <c r="F69"/>
      <c r="G69"/>
    </row>
    <row r="70" spans="1:12" x14ac:dyDescent="0.25">
      <c r="A70" s="421" t="s">
        <v>1166</v>
      </c>
      <c r="B70" s="420">
        <v>1</v>
      </c>
      <c r="C70" s="129"/>
      <c r="D70" s="129"/>
      <c r="H70" s="129"/>
    </row>
    <row r="71" spans="1:12" x14ac:dyDescent="0.25">
      <c r="A71" s="129"/>
      <c r="B71" s="129"/>
      <c r="C71" s="129"/>
      <c r="D71" s="129"/>
      <c r="H71" s="129"/>
    </row>
    <row r="72" spans="1:12" s="139" customFormat="1" ht="45" x14ac:dyDescent="0.25">
      <c r="A72" s="467" t="s">
        <v>415</v>
      </c>
      <c r="B72" s="468" t="s">
        <v>1006</v>
      </c>
      <c r="C72" s="468" t="s">
        <v>1007</v>
      </c>
      <c r="D72" s="468" t="s">
        <v>1247</v>
      </c>
    </row>
    <row r="73" spans="1:12" x14ac:dyDescent="0.25">
      <c r="A73" s="420" t="s">
        <v>1113</v>
      </c>
      <c r="B73" s="660"/>
      <c r="C73" s="660"/>
      <c r="D73" s="660">
        <v>684</v>
      </c>
    </row>
    <row r="74" spans="1:12" x14ac:dyDescent="0.25">
      <c r="A74" s="420" t="s">
        <v>455</v>
      </c>
      <c r="B74" s="660">
        <v>944</v>
      </c>
      <c r="C74" s="660">
        <v>553</v>
      </c>
      <c r="D74" s="660"/>
    </row>
    <row r="75" spans="1:12" x14ac:dyDescent="0.25">
      <c r="A75" s="420" t="s">
        <v>1101</v>
      </c>
      <c r="B75" s="660">
        <v>941</v>
      </c>
      <c r="C75" s="660">
        <v>619</v>
      </c>
      <c r="D75" s="660">
        <v>549</v>
      </c>
    </row>
    <row r="76" spans="1:12" x14ac:dyDescent="0.25">
      <c r="A76" s="420" t="s">
        <v>1043</v>
      </c>
      <c r="B76" s="660"/>
      <c r="C76" s="660">
        <v>1333</v>
      </c>
      <c r="D76" s="660"/>
      <c r="L76" s="3"/>
    </row>
    <row r="77" spans="1:12" x14ac:dyDescent="0.25">
      <c r="A77" s="420" t="s">
        <v>912</v>
      </c>
      <c r="B77" s="660">
        <v>1155</v>
      </c>
      <c r="C77" s="660">
        <v>2263</v>
      </c>
      <c r="D77" s="660">
        <v>3418</v>
      </c>
    </row>
    <row r="78" spans="1:12" x14ac:dyDescent="0.25">
      <c r="A78" s="420" t="s">
        <v>454</v>
      </c>
      <c r="B78" s="660">
        <v>1632</v>
      </c>
      <c r="C78" s="660">
        <v>2421</v>
      </c>
      <c r="D78" s="660">
        <v>3070</v>
      </c>
    </row>
    <row r="79" spans="1:12" x14ac:dyDescent="0.25">
      <c r="A79" s="420" t="s">
        <v>416</v>
      </c>
      <c r="B79" s="660">
        <v>4672</v>
      </c>
      <c r="C79" s="660">
        <v>7189</v>
      </c>
      <c r="D79" s="660">
        <v>7721</v>
      </c>
    </row>
  </sheetData>
  <sortState ref="A8:T17">
    <sortCondition ref="A8:A17"/>
  </sortState>
  <mergeCells count="10">
    <mergeCell ref="L32:O32"/>
    <mergeCell ref="A32:A33"/>
    <mergeCell ref="B32:B33"/>
    <mergeCell ref="C32:C33"/>
    <mergeCell ref="D32:G32"/>
    <mergeCell ref="A2:H2"/>
    <mergeCell ref="A3:H3"/>
    <mergeCell ref="A6:A7"/>
    <mergeCell ref="B6:B7"/>
    <mergeCell ref="C6:C7"/>
  </mergeCells>
  <pageMargins left="0.25" right="0.25" top="0.75" bottom="0.75" header="0.3" footer="0.3"/>
  <pageSetup paperSize="9" scale="40"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129"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51" customWidth="1"/>
    <col min="14" max="14" width="11.140625" customWidth="1"/>
    <col min="17" max="17" width="13.8554687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39" customFormat="1" ht="30" x14ac:dyDescent="0.25">
      <c r="A1" s="474" t="s">
        <v>560</v>
      </c>
      <c r="B1" s="475" t="s">
        <v>1087</v>
      </c>
      <c r="C1" s="475" t="s">
        <v>556</v>
      </c>
      <c r="D1" s="475" t="s">
        <v>0</v>
      </c>
      <c r="E1" s="475" t="s">
        <v>2</v>
      </c>
      <c r="F1" s="475" t="s">
        <v>1088</v>
      </c>
      <c r="G1" s="475" t="s">
        <v>1006</v>
      </c>
      <c r="H1" s="475" t="s">
        <v>1007</v>
      </c>
      <c r="I1" s="475" t="s">
        <v>1008</v>
      </c>
      <c r="J1" s="475" t="s">
        <v>1089</v>
      </c>
      <c r="K1" s="475" t="s">
        <v>1091</v>
      </c>
      <c r="L1" s="475" t="s">
        <v>1090</v>
      </c>
      <c r="M1" s="476" t="s">
        <v>1098</v>
      </c>
      <c r="N1" s="477" t="s">
        <v>1095</v>
      </c>
      <c r="Q1" s="139">
        <f>SUM(N:N)</f>
        <v>0</v>
      </c>
      <c r="R1" s="139">
        <f>COUNTA(A:A)-1</f>
        <v>167</v>
      </c>
    </row>
    <row r="2" spans="1:20" x14ac:dyDescent="0.25">
      <c r="A2" s="381" t="s">
        <v>30</v>
      </c>
      <c r="B2" s="26" t="str">
        <f ca="1">OFFSET(CampList[Priority],MATCH(Table10[[#This Row],[Pcode]],CampList[CP_Pcode],0)-1,0,1,1)</f>
        <v>P1</v>
      </c>
      <c r="C2" s="26" t="str">
        <f ca="1">OFFSET(CampList[Camp],MATCH(Table10[[#This Row],[Pcode]],CampList[CP_Pcode],0)-1,0,1,1)</f>
        <v>Chipwi KBC camp</v>
      </c>
      <c r="D2" s="26" t="str">
        <f ca="1">OFFSET(CampList[Township],MATCH(Table10[[#This Row],[Pcode]],CampList[CP_Pcode],0)-1,0,1,1)</f>
        <v>Chipwi</v>
      </c>
      <c r="E2" s="26">
        <f ca="1">OFFSET(CampList[HH],MATCH(Table10[[#This Row],[Pcode]],CampList[CP_Pcode],0)-1,0,1,1)</f>
        <v>118</v>
      </c>
      <c r="F2" s="26">
        <f ca="1">OFFSET(CampList[Total],MATCH(Table10[[#This Row],[Pcode]],CampList[CP_Pcode],0)-1,0,1,1)</f>
        <v>518</v>
      </c>
      <c r="G2" s="422">
        <f>SUMIF('NFI Tracking'!AM$6:AM$1048576,Table10[[#This Row],[Pcode]],'NFI Tracking'!AG$6:AG$1048576)</f>
        <v>293</v>
      </c>
      <c r="H2" s="422">
        <f>SUMIF('NFI Tracking'!AM$6:AM$1048576,Table10[[#This Row],[Pcode]],'NFI Tracking'!AH$6:AH$1048576)</f>
        <v>190</v>
      </c>
      <c r="I2" s="422">
        <f>SUMIF('NFI Tracking'!AM$6:AM$1048576,Table10[[#This Row],[Pcode]],'NFI Tracking'!AI$6:AI$1048576)</f>
        <v>0</v>
      </c>
      <c r="J2" s="422">
        <f ca="1">MAX(Table10[[#This Row],[HH]]*VLOOKUP("Winter Clothes Adult",NFI,6)-Table10[[#This Row],[Winter Clothes Adult ]],0)</f>
        <v>0</v>
      </c>
      <c r="K2" s="422">
        <f ca="1">MAX(Table10[[#This Row],[HH]]*VLOOKUP("Winter Clothes Children ",NFI,6)-Table10[[#This Row],[Winter Clothes Children ]],0)</f>
        <v>0</v>
      </c>
      <c r="L2" s="422">
        <f ca="1">MAX(Table10[[#This Row],[HH]]*VLOOKUP("Winter Items Other ",NFI,6)-Table10[[#This Row],[Winter Items Other ]],0)</f>
        <v>118</v>
      </c>
      <c r="M2" s="469" t="str">
        <f>IF(OR(Table10[[#This Row],[Winter Clothes Adult ]]&lt;&gt;0,Table10[[#This Row],[Winter Clothes Children ]]&lt;&gt;0,Table10[[#This Row],[Winter Items Other ]]&lt;&gt;0),"No","")</f>
        <v>No</v>
      </c>
      <c r="N2" s="470">
        <f>COUNTIF(A:A,Table10[[#This Row],[Pcode]])-1</f>
        <v>0</v>
      </c>
    </row>
    <row r="3" spans="1:20" x14ac:dyDescent="0.25">
      <c r="A3" s="381" t="s">
        <v>31</v>
      </c>
      <c r="B3" s="26" t="str">
        <f ca="1">OFFSET(CampList[Priority],MATCH(Table10[[#This Row],[Pcode]],CampList[CP_Pcode],0)-1,0,1,1)</f>
        <v>P1</v>
      </c>
      <c r="C3" s="26" t="str">
        <f ca="1">OFFSET(CampList[Camp],MATCH(Table10[[#This Row],[Pcode]],CampList[CP_Pcode],0)-1,0,1,1)</f>
        <v>Gant Gwin</v>
      </c>
      <c r="D3" s="26" t="str">
        <f ca="1">OFFSET(CampList[Township],MATCH(Table10[[#This Row],[Pcode]],CampList[CP_Pcode],0)-1,0,1,1)</f>
        <v>Chipwi</v>
      </c>
      <c r="E3" s="26">
        <f ca="1">OFFSET(CampList[HH],MATCH(Table10[[#This Row],[Pcode]],CampList[CP_Pcode],0)-1,0,1,1)</f>
        <v>0</v>
      </c>
      <c r="F3" s="26">
        <f ca="1">OFFSET(CampList[Total],MATCH(Table10[[#This Row],[Pcode]],CampList[CP_Pcode],0)-1,0,1,1)</f>
        <v>0</v>
      </c>
      <c r="G3" s="422">
        <f>SUMIF('NFI Tracking'!AM$6:AM$1048576,Table10[[#This Row],[Pcode]],'NFI Tracking'!AG$6:AG$1048576)</f>
        <v>0</v>
      </c>
      <c r="H3" s="422">
        <f>SUMIF('NFI Tracking'!AM$6:AM$1048576,Table10[[#This Row],[Pcode]],'NFI Tracking'!AH$6:AH$1048576)</f>
        <v>0</v>
      </c>
      <c r="I3" s="422">
        <f>SUMIF('NFI Tracking'!AM$6:AM$1048576,Table10[[#This Row],[Pcode]],'NFI Tracking'!AI$6:AI$1048576)</f>
        <v>0</v>
      </c>
      <c r="J3" s="422">
        <f ca="1">MAX(Table10[[#This Row],[HH]]*VLOOKUP("Winter Clothes Adult",NFI,6)-Table10[[#This Row],[Winter Clothes Adult ]],0)</f>
        <v>0</v>
      </c>
      <c r="K3" s="422">
        <f ca="1">MAX(Table10[[#This Row],[HH]]*VLOOKUP("Winter Clothes Children ",NFI,6)-Table10[[#This Row],[Winter Clothes Children ]],0)</f>
        <v>0</v>
      </c>
      <c r="L3" s="422">
        <f ca="1">MAX(Table10[[#This Row],[HH]]*VLOOKUP("Winter Items Other ",NFI,6)-Table10[[#This Row],[Winter Items Other ]],0)</f>
        <v>0</v>
      </c>
      <c r="M3" s="469" t="str">
        <f>IF(OR(Table10[[#This Row],[Winter Clothes Adult ]]&lt;&gt;0,Table10[[#This Row],[Winter Clothes Children ]]&lt;&gt;0,Table10[[#This Row],[Winter Items Other ]]&lt;&gt;0),"No","")</f>
        <v/>
      </c>
      <c r="N3" s="470">
        <f>COUNTIF(A:A,Table10[[#This Row],[Pcode]])-1</f>
        <v>0</v>
      </c>
    </row>
    <row r="4" spans="1:20" x14ac:dyDescent="0.25">
      <c r="A4" s="381" t="s">
        <v>29</v>
      </c>
      <c r="B4" s="26" t="str">
        <f ca="1">OFFSET(CampList[Priority],MATCH(Table10[[#This Row],[Pcode]],CampList[CP_Pcode],0)-1,0,1,1)</f>
        <v>P1</v>
      </c>
      <c r="C4" s="26" t="str">
        <f ca="1">OFFSET(CampList[Camp],MATCH(Table10[[#This Row],[Pcode]],CampList[CP_Pcode],0)-1,0,1,1)</f>
        <v>Hpare Hkyer - BP6</v>
      </c>
      <c r="D4" s="26" t="str">
        <f ca="1">OFFSET(CampList[Township],MATCH(Table10[[#This Row],[Pcode]],CampList[CP_Pcode],0)-1,0,1,1)</f>
        <v>Chipwi</v>
      </c>
      <c r="E4" s="26">
        <f ca="1">OFFSET(CampList[HH],MATCH(Table10[[#This Row],[Pcode]],CampList[CP_Pcode],0)-1,0,1,1)</f>
        <v>154</v>
      </c>
      <c r="F4" s="26">
        <f ca="1">OFFSET(CampList[Total],MATCH(Table10[[#This Row],[Pcode]],CampList[CP_Pcode],0)-1,0,1,1)</f>
        <v>920</v>
      </c>
      <c r="G4" s="422">
        <f>SUMIF('NFI Tracking'!AM$6:AM$1048576,Table10[[#This Row],[Pcode]],'NFI Tracking'!AG$6:AG$1048576)</f>
        <v>320</v>
      </c>
      <c r="H4" s="422">
        <f>SUMIF('NFI Tracking'!AM$6:AM$1048576,Table10[[#This Row],[Pcode]],'NFI Tracking'!AH$6:AH$1048576)</f>
        <v>465</v>
      </c>
      <c r="I4" s="422">
        <f>SUMIF('NFI Tracking'!AM$6:AM$1048576,Table10[[#This Row],[Pcode]],'NFI Tracking'!AI$6:AI$1048576)</f>
        <v>0</v>
      </c>
      <c r="J4" s="422">
        <f ca="1">MAX(Table10[[#This Row],[HH]]*VLOOKUP("Winter Clothes Adult",NFI,6)-Table10[[#This Row],[Winter Clothes Adult ]],0)</f>
        <v>0</v>
      </c>
      <c r="K4" s="422">
        <f ca="1">MAX(Table10[[#This Row],[HH]]*VLOOKUP("Winter Clothes Children ",NFI,6)-Table10[[#This Row],[Winter Clothes Children ]],0)</f>
        <v>0</v>
      </c>
      <c r="L4" s="422">
        <f ca="1">MAX(Table10[[#This Row],[HH]]*VLOOKUP("Winter Items Other ",NFI,6)-Table10[[#This Row],[Winter Items Other ]],0)</f>
        <v>154</v>
      </c>
      <c r="M4" s="469" t="str">
        <f>IF(OR(Table10[[#This Row],[Winter Clothes Adult ]]&lt;&gt;0,Table10[[#This Row],[Winter Clothes Children ]]&lt;&gt;0,Table10[[#This Row],[Winter Items Other ]]&lt;&gt;0),"No","")</f>
        <v>No</v>
      </c>
      <c r="N4" s="470">
        <f>COUNTIF(A:A,Table10[[#This Row],[Pcode]])-1</f>
        <v>0</v>
      </c>
    </row>
    <row r="5" spans="1:20" x14ac:dyDescent="0.25">
      <c r="A5" s="381" t="s">
        <v>33</v>
      </c>
      <c r="B5" s="26" t="str">
        <f ca="1">OFFSET(CampList[Priority],MATCH(Table10[[#This Row],[Pcode]],CampList[CP_Pcode],0)-1,0,1,1)</f>
        <v>P1</v>
      </c>
      <c r="C5" s="26" t="str">
        <f ca="1">OFFSET(CampList[Camp],MATCH(Table10[[#This Row],[Pcode]],CampList[CP_Pcode],0)-1,0,1,1)</f>
        <v xml:space="preserve">Lan Jaw </v>
      </c>
      <c r="D5" s="26" t="str">
        <f ca="1">OFFSET(CampList[Township],MATCH(Table10[[#This Row],[Pcode]],CampList[CP_Pcode],0)-1,0,1,1)</f>
        <v>Chipwi</v>
      </c>
      <c r="E5" s="26">
        <f ca="1">OFFSET(CampList[HH],MATCH(Table10[[#This Row],[Pcode]],CampList[CP_Pcode],0)-1,0,1,1)</f>
        <v>0</v>
      </c>
      <c r="F5" s="26">
        <f ca="1">OFFSET(CampList[Total],MATCH(Table10[[#This Row],[Pcode]],CampList[CP_Pcode],0)-1,0,1,1)</f>
        <v>0</v>
      </c>
      <c r="G5" s="422">
        <f>SUMIF('NFI Tracking'!AM$6:AM$1048576,Table10[[#This Row],[Pcode]],'NFI Tracking'!AG$6:AG$1048576)</f>
        <v>0</v>
      </c>
      <c r="H5" s="422">
        <f>SUMIF('NFI Tracking'!AM$6:AM$1048576,Table10[[#This Row],[Pcode]],'NFI Tracking'!AH$6:AH$1048576)</f>
        <v>0</v>
      </c>
      <c r="I5" s="422">
        <f>SUMIF('NFI Tracking'!AM$6:AM$1048576,Table10[[#This Row],[Pcode]],'NFI Tracking'!AI$6:AI$1048576)</f>
        <v>0</v>
      </c>
      <c r="J5" s="422">
        <f ca="1">MAX(Table10[[#This Row],[HH]]*VLOOKUP("Winter Clothes Adult",NFI,6)-Table10[[#This Row],[Winter Clothes Adult ]],0)</f>
        <v>0</v>
      </c>
      <c r="K5" s="422">
        <f ca="1">MAX(Table10[[#This Row],[HH]]*VLOOKUP("Winter Clothes Children ",NFI,6)-Table10[[#This Row],[Winter Clothes Children ]],0)</f>
        <v>0</v>
      </c>
      <c r="L5" s="422">
        <f ca="1">MAX(Table10[[#This Row],[HH]]*VLOOKUP("Winter Items Other ",NFI,6)-Table10[[#This Row],[Winter Items Other ]],0)</f>
        <v>0</v>
      </c>
      <c r="M5" s="469" t="str">
        <f>IF(OR(Table10[[#This Row],[Winter Clothes Adult ]]&lt;&gt;0,Table10[[#This Row],[Winter Clothes Children ]]&lt;&gt;0,Table10[[#This Row],[Winter Items Other ]]&lt;&gt;0),"No","")</f>
        <v/>
      </c>
      <c r="N5" s="470">
        <f>COUNTIF(A:A,Table10[[#This Row],[Pcode]])-1</f>
        <v>0</v>
      </c>
    </row>
    <row r="6" spans="1:20" x14ac:dyDescent="0.25">
      <c r="A6" s="381" t="s">
        <v>378</v>
      </c>
      <c r="B6" s="26" t="str">
        <f ca="1">OFFSET(CampList[Priority],MATCH(Table10[[#This Row],[Pcode]],CampList[CP_Pcode],0)-1,0,1,1)</f>
        <v>P1</v>
      </c>
      <c r="C6" s="26" t="str">
        <f ca="1">OFFSET(CampList[Camp],MATCH(Table10[[#This Row],[Pcode]],CampList[CP_Pcode],0)-1,0,1,1)</f>
        <v>Lhaovao Baptist Church (LBC)</v>
      </c>
      <c r="D6" s="26" t="str">
        <f ca="1">OFFSET(CampList[Township],MATCH(Table10[[#This Row],[Pcode]],CampList[CP_Pcode],0)-1,0,1,1)</f>
        <v>Chipwi</v>
      </c>
      <c r="E6" s="26">
        <f ca="1">OFFSET(CampList[HH],MATCH(Table10[[#This Row],[Pcode]],CampList[CP_Pcode],0)-1,0,1,1)</f>
        <v>144</v>
      </c>
      <c r="F6" s="26">
        <f ca="1">OFFSET(CampList[Total],MATCH(Table10[[#This Row],[Pcode]],CampList[CP_Pcode],0)-1,0,1,1)</f>
        <v>645</v>
      </c>
      <c r="G6" s="422">
        <f>SUMIF('NFI Tracking'!AM$6:AM$1048576,Table10[[#This Row],[Pcode]],'NFI Tracking'!AG$6:AG$1048576)</f>
        <v>350</v>
      </c>
      <c r="H6" s="422">
        <f>SUMIF('NFI Tracking'!AM$6:AM$1048576,Table10[[#This Row],[Pcode]],'NFI Tracking'!AH$6:AH$1048576)</f>
        <v>236</v>
      </c>
      <c r="I6" s="422">
        <f>SUMIF('NFI Tracking'!AM$6:AM$1048576,Table10[[#This Row],[Pcode]],'NFI Tracking'!AI$6:AI$1048576)</f>
        <v>0</v>
      </c>
      <c r="J6" s="422">
        <f ca="1">MAX(Table10[[#This Row],[HH]]*VLOOKUP("Winter Clothes Adult",NFI,6)-Table10[[#This Row],[Winter Clothes Adult ]],0)</f>
        <v>0</v>
      </c>
      <c r="K6" s="422">
        <f ca="1">MAX(Table10[[#This Row],[HH]]*VLOOKUP("Winter Clothes Children ",NFI,6)-Table10[[#This Row],[Winter Clothes Children ]],0)</f>
        <v>0</v>
      </c>
      <c r="L6" s="422">
        <f ca="1">MAX(Table10[[#This Row],[HH]]*VLOOKUP("Winter Items Other ",NFI,6)-Table10[[#This Row],[Winter Items Other ]],0)</f>
        <v>144</v>
      </c>
      <c r="M6" s="469" t="str">
        <f>IF(OR(Table10[[#This Row],[Winter Clothes Adult ]]&lt;&gt;0,Table10[[#This Row],[Winter Clothes Children ]]&lt;&gt;0,Table10[[#This Row],[Winter Items Other ]]&lt;&gt;0),"No","")</f>
        <v>No</v>
      </c>
      <c r="N6" s="470">
        <f>COUNTIF(A:A,Table10[[#This Row],[Pcode]])-1</f>
        <v>0</v>
      </c>
    </row>
    <row r="7" spans="1:20" x14ac:dyDescent="0.25">
      <c r="A7" s="381" t="s">
        <v>1027</v>
      </c>
      <c r="B7" s="26" t="str">
        <f ca="1">OFFSET(CampList[Priority],MATCH(Table10[[#This Row],[Pcode]],CampList[CP_Pcode],0)-1,0,1,1)</f>
        <v>P1</v>
      </c>
      <c r="C7" s="26" t="str">
        <f ca="1">OFFSET(CampList[Camp],MATCH(Table10[[#This Row],[Pcode]],CampList[CP_Pcode],0)-1,0,1,1)</f>
        <v>Saw Zam</v>
      </c>
      <c r="D7" s="26" t="str">
        <f ca="1">OFFSET(CampList[Township],MATCH(Table10[[#This Row],[Pcode]],CampList[CP_Pcode],0)-1,0,1,1)</f>
        <v>Chipwi</v>
      </c>
      <c r="E7" s="26">
        <f ca="1">OFFSET(CampList[HH],MATCH(Table10[[#This Row],[Pcode]],CampList[CP_Pcode],0)-1,0,1,1)</f>
        <v>30</v>
      </c>
      <c r="F7" s="26">
        <f ca="1">OFFSET(CampList[Total],MATCH(Table10[[#This Row],[Pcode]],CampList[CP_Pcode],0)-1,0,1,1)</f>
        <v>181</v>
      </c>
      <c r="G7" s="422">
        <f>SUMIF('NFI Tracking'!AM$6:AM$1048576,Table10[[#This Row],[Pcode]],'NFI Tracking'!AG$6:AG$1048576)</f>
        <v>111</v>
      </c>
      <c r="H7" s="422">
        <f>SUMIF('NFI Tracking'!AM$6:AM$1048576,Table10[[#This Row],[Pcode]],'NFI Tracking'!AH$6:AH$1048576)</f>
        <v>56</v>
      </c>
      <c r="I7" s="422">
        <f>SUMIF('NFI Tracking'!AM$6:AM$1048576,Table10[[#This Row],[Pcode]],'NFI Tracking'!AI$6:AI$1048576)</f>
        <v>0</v>
      </c>
      <c r="J7" s="422">
        <f ca="1">MAX(Table10[[#This Row],[HH]]*VLOOKUP("Winter Clothes Adult",NFI,6)-Table10[[#This Row],[Winter Clothes Adult ]],0)</f>
        <v>0</v>
      </c>
      <c r="K7" s="422">
        <f ca="1">MAX(Table10[[#This Row],[HH]]*VLOOKUP("Winter Clothes Children ",NFI,6)-Table10[[#This Row],[Winter Clothes Children ]],0)</f>
        <v>0</v>
      </c>
      <c r="L7" s="422">
        <f ca="1">MAX(Table10[[#This Row],[HH]]*VLOOKUP("Winter Items Other ",NFI,6)-Table10[[#This Row],[Winter Items Other ]],0)</f>
        <v>30</v>
      </c>
      <c r="M7" s="469" t="str">
        <f>IF(OR(Table10[[#This Row],[Winter Clothes Adult ]]&lt;&gt;0,Table10[[#This Row],[Winter Clothes Children ]]&lt;&gt;0,Table10[[#This Row],[Winter Items Other ]]&lt;&gt;0),"No","")</f>
        <v>No</v>
      </c>
      <c r="N7" s="470">
        <f>COUNTIF(A:A,Table10[[#This Row],[Pcode]])-1</f>
        <v>0</v>
      </c>
    </row>
    <row r="8" spans="1:20" x14ac:dyDescent="0.25">
      <c r="A8" s="381" t="s">
        <v>869</v>
      </c>
      <c r="B8" s="26" t="str">
        <f ca="1">OFFSET(CampList[Priority],MATCH(Table10[[#This Row],[Pcode]],CampList[CP_Pcode],0)-1,0,1,1)</f>
        <v>P1</v>
      </c>
      <c r="C8" s="26" t="str">
        <f ca="1">OFFSET(CampList[Camp],MATCH(Table10[[#This Row],[Pcode]],CampList[CP_Pcode],0)-1,0,1,1)</f>
        <v>Pan Wa</v>
      </c>
      <c r="D8" s="26" t="str">
        <f ca="1">OFFSET(CampList[Township],MATCH(Table10[[#This Row],[Pcode]],CampList[CP_Pcode],0)-1,0,1,1)</f>
        <v>Chipwi</v>
      </c>
      <c r="E8" s="26">
        <f ca="1">OFFSET(CampList[HH],MATCH(Table10[[#This Row],[Pcode]],CampList[CP_Pcode],0)-1,0,1,1)</f>
        <v>65</v>
      </c>
      <c r="F8" s="26">
        <f ca="1">OFFSET(CampList[Total],MATCH(Table10[[#This Row],[Pcode]],CampList[CP_Pcode],0)-1,0,1,1)</f>
        <v>306</v>
      </c>
      <c r="G8" s="422">
        <f>SUMIF('NFI Tracking'!AM$6:AM$1048576,Table10[[#This Row],[Pcode]],'NFI Tracking'!AG$6:AG$1048576)</f>
        <v>187</v>
      </c>
      <c r="H8" s="422">
        <f>SUMIF('NFI Tracking'!AM$6:AM$1048576,Table10[[#This Row],[Pcode]],'NFI Tracking'!AH$6:AH$1048576)</f>
        <v>137</v>
      </c>
      <c r="I8" s="422">
        <f>SUMIF('NFI Tracking'!AM$6:AM$1048576,Table10[[#This Row],[Pcode]],'NFI Tracking'!AI$6:AI$1048576)</f>
        <v>0</v>
      </c>
      <c r="J8" s="422">
        <f ca="1">MAX(Table10[[#This Row],[HH]]*VLOOKUP("Winter Clothes Adult",NFI,6)-Table10[[#This Row],[Winter Clothes Adult ]],0)</f>
        <v>0</v>
      </c>
      <c r="K8" s="422">
        <f ca="1">MAX(Table10[[#This Row],[HH]]*VLOOKUP("Winter Clothes Children ",NFI,6)-Table10[[#This Row],[Winter Clothes Children ]],0)</f>
        <v>0</v>
      </c>
      <c r="L8" s="422">
        <f ca="1">MAX(Table10[[#This Row],[HH]]*VLOOKUP("Winter Items Other ",NFI,6)-Table10[[#This Row],[Winter Items Other ]],0)</f>
        <v>65</v>
      </c>
      <c r="M8" s="469" t="str">
        <f>IF(OR(Table10[[#This Row],[Winter Clothes Adult ]]&lt;&gt;0,Table10[[#This Row],[Winter Clothes Children ]]&lt;&gt;0,Table10[[#This Row],[Winter Items Other ]]&lt;&gt;0),"No","")</f>
        <v>No</v>
      </c>
      <c r="N8" s="470">
        <f>COUNTIF(A:A,Table10[[#This Row],[Pcode]])-1</f>
        <v>0</v>
      </c>
    </row>
    <row r="9" spans="1:20" x14ac:dyDescent="0.25">
      <c r="A9" s="381" t="s">
        <v>335</v>
      </c>
      <c r="B9" s="26" t="str">
        <f ca="1">OFFSET(CampList[Priority],MATCH(Table10[[#This Row],[Pcode]],CampList[CP_Pcode],0)-1,0,1,1)</f>
        <v>P1</v>
      </c>
      <c r="C9" s="26" t="str">
        <f ca="1">OFFSET(CampList[Camp],MATCH(Table10[[#This Row],[Pcode]],CampList[CP_Pcode],0)-1,0,1,1)</f>
        <v>Hkau Shau (BP 12)</v>
      </c>
      <c r="D9" s="26" t="str">
        <f ca="1">OFFSET(CampList[Township],MATCH(Table10[[#This Row],[Pcode]],CampList[CP_Pcode],0)-1,0,1,1)</f>
        <v>Waingmaw</v>
      </c>
      <c r="E9" s="26">
        <f ca="1">OFFSET(CampList[HH],MATCH(Table10[[#This Row],[Pcode]],CampList[CP_Pcode],0)-1,0,1,1)</f>
        <v>136</v>
      </c>
      <c r="F9" s="26">
        <f ca="1">OFFSET(CampList[Total],MATCH(Table10[[#This Row],[Pcode]],CampList[CP_Pcode],0)-1,0,1,1)</f>
        <v>1116</v>
      </c>
      <c r="G9" s="422">
        <f>SUMIF('NFI Tracking'!AM$6:AM$1048576,Table10[[#This Row],[Pcode]],'NFI Tracking'!AG$6:AG$1048576)</f>
        <v>364</v>
      </c>
      <c r="H9" s="422">
        <f>SUMIF('NFI Tracking'!AM$6:AM$1048576,Table10[[#This Row],[Pcode]],'NFI Tracking'!AH$6:AH$1048576)</f>
        <v>543</v>
      </c>
      <c r="I9" s="422">
        <f>SUMIF('NFI Tracking'!AM$6:AM$1048576,Table10[[#This Row],[Pcode]],'NFI Tracking'!AI$6:AI$1048576)</f>
        <v>0</v>
      </c>
      <c r="J9" s="422">
        <f ca="1">MAX(Table10[[#This Row],[HH]]*VLOOKUP("Winter Clothes Adult",NFI,6)-Table10[[#This Row],[Winter Clothes Adult ]],0)</f>
        <v>0</v>
      </c>
      <c r="K9" s="422">
        <f ca="1">MAX(Table10[[#This Row],[HH]]*VLOOKUP("Winter Clothes Children ",NFI,6)-Table10[[#This Row],[Winter Clothes Children ]],0)</f>
        <v>0</v>
      </c>
      <c r="L9" s="422">
        <f ca="1">MAX(Table10[[#This Row],[HH]]*VLOOKUP("Winter Items Other ",NFI,6)-Table10[[#This Row],[Winter Items Other ]],0)</f>
        <v>136</v>
      </c>
      <c r="M9" s="469" t="str">
        <f>IF(OR(Table10[[#This Row],[Winter Clothes Adult ]]&lt;&gt;0,Table10[[#This Row],[Winter Clothes Children ]]&lt;&gt;0,Table10[[#This Row],[Winter Items Other ]]&lt;&gt;0),"No","")</f>
        <v>No</v>
      </c>
      <c r="N9" s="470">
        <f>COUNTIF(A:A,Table10[[#This Row],[Pcode]])-1</f>
        <v>0</v>
      </c>
    </row>
    <row r="10" spans="1:20" x14ac:dyDescent="0.25">
      <c r="A10" s="381" t="s">
        <v>345</v>
      </c>
      <c r="B10" s="26" t="str">
        <f ca="1">OFFSET(CampList[Priority],MATCH(Table10[[#This Row],[Pcode]],CampList[CP_Pcode],0)-1,0,1,1)</f>
        <v>P1</v>
      </c>
      <c r="C10" s="26" t="str">
        <f ca="1">OFFSET(CampList[Camp],MATCH(Table10[[#This Row],[Pcode]],CampList[CP_Pcode],0)-1,0,1,1)</f>
        <v>Pajau - Jan Mai</v>
      </c>
      <c r="D10" s="26" t="str">
        <f ca="1">OFFSET(CampList[Township],MATCH(Table10[[#This Row],[Pcode]],CampList[CP_Pcode],0)-1,0,1,1)</f>
        <v>Waingmaw</v>
      </c>
      <c r="E10" s="26">
        <f ca="1">OFFSET(CampList[HH],MATCH(Table10[[#This Row],[Pcode]],CampList[CP_Pcode],0)-1,0,1,1)</f>
        <v>191</v>
      </c>
      <c r="F10" s="26">
        <f ca="1">OFFSET(CampList[Total],MATCH(Table10[[#This Row],[Pcode]],CampList[CP_Pcode],0)-1,0,1,1)</f>
        <v>768</v>
      </c>
      <c r="G10" s="422">
        <f>SUMIF('NFI Tracking'!AM$6:AM$1048576,Table10[[#This Row],[Pcode]],'NFI Tracking'!AG$6:AG$1048576)</f>
        <v>384</v>
      </c>
      <c r="H10" s="422">
        <f>SUMIF('NFI Tracking'!AM$6:AM$1048576,Table10[[#This Row],[Pcode]],'NFI Tracking'!AH$6:AH$1048576)</f>
        <v>573</v>
      </c>
      <c r="I10" s="422">
        <f>SUMIF('NFI Tracking'!AM$6:AM$1048576,Table10[[#This Row],[Pcode]],'NFI Tracking'!AI$6:AI$1048576)</f>
        <v>0</v>
      </c>
      <c r="J10" s="422">
        <f ca="1">MAX(Table10[[#This Row],[HH]]*VLOOKUP("Winter Clothes Adult",NFI,6)-Table10[[#This Row],[Winter Clothes Adult ]],0)</f>
        <v>0</v>
      </c>
      <c r="K10" s="422">
        <f ca="1">MAX(Table10[[#This Row],[HH]]*VLOOKUP("Winter Clothes Children ",NFI,6)-Table10[[#This Row],[Winter Clothes Children ]],0)</f>
        <v>0</v>
      </c>
      <c r="L10" s="422">
        <f ca="1">MAX(Table10[[#This Row],[HH]]*VLOOKUP("Winter Items Other ",NFI,6)-Table10[[#This Row],[Winter Items Other ]],0)</f>
        <v>191</v>
      </c>
      <c r="M10" s="469" t="str">
        <f>IF(OR(Table10[[#This Row],[Winter Clothes Adult ]]&lt;&gt;0,Table10[[#This Row],[Winter Clothes Children ]]&lt;&gt;0,Table10[[#This Row],[Winter Items Other ]]&lt;&gt;0),"No","")</f>
        <v>No</v>
      </c>
      <c r="N10" s="470">
        <f>COUNTIF(A:A,Table10[[#This Row],[Pcode]])-1</f>
        <v>0</v>
      </c>
    </row>
    <row r="11" spans="1:20" x14ac:dyDescent="0.25">
      <c r="A11" s="381" t="s">
        <v>354</v>
      </c>
      <c r="B11" s="26" t="str">
        <f ca="1">OFFSET(CampList[Priority],MATCH(Table10[[#This Row],[Pcode]],CampList[CP_Pcode],0)-1,0,1,1)</f>
        <v>P1</v>
      </c>
      <c r="C11" s="26" t="str">
        <f ca="1">OFFSET(CampList[Camp],MATCH(Table10[[#This Row],[Pcode]],CampList[CP_Pcode],0)-1,0,1,1)</f>
        <v>Post 6 Camp</v>
      </c>
      <c r="D11" s="26" t="str">
        <f ca="1">OFFSET(CampList[Township],MATCH(Table10[[#This Row],[Pcode]],CampList[CP_Pcode],0)-1,0,1,1)</f>
        <v>Waingmaw</v>
      </c>
      <c r="E11" s="26">
        <f ca="1">OFFSET(CampList[HH],MATCH(Table10[[#This Row],[Pcode]],CampList[CP_Pcode],0)-1,0,1,1)</f>
        <v>108</v>
      </c>
      <c r="F11" s="26">
        <f ca="1">OFFSET(CampList[Total],MATCH(Table10[[#This Row],[Pcode]],CampList[CP_Pcode],0)-1,0,1,1)</f>
        <v>647</v>
      </c>
      <c r="G11" s="422">
        <f>SUMIF('NFI Tracking'!AM$6:AM$1048576,Table10[[#This Row],[Pcode]],'NFI Tracking'!AG$6:AG$1048576)</f>
        <v>262</v>
      </c>
      <c r="H11" s="422">
        <f>SUMIF('NFI Tracking'!AM$6:AM$1048576,Table10[[#This Row],[Pcode]],'NFI Tracking'!AH$6:AH$1048576)</f>
        <v>400</v>
      </c>
      <c r="I11" s="422">
        <f>SUMIF('NFI Tracking'!AM$6:AM$1048576,Table10[[#This Row],[Pcode]],'NFI Tracking'!AI$6:AI$1048576)</f>
        <v>0</v>
      </c>
      <c r="J11" s="422">
        <f ca="1">MAX(Table10[[#This Row],[HH]]*VLOOKUP("Winter Clothes Adult",NFI,6)-Table10[[#This Row],[Winter Clothes Adult ]],0)</f>
        <v>0</v>
      </c>
      <c r="K11" s="422">
        <f ca="1">MAX(Table10[[#This Row],[HH]]*VLOOKUP("Winter Clothes Children ",NFI,6)-Table10[[#This Row],[Winter Clothes Children ]],0)</f>
        <v>0</v>
      </c>
      <c r="L11" s="422">
        <f ca="1">MAX(Table10[[#This Row],[HH]]*VLOOKUP("Winter Items Other ",NFI,6)-Table10[[#This Row],[Winter Items Other ]],0)</f>
        <v>108</v>
      </c>
      <c r="M11" s="469" t="str">
        <f>IF(OR(Table10[[#This Row],[Winter Clothes Adult ]]&lt;&gt;0,Table10[[#This Row],[Winter Clothes Children ]]&lt;&gt;0,Table10[[#This Row],[Winter Items Other ]]&lt;&gt;0),"No","")</f>
        <v>No</v>
      </c>
      <c r="N11" s="470">
        <f>COUNTIF(A:A,Table10[[#This Row],[Pcode]])-1</f>
        <v>0</v>
      </c>
    </row>
    <row r="12" spans="1:20" x14ac:dyDescent="0.25">
      <c r="A12" s="381" t="s">
        <v>333</v>
      </c>
      <c r="B12" s="26" t="str">
        <f ca="1">OFFSET(CampList[Priority],MATCH(Table10[[#This Row],[Pcode]],CampList[CP_Pcode],0)-1,0,1,1)</f>
        <v>P1</v>
      </c>
      <c r="C12" s="26" t="str">
        <f ca="1">OFFSET(CampList[Camp],MATCH(Table10[[#This Row],[Pcode]],CampList[CP_Pcode],0)-1,0,1,1)</f>
        <v>Border Post 8</v>
      </c>
      <c r="D12" s="26" t="str">
        <f ca="1">OFFSET(CampList[Township],MATCH(Table10[[#This Row],[Pcode]],CampList[CP_Pcode],0)-1,0,1,1)</f>
        <v>Waingmaw</v>
      </c>
      <c r="E12" s="26">
        <f ca="1">OFFSET(CampList[HH],MATCH(Table10[[#This Row],[Pcode]],CampList[CP_Pcode],0)-1,0,1,1)</f>
        <v>155</v>
      </c>
      <c r="F12" s="26">
        <f ca="1">OFFSET(CampList[Total],MATCH(Table10[[#This Row],[Pcode]],CampList[CP_Pcode],0)-1,0,1,1)</f>
        <v>630</v>
      </c>
      <c r="G12" s="422">
        <f>SUMIF('NFI Tracking'!AM$6:AM$1048576,Table10[[#This Row],[Pcode]],'NFI Tracking'!AG$6:AG$1048576)</f>
        <v>302</v>
      </c>
      <c r="H12" s="422">
        <f>SUMIF('NFI Tracking'!AM$6:AM$1048576,Table10[[#This Row],[Pcode]],'NFI Tracking'!AH$6:AH$1048576)</f>
        <v>440</v>
      </c>
      <c r="I12" s="422">
        <f>SUMIF('NFI Tracking'!AM$6:AM$1048576,Table10[[#This Row],[Pcode]],'NFI Tracking'!AI$6:AI$1048576)</f>
        <v>0</v>
      </c>
      <c r="J12" s="422">
        <f ca="1">MAX(Table10[[#This Row],[HH]]*VLOOKUP("Winter Clothes Adult",NFI,6)-Table10[[#This Row],[Winter Clothes Adult ]],0)</f>
        <v>8</v>
      </c>
      <c r="K12" s="422">
        <f ca="1">MAX(Table10[[#This Row],[HH]]*VLOOKUP("Winter Clothes Children ",NFI,6)-Table10[[#This Row],[Winter Clothes Children ]],0)</f>
        <v>0</v>
      </c>
      <c r="L12" s="422">
        <f ca="1">MAX(Table10[[#This Row],[HH]]*VLOOKUP("Winter Items Other ",NFI,6)-Table10[[#This Row],[Winter Items Other ]],0)</f>
        <v>155</v>
      </c>
      <c r="M12" s="469" t="str">
        <f>IF(OR(Table10[[#This Row],[Winter Clothes Adult ]]&lt;&gt;0,Table10[[#This Row],[Winter Clothes Children ]]&lt;&gt;0,Table10[[#This Row],[Winter Items Other ]]&lt;&gt;0),"No","")</f>
        <v>No</v>
      </c>
      <c r="N12" s="470">
        <f>COUNTIF(A:A,Table10[[#This Row],[Pcode]])-1</f>
        <v>0</v>
      </c>
    </row>
    <row r="13" spans="1:20" x14ac:dyDescent="0.25">
      <c r="A13" s="381" t="s">
        <v>346</v>
      </c>
      <c r="B13" s="26" t="str">
        <f ca="1">OFFSET(CampList[Priority],MATCH(Table10[[#This Row],[Pcode]],CampList[CP_Pcode],0)-1,0,1,1)</f>
        <v>P1</v>
      </c>
      <c r="C13" s="26" t="str">
        <f ca="1">OFFSET(CampList[Camp],MATCH(Table10[[#This Row],[Pcode]],CampList[CP_Pcode],0)-1,0,1,1)</f>
        <v>Shing Jai</v>
      </c>
      <c r="D13" s="26" t="str">
        <f ca="1">OFFSET(CampList[Township],MATCH(Table10[[#This Row],[Pcode]],CampList[CP_Pcode],0)-1,0,1,1)</f>
        <v>Waingmaw</v>
      </c>
      <c r="E13" s="26">
        <f ca="1">OFFSET(CampList[HH],MATCH(Table10[[#This Row],[Pcode]],CampList[CP_Pcode],0)-1,0,1,1)</f>
        <v>172</v>
      </c>
      <c r="F13" s="26">
        <f ca="1">OFFSET(CampList[Total],MATCH(Table10[[#This Row],[Pcode]],CampList[CP_Pcode],0)-1,0,1,1)</f>
        <v>838</v>
      </c>
      <c r="G13" s="422">
        <f>SUMIF('NFI Tracking'!AM$6:AM$1048576,Table10[[#This Row],[Pcode]],'NFI Tracking'!AG$6:AG$1048576)</f>
        <v>0</v>
      </c>
      <c r="H13" s="422">
        <f>SUMIF('NFI Tracking'!AM$6:AM$1048576,Table10[[#This Row],[Pcode]],'NFI Tracking'!AH$6:AH$1048576)</f>
        <v>0</v>
      </c>
      <c r="I13" s="422">
        <f>SUMIF('NFI Tracking'!AM$6:AM$1048576,Table10[[#This Row],[Pcode]],'NFI Tracking'!AI$6:AI$1048576)</f>
        <v>0</v>
      </c>
      <c r="J13" s="422">
        <f ca="1">MAX(Table10[[#This Row],[HH]]*VLOOKUP("Winter Clothes Adult",NFI,6)-Table10[[#This Row],[Winter Clothes Adult ]],0)</f>
        <v>344</v>
      </c>
      <c r="K13" s="422">
        <f ca="1">MAX(Table10[[#This Row],[HH]]*VLOOKUP("Winter Clothes Children ",NFI,6)-Table10[[#This Row],[Winter Clothes Children ]],0)</f>
        <v>172</v>
      </c>
      <c r="L13" s="422">
        <f ca="1">MAX(Table10[[#This Row],[HH]]*VLOOKUP("Winter Items Other ",NFI,6)-Table10[[#This Row],[Winter Items Other ]],0)</f>
        <v>172</v>
      </c>
      <c r="M13" s="469" t="str">
        <f>IF(OR(Table10[[#This Row],[Winter Clothes Adult ]]&lt;&gt;0,Table10[[#This Row],[Winter Clothes Children ]]&lt;&gt;0,Table10[[#This Row],[Winter Items Other ]]&lt;&gt;0),"No","")</f>
        <v/>
      </c>
      <c r="N13" s="470">
        <f>COUNTIF(A:A,Table10[[#This Row],[Pcode]])-1</f>
        <v>0</v>
      </c>
    </row>
    <row r="14" spans="1:20" x14ac:dyDescent="0.25">
      <c r="A14" s="381" t="s">
        <v>214</v>
      </c>
      <c r="B14" s="26" t="str">
        <f ca="1">OFFSET(CampList[Priority],MATCH(Table10[[#This Row],[Pcode]],CampList[CP_Pcode],0)-1,0,1,1)</f>
        <v>P1</v>
      </c>
      <c r="C14" s="26" t="str">
        <f ca="1">OFFSET(CampList[Camp],MATCH(Table10[[#This Row],[Pcode]],CampList[CP_Pcode],0)-1,0,1,1)</f>
        <v xml:space="preserve">Nhkawng Pa </v>
      </c>
      <c r="D14" s="26" t="str">
        <f ca="1">OFFSET(CampList[Township],MATCH(Table10[[#This Row],[Pcode]],CampList[CP_Pcode],0)-1,0,1,1)</f>
        <v>Momauk</v>
      </c>
      <c r="E14" s="26">
        <f ca="1">OFFSET(CampList[HH],MATCH(Table10[[#This Row],[Pcode]],CampList[CP_Pcode],0)-1,0,1,1)</f>
        <v>412</v>
      </c>
      <c r="F14" s="26">
        <f ca="1">OFFSET(CampList[Total],MATCH(Table10[[#This Row],[Pcode]],CampList[CP_Pcode],0)-1,0,1,1)</f>
        <v>1700</v>
      </c>
      <c r="G14" s="422">
        <f>SUMIF('NFI Tracking'!AM$6:AM$1048576,Table10[[#This Row],[Pcode]],'NFI Tracking'!AG$6:AG$1048576)</f>
        <v>0</v>
      </c>
      <c r="H14" s="422">
        <f>SUMIF('NFI Tracking'!AM$6:AM$1048576,Table10[[#This Row],[Pcode]],'NFI Tracking'!AH$6:AH$1048576)</f>
        <v>0</v>
      </c>
      <c r="I14" s="422">
        <f>SUMIF('NFI Tracking'!AM$6:AM$1048576,Table10[[#This Row],[Pcode]],'NFI Tracking'!AI$6:AI$1048576)</f>
        <v>0</v>
      </c>
      <c r="J14" s="422">
        <f ca="1">MAX(Table10[[#This Row],[HH]]*VLOOKUP("Winter Clothes Adult",NFI,6)-Table10[[#This Row],[Winter Clothes Adult ]],0)</f>
        <v>824</v>
      </c>
      <c r="K14" s="422">
        <f ca="1">MAX(Table10[[#This Row],[HH]]*VLOOKUP("Winter Clothes Children ",NFI,6)-Table10[[#This Row],[Winter Clothes Children ]],0)</f>
        <v>412</v>
      </c>
      <c r="L14" s="422">
        <f ca="1">MAX(Table10[[#This Row],[HH]]*VLOOKUP("Winter Items Other ",NFI,6)-Table10[[#This Row],[Winter Items Other ]],0)</f>
        <v>412</v>
      </c>
      <c r="M14" s="469" t="str">
        <f>IF(OR(Table10[[#This Row],[Winter Clothes Adult ]]&lt;&gt;0,Table10[[#This Row],[Winter Clothes Children ]]&lt;&gt;0,Table10[[#This Row],[Winter Items Other ]]&lt;&gt;0),"No","")</f>
        <v/>
      </c>
      <c r="N14" s="470">
        <f>COUNTIF(A:A,Table10[[#This Row],[Pcode]])-1</f>
        <v>0</v>
      </c>
    </row>
    <row r="15" spans="1:20" x14ac:dyDescent="0.25">
      <c r="A15" s="381" t="s">
        <v>147</v>
      </c>
      <c r="B15" s="26" t="str">
        <f ca="1">OFFSET(CampList[Priority],MATCH(Table10[[#This Row],[Pcode]],CampList[CP_Pcode],0)-1,0,1,1)</f>
        <v>P1</v>
      </c>
      <c r="C15" s="26" t="str">
        <f ca="1">OFFSET(CampList[Camp],MATCH(Table10[[#This Row],[Pcode]],CampList[CP_Pcode],0)-1,0,1,1)</f>
        <v xml:space="preserve">Mungji Pa Dabang (Baptist Church)         </v>
      </c>
      <c r="D15" s="26" t="str">
        <f ca="1">OFFSET(CampList[Township],MATCH(Table10[[#This Row],[Pcode]],CampList[CP_Pcode],0)-1,0,1,1)</f>
        <v>Kutkai</v>
      </c>
      <c r="E15" s="26">
        <f ca="1">OFFSET(CampList[HH],MATCH(Table10[[#This Row],[Pcode]],CampList[CP_Pcode],0)-1,0,1,1)</f>
        <v>51</v>
      </c>
      <c r="F15" s="26">
        <f ca="1">OFFSET(CampList[Total],MATCH(Table10[[#This Row],[Pcode]],CampList[CP_Pcode],0)-1,0,1,1)</f>
        <v>261</v>
      </c>
      <c r="G15" s="422">
        <f>SUMIF('NFI Tracking'!AM$6:AM$1048576,Table10[[#This Row],[Pcode]],'NFI Tracking'!AG$6:AG$1048576)</f>
        <v>0</v>
      </c>
      <c r="H15" s="422">
        <f>SUMIF('NFI Tracking'!AM$6:AM$1048576,Table10[[#This Row],[Pcode]],'NFI Tracking'!AH$6:AH$1048576)</f>
        <v>0</v>
      </c>
      <c r="I15" s="422">
        <f>SUMIF('NFI Tracking'!AM$6:AM$1048576,Table10[[#This Row],[Pcode]],'NFI Tracking'!AI$6:AI$1048576)</f>
        <v>0</v>
      </c>
      <c r="J15" s="422">
        <f ca="1">MAX(Table10[[#This Row],[HH]]*VLOOKUP("Winter Clothes Adult",NFI,6)-Table10[[#This Row],[Winter Clothes Adult ]],0)</f>
        <v>102</v>
      </c>
      <c r="K15" s="422">
        <f ca="1">MAX(Table10[[#This Row],[HH]]*VLOOKUP("Winter Clothes Children ",NFI,6)-Table10[[#This Row],[Winter Clothes Children ]],0)</f>
        <v>51</v>
      </c>
      <c r="L15" s="422">
        <f ca="1">MAX(Table10[[#This Row],[HH]]*VLOOKUP("Winter Items Other ",NFI,6)-Table10[[#This Row],[Winter Items Other ]],0)</f>
        <v>51</v>
      </c>
      <c r="M15" s="469" t="str">
        <f>IF(OR(Table10[[#This Row],[Winter Clothes Adult ]]&lt;&gt;0,Table10[[#This Row],[Winter Clothes Children ]]&lt;&gt;0,Table10[[#This Row],[Winter Items Other ]]&lt;&gt;0),"No","")</f>
        <v/>
      </c>
      <c r="N15" s="470">
        <f>COUNTIF(A:A,Table10[[#This Row],[Pcode]])-1</f>
        <v>0</v>
      </c>
    </row>
    <row r="16" spans="1:20" x14ac:dyDescent="0.25">
      <c r="A16" s="381" t="s">
        <v>234</v>
      </c>
      <c r="B16" s="26" t="str">
        <f ca="1">OFFSET(CampList[Priority],MATCH(Table10[[#This Row],[Pcode]],CampList[CP_Pcode],0)-1,0,1,1)</f>
        <v>P1</v>
      </c>
      <c r="C16" s="26" t="str">
        <f ca="1">OFFSET(CampList[Camp],MATCH(Table10[[#This Row],[Pcode]],CampList[CP_Pcode],0)-1,0,1,1)</f>
        <v xml:space="preserve">Mung Baw </v>
      </c>
      <c r="D16" s="26" t="str">
        <f ca="1">OFFSET(CampList[Township],MATCH(Table10[[#This Row],[Pcode]],CampList[CP_Pcode],0)-1,0,1,1)</f>
        <v>Muse</v>
      </c>
      <c r="E16" s="26">
        <f ca="1">OFFSET(CampList[HH],MATCH(Table10[[#This Row],[Pcode]],CampList[CP_Pcode],0)-1,0,1,1)</f>
        <v>123</v>
      </c>
      <c r="F16" s="26">
        <f ca="1">OFFSET(CampList[Total],MATCH(Table10[[#This Row],[Pcode]],CampList[CP_Pcode],0)-1,0,1,1)</f>
        <v>503</v>
      </c>
      <c r="G16" s="422">
        <f>SUMIF('NFI Tracking'!AM$6:AM$1048576,Table10[[#This Row],[Pcode]],'NFI Tracking'!AG$6:AG$1048576)</f>
        <v>0</v>
      </c>
      <c r="H16" s="422">
        <f>SUMIF('NFI Tracking'!AM$6:AM$1048576,Table10[[#This Row],[Pcode]],'NFI Tracking'!AH$6:AH$1048576)</f>
        <v>0</v>
      </c>
      <c r="I16" s="422">
        <f>SUMIF('NFI Tracking'!AM$6:AM$1048576,Table10[[#This Row],[Pcode]],'NFI Tracking'!AI$6:AI$1048576)</f>
        <v>0</v>
      </c>
      <c r="J16" s="422">
        <f ca="1">MAX(Table10[[#This Row],[HH]]*VLOOKUP("Winter Clothes Adult",NFI,6)-Table10[[#This Row],[Winter Clothes Adult ]],0)</f>
        <v>246</v>
      </c>
      <c r="K16" s="422">
        <f ca="1">MAX(Table10[[#This Row],[HH]]*VLOOKUP("Winter Clothes Children ",NFI,6)-Table10[[#This Row],[Winter Clothes Children ]],0)</f>
        <v>123</v>
      </c>
      <c r="L16" s="422">
        <f ca="1">MAX(Table10[[#This Row],[HH]]*VLOOKUP("Winter Items Other ",NFI,6)-Table10[[#This Row],[Winter Items Other ]],0)</f>
        <v>123</v>
      </c>
      <c r="M16" s="469" t="str">
        <f>IF(OR(Table10[[#This Row],[Winter Clothes Adult ]]&lt;&gt;0,Table10[[#This Row],[Winter Clothes Children ]]&lt;&gt;0,Table10[[#This Row],[Winter Items Other ]]&lt;&gt;0),"No","")</f>
        <v/>
      </c>
      <c r="N16" s="470">
        <f>COUNTIF(A:A,Table10[[#This Row],[Pcode]])-1</f>
        <v>0</v>
      </c>
      <c r="Q16" s="421" t="s">
        <v>415</v>
      </c>
      <c r="R16" s="26" t="s">
        <v>1092</v>
      </c>
      <c r="S16" s="26" t="s">
        <v>1093</v>
      </c>
      <c r="T16" s="26" t="s">
        <v>1094</v>
      </c>
    </row>
    <row r="17" spans="1:20" x14ac:dyDescent="0.25">
      <c r="A17" s="381" t="s">
        <v>232</v>
      </c>
      <c r="B17" s="26" t="str">
        <f ca="1">OFFSET(CampList[Priority],MATCH(Table10[[#This Row],[Pcode]],CampList[CP_Pcode],0)-1,0,1,1)</f>
        <v>P1</v>
      </c>
      <c r="C17" s="26" t="str">
        <f ca="1">OFFSET(CampList[Camp],MATCH(Table10[[#This Row],[Pcode]],CampList[CP_Pcode],0)-1,0,1,1)</f>
        <v xml:space="preserve">Munekoe Pa (Giwang) - Hka San (Mung  Go  Pa ) </v>
      </c>
      <c r="D17" s="26" t="str">
        <f ca="1">OFFSET(CampList[Township],MATCH(Table10[[#This Row],[Pcode]],CampList[CP_Pcode],0)-1,0,1,1)</f>
        <v>Muse</v>
      </c>
      <c r="E17" s="26">
        <f ca="1">OFFSET(CampList[HH],MATCH(Table10[[#This Row],[Pcode]],CampList[CP_Pcode],0)-1,0,1,1)</f>
        <v>9</v>
      </c>
      <c r="F17" s="26">
        <f ca="1">OFFSET(CampList[Total],MATCH(Table10[[#This Row],[Pcode]],CampList[CP_Pcode],0)-1,0,1,1)</f>
        <v>52</v>
      </c>
      <c r="G17" s="422">
        <f>SUMIF('NFI Tracking'!AM$6:AM$1048576,Table10[[#This Row],[Pcode]],'NFI Tracking'!AG$6:AG$1048576)</f>
        <v>0</v>
      </c>
      <c r="H17" s="422">
        <f>SUMIF('NFI Tracking'!AM$6:AM$1048576,Table10[[#This Row],[Pcode]],'NFI Tracking'!AH$6:AH$1048576)</f>
        <v>0</v>
      </c>
      <c r="I17" s="422">
        <f>SUMIF('NFI Tracking'!AM$6:AM$1048576,Table10[[#This Row],[Pcode]],'NFI Tracking'!AI$6:AI$1048576)</f>
        <v>0</v>
      </c>
      <c r="J17" s="422">
        <f ca="1">MAX(Table10[[#This Row],[HH]]*VLOOKUP("Winter Clothes Adult",NFI,6)-Table10[[#This Row],[Winter Clothes Adult ]],0)</f>
        <v>18</v>
      </c>
      <c r="K17" s="422">
        <f ca="1">MAX(Table10[[#This Row],[HH]]*VLOOKUP("Winter Clothes Children ",NFI,6)-Table10[[#This Row],[Winter Clothes Children ]],0)</f>
        <v>9</v>
      </c>
      <c r="L17" s="422">
        <f ca="1">MAX(Table10[[#This Row],[HH]]*VLOOKUP("Winter Items Other ",NFI,6)-Table10[[#This Row],[Winter Items Other ]],0)</f>
        <v>9</v>
      </c>
      <c r="M17" s="469" t="str">
        <f>IF(OR(Table10[[#This Row],[Winter Clothes Adult ]]&lt;&gt;0,Table10[[#This Row],[Winter Clothes Children ]]&lt;&gt;0,Table10[[#This Row],[Winter Items Other ]]&lt;&gt;0),"No","")</f>
        <v/>
      </c>
      <c r="N17" s="470">
        <f>COUNTIF(A:A,Table10[[#This Row],[Pcode]])-1</f>
        <v>0</v>
      </c>
      <c r="Q17" s="420" t="s">
        <v>1084</v>
      </c>
      <c r="R17" s="424">
        <v>1982</v>
      </c>
      <c r="S17" s="424">
        <v>3386</v>
      </c>
      <c r="T17" s="424">
        <v>3902</v>
      </c>
    </row>
    <row r="18" spans="1:20" x14ac:dyDescent="0.25">
      <c r="A18" s="381" t="s">
        <v>187</v>
      </c>
      <c r="B18" s="26" t="str">
        <f ca="1">OFFSET(CampList[Priority],MATCH(Table10[[#This Row],[Pcode]],CampList[CP_Pcode],0)-1,0,1,1)</f>
        <v>P2</v>
      </c>
      <c r="C18" s="26" t="str">
        <f ca="1">OFFSET(CampList[Camp],MATCH(Table10[[#This Row],[Pcode]],CampList[CP_Pcode],0)-1,0,1,1)</f>
        <v xml:space="preserve">Bum Tsit Pa </v>
      </c>
      <c r="D18" s="26" t="str">
        <f ca="1">OFFSET(CampList[Township],MATCH(Table10[[#This Row],[Pcode]],CampList[CP_Pcode],0)-1,0,1,1)</f>
        <v>Mansi</v>
      </c>
      <c r="E18" s="26">
        <f ca="1">OFFSET(CampList[HH],MATCH(Table10[[#This Row],[Pcode]],CampList[CP_Pcode],0)-1,0,1,1)</f>
        <v>174</v>
      </c>
      <c r="F18" s="26">
        <f ca="1">OFFSET(CampList[Total],MATCH(Table10[[#This Row],[Pcode]],CampList[CP_Pcode],0)-1,0,1,1)</f>
        <v>1185</v>
      </c>
      <c r="G18" s="422">
        <f>SUMIF('NFI Tracking'!AM$6:AM$1048576,Table10[[#This Row],[Pcode]],'NFI Tracking'!AG$6:AG$1048576)</f>
        <v>0</v>
      </c>
      <c r="H18" s="422">
        <f>SUMIF('NFI Tracking'!AM$6:AM$1048576,Table10[[#This Row],[Pcode]],'NFI Tracking'!AH$6:AH$1048576)</f>
        <v>0</v>
      </c>
      <c r="I18" s="422">
        <f>SUMIF('NFI Tracking'!AM$6:AM$1048576,Table10[[#This Row],[Pcode]],'NFI Tracking'!AI$6:AI$1048576)</f>
        <v>0</v>
      </c>
      <c r="J18" s="422">
        <f ca="1">MAX(Table10[[#This Row],[HH]]*VLOOKUP("Winter Clothes Adult",NFI,6)-Table10[[#This Row],[Winter Clothes Adult ]],0)</f>
        <v>348</v>
      </c>
      <c r="K18" s="422">
        <f ca="1">MAX(Table10[[#This Row],[HH]]*VLOOKUP("Winter Clothes Children ",NFI,6)-Table10[[#This Row],[Winter Clothes Children ]],0)</f>
        <v>174</v>
      </c>
      <c r="L18" s="422">
        <f ca="1">MAX(Table10[[#This Row],[HH]]*VLOOKUP("Winter Items Other ",NFI,6)-Table10[[#This Row],[Winter Items Other ]],0)</f>
        <v>174</v>
      </c>
      <c r="M18" s="469" t="str">
        <f>IF(OR(Table10[[#This Row],[Winter Clothes Adult ]]&lt;&gt;0,Table10[[#This Row],[Winter Clothes Children ]]&lt;&gt;0,Table10[[#This Row],[Winter Items Other ]]&lt;&gt;0),"No","")</f>
        <v/>
      </c>
      <c r="N18" s="470">
        <f>COUNTIF(A:A,Table10[[#This Row],[Pcode]])-1</f>
        <v>0</v>
      </c>
      <c r="Q18" s="420" t="s">
        <v>1085</v>
      </c>
      <c r="R18" s="424">
        <v>8138</v>
      </c>
      <c r="S18" s="424">
        <v>11436</v>
      </c>
      <c r="T18" s="424">
        <v>11898</v>
      </c>
    </row>
    <row r="19" spans="1:20" x14ac:dyDescent="0.25">
      <c r="A19" s="381" t="s">
        <v>1042</v>
      </c>
      <c r="B19" s="26" t="str">
        <f ca="1">OFFSET(CampList[Priority],MATCH(Table10[[#This Row],[Pcode]],CampList[CP_Pcode],0)-1,0,1,1)</f>
        <v>P2</v>
      </c>
      <c r="C19" s="26" t="str">
        <f ca="1">OFFSET(CampList[Camp],MATCH(Table10[[#This Row],[Pcode]],CampList[CP_Pcode],0)-1,0,1,1)</f>
        <v>Bum Tsit Pa Camp II</v>
      </c>
      <c r="D19" s="26" t="str">
        <f ca="1">OFFSET(CampList[Township],MATCH(Table10[[#This Row],[Pcode]],CampList[CP_Pcode],0)-1,0,1,1)</f>
        <v>Mansi</v>
      </c>
      <c r="E19" s="26">
        <f ca="1">OFFSET(CampList[HH],MATCH(Table10[[#This Row],[Pcode]],CampList[CP_Pcode],0)-1,0,1,1)</f>
        <v>219</v>
      </c>
      <c r="F19" s="26">
        <f ca="1">OFFSET(CampList[Total],MATCH(Table10[[#This Row],[Pcode]],CampList[CP_Pcode],0)-1,0,1,1)</f>
        <v>891</v>
      </c>
      <c r="G19" s="422">
        <f>SUMIF('NFI Tracking'!AM$6:AM$1048576,Table10[[#This Row],[Pcode]],'NFI Tracking'!AG$6:AG$1048576)</f>
        <v>0</v>
      </c>
      <c r="H19" s="422">
        <f>SUMIF('NFI Tracking'!AM$6:AM$1048576,Table10[[#This Row],[Pcode]],'NFI Tracking'!AH$6:AH$1048576)</f>
        <v>0</v>
      </c>
      <c r="I19" s="422">
        <f>SUMIF('NFI Tracking'!AM$6:AM$1048576,Table10[[#This Row],[Pcode]],'NFI Tracking'!AI$6:AI$1048576)</f>
        <v>0</v>
      </c>
      <c r="J19" s="422">
        <f ca="1">MAX(Table10[[#This Row],[HH]]*VLOOKUP("Winter Clothes Adult",NFI,6)-Table10[[#This Row],[Winter Clothes Adult ]],0)</f>
        <v>438</v>
      </c>
      <c r="K19" s="422">
        <f ca="1">MAX(Table10[[#This Row],[HH]]*VLOOKUP("Winter Clothes Children ",NFI,6)-Table10[[#This Row],[Winter Clothes Children ]],0)</f>
        <v>219</v>
      </c>
      <c r="L19" s="422">
        <f ca="1">MAX(Table10[[#This Row],[HH]]*VLOOKUP("Winter Items Other ",NFI,6)-Table10[[#This Row],[Winter Items Other ]],0)</f>
        <v>219</v>
      </c>
      <c r="M19" s="469" t="str">
        <f>IF(OR(Table10[[#This Row],[Winter Clothes Adult ]]&lt;&gt;0,Table10[[#This Row],[Winter Clothes Children ]]&lt;&gt;0,Table10[[#This Row],[Winter Items Other ]]&lt;&gt;0),"No","")</f>
        <v/>
      </c>
      <c r="N19" s="470">
        <f>COUNTIF(A:A,Table10[[#This Row],[Pcode]])-1</f>
        <v>0</v>
      </c>
      <c r="Q19" s="420" t="s">
        <v>1086</v>
      </c>
      <c r="R19" s="424">
        <v>1850</v>
      </c>
      <c r="S19" s="424">
        <v>3280</v>
      </c>
      <c r="T19" s="424">
        <v>2658</v>
      </c>
    </row>
    <row r="20" spans="1:20" x14ac:dyDescent="0.25">
      <c r="A20" s="381" t="s">
        <v>197</v>
      </c>
      <c r="B20" s="26" t="str">
        <f ca="1">OFFSET(CampList[Priority],MATCH(Table10[[#This Row],[Pcode]],CampList[CP_Pcode],0)-1,0,1,1)</f>
        <v>P2</v>
      </c>
      <c r="C20" s="26" t="str">
        <f ca="1">OFFSET(CampList[Camp],MATCH(Table10[[#This Row],[Pcode]],CampList[CP_Pcode],0)-1,0,1,1)</f>
        <v xml:space="preserve">Lana Zup Ja </v>
      </c>
      <c r="D20" s="26" t="str">
        <f ca="1">OFFSET(CampList[Township],MATCH(Table10[[#This Row],[Pcode]],CampList[CP_Pcode],0)-1,0,1,1)</f>
        <v>Mansi</v>
      </c>
      <c r="E20" s="26">
        <f ca="1">OFFSET(CampList[HH],MATCH(Table10[[#This Row],[Pcode]],CampList[CP_Pcode],0)-1,0,1,1)</f>
        <v>541</v>
      </c>
      <c r="F20" s="26">
        <f ca="1">OFFSET(CampList[Total],MATCH(Table10[[#This Row],[Pcode]],CampList[CP_Pcode],0)-1,0,1,1)</f>
        <v>2607</v>
      </c>
      <c r="G20" s="422">
        <f>SUMIF('NFI Tracking'!AM$6:AM$1048576,Table10[[#This Row],[Pcode]],'NFI Tracking'!AG$6:AG$1048576)</f>
        <v>0</v>
      </c>
      <c r="H20" s="422">
        <f>SUMIF('NFI Tracking'!AM$6:AM$1048576,Table10[[#This Row],[Pcode]],'NFI Tracking'!AH$6:AH$1048576)</f>
        <v>0</v>
      </c>
      <c r="I20" s="422">
        <f>SUMIF('NFI Tracking'!AM$6:AM$1048576,Table10[[#This Row],[Pcode]],'NFI Tracking'!AI$6:AI$1048576)</f>
        <v>0</v>
      </c>
      <c r="J20" s="422">
        <f ca="1">MAX(Table10[[#This Row],[HH]]*VLOOKUP("Winter Clothes Adult",NFI,6)-Table10[[#This Row],[Winter Clothes Adult ]],0)</f>
        <v>1082</v>
      </c>
      <c r="K20" s="422">
        <f ca="1">MAX(Table10[[#This Row],[HH]]*VLOOKUP("Winter Clothes Children ",NFI,6)-Table10[[#This Row],[Winter Clothes Children ]],0)</f>
        <v>541</v>
      </c>
      <c r="L20" s="422">
        <f ca="1">MAX(Table10[[#This Row],[HH]]*VLOOKUP("Winter Items Other ",NFI,6)-Table10[[#This Row],[Winter Items Other ]],0)</f>
        <v>541</v>
      </c>
      <c r="M20" s="469" t="str">
        <f>IF(OR(Table10[[#This Row],[Winter Clothes Adult ]]&lt;&gt;0,Table10[[#This Row],[Winter Clothes Children ]]&lt;&gt;0,Table10[[#This Row],[Winter Items Other ]]&lt;&gt;0),"No","")</f>
        <v/>
      </c>
      <c r="N20" s="470">
        <f>COUNTIF(A:A,Table10[[#This Row],[Pcode]])-1</f>
        <v>0</v>
      </c>
      <c r="Q20" s="420" t="s">
        <v>1100</v>
      </c>
      <c r="R20" s="424">
        <v>17942</v>
      </c>
      <c r="S20" s="424">
        <v>27631</v>
      </c>
      <c r="T20" s="424">
        <v>20936</v>
      </c>
    </row>
    <row r="21" spans="1:20" x14ac:dyDescent="0.25">
      <c r="A21" s="381" t="s">
        <v>157</v>
      </c>
      <c r="B21" s="26" t="str">
        <f ca="1">OFFSET(CampList[Priority],MATCH(Table10[[#This Row],[Pcode]],CampList[CP_Pcode],0)-1,0,1,1)</f>
        <v>P2</v>
      </c>
      <c r="C21" s="26" t="str">
        <f ca="1">OFFSET(CampList[Camp],MATCH(Table10[[#This Row],[Pcode]],CampList[CP_Pcode],0)-1,0,1,1)</f>
        <v>Lung Kawk  ( Hka Hkye Zup)</v>
      </c>
      <c r="D21" s="26" t="str">
        <f ca="1">OFFSET(CampList[Township],MATCH(Table10[[#This Row],[Pcode]],CampList[CP_Pcode],0)-1,0,1,1)</f>
        <v>Mansi</v>
      </c>
      <c r="E21" s="26">
        <f ca="1">OFFSET(CampList[HH],MATCH(Table10[[#This Row],[Pcode]],CampList[CP_Pcode],0)-1,0,1,1)</f>
        <v>0</v>
      </c>
      <c r="F21" s="26">
        <f ca="1">OFFSET(CampList[Total],MATCH(Table10[[#This Row],[Pcode]],CampList[CP_Pcode],0)-1,0,1,1)</f>
        <v>0</v>
      </c>
      <c r="G21" s="422">
        <f>SUMIF('NFI Tracking'!AM$6:AM$1048576,Table10[[#This Row],[Pcode]],'NFI Tracking'!AG$6:AG$1048576)</f>
        <v>0</v>
      </c>
      <c r="H21" s="422">
        <f>SUMIF('NFI Tracking'!AM$6:AM$1048576,Table10[[#This Row],[Pcode]],'NFI Tracking'!AH$6:AH$1048576)</f>
        <v>0</v>
      </c>
      <c r="I21" s="422">
        <f>SUMIF('NFI Tracking'!AM$6:AM$1048576,Table10[[#This Row],[Pcode]],'NFI Tracking'!AI$6:AI$1048576)</f>
        <v>0</v>
      </c>
      <c r="J21" s="422">
        <f ca="1">MAX(Table10[[#This Row],[HH]]*VLOOKUP("Winter Clothes Adult",NFI,6)-Table10[[#This Row],[Winter Clothes Adult ]],0)</f>
        <v>0</v>
      </c>
      <c r="K21" s="422">
        <f ca="1">MAX(Table10[[#This Row],[HH]]*VLOOKUP("Winter Clothes Children ",NFI,6)-Table10[[#This Row],[Winter Clothes Children ]],0)</f>
        <v>0</v>
      </c>
      <c r="L21" s="422">
        <f ca="1">MAX(Table10[[#This Row],[HH]]*VLOOKUP("Winter Items Other ",NFI,6)-Table10[[#This Row],[Winter Items Other ]],0)</f>
        <v>0</v>
      </c>
      <c r="M21" s="469" t="str">
        <f>IF(OR(Table10[[#This Row],[Winter Clothes Adult ]]&lt;&gt;0,Table10[[#This Row],[Winter Clothes Children ]]&lt;&gt;0,Table10[[#This Row],[Winter Items Other ]]&lt;&gt;0),"No","")</f>
        <v/>
      </c>
      <c r="N21" s="470">
        <f>COUNTIF(A:A,Table10[[#This Row],[Pcode]])-1</f>
        <v>0</v>
      </c>
      <c r="Q21" s="420" t="s">
        <v>416</v>
      </c>
      <c r="R21" s="424">
        <v>29912</v>
      </c>
      <c r="S21" s="424">
        <v>45733</v>
      </c>
      <c r="T21" s="424">
        <v>39394</v>
      </c>
    </row>
    <row r="22" spans="1:20" x14ac:dyDescent="0.25">
      <c r="A22" s="381" t="s">
        <v>193</v>
      </c>
      <c r="B22" s="26" t="str">
        <f ca="1">OFFSET(CampList[Priority],MATCH(Table10[[#This Row],[Pcode]],CampList[CP_Pcode],0)-1,0,1,1)</f>
        <v>P2</v>
      </c>
      <c r="C22" s="26" t="str">
        <f ca="1">OFFSET(CampList[Camp],MATCH(Table10[[#This Row],[Pcode]],CampList[CP_Pcode],0)-1,0,1,1)</f>
        <v xml:space="preserve">Hpun Lum Yang </v>
      </c>
      <c r="D22" s="26" t="str">
        <f ca="1">OFFSET(CampList[Township],MATCH(Table10[[#This Row],[Pcode]],CampList[CP_Pcode],0)-1,0,1,1)</f>
        <v>Momauk</v>
      </c>
      <c r="E22" s="26">
        <f ca="1">OFFSET(CampList[HH],MATCH(Table10[[#This Row],[Pcode]],CampList[CP_Pcode],0)-1,0,1,1)</f>
        <v>613</v>
      </c>
      <c r="F22" s="26">
        <f ca="1">OFFSET(CampList[Total],MATCH(Table10[[#This Row],[Pcode]],CampList[CP_Pcode],0)-1,0,1,1)</f>
        <v>2969</v>
      </c>
      <c r="G22" s="422">
        <f>SUMIF('NFI Tracking'!AM$6:AM$1048576,Table10[[#This Row],[Pcode]],'NFI Tracking'!AG$6:AG$1048576)</f>
        <v>850</v>
      </c>
      <c r="H22" s="422">
        <f>SUMIF('NFI Tracking'!AM$6:AM$1048576,Table10[[#This Row],[Pcode]],'NFI Tracking'!AH$6:AH$1048576)</f>
        <v>1474</v>
      </c>
      <c r="I22" s="422">
        <f>SUMIF('NFI Tracking'!AM$6:AM$1048576,Table10[[#This Row],[Pcode]],'NFI Tracking'!AI$6:AI$1048576)</f>
        <v>0</v>
      </c>
      <c r="J22" s="422">
        <f ca="1">MAX(Table10[[#This Row],[HH]]*VLOOKUP("Winter Clothes Adult",NFI,6)-Table10[[#This Row],[Winter Clothes Adult ]],0)</f>
        <v>376</v>
      </c>
      <c r="K22" s="422">
        <f ca="1">MAX(Table10[[#This Row],[HH]]*VLOOKUP("Winter Clothes Children ",NFI,6)-Table10[[#This Row],[Winter Clothes Children ]],0)</f>
        <v>0</v>
      </c>
      <c r="L22" s="422">
        <f ca="1">MAX(Table10[[#This Row],[HH]]*VLOOKUP("Winter Items Other ",NFI,6)-Table10[[#This Row],[Winter Items Other ]],0)</f>
        <v>613</v>
      </c>
      <c r="M22" s="469" t="str">
        <f>IF(OR(Table10[[#This Row],[Winter Clothes Adult ]]&lt;&gt;0,Table10[[#This Row],[Winter Clothes Children ]]&lt;&gt;0,Table10[[#This Row],[Winter Items Other ]]&lt;&gt;0),"No","")</f>
        <v>No</v>
      </c>
      <c r="N22" s="470">
        <f>COUNTIF(A:A,Table10[[#This Row],[Pcode]])-1</f>
        <v>0</v>
      </c>
    </row>
    <row r="23" spans="1:20" x14ac:dyDescent="0.25">
      <c r="A23" s="381" t="s">
        <v>195</v>
      </c>
      <c r="B23" s="26" t="str">
        <f ca="1">OFFSET(CampList[Priority],MATCH(Table10[[#This Row],[Pcode]],CampList[CP_Pcode],0)-1,0,1,1)</f>
        <v>P2</v>
      </c>
      <c r="C23" s="26" t="str">
        <f ca="1">OFFSET(CampList[Camp],MATCH(Table10[[#This Row],[Pcode]],CampList[CP_Pcode],0)-1,0,1,1)</f>
        <v xml:space="preserve">Je Yang Hka </v>
      </c>
      <c r="D23" s="26" t="str">
        <f ca="1">OFFSET(CampList[Township],MATCH(Table10[[#This Row],[Pcode]],CampList[CP_Pcode],0)-1,0,1,1)</f>
        <v>Momauk</v>
      </c>
      <c r="E23" s="26">
        <f ca="1">OFFSET(CampList[HH],MATCH(Table10[[#This Row],[Pcode]],CampList[CP_Pcode],0)-1,0,1,1)</f>
        <v>1692</v>
      </c>
      <c r="F23" s="26">
        <f ca="1">OFFSET(CampList[Total],MATCH(Table10[[#This Row],[Pcode]],CampList[CP_Pcode],0)-1,0,1,1)</f>
        <v>8818</v>
      </c>
      <c r="G23" s="422">
        <f>SUMIF('NFI Tracking'!AM$6:AM$1048576,Table10[[#This Row],[Pcode]],'NFI Tracking'!AG$6:AG$1048576)</f>
        <v>2910</v>
      </c>
      <c r="H23" s="422">
        <f>SUMIF('NFI Tracking'!AM$6:AM$1048576,Table10[[#This Row],[Pcode]],'NFI Tracking'!AH$6:AH$1048576)</f>
        <v>5160</v>
      </c>
      <c r="I23" s="422">
        <f>SUMIF('NFI Tracking'!AM$6:AM$1048576,Table10[[#This Row],[Pcode]],'NFI Tracking'!AI$6:AI$1048576)</f>
        <v>0</v>
      </c>
      <c r="J23" s="422">
        <f ca="1">MAX(Table10[[#This Row],[HH]]*VLOOKUP("Winter Clothes Adult",NFI,6)-Table10[[#This Row],[Winter Clothes Adult ]],0)</f>
        <v>474</v>
      </c>
      <c r="K23" s="422">
        <f ca="1">MAX(Table10[[#This Row],[HH]]*VLOOKUP("Winter Clothes Children ",NFI,6)-Table10[[#This Row],[Winter Clothes Children ]],0)</f>
        <v>0</v>
      </c>
      <c r="L23" s="422">
        <f ca="1">MAX(Table10[[#This Row],[HH]]*VLOOKUP("Winter Items Other ",NFI,6)-Table10[[#This Row],[Winter Items Other ]],0)</f>
        <v>1692</v>
      </c>
      <c r="M23" s="469" t="str">
        <f>IF(OR(Table10[[#This Row],[Winter Clothes Adult ]]&lt;&gt;0,Table10[[#This Row],[Winter Clothes Children ]]&lt;&gt;0,Table10[[#This Row],[Winter Items Other ]]&lt;&gt;0),"No","")</f>
        <v>No</v>
      </c>
      <c r="N23" s="470">
        <f>COUNTIF(A:A,Table10[[#This Row],[Pcode]])-1</f>
        <v>0</v>
      </c>
    </row>
    <row r="24" spans="1:20" x14ac:dyDescent="0.25">
      <c r="A24" s="381" t="s">
        <v>218</v>
      </c>
      <c r="B24" s="26" t="str">
        <f ca="1">OFFSET(CampList[Priority],MATCH(Table10[[#This Row],[Pcode]],CampList[CP_Pcode],0)-1,0,1,1)</f>
        <v>P2</v>
      </c>
      <c r="C24" s="26" t="str">
        <f ca="1">OFFSET(CampList[Camp],MATCH(Table10[[#This Row],[Pcode]],CampList[CP_Pcode],0)-1,0,1,1)</f>
        <v xml:space="preserve">Pa Kahtawng </v>
      </c>
      <c r="D24" s="26" t="str">
        <f ca="1">OFFSET(CampList[Township],MATCH(Table10[[#This Row],[Pcode]],CampList[CP_Pcode],0)-1,0,1,1)</f>
        <v>Momauk</v>
      </c>
      <c r="E24" s="26">
        <f ca="1">OFFSET(CampList[HH],MATCH(Table10[[#This Row],[Pcode]],CampList[CP_Pcode],0)-1,0,1,1)</f>
        <v>840</v>
      </c>
      <c r="F24" s="26">
        <f ca="1">OFFSET(CampList[Total],MATCH(Table10[[#This Row],[Pcode]],CampList[CP_Pcode],0)-1,0,1,1)</f>
        <v>3249</v>
      </c>
      <c r="G24" s="422">
        <f>SUMIF('NFI Tracking'!AM$6:AM$1048576,Table10[[#This Row],[Pcode]],'NFI Tracking'!AG$6:AG$1048576)</f>
        <v>0</v>
      </c>
      <c r="H24" s="422">
        <f>SUMIF('NFI Tracking'!AM$6:AM$1048576,Table10[[#This Row],[Pcode]],'NFI Tracking'!AH$6:AH$1048576)</f>
        <v>0</v>
      </c>
      <c r="I24" s="422">
        <f>SUMIF('NFI Tracking'!AM$6:AM$1048576,Table10[[#This Row],[Pcode]],'NFI Tracking'!AI$6:AI$1048576)</f>
        <v>0</v>
      </c>
      <c r="J24" s="422">
        <f ca="1">MAX(Table10[[#This Row],[HH]]*VLOOKUP("Winter Clothes Adult",NFI,6)-Table10[[#This Row],[Winter Clothes Adult ]],0)</f>
        <v>1680</v>
      </c>
      <c r="K24" s="422">
        <f ca="1">MAX(Table10[[#This Row],[HH]]*VLOOKUP("Winter Clothes Children ",NFI,6)-Table10[[#This Row],[Winter Clothes Children ]],0)</f>
        <v>840</v>
      </c>
      <c r="L24" s="422">
        <f ca="1">MAX(Table10[[#This Row],[HH]]*VLOOKUP("Winter Items Other ",NFI,6)-Table10[[#This Row],[Winter Items Other ]],0)</f>
        <v>840</v>
      </c>
      <c r="M24" s="469" t="str">
        <f>IF(OR(Table10[[#This Row],[Winter Clothes Adult ]]&lt;&gt;0,Table10[[#This Row],[Winter Clothes Children ]]&lt;&gt;0,Table10[[#This Row],[Winter Items Other ]]&lt;&gt;0),"No","")</f>
        <v/>
      </c>
      <c r="N24" s="470">
        <f>COUNTIF(A:A,Table10[[#This Row],[Pcode]])-1</f>
        <v>0</v>
      </c>
    </row>
    <row r="25" spans="1:20" x14ac:dyDescent="0.25">
      <c r="A25" s="381" t="s">
        <v>191</v>
      </c>
      <c r="B25" s="26" t="str">
        <f ca="1">OFFSET(CampList[Priority],MATCH(Table10[[#This Row],[Pcode]],CampList[CP_Pcode],0)-1,0,1,1)</f>
        <v>P2</v>
      </c>
      <c r="C25" s="26" t="str">
        <f ca="1">OFFSET(CampList[Camp],MATCH(Table10[[#This Row],[Pcode]],CampList[CP_Pcode],0)-1,0,1,1)</f>
        <v xml:space="preserve">Dum Bung </v>
      </c>
      <c r="D25" s="26" t="str">
        <f ca="1">OFFSET(CampList[Township],MATCH(Table10[[#This Row],[Pcode]],CampList[CP_Pcode],0)-1,0,1,1)</f>
        <v>Momauk</v>
      </c>
      <c r="E25" s="26">
        <f ca="1">OFFSET(CampList[HH],MATCH(Table10[[#This Row],[Pcode]],CampList[CP_Pcode],0)-1,0,1,1)</f>
        <v>115</v>
      </c>
      <c r="F25" s="26">
        <f ca="1">OFFSET(CampList[Total],MATCH(Table10[[#This Row],[Pcode]],CampList[CP_Pcode],0)-1,0,1,1)</f>
        <v>596</v>
      </c>
      <c r="G25" s="422">
        <f>SUMIF('NFI Tracking'!AM$6:AM$1048576,Table10[[#This Row],[Pcode]],'NFI Tracking'!AG$6:AG$1048576)</f>
        <v>0</v>
      </c>
      <c r="H25" s="422">
        <f>SUMIF('NFI Tracking'!AM$6:AM$1048576,Table10[[#This Row],[Pcode]],'NFI Tracking'!AH$6:AH$1048576)</f>
        <v>0</v>
      </c>
      <c r="I25" s="422">
        <f>SUMIF('NFI Tracking'!AM$6:AM$1048576,Table10[[#This Row],[Pcode]],'NFI Tracking'!AI$6:AI$1048576)</f>
        <v>0</v>
      </c>
      <c r="J25" s="422">
        <f ca="1">MAX(Table10[[#This Row],[HH]]*VLOOKUP("Winter Clothes Adult",NFI,6)-Table10[[#This Row],[Winter Clothes Adult ]],0)</f>
        <v>230</v>
      </c>
      <c r="K25" s="422">
        <f ca="1">MAX(Table10[[#This Row],[HH]]*VLOOKUP("Winter Clothes Children ",NFI,6)-Table10[[#This Row],[Winter Clothes Children ]],0)</f>
        <v>115</v>
      </c>
      <c r="L25" s="422">
        <f ca="1">MAX(Table10[[#This Row],[HH]]*VLOOKUP("Winter Items Other ",NFI,6)-Table10[[#This Row],[Winter Items Other ]],0)</f>
        <v>115</v>
      </c>
      <c r="M25" s="469" t="str">
        <f>IF(OR(Table10[[#This Row],[Winter Clothes Adult ]]&lt;&gt;0,Table10[[#This Row],[Winter Clothes Children ]]&lt;&gt;0,Table10[[#This Row],[Winter Items Other ]]&lt;&gt;0),"No","")</f>
        <v/>
      </c>
      <c r="N25" s="470">
        <f>COUNTIF(A:A,Table10[[#This Row],[Pcode]])-1</f>
        <v>0</v>
      </c>
    </row>
    <row r="26" spans="1:20" x14ac:dyDescent="0.25">
      <c r="A26" s="381" t="s">
        <v>819</v>
      </c>
      <c r="B26" s="26" t="str">
        <f ca="1">OFFSET(CampList[Priority],MATCH(Table10[[#This Row],[Pcode]],CampList[CP_Pcode],0)-1,0,1,1)</f>
        <v>P2</v>
      </c>
      <c r="C26" s="26" t="str">
        <f ca="1">OFFSET(CampList[Camp],MATCH(Table10[[#This Row],[Pcode]],CampList[CP_Pcode],0)-1,0,1,1)</f>
        <v>IDP Boarding School, A Len Bum</v>
      </c>
      <c r="D26" s="26" t="str">
        <f ca="1">OFFSET(CampList[Township],MATCH(Table10[[#This Row],[Pcode]],CampList[CP_Pcode],0)-1,0,1,1)</f>
        <v>Waingmaw</v>
      </c>
      <c r="E26" s="26">
        <f ca="1">OFFSET(CampList[HH],MATCH(Table10[[#This Row],[Pcode]],CampList[CP_Pcode],0)-1,0,1,1)</f>
        <v>0</v>
      </c>
      <c r="F26" s="26">
        <f ca="1">OFFSET(CampList[Total],MATCH(Table10[[#This Row],[Pcode]],CampList[CP_Pcode],0)-1,0,1,1)</f>
        <v>1047</v>
      </c>
      <c r="G26" s="422">
        <f>SUMIF('NFI Tracking'!AM$6:AM$1048576,Table10[[#This Row],[Pcode]],'NFI Tracking'!AG$6:AG$1048576)</f>
        <v>0</v>
      </c>
      <c r="H26" s="422">
        <f>SUMIF('NFI Tracking'!AM$6:AM$1048576,Table10[[#This Row],[Pcode]],'NFI Tracking'!AH$6:AH$1048576)</f>
        <v>0</v>
      </c>
      <c r="I26" s="422">
        <f>SUMIF('NFI Tracking'!AM$6:AM$1048576,Table10[[#This Row],[Pcode]],'NFI Tracking'!AI$6:AI$1048576)</f>
        <v>0</v>
      </c>
      <c r="J26" s="422">
        <f ca="1">MAX(Table10[[#This Row],[HH]]*VLOOKUP("Winter Clothes Adult",NFI,6)-Table10[[#This Row],[Winter Clothes Adult ]],0)</f>
        <v>0</v>
      </c>
      <c r="K26" s="422">
        <f ca="1">MAX(Table10[[#This Row],[HH]]*VLOOKUP("Winter Clothes Children ",NFI,6)-Table10[[#This Row],[Winter Clothes Children ]],0)</f>
        <v>0</v>
      </c>
      <c r="L26" s="422">
        <f ca="1">MAX(Table10[[#This Row],[HH]]*VLOOKUP("Winter Items Other ",NFI,6)-Table10[[#This Row],[Winter Items Other ]],0)</f>
        <v>0</v>
      </c>
      <c r="M26" s="469" t="str">
        <f>IF(OR(Table10[[#This Row],[Winter Clothes Adult ]]&lt;&gt;0,Table10[[#This Row],[Winter Clothes Children ]]&lt;&gt;0,Table10[[#This Row],[Winter Items Other ]]&lt;&gt;0),"No","")</f>
        <v/>
      </c>
      <c r="N26" s="470">
        <f>COUNTIF(A:A,Table10[[#This Row],[Pcode]])-1</f>
        <v>0</v>
      </c>
    </row>
    <row r="27" spans="1:20" x14ac:dyDescent="0.25">
      <c r="A27" s="381" t="s">
        <v>314</v>
      </c>
      <c r="B27" s="26" t="str">
        <f ca="1">OFFSET(CampList[Priority],MATCH(Table10[[#This Row],[Pcode]],CampList[CP_Pcode],0)-1,0,1,1)</f>
        <v>P2</v>
      </c>
      <c r="C27" s="26" t="str">
        <f ca="1">OFFSET(CampList[Camp],MATCH(Table10[[#This Row],[Pcode]],CampList[CP_Pcode],0)-1,0,1,1)</f>
        <v>Laiza Market 3 - Laiza Gat</v>
      </c>
      <c r="D27" s="26" t="str">
        <f ca="1">OFFSET(CampList[Township],MATCH(Table10[[#This Row],[Pcode]],CampList[CP_Pcode],0)-1,0,1,1)</f>
        <v>Waingmaw</v>
      </c>
      <c r="E27" s="26">
        <f ca="1">OFFSET(CampList[HH],MATCH(Table10[[#This Row],[Pcode]],CampList[CP_Pcode],0)-1,0,1,1)</f>
        <v>0</v>
      </c>
      <c r="F27" s="26">
        <f ca="1">OFFSET(CampList[Total],MATCH(Table10[[#This Row],[Pcode]],CampList[CP_Pcode],0)-1,0,1,1)</f>
        <v>0</v>
      </c>
      <c r="G27" s="422">
        <f>SUMIF('NFI Tracking'!AM$6:AM$1048576,Table10[[#This Row],[Pcode]],'NFI Tracking'!AG$6:AG$1048576)</f>
        <v>900</v>
      </c>
      <c r="H27" s="422">
        <f>SUMIF('NFI Tracking'!AM$6:AM$1048576,Table10[[#This Row],[Pcode]],'NFI Tracking'!AH$6:AH$1048576)</f>
        <v>1520</v>
      </c>
      <c r="I27" s="422">
        <f>SUMIF('NFI Tracking'!AM$6:AM$1048576,Table10[[#This Row],[Pcode]],'NFI Tracking'!AI$6:AI$1048576)</f>
        <v>0</v>
      </c>
      <c r="J27" s="422">
        <f ca="1">MAX(Table10[[#This Row],[HH]]*VLOOKUP("Winter Clothes Adult",NFI,6)-Table10[[#This Row],[Winter Clothes Adult ]],0)</f>
        <v>0</v>
      </c>
      <c r="K27" s="422">
        <f ca="1">MAX(Table10[[#This Row],[HH]]*VLOOKUP("Winter Clothes Children ",NFI,6)-Table10[[#This Row],[Winter Clothes Children ]],0)</f>
        <v>0</v>
      </c>
      <c r="L27" s="422">
        <f ca="1">MAX(Table10[[#This Row],[HH]]*VLOOKUP("Winter Items Other ",NFI,6)-Table10[[#This Row],[Winter Items Other ]],0)</f>
        <v>0</v>
      </c>
      <c r="M27" s="469" t="str">
        <f>IF(OR(Table10[[#This Row],[Winter Clothes Adult ]]&lt;&gt;0,Table10[[#This Row],[Winter Clothes Children ]]&lt;&gt;0,Table10[[#This Row],[Winter Items Other ]]&lt;&gt;0),"No","")</f>
        <v>No</v>
      </c>
      <c r="N27" s="470">
        <f>COUNTIF(A:A,Table10[[#This Row],[Pcode]])-1</f>
        <v>0</v>
      </c>
    </row>
    <row r="28" spans="1:20" x14ac:dyDescent="0.25">
      <c r="A28" s="381" t="s">
        <v>356</v>
      </c>
      <c r="B28" s="26" t="str">
        <f ca="1">OFFSET(CampList[Priority],MATCH(Table10[[#This Row],[Pcode]],CampList[CP_Pcode],0)-1,0,1,1)</f>
        <v>P2</v>
      </c>
      <c r="C28" s="26" t="str">
        <f ca="1">OFFSET(CampList[Camp],MATCH(Table10[[#This Row],[Pcode]],CampList[CP_Pcode],0)-1,0,1,1)</f>
        <v>Zai Awng - Mung Ga Zup</v>
      </c>
      <c r="D28" s="26" t="str">
        <f ca="1">OFFSET(CampList[Township],MATCH(Table10[[#This Row],[Pcode]],CampList[CP_Pcode],0)-1,0,1,1)</f>
        <v>Waingmaw</v>
      </c>
      <c r="E28" s="26">
        <f ca="1">OFFSET(CampList[HH],MATCH(Table10[[#This Row],[Pcode]],CampList[CP_Pcode],0)-1,0,1,1)</f>
        <v>680</v>
      </c>
      <c r="F28" s="26">
        <f ca="1">OFFSET(CampList[Total],MATCH(Table10[[#This Row],[Pcode]],CampList[CP_Pcode],0)-1,0,1,1)</f>
        <v>2913</v>
      </c>
      <c r="G28" s="422">
        <f>SUMIF('NFI Tracking'!AM$6:AM$1048576,Table10[[#This Row],[Pcode]],'NFI Tracking'!AG$6:AG$1048576)</f>
        <v>1292</v>
      </c>
      <c r="H28" s="422">
        <f>SUMIF('NFI Tracking'!AM$6:AM$1048576,Table10[[#This Row],[Pcode]],'NFI Tracking'!AH$6:AH$1048576)</f>
        <v>1938</v>
      </c>
      <c r="I28" s="422">
        <f>SUMIF('NFI Tracking'!AM$6:AM$1048576,Table10[[#This Row],[Pcode]],'NFI Tracking'!AI$6:AI$1048576)</f>
        <v>0</v>
      </c>
      <c r="J28" s="422">
        <f ca="1">MAX(Table10[[#This Row],[HH]]*VLOOKUP("Winter Clothes Adult",NFI,6)-Table10[[#This Row],[Winter Clothes Adult ]],0)</f>
        <v>68</v>
      </c>
      <c r="K28" s="422">
        <f ca="1">MAX(Table10[[#This Row],[HH]]*VLOOKUP("Winter Clothes Children ",NFI,6)-Table10[[#This Row],[Winter Clothes Children ]],0)</f>
        <v>0</v>
      </c>
      <c r="L28" s="422">
        <f ca="1">MAX(Table10[[#This Row],[HH]]*VLOOKUP("Winter Items Other ",NFI,6)-Table10[[#This Row],[Winter Items Other ]],0)</f>
        <v>680</v>
      </c>
      <c r="M28" s="469" t="str">
        <f>IF(OR(Table10[[#This Row],[Winter Clothes Adult ]]&lt;&gt;0,Table10[[#This Row],[Winter Clothes Children ]]&lt;&gt;0,Table10[[#This Row],[Winter Items Other ]]&lt;&gt;0),"No","")</f>
        <v>No</v>
      </c>
      <c r="N28" s="470">
        <f>COUNTIF(A:A,Table10[[#This Row],[Pcode]])-1</f>
        <v>0</v>
      </c>
    </row>
    <row r="29" spans="1:20" x14ac:dyDescent="0.25">
      <c r="A29" s="381" t="s">
        <v>321</v>
      </c>
      <c r="B29" s="26" t="str">
        <f ca="1">OFFSET(CampList[Priority],MATCH(Table10[[#This Row],[Pcode]],CampList[CP_Pcode],0)-1,0,1,1)</f>
        <v>P2</v>
      </c>
      <c r="C29" s="26" t="str">
        <f ca="1">OFFSET(CampList[Camp],MATCH(Table10[[#This Row],[Pcode]],CampList[CP_Pcode],0)-1,0,1,1)</f>
        <v xml:space="preserve">Maga Yang </v>
      </c>
      <c r="D29" s="26" t="str">
        <f ca="1">OFFSET(CampList[Township],MATCH(Table10[[#This Row],[Pcode]],CampList[CP_Pcode],0)-1,0,1,1)</f>
        <v>Waingmaw</v>
      </c>
      <c r="E29" s="26">
        <f ca="1">OFFSET(CampList[HH],MATCH(Table10[[#This Row],[Pcode]],CampList[CP_Pcode],0)-1,0,1,1)</f>
        <v>609</v>
      </c>
      <c r="F29" s="26">
        <f ca="1">OFFSET(CampList[Total],MATCH(Table10[[#This Row],[Pcode]],CampList[CP_Pcode],0)-1,0,1,1)</f>
        <v>2627</v>
      </c>
      <c r="G29" s="422">
        <f>SUMIF('NFI Tracking'!AM$6:AM$1048576,Table10[[#This Row],[Pcode]],'NFI Tracking'!AG$6:AG$1048576)</f>
        <v>0</v>
      </c>
      <c r="H29" s="422">
        <f>SUMIF('NFI Tracking'!AM$6:AM$1048576,Table10[[#This Row],[Pcode]],'NFI Tracking'!AH$6:AH$1048576)</f>
        <v>0</v>
      </c>
      <c r="I29" s="422">
        <f>SUMIF('NFI Tracking'!AM$6:AM$1048576,Table10[[#This Row],[Pcode]],'NFI Tracking'!AI$6:AI$1048576)</f>
        <v>0</v>
      </c>
      <c r="J29" s="422">
        <f ca="1">MAX(Table10[[#This Row],[HH]]*VLOOKUP("Winter Clothes Adult",NFI,6)-Table10[[#This Row],[Winter Clothes Adult ]],0)</f>
        <v>1218</v>
      </c>
      <c r="K29" s="422">
        <f ca="1">MAX(Table10[[#This Row],[HH]]*VLOOKUP("Winter Clothes Children ",NFI,6)-Table10[[#This Row],[Winter Clothes Children ]],0)</f>
        <v>609</v>
      </c>
      <c r="L29" s="422">
        <f ca="1">MAX(Table10[[#This Row],[HH]]*VLOOKUP("Winter Items Other ",NFI,6)-Table10[[#This Row],[Winter Items Other ]],0)</f>
        <v>609</v>
      </c>
      <c r="M29" s="469" t="str">
        <f>IF(OR(Table10[[#This Row],[Winter Clothes Adult ]]&lt;&gt;0,Table10[[#This Row],[Winter Clothes Children ]]&lt;&gt;0,Table10[[#This Row],[Winter Items Other ]]&lt;&gt;0),"No","")</f>
        <v/>
      </c>
      <c r="N29" s="470">
        <f>COUNTIF(A:A,Table10[[#This Row],[Pcode]])-1</f>
        <v>0</v>
      </c>
    </row>
    <row r="30" spans="1:20" x14ac:dyDescent="0.25">
      <c r="A30" s="381" t="s">
        <v>165</v>
      </c>
      <c r="B30" s="26" t="str">
        <f ca="1">OFFSET(CampList[Priority],MATCH(Table10[[#This Row],[Pcode]],CampList[CP_Pcode],0)-1,0,1,1)</f>
        <v>P2</v>
      </c>
      <c r="C30" s="26" t="str">
        <f ca="1">OFFSET(CampList[Camp],MATCH(Table10[[#This Row],[Pcode]],CampList[CP_Pcode],0)-1,0,1,1)</f>
        <v>Mandung - Jinghpaw</v>
      </c>
      <c r="D30" s="26" t="str">
        <f ca="1">OFFSET(CampList[Township],MATCH(Table10[[#This Row],[Pcode]],CampList[CP_Pcode],0)-1,0,1,1)</f>
        <v>Manton</v>
      </c>
      <c r="E30" s="26">
        <f ca="1">OFFSET(CampList[HH],MATCH(Table10[[#This Row],[Pcode]],CampList[CP_Pcode],0)-1,0,1,1)</f>
        <v>38</v>
      </c>
      <c r="F30" s="26">
        <f ca="1">OFFSET(CampList[Total],MATCH(Table10[[#This Row],[Pcode]],CampList[CP_Pcode],0)-1,0,1,1)</f>
        <v>164</v>
      </c>
      <c r="G30" s="422">
        <f>SUMIF('NFI Tracking'!AM$6:AM$1048576,Table10[[#This Row],[Pcode]],'NFI Tracking'!AG$6:AG$1048576)</f>
        <v>0</v>
      </c>
      <c r="H30" s="422">
        <f>SUMIF('NFI Tracking'!AM$6:AM$1048576,Table10[[#This Row],[Pcode]],'NFI Tracking'!AH$6:AH$1048576)</f>
        <v>0</v>
      </c>
      <c r="I30" s="422">
        <f>SUMIF('NFI Tracking'!AM$6:AM$1048576,Table10[[#This Row],[Pcode]],'NFI Tracking'!AI$6:AI$1048576)</f>
        <v>0</v>
      </c>
      <c r="J30" s="422">
        <f ca="1">MAX(Table10[[#This Row],[HH]]*VLOOKUP("Winter Clothes Adult",NFI,6)-Table10[[#This Row],[Winter Clothes Adult ]],0)</f>
        <v>76</v>
      </c>
      <c r="K30" s="422">
        <f ca="1">MAX(Table10[[#This Row],[HH]]*VLOOKUP("Winter Clothes Children ",NFI,6)-Table10[[#This Row],[Winter Clothes Children ]],0)</f>
        <v>38</v>
      </c>
      <c r="L30" s="422">
        <f ca="1">MAX(Table10[[#This Row],[HH]]*VLOOKUP("Winter Items Other ",NFI,6)-Table10[[#This Row],[Winter Items Other ]],0)</f>
        <v>38</v>
      </c>
      <c r="M30" s="469" t="str">
        <f>IF(OR(Table10[[#This Row],[Winter Clothes Adult ]]&lt;&gt;0,Table10[[#This Row],[Winter Clothes Children ]]&lt;&gt;0,Table10[[#This Row],[Winter Items Other ]]&lt;&gt;0),"No","")</f>
        <v/>
      </c>
      <c r="N30" s="470">
        <f>COUNTIF(A:A,Table10[[#This Row],[Pcode]])-1</f>
        <v>0</v>
      </c>
    </row>
    <row r="31" spans="1:20" x14ac:dyDescent="0.25">
      <c r="A31" s="381" t="s">
        <v>843</v>
      </c>
      <c r="B31" s="26" t="str">
        <f ca="1">OFFSET(CampList[Priority],MATCH(Table10[[#This Row],[Pcode]],CampList[CP_Pcode],0)-1,0,1,1)</f>
        <v>P2</v>
      </c>
      <c r="C31" s="26" t="str">
        <f ca="1">OFFSET(CampList[Camp],MATCH(Table10[[#This Row],[Pcode]],CampList[CP_Pcode],0)-1,0,1,1)</f>
        <v>Nam Hkawng</v>
      </c>
      <c r="D31" s="26" t="str">
        <f ca="1">OFFSET(CampList[Township],MATCH(Table10[[#This Row],[Pcode]],CampList[CP_Pcode],0)-1,0,1,1)</f>
        <v>Muse</v>
      </c>
      <c r="E31" s="26">
        <f ca="1">OFFSET(CampList[HH],MATCH(Table10[[#This Row],[Pcode]],CampList[CP_Pcode],0)-1,0,1,1)</f>
        <v>9</v>
      </c>
      <c r="F31" s="26">
        <f ca="1">OFFSET(CampList[Total],MATCH(Table10[[#This Row],[Pcode]],CampList[CP_Pcode],0)-1,0,1,1)</f>
        <v>44</v>
      </c>
      <c r="G31" s="422">
        <f>SUMIF('NFI Tracking'!AM$6:AM$1048576,Table10[[#This Row],[Pcode]],'NFI Tracking'!AG$6:AG$1048576)</f>
        <v>0</v>
      </c>
      <c r="H31" s="422">
        <f>SUMIF('NFI Tracking'!AM$6:AM$1048576,Table10[[#This Row],[Pcode]],'NFI Tracking'!AH$6:AH$1048576)</f>
        <v>0</v>
      </c>
      <c r="I31" s="422">
        <f>SUMIF('NFI Tracking'!AM$6:AM$1048576,Table10[[#This Row],[Pcode]],'NFI Tracking'!AI$6:AI$1048576)</f>
        <v>0</v>
      </c>
      <c r="J31" s="422">
        <f ca="1">MAX(Table10[[#This Row],[HH]]*VLOOKUP("Winter Clothes Adult",NFI,6)-Table10[[#This Row],[Winter Clothes Adult ]],0)</f>
        <v>18</v>
      </c>
      <c r="K31" s="422">
        <f ca="1">MAX(Table10[[#This Row],[HH]]*VLOOKUP("Winter Clothes Children ",NFI,6)-Table10[[#This Row],[Winter Clothes Children ]],0)</f>
        <v>9</v>
      </c>
      <c r="L31" s="422">
        <f ca="1">MAX(Table10[[#This Row],[HH]]*VLOOKUP("Winter Items Other ",NFI,6)-Table10[[#This Row],[Winter Items Other ]],0)</f>
        <v>9</v>
      </c>
      <c r="M31" s="469" t="str">
        <f>IF(OR(Table10[[#This Row],[Winter Clothes Adult ]]&lt;&gt;0,Table10[[#This Row],[Winter Clothes Children ]]&lt;&gt;0,Table10[[#This Row],[Winter Items Other ]]&lt;&gt;0),"No","")</f>
        <v/>
      </c>
      <c r="N31" s="470">
        <f>COUNTIF(A:A,Table10[[#This Row],[Pcode]])-1</f>
        <v>0</v>
      </c>
    </row>
    <row r="32" spans="1:20" x14ac:dyDescent="0.25">
      <c r="A32" s="381" t="s">
        <v>184</v>
      </c>
      <c r="B32" s="26" t="str">
        <f ca="1">OFFSET(CampList[Priority],MATCH(Table10[[#This Row],[Pcode]],CampList[CP_Pcode],0)-1,0,1,1)</f>
        <v>P3</v>
      </c>
      <c r="C32" s="26" t="str">
        <f ca="1">OFFSET(CampList[Camp],MATCH(Table10[[#This Row],[Pcode]],CampList[CP_Pcode],0)-1,0,1,1)</f>
        <v>Loi Je Baptist Church</v>
      </c>
      <c r="D32" s="26" t="str">
        <f ca="1">OFFSET(CampList[Township],MATCH(Table10[[#This Row],[Pcode]],CampList[CP_Pcode],0)-1,0,1,1)</f>
        <v>Momauk</v>
      </c>
      <c r="E32" s="26">
        <f ca="1">OFFSET(CampList[HH],MATCH(Table10[[#This Row],[Pcode]],CampList[CP_Pcode],0)-1,0,1,1)</f>
        <v>29</v>
      </c>
      <c r="F32" s="26">
        <f ca="1">OFFSET(CampList[Total],MATCH(Table10[[#This Row],[Pcode]],CampList[CP_Pcode],0)-1,0,1,1)</f>
        <v>182</v>
      </c>
      <c r="G32" s="422">
        <f>SUMIF('NFI Tracking'!AM$6:AM$1048576,Table10[[#This Row],[Pcode]],'NFI Tracking'!AG$6:AG$1048576)</f>
        <v>0</v>
      </c>
      <c r="H32" s="422">
        <f>SUMIF('NFI Tracking'!AM$6:AM$1048576,Table10[[#This Row],[Pcode]],'NFI Tracking'!AH$6:AH$1048576)</f>
        <v>0</v>
      </c>
      <c r="I32" s="422">
        <f>SUMIF('NFI Tracking'!AM$6:AM$1048576,Table10[[#This Row],[Pcode]],'NFI Tracking'!AI$6:AI$1048576)</f>
        <v>0</v>
      </c>
      <c r="J32" s="422">
        <f ca="1">MAX(Table10[[#This Row],[HH]]*VLOOKUP("Winter Clothes Adult",NFI,6)-Table10[[#This Row],[Winter Clothes Adult ]],0)</f>
        <v>58</v>
      </c>
      <c r="K32" s="422">
        <f ca="1">MAX(Table10[[#This Row],[HH]]*VLOOKUP("Winter Clothes Children ",NFI,6)-Table10[[#This Row],[Winter Clothes Children ]],0)</f>
        <v>29</v>
      </c>
      <c r="L32" s="422">
        <f ca="1">MAX(Table10[[#This Row],[HH]]*VLOOKUP("Winter Items Other ",NFI,6)-Table10[[#This Row],[Winter Items Other ]],0)</f>
        <v>29</v>
      </c>
      <c r="M32" s="469" t="str">
        <f>IF(OR(Table10[[#This Row],[Winter Clothes Adult ]]&lt;&gt;0,Table10[[#This Row],[Winter Clothes Children ]]&lt;&gt;0,Table10[[#This Row],[Winter Items Other ]]&lt;&gt;0),"No","")</f>
        <v/>
      </c>
      <c r="N32" s="470">
        <f>COUNTIF(A:A,Table10[[#This Row],[Pcode]])-1</f>
        <v>0</v>
      </c>
    </row>
    <row r="33" spans="1:14" x14ac:dyDescent="0.25">
      <c r="A33" s="381" t="s">
        <v>222</v>
      </c>
      <c r="B33" s="26" t="str">
        <f ca="1">OFFSET(CampList[Priority],MATCH(Table10[[#This Row],[Pcode]],CampList[CP_Pcode],0)-1,0,1,1)</f>
        <v>P3</v>
      </c>
      <c r="C33" s="26" t="str">
        <f ca="1">OFFSET(CampList[Camp],MATCH(Table10[[#This Row],[Pcode]],CampList[CP_Pcode],0)-1,0,1,1)</f>
        <v>Loi Je Catholic Church</v>
      </c>
      <c r="D33" s="26" t="str">
        <f ca="1">OFFSET(CampList[Township],MATCH(Table10[[#This Row],[Pcode]],CampList[CP_Pcode],0)-1,0,1,1)</f>
        <v>Momauk</v>
      </c>
      <c r="E33" s="26">
        <f ca="1">OFFSET(CampList[HH],MATCH(Table10[[#This Row],[Pcode]],CampList[CP_Pcode],0)-1,0,1,1)</f>
        <v>70</v>
      </c>
      <c r="F33" s="26">
        <f ca="1">OFFSET(CampList[Total],MATCH(Table10[[#This Row],[Pcode]],CampList[CP_Pcode],0)-1,0,1,1)</f>
        <v>609</v>
      </c>
      <c r="G33" s="422">
        <f>SUMIF('NFI Tracking'!AM$6:AM$1048576,Table10[[#This Row],[Pcode]],'NFI Tracking'!AG$6:AG$1048576)</f>
        <v>0</v>
      </c>
      <c r="H33" s="422">
        <f>SUMIF('NFI Tracking'!AM$6:AM$1048576,Table10[[#This Row],[Pcode]],'NFI Tracking'!AH$6:AH$1048576)</f>
        <v>0</v>
      </c>
      <c r="I33" s="422">
        <f>SUMIF('NFI Tracking'!AM$6:AM$1048576,Table10[[#This Row],[Pcode]],'NFI Tracking'!AI$6:AI$1048576)</f>
        <v>0</v>
      </c>
      <c r="J33" s="422">
        <f ca="1">MAX(Table10[[#This Row],[HH]]*VLOOKUP("Winter Clothes Adult",NFI,6)-Table10[[#This Row],[Winter Clothes Adult ]],0)</f>
        <v>140</v>
      </c>
      <c r="K33" s="422">
        <f ca="1">MAX(Table10[[#This Row],[HH]]*VLOOKUP("Winter Clothes Children ",NFI,6)-Table10[[#This Row],[Winter Clothes Children ]],0)</f>
        <v>70</v>
      </c>
      <c r="L33" s="422">
        <f ca="1">MAX(Table10[[#This Row],[HH]]*VLOOKUP("Winter Items Other ",NFI,6)-Table10[[#This Row],[Winter Items Other ]],0)</f>
        <v>70</v>
      </c>
      <c r="M33" s="469" t="str">
        <f>IF(OR(Table10[[#This Row],[Winter Clothes Adult ]]&lt;&gt;0,Table10[[#This Row],[Winter Clothes Children ]]&lt;&gt;0,Table10[[#This Row],[Winter Items Other ]]&lt;&gt;0),"No","")</f>
        <v/>
      </c>
      <c r="N33" s="470">
        <f>COUNTIF(A:A,Table10[[#This Row],[Pcode]])-1</f>
        <v>0</v>
      </c>
    </row>
    <row r="34" spans="1:14" x14ac:dyDescent="0.25">
      <c r="A34" s="381" t="s">
        <v>189</v>
      </c>
      <c r="B34" s="26" t="str">
        <f ca="1">OFFSET(CampList[Priority],MATCH(Table10[[#This Row],[Pcode]],CampList[CP_Pcode],0)-1,0,1,1)</f>
        <v>P3</v>
      </c>
      <c r="C34" s="26" t="str">
        <f ca="1">OFFSET(CampList[Camp],MATCH(Table10[[#This Row],[Pcode]],CampList[CP_Pcode],0)-1,0,1,1)</f>
        <v>Loi Je Lisu Camp</v>
      </c>
      <c r="D34" s="26" t="str">
        <f ca="1">OFFSET(CampList[Township],MATCH(Table10[[#This Row],[Pcode]],CampList[CP_Pcode],0)-1,0,1,1)</f>
        <v>Momauk</v>
      </c>
      <c r="E34" s="26">
        <f ca="1">OFFSET(CampList[HH],MATCH(Table10[[#This Row],[Pcode]],CampList[CP_Pcode],0)-1,0,1,1)</f>
        <v>188</v>
      </c>
      <c r="F34" s="26">
        <f ca="1">OFFSET(CampList[Total],MATCH(Table10[[#This Row],[Pcode]],CampList[CP_Pcode],0)-1,0,1,1)</f>
        <v>993</v>
      </c>
      <c r="G34" s="422">
        <f>SUMIF('NFI Tracking'!AM$6:AM$1048576,Table10[[#This Row],[Pcode]],'NFI Tracking'!AG$6:AG$1048576)</f>
        <v>0</v>
      </c>
      <c r="H34" s="422">
        <f>SUMIF('NFI Tracking'!AM$6:AM$1048576,Table10[[#This Row],[Pcode]],'NFI Tracking'!AH$6:AH$1048576)</f>
        <v>0</v>
      </c>
      <c r="I34" s="422">
        <f>SUMIF('NFI Tracking'!AM$6:AM$1048576,Table10[[#This Row],[Pcode]],'NFI Tracking'!AI$6:AI$1048576)</f>
        <v>0</v>
      </c>
      <c r="J34" s="422">
        <f ca="1">MAX(Table10[[#This Row],[HH]]*VLOOKUP("Winter Clothes Adult",NFI,6)-Table10[[#This Row],[Winter Clothes Adult ]],0)</f>
        <v>376</v>
      </c>
      <c r="K34" s="422">
        <f ca="1">MAX(Table10[[#This Row],[HH]]*VLOOKUP("Winter Clothes Children ",NFI,6)-Table10[[#This Row],[Winter Clothes Children ]],0)</f>
        <v>188</v>
      </c>
      <c r="L34" s="422">
        <f ca="1">MAX(Table10[[#This Row],[HH]]*VLOOKUP("Winter Items Other ",NFI,6)-Table10[[#This Row],[Winter Items Other ]],0)</f>
        <v>188</v>
      </c>
      <c r="M34" s="469" t="str">
        <f>IF(OR(Table10[[#This Row],[Winter Clothes Adult ]]&lt;&gt;0,Table10[[#This Row],[Winter Clothes Children ]]&lt;&gt;0,Table10[[#This Row],[Winter Items Other ]]&lt;&gt;0),"No","")</f>
        <v/>
      </c>
      <c r="N34" s="470">
        <f>COUNTIF(A:A,Table10[[#This Row],[Pcode]])-1</f>
        <v>0</v>
      </c>
    </row>
    <row r="35" spans="1:14" x14ac:dyDescent="0.25">
      <c r="A35" s="381" t="s">
        <v>224</v>
      </c>
      <c r="B35" s="26" t="str">
        <f ca="1">OFFSET(CampList[Priority],MATCH(Table10[[#This Row],[Pcode]],CampList[CP_Pcode],0)-1,0,1,1)</f>
        <v>P3</v>
      </c>
      <c r="C35" s="26" t="str">
        <f ca="1">OFFSET(CampList[Camp],MATCH(Table10[[#This Row],[Pcode]],CampList[CP_Pcode],0)-1,0,1,1)</f>
        <v xml:space="preserve">Seng Ja </v>
      </c>
      <c r="D35" s="26" t="str">
        <f ca="1">OFFSET(CampList[Township],MATCH(Table10[[#This Row],[Pcode]],CampList[CP_Pcode],0)-1,0,1,1)</f>
        <v>Momauk</v>
      </c>
      <c r="E35" s="26">
        <f ca="1">OFFSET(CampList[HH],MATCH(Table10[[#This Row],[Pcode]],CampList[CP_Pcode],0)-1,0,1,1)</f>
        <v>45</v>
      </c>
      <c r="F35" s="26">
        <f ca="1">OFFSET(CampList[Total],MATCH(Table10[[#This Row],[Pcode]],CampList[CP_Pcode],0)-1,0,1,1)</f>
        <v>269</v>
      </c>
      <c r="G35" s="422">
        <f>SUMIF('NFI Tracking'!AM$6:AM$1048576,Table10[[#This Row],[Pcode]],'NFI Tracking'!AG$6:AG$1048576)</f>
        <v>155</v>
      </c>
      <c r="H35" s="422">
        <f>SUMIF('NFI Tracking'!AM$6:AM$1048576,Table10[[#This Row],[Pcode]],'NFI Tracking'!AH$6:AH$1048576)</f>
        <v>73</v>
      </c>
      <c r="I35" s="422">
        <f>SUMIF('NFI Tracking'!AM$6:AM$1048576,Table10[[#This Row],[Pcode]],'NFI Tracking'!AI$6:AI$1048576)</f>
        <v>0</v>
      </c>
      <c r="J35" s="422">
        <f ca="1">MAX(Table10[[#This Row],[HH]]*VLOOKUP("Winter Clothes Adult",NFI,6)-Table10[[#This Row],[Winter Clothes Adult ]],0)</f>
        <v>0</v>
      </c>
      <c r="K35" s="422">
        <f ca="1">MAX(Table10[[#This Row],[HH]]*VLOOKUP("Winter Clothes Children ",NFI,6)-Table10[[#This Row],[Winter Clothes Children ]],0)</f>
        <v>0</v>
      </c>
      <c r="L35" s="422">
        <f ca="1">MAX(Table10[[#This Row],[HH]]*VLOOKUP("Winter Items Other ",NFI,6)-Table10[[#This Row],[Winter Items Other ]],0)</f>
        <v>45</v>
      </c>
      <c r="M35" s="469" t="str">
        <f>IF(OR(Table10[[#This Row],[Winter Clothes Adult ]]&lt;&gt;0,Table10[[#This Row],[Winter Clothes Children ]]&lt;&gt;0,Table10[[#This Row],[Winter Items Other ]]&lt;&gt;0),"No","")</f>
        <v>No</v>
      </c>
      <c r="N35" s="470">
        <f>COUNTIF(A:A,Table10[[#This Row],[Pcode]])-1</f>
        <v>0</v>
      </c>
    </row>
    <row r="36" spans="1:14" x14ac:dyDescent="0.25">
      <c r="A36" s="381" t="s">
        <v>228</v>
      </c>
      <c r="B36" s="26" t="str">
        <f ca="1">OFFSET(CampList[Priority],MATCH(Table10[[#This Row],[Pcode]],CampList[CP_Pcode],0)-1,0,1,1)</f>
        <v>P3</v>
      </c>
      <c r="C36" s="26" t="str">
        <f ca="1">OFFSET(CampList[Camp],MATCH(Table10[[#This Row],[Pcode]],CampList[CP_Pcode],0)-1,0,1,1)</f>
        <v xml:space="preserve">Nyaung Na Pin </v>
      </c>
      <c r="D36" s="26" t="str">
        <f ca="1">OFFSET(CampList[Township],MATCH(Table10[[#This Row],[Pcode]],CampList[CP_Pcode],0)-1,0,1,1)</f>
        <v>Momauk</v>
      </c>
      <c r="E36" s="26">
        <f ca="1">OFFSET(CampList[HH],MATCH(Table10[[#This Row],[Pcode]],CampList[CP_Pcode],0)-1,0,1,1)</f>
        <v>50</v>
      </c>
      <c r="F36" s="26">
        <f ca="1">OFFSET(CampList[Total],MATCH(Table10[[#This Row],[Pcode]],CampList[CP_Pcode],0)-1,0,1,1)</f>
        <v>293</v>
      </c>
      <c r="G36" s="422">
        <f>SUMIF('NFI Tracking'!AM$6:AM$1048576,Table10[[#This Row],[Pcode]],'NFI Tracking'!AG$6:AG$1048576)</f>
        <v>195</v>
      </c>
      <c r="H36" s="422">
        <f>SUMIF('NFI Tracking'!AM$6:AM$1048576,Table10[[#This Row],[Pcode]],'NFI Tracking'!AH$6:AH$1048576)</f>
        <v>91</v>
      </c>
      <c r="I36" s="422">
        <f>SUMIF('NFI Tracking'!AM$6:AM$1048576,Table10[[#This Row],[Pcode]],'NFI Tracking'!AI$6:AI$1048576)</f>
        <v>0</v>
      </c>
      <c r="J36" s="422">
        <f ca="1">MAX(Table10[[#This Row],[HH]]*VLOOKUP("Winter Clothes Adult",NFI,6)-Table10[[#This Row],[Winter Clothes Adult ]],0)</f>
        <v>0</v>
      </c>
      <c r="K36" s="422">
        <f ca="1">MAX(Table10[[#This Row],[HH]]*VLOOKUP("Winter Clothes Children ",NFI,6)-Table10[[#This Row],[Winter Clothes Children ]],0)</f>
        <v>0</v>
      </c>
      <c r="L36" s="422">
        <f ca="1">MAX(Table10[[#This Row],[HH]]*VLOOKUP("Winter Items Other ",NFI,6)-Table10[[#This Row],[Winter Items Other ]],0)</f>
        <v>50</v>
      </c>
      <c r="M36" s="469" t="str">
        <f>IF(OR(Table10[[#This Row],[Winter Clothes Adult ]]&lt;&gt;0,Table10[[#This Row],[Winter Clothes Children ]]&lt;&gt;0,Table10[[#This Row],[Winter Items Other ]]&lt;&gt;0),"No","")</f>
        <v>No</v>
      </c>
      <c r="N36" s="470">
        <f>COUNTIF(A:A,Table10[[#This Row],[Pcode]])-1</f>
        <v>0</v>
      </c>
    </row>
    <row r="37" spans="1:14" x14ac:dyDescent="0.25">
      <c r="A37" s="381" t="s">
        <v>902</v>
      </c>
      <c r="B37" s="26" t="str">
        <f ca="1">OFFSET(CampList[Priority],MATCH(Table10[[#This Row],[Pcode]],CampList[CP_Pcode],0)-1,0,1,1)</f>
        <v>P3</v>
      </c>
      <c r="C37" s="26" t="str">
        <f ca="1">OFFSET(CampList[Camp],MATCH(Table10[[#This Row],[Pcode]],CampList[CP_Pcode],0)-1,0,1,1)</f>
        <v>Machanbaw - KBC</v>
      </c>
      <c r="D37" s="26" t="str">
        <f ca="1">OFFSET(CampList[Township],MATCH(Table10[[#This Row],[Pcode]],CampList[CP_Pcode],0)-1,0,1,1)</f>
        <v>Machanbaw</v>
      </c>
      <c r="E37" s="26">
        <f ca="1">OFFSET(CampList[HH],MATCH(Table10[[#This Row],[Pcode]],CampList[CP_Pcode],0)-1,0,1,1)</f>
        <v>0</v>
      </c>
      <c r="F37" s="26">
        <f ca="1">OFFSET(CampList[Total],MATCH(Table10[[#This Row],[Pcode]],CampList[CP_Pcode],0)-1,0,1,1)</f>
        <v>0</v>
      </c>
      <c r="G37" s="422">
        <f>SUMIF('NFI Tracking'!AM$6:AM$1048576,Table10[[#This Row],[Pcode]],'NFI Tracking'!AG$6:AG$1048576)</f>
        <v>0</v>
      </c>
      <c r="H37" s="422">
        <f>SUMIF('NFI Tracking'!AM$6:AM$1048576,Table10[[#This Row],[Pcode]],'NFI Tracking'!AH$6:AH$1048576)</f>
        <v>0</v>
      </c>
      <c r="I37" s="422">
        <f>SUMIF('NFI Tracking'!AM$6:AM$1048576,Table10[[#This Row],[Pcode]],'NFI Tracking'!AI$6:AI$1048576)</f>
        <v>0</v>
      </c>
      <c r="J37" s="422">
        <f ca="1">MAX(Table10[[#This Row],[HH]]*VLOOKUP("Winter Clothes Adult",NFI,6)-Table10[[#This Row],[Winter Clothes Adult ]],0)</f>
        <v>0</v>
      </c>
      <c r="K37" s="422">
        <f ca="1">MAX(Table10[[#This Row],[HH]]*VLOOKUP("Winter Clothes Children ",NFI,6)-Table10[[#This Row],[Winter Clothes Children ]],0)</f>
        <v>0</v>
      </c>
      <c r="L37" s="422">
        <f ca="1">MAX(Table10[[#This Row],[HH]]*VLOOKUP("Winter Items Other ",NFI,6)-Table10[[#This Row],[Winter Items Other ]],0)</f>
        <v>0</v>
      </c>
      <c r="M37" s="469" t="str">
        <f>IF(OR(Table10[[#This Row],[Winter Clothes Adult ]]&lt;&gt;0,Table10[[#This Row],[Winter Clothes Children ]]&lt;&gt;0,Table10[[#This Row],[Winter Items Other ]]&lt;&gt;0),"No","")</f>
        <v/>
      </c>
      <c r="N37" s="470">
        <f>COUNTIF(A:A,Table10[[#This Row],[Pcode]])-1</f>
        <v>0</v>
      </c>
    </row>
    <row r="38" spans="1:14" x14ac:dyDescent="0.25">
      <c r="A38" s="381" t="s">
        <v>1050</v>
      </c>
      <c r="B38" s="26" t="str">
        <f ca="1">OFFSET(CampList[Priority],MATCH(Table10[[#This Row],[Pcode]],CampList[CP_Pcode],0)-1,0,1,1)</f>
        <v>P3</v>
      </c>
      <c r="C38" s="26" t="str">
        <f ca="1">OFFSET(CampList[Camp],MATCH(Table10[[#This Row],[Pcode]],CampList[CP_Pcode],0)-1,0,1,1)</f>
        <v>Inn Lel Yan - Host Families</v>
      </c>
      <c r="D38" s="26" t="str">
        <f ca="1">OFFSET(CampList[Township],MATCH(Table10[[#This Row],[Pcode]],CampList[CP_Pcode],0)-1,0,1,1)</f>
        <v>Puta-O</v>
      </c>
      <c r="E38" s="26">
        <f ca="1">OFFSET(CampList[HH],MATCH(Table10[[#This Row],[Pcode]],CampList[CP_Pcode],0)-1,0,1,1)</f>
        <v>10</v>
      </c>
      <c r="F38" s="26">
        <f ca="1">OFFSET(CampList[Total],MATCH(Table10[[#This Row],[Pcode]],CampList[CP_Pcode],0)-1,0,1,1)</f>
        <v>56</v>
      </c>
      <c r="G38" s="422">
        <f>SUMIF('NFI Tracking'!AM$6:AM$1048576,Table10[[#This Row],[Pcode]],'NFI Tracking'!AG$6:AG$1048576)</f>
        <v>0</v>
      </c>
      <c r="H38" s="422">
        <f>SUMIF('NFI Tracking'!AM$6:AM$1048576,Table10[[#This Row],[Pcode]],'NFI Tracking'!AH$6:AH$1048576)</f>
        <v>0</v>
      </c>
      <c r="I38" s="422">
        <f>SUMIF('NFI Tracking'!AM$6:AM$1048576,Table10[[#This Row],[Pcode]],'NFI Tracking'!AI$6:AI$1048576)</f>
        <v>0</v>
      </c>
      <c r="J38" s="422">
        <f ca="1">MAX(Table10[[#This Row],[HH]]*VLOOKUP("Winter Clothes Adult",NFI,6)-Table10[[#This Row],[Winter Clothes Adult ]],0)</f>
        <v>20</v>
      </c>
      <c r="K38" s="422">
        <f ca="1">MAX(Table10[[#This Row],[HH]]*VLOOKUP("Winter Clothes Children ",NFI,6)-Table10[[#This Row],[Winter Clothes Children ]],0)</f>
        <v>10</v>
      </c>
      <c r="L38" s="422">
        <f ca="1">MAX(Table10[[#This Row],[HH]]*VLOOKUP("Winter Items Other ",NFI,6)-Table10[[#This Row],[Winter Items Other ]],0)</f>
        <v>10</v>
      </c>
      <c r="M38" s="469" t="str">
        <f>IF(OR(Table10[[#This Row],[Winter Clothes Adult ]]&lt;&gt;0,Table10[[#This Row],[Winter Clothes Children ]]&lt;&gt;0,Table10[[#This Row],[Winter Items Other ]]&lt;&gt;0),"No","")</f>
        <v/>
      </c>
      <c r="N38" s="470">
        <f>COUNTIF(A:A,Table10[[#This Row],[Pcode]])-1</f>
        <v>0</v>
      </c>
    </row>
    <row r="39" spans="1:14" x14ac:dyDescent="0.25">
      <c r="A39" s="381" t="s">
        <v>898</v>
      </c>
      <c r="B39" s="26" t="str">
        <f ca="1">OFFSET(CampList[Priority],MATCH(Table10[[#This Row],[Pcode]],CampList[CP_Pcode],0)-1,0,1,1)</f>
        <v>P3</v>
      </c>
      <c r="C39" s="26" t="str">
        <f ca="1">OFFSET(CampList[Camp],MATCH(Table10[[#This Row],[Pcode]],CampList[CP_Pcode],0)-1,0,1,1)</f>
        <v>Naung Khaing</v>
      </c>
      <c r="D39" s="26" t="str">
        <f ca="1">OFFSET(CampList[Township],MATCH(Table10[[#This Row],[Pcode]],CampList[CP_Pcode],0)-1,0,1,1)</f>
        <v>Puta-O</v>
      </c>
      <c r="E39" s="26">
        <f ca="1">OFFSET(CampList[HH],MATCH(Table10[[#This Row],[Pcode]],CampList[CP_Pcode],0)-1,0,1,1)</f>
        <v>0</v>
      </c>
      <c r="F39" s="26">
        <f ca="1">OFFSET(CampList[Total],MATCH(Table10[[#This Row],[Pcode]],CampList[CP_Pcode],0)-1,0,1,1)</f>
        <v>0</v>
      </c>
      <c r="G39" s="422">
        <f>SUMIF('NFI Tracking'!AM$6:AM$1048576,Table10[[#This Row],[Pcode]],'NFI Tracking'!AG$6:AG$1048576)</f>
        <v>52</v>
      </c>
      <c r="H39" s="422">
        <f>SUMIF('NFI Tracking'!AM$6:AM$1048576,Table10[[#This Row],[Pcode]],'NFI Tracking'!AH$6:AH$1048576)</f>
        <v>16</v>
      </c>
      <c r="I39" s="422">
        <f>SUMIF('NFI Tracking'!AM$6:AM$1048576,Table10[[#This Row],[Pcode]],'NFI Tracking'!AI$6:AI$1048576)</f>
        <v>0</v>
      </c>
      <c r="J39" s="422">
        <f ca="1">MAX(Table10[[#This Row],[HH]]*VLOOKUP("Winter Clothes Adult",NFI,6)-Table10[[#This Row],[Winter Clothes Adult ]],0)</f>
        <v>0</v>
      </c>
      <c r="K39" s="422">
        <f ca="1">MAX(Table10[[#This Row],[HH]]*VLOOKUP("Winter Clothes Children ",NFI,6)-Table10[[#This Row],[Winter Clothes Children ]],0)</f>
        <v>0</v>
      </c>
      <c r="L39" s="422">
        <f ca="1">MAX(Table10[[#This Row],[HH]]*VLOOKUP("Winter Items Other ",NFI,6)-Table10[[#This Row],[Winter Items Other ]],0)</f>
        <v>0</v>
      </c>
      <c r="M39" s="469" t="str">
        <f>IF(OR(Table10[[#This Row],[Winter Clothes Adult ]]&lt;&gt;0,Table10[[#This Row],[Winter Clothes Children ]]&lt;&gt;0,Table10[[#This Row],[Winter Items Other ]]&lt;&gt;0),"No","")</f>
        <v>No</v>
      </c>
      <c r="N39" s="470">
        <f>COUNTIF(A:A,Table10[[#This Row],[Pcode]])-1</f>
        <v>0</v>
      </c>
    </row>
    <row r="40" spans="1:14" x14ac:dyDescent="0.25">
      <c r="A40" s="381" t="s">
        <v>299</v>
      </c>
      <c r="B40" s="26" t="str">
        <f ca="1">OFFSET(CampList[Priority],MATCH(Table10[[#This Row],[Pcode]],CampList[CP_Pcode],0)-1,0,1,1)</f>
        <v>P3</v>
      </c>
      <c r="C40" s="26" t="str">
        <f ca="1">OFFSET(CampList[Camp],MATCH(Table10[[#This Row],[Pcode]],CampList[CP_Pcode],0)-1,0,1,1)</f>
        <v>Tote Tan Ward</v>
      </c>
      <c r="D40" s="26" t="str">
        <f ca="1">OFFSET(CampList[Township],MATCH(Table10[[#This Row],[Pcode]],CampList[CP_Pcode],0)-1,0,1,1)</f>
        <v>Puta-O</v>
      </c>
      <c r="E40" s="26">
        <f ca="1">OFFSET(CampList[HH],MATCH(Table10[[#This Row],[Pcode]],CampList[CP_Pcode],0)-1,0,1,1)</f>
        <v>14</v>
      </c>
      <c r="F40" s="26">
        <f ca="1">OFFSET(CampList[Total],MATCH(Table10[[#This Row],[Pcode]],CampList[CP_Pcode],0)-1,0,1,1)</f>
        <v>64</v>
      </c>
      <c r="G40" s="422">
        <f>SUMIF('NFI Tracking'!AM$6:AM$1048576,Table10[[#This Row],[Pcode]],'NFI Tracking'!AG$6:AG$1048576)</f>
        <v>72</v>
      </c>
      <c r="H40" s="422">
        <f>SUMIF('NFI Tracking'!AM$6:AM$1048576,Table10[[#This Row],[Pcode]],'NFI Tracking'!AH$6:AH$1048576)</f>
        <v>11</v>
      </c>
      <c r="I40" s="422">
        <f>SUMIF('NFI Tracking'!AM$6:AM$1048576,Table10[[#This Row],[Pcode]],'NFI Tracking'!AI$6:AI$1048576)</f>
        <v>0</v>
      </c>
      <c r="J40" s="422">
        <f ca="1">MAX(Table10[[#This Row],[HH]]*VLOOKUP("Winter Clothes Adult",NFI,6)-Table10[[#This Row],[Winter Clothes Adult ]],0)</f>
        <v>0</v>
      </c>
      <c r="K40" s="422">
        <f ca="1">MAX(Table10[[#This Row],[HH]]*VLOOKUP("Winter Clothes Children ",NFI,6)-Table10[[#This Row],[Winter Clothes Children ]],0)</f>
        <v>3</v>
      </c>
      <c r="L40" s="422">
        <f ca="1">MAX(Table10[[#This Row],[HH]]*VLOOKUP("Winter Items Other ",NFI,6)-Table10[[#This Row],[Winter Items Other ]],0)</f>
        <v>14</v>
      </c>
      <c r="M40" s="469" t="str">
        <f>IF(OR(Table10[[#This Row],[Winter Clothes Adult ]]&lt;&gt;0,Table10[[#This Row],[Winter Clothes Children ]]&lt;&gt;0,Table10[[#This Row],[Winter Items Other ]]&lt;&gt;0),"No","")</f>
        <v>No</v>
      </c>
      <c r="N40" s="470">
        <f>COUNTIF(A:A,Table10[[#This Row],[Pcode]])-1</f>
        <v>0</v>
      </c>
    </row>
    <row r="41" spans="1:14" x14ac:dyDescent="0.25">
      <c r="A41" s="381" t="s">
        <v>382</v>
      </c>
      <c r="B41" s="26" t="str">
        <f ca="1">OFFSET(CampList[Priority],MATCH(Table10[[#This Row],[Pcode]],CampList[CP_Pcode],0)-1,0,1,1)</f>
        <v>P3</v>
      </c>
      <c r="C41" s="26" t="str">
        <f ca="1">OFFSET(CampList[Camp],MATCH(Table10[[#This Row],[Pcode]],CampList[CP_Pcode],0)-1,0,1,1)</f>
        <v>Kone Khem Camp</v>
      </c>
      <c r="D41" s="26" t="str">
        <f ca="1">OFFSET(CampList[Township],MATCH(Table10[[#This Row],[Pcode]],CampList[CP_Pcode],0)-1,0,1,1)</f>
        <v>Kutkai</v>
      </c>
      <c r="E41" s="26">
        <f ca="1">OFFSET(CampList[HH],MATCH(Table10[[#This Row],[Pcode]],CampList[CP_Pcode],0)-1,0,1,1)</f>
        <v>87</v>
      </c>
      <c r="F41" s="26">
        <f ca="1">OFFSET(CampList[Total],MATCH(Table10[[#This Row],[Pcode]],CampList[CP_Pcode],0)-1,0,1,1)</f>
        <v>488</v>
      </c>
      <c r="G41" s="422">
        <f>SUMIF('NFI Tracking'!AM$6:AM$1048576,Table10[[#This Row],[Pcode]],'NFI Tracking'!AG$6:AG$1048576)</f>
        <v>0</v>
      </c>
      <c r="H41" s="422">
        <f>SUMIF('NFI Tracking'!AM$6:AM$1048576,Table10[[#This Row],[Pcode]],'NFI Tracking'!AH$6:AH$1048576)</f>
        <v>0</v>
      </c>
      <c r="I41" s="422">
        <f>SUMIF('NFI Tracking'!AM$6:AM$1048576,Table10[[#This Row],[Pcode]],'NFI Tracking'!AI$6:AI$1048576)</f>
        <v>0</v>
      </c>
      <c r="J41" s="422">
        <f ca="1">MAX(Table10[[#This Row],[HH]]*VLOOKUP("Winter Clothes Adult",NFI,6)-Table10[[#This Row],[Winter Clothes Adult ]],0)</f>
        <v>174</v>
      </c>
      <c r="K41" s="422">
        <f ca="1">MAX(Table10[[#This Row],[HH]]*VLOOKUP("Winter Clothes Children ",NFI,6)-Table10[[#This Row],[Winter Clothes Children ]],0)</f>
        <v>87</v>
      </c>
      <c r="L41" s="422">
        <f ca="1">MAX(Table10[[#This Row],[HH]]*VLOOKUP("Winter Items Other ",NFI,6)-Table10[[#This Row],[Winter Items Other ]],0)</f>
        <v>87</v>
      </c>
      <c r="M41" s="469" t="str">
        <f>IF(OR(Table10[[#This Row],[Winter Clothes Adult ]]&lt;&gt;0,Table10[[#This Row],[Winter Clothes Children ]]&lt;&gt;0,Table10[[#This Row],[Winter Items Other ]]&lt;&gt;0),"No","")</f>
        <v/>
      </c>
      <c r="N41" s="470">
        <f>COUNTIF(A:A,Table10[[#This Row],[Pcode]])-1</f>
        <v>0</v>
      </c>
    </row>
    <row r="42" spans="1:14" x14ac:dyDescent="0.25">
      <c r="A42" s="381" t="s">
        <v>383</v>
      </c>
      <c r="B42" s="26" t="str">
        <f ca="1">OFFSET(CampList[Priority],MATCH(Table10[[#This Row],[Pcode]],CampList[CP_Pcode],0)-1,0,1,1)</f>
        <v>P3</v>
      </c>
      <c r="C42" s="26" t="str">
        <f ca="1">OFFSET(CampList[Camp],MATCH(Table10[[#This Row],[Pcode]],CampList[CP_Pcode],0)-1,0,1,1)</f>
        <v>Kutkai downtown (KBC Church)</v>
      </c>
      <c r="D42" s="26" t="str">
        <f ca="1">OFFSET(CampList[Township],MATCH(Table10[[#This Row],[Pcode]],CampList[CP_Pcode],0)-1,0,1,1)</f>
        <v>Kutkai</v>
      </c>
      <c r="E42" s="26">
        <f ca="1">OFFSET(CampList[HH],MATCH(Table10[[#This Row],[Pcode]],CampList[CP_Pcode],0)-1,0,1,1)</f>
        <v>64</v>
      </c>
      <c r="F42" s="26">
        <f ca="1">OFFSET(CampList[Total],MATCH(Table10[[#This Row],[Pcode]],CampList[CP_Pcode],0)-1,0,1,1)</f>
        <v>305</v>
      </c>
      <c r="G42" s="422">
        <f>SUMIF('NFI Tracking'!AM$6:AM$1048576,Table10[[#This Row],[Pcode]],'NFI Tracking'!AG$6:AG$1048576)</f>
        <v>0</v>
      </c>
      <c r="H42" s="422">
        <f>SUMIF('NFI Tracking'!AM$6:AM$1048576,Table10[[#This Row],[Pcode]],'NFI Tracking'!AH$6:AH$1048576)</f>
        <v>0</v>
      </c>
      <c r="I42" s="422">
        <f>SUMIF('NFI Tracking'!AM$6:AM$1048576,Table10[[#This Row],[Pcode]],'NFI Tracking'!AI$6:AI$1048576)</f>
        <v>0</v>
      </c>
      <c r="J42" s="422">
        <f ca="1">MAX(Table10[[#This Row],[HH]]*VLOOKUP("Winter Clothes Adult",NFI,6)-Table10[[#This Row],[Winter Clothes Adult ]],0)</f>
        <v>128</v>
      </c>
      <c r="K42" s="422">
        <f ca="1">MAX(Table10[[#This Row],[HH]]*VLOOKUP("Winter Clothes Children ",NFI,6)-Table10[[#This Row],[Winter Clothes Children ]],0)</f>
        <v>64</v>
      </c>
      <c r="L42" s="422">
        <f ca="1">MAX(Table10[[#This Row],[HH]]*VLOOKUP("Winter Items Other ",NFI,6)-Table10[[#This Row],[Winter Items Other ]],0)</f>
        <v>64</v>
      </c>
      <c r="M42" s="469" t="str">
        <f>IF(OR(Table10[[#This Row],[Winter Clothes Adult ]]&lt;&gt;0,Table10[[#This Row],[Winter Clothes Children ]]&lt;&gt;0,Table10[[#This Row],[Winter Items Other ]]&lt;&gt;0),"No","")</f>
        <v/>
      </c>
      <c r="N42" s="470">
        <f>COUNTIF(A:A,Table10[[#This Row],[Pcode]])-1</f>
        <v>0</v>
      </c>
    </row>
    <row r="43" spans="1:14" x14ac:dyDescent="0.25">
      <c r="A43" s="381" t="s">
        <v>384</v>
      </c>
      <c r="B43" s="26" t="str">
        <f ca="1">OFFSET(CampList[Priority],MATCH(Table10[[#This Row],[Pcode]],CampList[CP_Pcode],0)-1,0,1,1)</f>
        <v>P3</v>
      </c>
      <c r="C43" s="26" t="str">
        <f ca="1">OFFSET(CampList[Camp],MATCH(Table10[[#This Row],[Pcode]],CampList[CP_Pcode],0)-1,0,1,1)</f>
        <v>Kutkai downtown (RC Church)</v>
      </c>
      <c r="D43" s="26" t="str">
        <f ca="1">OFFSET(CampList[Township],MATCH(Table10[[#This Row],[Pcode]],CampList[CP_Pcode],0)-1,0,1,1)</f>
        <v>Kutkai</v>
      </c>
      <c r="E43" s="26">
        <f ca="1">OFFSET(CampList[HH],MATCH(Table10[[#This Row],[Pcode]],CampList[CP_Pcode],0)-1,0,1,1)</f>
        <v>30</v>
      </c>
      <c r="F43" s="26">
        <f ca="1">OFFSET(CampList[Total],MATCH(Table10[[#This Row],[Pcode]],CampList[CP_Pcode],0)-1,0,1,1)</f>
        <v>139</v>
      </c>
      <c r="G43" s="422">
        <f>SUMIF('NFI Tracking'!AM$6:AM$1048576,Table10[[#This Row],[Pcode]],'NFI Tracking'!AG$6:AG$1048576)</f>
        <v>0</v>
      </c>
      <c r="H43" s="422">
        <f>SUMIF('NFI Tracking'!AM$6:AM$1048576,Table10[[#This Row],[Pcode]],'NFI Tracking'!AH$6:AH$1048576)</f>
        <v>0</v>
      </c>
      <c r="I43" s="422">
        <f>SUMIF('NFI Tracking'!AM$6:AM$1048576,Table10[[#This Row],[Pcode]],'NFI Tracking'!AI$6:AI$1048576)</f>
        <v>0</v>
      </c>
      <c r="J43" s="422">
        <f ca="1">MAX(Table10[[#This Row],[HH]]*VLOOKUP("Winter Clothes Adult",NFI,6)-Table10[[#This Row],[Winter Clothes Adult ]],0)</f>
        <v>60</v>
      </c>
      <c r="K43" s="422">
        <f ca="1">MAX(Table10[[#This Row],[HH]]*VLOOKUP("Winter Clothes Children ",NFI,6)-Table10[[#This Row],[Winter Clothes Children ]],0)</f>
        <v>30</v>
      </c>
      <c r="L43" s="422">
        <f ca="1">MAX(Table10[[#This Row],[HH]]*VLOOKUP("Winter Items Other ",NFI,6)-Table10[[#This Row],[Winter Items Other ]],0)</f>
        <v>30</v>
      </c>
      <c r="M43" s="469" t="str">
        <f>IF(OR(Table10[[#This Row],[Winter Clothes Adult ]]&lt;&gt;0,Table10[[#This Row],[Winter Clothes Children ]]&lt;&gt;0,Table10[[#This Row],[Winter Items Other ]]&lt;&gt;0),"No","")</f>
        <v/>
      </c>
      <c r="N43" s="470">
        <f>COUNTIF(A:A,Table10[[#This Row],[Pcode]])-1</f>
        <v>0</v>
      </c>
    </row>
    <row r="44" spans="1:14" x14ac:dyDescent="0.25">
      <c r="A44" s="381" t="s">
        <v>385</v>
      </c>
      <c r="B44" s="26" t="str">
        <f ca="1">OFFSET(CampList[Priority],MATCH(Table10[[#This Row],[Pcode]],CampList[CP_Pcode],0)-1,0,1,1)</f>
        <v>P3</v>
      </c>
      <c r="C44" s="26" t="str">
        <f ca="1">OFFSET(CampList[Camp],MATCH(Table10[[#This Row],[Pcode]],CampList[CP_Pcode],0)-1,0,1,1)</f>
        <v>Mine Yu Lay village</v>
      </c>
      <c r="D44" s="26" t="str">
        <f ca="1">OFFSET(CampList[Township],MATCH(Table10[[#This Row],[Pcode]],CampList[CP_Pcode],0)-1,0,1,1)</f>
        <v>Kutkai</v>
      </c>
      <c r="E44" s="26">
        <f ca="1">OFFSET(CampList[HH],MATCH(Table10[[#This Row],[Pcode]],CampList[CP_Pcode],0)-1,0,1,1)</f>
        <v>79</v>
      </c>
      <c r="F44" s="26">
        <f ca="1">OFFSET(CampList[Total],MATCH(Table10[[#This Row],[Pcode]],CampList[CP_Pcode],0)-1,0,1,1)</f>
        <v>318</v>
      </c>
      <c r="G44" s="422">
        <f>SUMIF('NFI Tracking'!AM$6:AM$1048576,Table10[[#This Row],[Pcode]],'NFI Tracking'!AG$6:AG$1048576)</f>
        <v>0</v>
      </c>
      <c r="H44" s="422">
        <f>SUMIF('NFI Tracking'!AM$6:AM$1048576,Table10[[#This Row],[Pcode]],'NFI Tracking'!AH$6:AH$1048576)</f>
        <v>0</v>
      </c>
      <c r="I44" s="422">
        <f>SUMIF('NFI Tracking'!AM$6:AM$1048576,Table10[[#This Row],[Pcode]],'NFI Tracking'!AI$6:AI$1048576)</f>
        <v>0</v>
      </c>
      <c r="J44" s="422">
        <f ca="1">MAX(Table10[[#This Row],[HH]]*VLOOKUP("Winter Clothes Adult",NFI,6)-Table10[[#This Row],[Winter Clothes Adult ]],0)</f>
        <v>158</v>
      </c>
      <c r="K44" s="422">
        <f ca="1">MAX(Table10[[#This Row],[HH]]*VLOOKUP("Winter Clothes Children ",NFI,6)-Table10[[#This Row],[Winter Clothes Children ]],0)</f>
        <v>79</v>
      </c>
      <c r="L44" s="422">
        <f ca="1">MAX(Table10[[#This Row],[HH]]*VLOOKUP("Winter Items Other ",NFI,6)-Table10[[#This Row],[Winter Items Other ]],0)</f>
        <v>79</v>
      </c>
      <c r="M44" s="469" t="str">
        <f>IF(OR(Table10[[#This Row],[Winter Clothes Adult ]]&lt;&gt;0,Table10[[#This Row],[Winter Clothes Children ]]&lt;&gt;0,Table10[[#This Row],[Winter Items Other ]]&lt;&gt;0),"No","")</f>
        <v/>
      </c>
      <c r="N44" s="470">
        <f>COUNTIF(A:A,Table10[[#This Row],[Pcode]])-1</f>
        <v>0</v>
      </c>
    </row>
    <row r="45" spans="1:14" x14ac:dyDescent="0.25">
      <c r="A45" s="381" t="s">
        <v>148</v>
      </c>
      <c r="B45" s="26" t="str">
        <f ca="1">OFFSET(CampList[Priority],MATCH(Table10[[#This Row],[Pcode]],CampList[CP_Pcode],0)-1,0,1,1)</f>
        <v>P3</v>
      </c>
      <c r="C45" s="26" t="str">
        <f ca="1">OFFSET(CampList[Camp],MATCH(Table10[[#This Row],[Pcode]],CampList[CP_Pcode],0)-1,0,1,1)</f>
        <v xml:space="preserve">Nam Hpak Ka Mare </v>
      </c>
      <c r="D45" s="26" t="str">
        <f ca="1">OFFSET(CampList[Township],MATCH(Table10[[#This Row],[Pcode]],CampList[CP_Pcode],0)-1,0,1,1)</f>
        <v>Kutkai</v>
      </c>
      <c r="E45" s="26">
        <f ca="1">OFFSET(CampList[HH],MATCH(Table10[[#This Row],[Pcode]],CampList[CP_Pcode],0)-1,0,1,1)</f>
        <v>71</v>
      </c>
      <c r="F45" s="26">
        <f ca="1">OFFSET(CampList[Total],MATCH(Table10[[#This Row],[Pcode]],CampList[CP_Pcode],0)-1,0,1,1)</f>
        <v>278</v>
      </c>
      <c r="G45" s="422">
        <f>SUMIF('NFI Tracking'!AM$6:AM$1048576,Table10[[#This Row],[Pcode]],'NFI Tracking'!AG$6:AG$1048576)</f>
        <v>0</v>
      </c>
      <c r="H45" s="422">
        <f>SUMIF('NFI Tracking'!AM$6:AM$1048576,Table10[[#This Row],[Pcode]],'NFI Tracking'!AH$6:AH$1048576)</f>
        <v>0</v>
      </c>
      <c r="I45" s="422">
        <f>SUMIF('NFI Tracking'!AM$6:AM$1048576,Table10[[#This Row],[Pcode]],'NFI Tracking'!AI$6:AI$1048576)</f>
        <v>0</v>
      </c>
      <c r="J45" s="422">
        <f ca="1">MAX(Table10[[#This Row],[HH]]*VLOOKUP("Winter Clothes Adult",NFI,6)-Table10[[#This Row],[Winter Clothes Adult ]],0)</f>
        <v>142</v>
      </c>
      <c r="K45" s="422">
        <f ca="1">MAX(Table10[[#This Row],[HH]]*VLOOKUP("Winter Clothes Children ",NFI,6)-Table10[[#This Row],[Winter Clothes Children ]],0)</f>
        <v>71</v>
      </c>
      <c r="L45" s="422">
        <f ca="1">MAX(Table10[[#This Row],[HH]]*VLOOKUP("Winter Items Other ",NFI,6)-Table10[[#This Row],[Winter Items Other ]],0)</f>
        <v>71</v>
      </c>
      <c r="M45" s="469" t="str">
        <f>IF(OR(Table10[[#This Row],[Winter Clothes Adult ]]&lt;&gt;0,Table10[[#This Row],[Winter Clothes Children ]]&lt;&gt;0,Table10[[#This Row],[Winter Items Other ]]&lt;&gt;0),"No","")</f>
        <v/>
      </c>
      <c r="N45" s="470">
        <f>COUNTIF(A:A,Table10[[#This Row],[Pcode]])-1</f>
        <v>0</v>
      </c>
    </row>
    <row r="46" spans="1:14" x14ac:dyDescent="0.25">
      <c r="A46" s="381" t="s">
        <v>387</v>
      </c>
      <c r="B46" s="26" t="str">
        <f ca="1">OFFSET(CampList[Priority],MATCH(Table10[[#This Row],[Pcode]],CampList[CP_Pcode],0)-1,0,1,1)</f>
        <v>P3</v>
      </c>
      <c r="C46" s="26" t="str">
        <f ca="1">OFFSET(CampList[Camp],MATCH(Table10[[#This Row],[Pcode]],CampList[CP_Pcode],0)-1,0,1,1)</f>
        <v>Zup Aung Camp</v>
      </c>
      <c r="D46" s="26" t="str">
        <f ca="1">OFFSET(CampList[Township],MATCH(Table10[[#This Row],[Pcode]],CampList[CP_Pcode],0)-1,0,1,1)</f>
        <v>Kutkai</v>
      </c>
      <c r="E46" s="26">
        <f ca="1">OFFSET(CampList[HH],MATCH(Table10[[#This Row],[Pcode]],CampList[CP_Pcode],0)-1,0,1,1)</f>
        <v>178</v>
      </c>
      <c r="F46" s="26">
        <f ca="1">OFFSET(CampList[Total],MATCH(Table10[[#This Row],[Pcode]],CampList[CP_Pcode],0)-1,0,1,1)</f>
        <v>827</v>
      </c>
      <c r="G46" s="422">
        <f>SUMIF('NFI Tracking'!AM$6:AM$1048576,Table10[[#This Row],[Pcode]],'NFI Tracking'!AG$6:AG$1048576)</f>
        <v>0</v>
      </c>
      <c r="H46" s="422">
        <f>SUMIF('NFI Tracking'!AM$6:AM$1048576,Table10[[#This Row],[Pcode]],'NFI Tracking'!AH$6:AH$1048576)</f>
        <v>0</v>
      </c>
      <c r="I46" s="422">
        <f>SUMIF('NFI Tracking'!AM$6:AM$1048576,Table10[[#This Row],[Pcode]],'NFI Tracking'!AI$6:AI$1048576)</f>
        <v>0</v>
      </c>
      <c r="J46" s="422">
        <f ca="1">MAX(Table10[[#This Row],[HH]]*VLOOKUP("Winter Clothes Adult",NFI,6)-Table10[[#This Row],[Winter Clothes Adult ]],0)</f>
        <v>356</v>
      </c>
      <c r="K46" s="422">
        <f ca="1">MAX(Table10[[#This Row],[HH]]*VLOOKUP("Winter Clothes Children ",NFI,6)-Table10[[#This Row],[Winter Clothes Children ]],0)</f>
        <v>178</v>
      </c>
      <c r="L46" s="422">
        <f ca="1">MAX(Table10[[#This Row],[HH]]*VLOOKUP("Winter Items Other ",NFI,6)-Table10[[#This Row],[Winter Items Other ]],0)</f>
        <v>178</v>
      </c>
      <c r="M46" s="469" t="str">
        <f>IF(OR(Table10[[#This Row],[Winter Clothes Adult ]]&lt;&gt;0,Table10[[#This Row],[Winter Clothes Children ]]&lt;&gt;0,Table10[[#This Row],[Winter Items Other ]]&lt;&gt;0),"No","")</f>
        <v/>
      </c>
      <c r="N46" s="470">
        <f>COUNTIF(A:A,Table10[[#This Row],[Pcode]])-1</f>
        <v>0</v>
      </c>
    </row>
    <row r="47" spans="1:14" x14ac:dyDescent="0.25">
      <c r="A47" s="381" t="s">
        <v>829</v>
      </c>
      <c r="B47" s="26" t="str">
        <f ca="1">OFFSET(CampList[Priority],MATCH(Table10[[#This Row],[Pcode]],CampList[CP_Pcode],0)-1,0,1,1)</f>
        <v>P3</v>
      </c>
      <c r="C47" s="26" t="str">
        <f ca="1">OFFSET(CampList[Camp],MATCH(Table10[[#This Row],[Pcode]],CampList[CP_Pcode],0)-1,0,1,1)</f>
        <v>Mandung - RC</v>
      </c>
      <c r="D47" s="26" t="str">
        <f ca="1">OFFSET(CampList[Township],MATCH(Table10[[#This Row],[Pcode]],CampList[CP_Pcode],0)-1,0,1,1)</f>
        <v>Manton</v>
      </c>
      <c r="E47" s="26">
        <f ca="1">OFFSET(CampList[HH],MATCH(Table10[[#This Row],[Pcode]],CampList[CP_Pcode],0)-1,0,1,1)</f>
        <v>31</v>
      </c>
      <c r="F47" s="26">
        <f ca="1">OFFSET(CampList[Total],MATCH(Table10[[#This Row],[Pcode]],CampList[CP_Pcode],0)-1,0,1,1)</f>
        <v>191</v>
      </c>
      <c r="G47" s="422">
        <f>SUMIF('NFI Tracking'!AM$6:AM$1048576,Table10[[#This Row],[Pcode]],'NFI Tracking'!AG$6:AG$1048576)</f>
        <v>0</v>
      </c>
      <c r="H47" s="422">
        <f>SUMIF('NFI Tracking'!AM$6:AM$1048576,Table10[[#This Row],[Pcode]],'NFI Tracking'!AH$6:AH$1048576)</f>
        <v>0</v>
      </c>
      <c r="I47" s="422">
        <f>SUMIF('NFI Tracking'!AM$6:AM$1048576,Table10[[#This Row],[Pcode]],'NFI Tracking'!AI$6:AI$1048576)</f>
        <v>0</v>
      </c>
      <c r="J47" s="422">
        <f ca="1">MAX(Table10[[#This Row],[HH]]*VLOOKUP("Winter Clothes Adult",NFI,6)-Table10[[#This Row],[Winter Clothes Adult ]],0)</f>
        <v>62</v>
      </c>
      <c r="K47" s="422">
        <f ca="1">MAX(Table10[[#This Row],[HH]]*VLOOKUP("Winter Clothes Children ",NFI,6)-Table10[[#This Row],[Winter Clothes Children ]],0)</f>
        <v>31</v>
      </c>
      <c r="L47" s="422">
        <f ca="1">MAX(Table10[[#This Row],[HH]]*VLOOKUP("Winter Items Other ",NFI,6)-Table10[[#This Row],[Winter Items Other ]],0)</f>
        <v>31</v>
      </c>
      <c r="M47" s="469" t="str">
        <f>IF(OR(Table10[[#This Row],[Winter Clothes Adult ]]&lt;&gt;0,Table10[[#This Row],[Winter Clothes Children ]]&lt;&gt;0,Table10[[#This Row],[Winter Items Other ]]&lt;&gt;0),"No","")</f>
        <v/>
      </c>
      <c r="N47" s="470">
        <f>COUNTIF(A:A,Table10[[#This Row],[Pcode]])-1</f>
        <v>0</v>
      </c>
    </row>
    <row r="48" spans="1:14" x14ac:dyDescent="0.25">
      <c r="A48" s="381" t="s">
        <v>168</v>
      </c>
      <c r="B48" s="26" t="str">
        <f ca="1">OFFSET(CampList[Priority],MATCH(Table10[[#This Row],[Pcode]],CampList[CP_Pcode],0)-1,0,1,1)</f>
        <v>P3</v>
      </c>
      <c r="C48" s="26" t="str">
        <f ca="1">OFFSET(CampList[Camp],MATCH(Table10[[#This Row],[Pcode]],CampList[CP_Pcode],0)-1,0,1,1)</f>
        <v>Howa</v>
      </c>
      <c r="D48" s="26" t="str">
        <f ca="1">OFFSET(CampList[Township],MATCH(Table10[[#This Row],[Pcode]],CampList[CP_Pcode],0)-1,0,1,1)</f>
        <v>Muse</v>
      </c>
      <c r="E48" s="26">
        <f ca="1">OFFSET(CampList[HH],MATCH(Table10[[#This Row],[Pcode]],CampList[CP_Pcode],0)-1,0,1,1)</f>
        <v>32</v>
      </c>
      <c r="F48" s="26">
        <f ca="1">OFFSET(CampList[Total],MATCH(Table10[[#This Row],[Pcode]],CampList[CP_Pcode],0)-1,0,1,1)</f>
        <v>0</v>
      </c>
      <c r="G48" s="422">
        <f>SUMIF('NFI Tracking'!AM$6:AM$1048576,Table10[[#This Row],[Pcode]],'NFI Tracking'!AG$6:AG$1048576)</f>
        <v>0</v>
      </c>
      <c r="H48" s="422">
        <f>SUMIF('NFI Tracking'!AM$6:AM$1048576,Table10[[#This Row],[Pcode]],'NFI Tracking'!AH$6:AH$1048576)</f>
        <v>0</v>
      </c>
      <c r="I48" s="422">
        <f>SUMIF('NFI Tracking'!AM$6:AM$1048576,Table10[[#This Row],[Pcode]],'NFI Tracking'!AI$6:AI$1048576)</f>
        <v>0</v>
      </c>
      <c r="J48" s="422">
        <f ca="1">MAX(Table10[[#This Row],[HH]]*VLOOKUP("Winter Clothes Adult",NFI,6)-Table10[[#This Row],[Winter Clothes Adult ]],0)</f>
        <v>64</v>
      </c>
      <c r="K48" s="422">
        <f ca="1">MAX(Table10[[#This Row],[HH]]*VLOOKUP("Winter Clothes Children ",NFI,6)-Table10[[#This Row],[Winter Clothes Children ]],0)</f>
        <v>32</v>
      </c>
      <c r="L48" s="422">
        <f ca="1">MAX(Table10[[#This Row],[HH]]*VLOOKUP("Winter Items Other ",NFI,6)-Table10[[#This Row],[Winter Items Other ]],0)</f>
        <v>32</v>
      </c>
      <c r="M48" s="469" t="str">
        <f>IF(OR(Table10[[#This Row],[Winter Clothes Adult ]]&lt;&gt;0,Table10[[#This Row],[Winter Clothes Children ]]&lt;&gt;0,Table10[[#This Row],[Winter Items Other ]]&lt;&gt;0),"No","")</f>
        <v/>
      </c>
      <c r="N48" s="470">
        <f>COUNTIF(A:A,Table10[[#This Row],[Pcode]])-1</f>
        <v>0</v>
      </c>
    </row>
    <row r="49" spans="1:14" x14ac:dyDescent="0.25">
      <c r="A49" s="381" t="s">
        <v>170</v>
      </c>
      <c r="B49" s="26" t="str">
        <f ca="1">OFFSET(CampList[Priority],MATCH(Table10[[#This Row],[Pcode]],CampList[CP_Pcode],0)-1,0,1,1)</f>
        <v>P3</v>
      </c>
      <c r="C49" s="26" t="str">
        <f ca="1">OFFSET(CampList[Camp],MATCH(Table10[[#This Row],[Pcode]],CampList[CP_Pcode],0)-1,0,1,1)</f>
        <v>Nam Hkyet</v>
      </c>
      <c r="D49" s="26" t="str">
        <f ca="1">OFFSET(CampList[Township],MATCH(Table10[[#This Row],[Pcode]],CampList[CP_Pcode],0)-1,0,1,1)</f>
        <v>Muse</v>
      </c>
      <c r="E49" s="26">
        <f ca="1">OFFSET(CampList[HH],MATCH(Table10[[#This Row],[Pcode]],CampList[CP_Pcode],0)-1,0,1,1)</f>
        <v>6</v>
      </c>
      <c r="F49" s="26">
        <f ca="1">OFFSET(CampList[Total],MATCH(Table10[[#This Row],[Pcode]],CampList[CP_Pcode],0)-1,0,1,1)</f>
        <v>0</v>
      </c>
      <c r="G49" s="422">
        <f>SUMIF('NFI Tracking'!AM$6:AM$1048576,Table10[[#This Row],[Pcode]],'NFI Tracking'!AG$6:AG$1048576)</f>
        <v>0</v>
      </c>
      <c r="H49" s="422">
        <f>SUMIF('NFI Tracking'!AM$6:AM$1048576,Table10[[#This Row],[Pcode]],'NFI Tracking'!AH$6:AH$1048576)</f>
        <v>0</v>
      </c>
      <c r="I49" s="422">
        <f>SUMIF('NFI Tracking'!AM$6:AM$1048576,Table10[[#This Row],[Pcode]],'NFI Tracking'!AI$6:AI$1048576)</f>
        <v>0</v>
      </c>
      <c r="J49" s="422">
        <f ca="1">MAX(Table10[[#This Row],[HH]]*VLOOKUP("Winter Clothes Adult",NFI,6)-Table10[[#This Row],[Winter Clothes Adult ]],0)</f>
        <v>12</v>
      </c>
      <c r="K49" s="422">
        <f ca="1">MAX(Table10[[#This Row],[HH]]*VLOOKUP("Winter Clothes Children ",NFI,6)-Table10[[#This Row],[Winter Clothes Children ]],0)</f>
        <v>6</v>
      </c>
      <c r="L49" s="422">
        <f ca="1">MAX(Table10[[#This Row],[HH]]*VLOOKUP("Winter Items Other ",NFI,6)-Table10[[#This Row],[Winter Items Other ]],0)</f>
        <v>6</v>
      </c>
      <c r="M49" s="469" t="str">
        <f>IF(OR(Table10[[#This Row],[Winter Clothes Adult ]]&lt;&gt;0,Table10[[#This Row],[Winter Clothes Children ]]&lt;&gt;0,Table10[[#This Row],[Winter Items Other ]]&lt;&gt;0),"No","")</f>
        <v/>
      </c>
      <c r="N49" s="470">
        <f>COUNTIF(A:A,Table10[[#This Row],[Pcode]])-1</f>
        <v>0</v>
      </c>
    </row>
    <row r="50" spans="1:14" x14ac:dyDescent="0.25">
      <c r="A50" s="381" t="s">
        <v>291</v>
      </c>
      <c r="B50" s="26" t="str">
        <f ca="1">OFFSET(CampList[Priority],MATCH(Table10[[#This Row],[Pcode]],CampList[CP_Pcode],0)-1,0,1,1)</f>
        <v>P3</v>
      </c>
      <c r="C50" s="26" t="str">
        <f ca="1">OFFSET(CampList[Camp],MATCH(Table10[[#This Row],[Pcode]],CampList[CP_Pcode],0)-1,0,1,1)</f>
        <v>Nam Hkam - Nay Win Ni (Palawng)</v>
      </c>
      <c r="D50" s="26" t="str">
        <f ca="1">OFFSET(CampList[Township],MATCH(Table10[[#This Row],[Pcode]],CampList[CP_Pcode],0)-1,0,1,1)</f>
        <v>Namhkan</v>
      </c>
      <c r="E50" s="26">
        <f ca="1">OFFSET(CampList[HH],MATCH(Table10[[#This Row],[Pcode]],CampList[CP_Pcode],0)-1,0,1,1)</f>
        <v>82</v>
      </c>
      <c r="F50" s="26">
        <f ca="1">OFFSET(CampList[Total],MATCH(Table10[[#This Row],[Pcode]],CampList[CP_Pcode],0)-1,0,1,1)</f>
        <v>408</v>
      </c>
      <c r="G50" s="422">
        <f>SUMIF('NFI Tracking'!AM$6:AM$1048576,Table10[[#This Row],[Pcode]],'NFI Tracking'!AG$6:AG$1048576)</f>
        <v>0</v>
      </c>
      <c r="H50" s="422">
        <f>SUMIF('NFI Tracking'!AM$6:AM$1048576,Table10[[#This Row],[Pcode]],'NFI Tracking'!AH$6:AH$1048576)</f>
        <v>0</v>
      </c>
      <c r="I50" s="422">
        <f>SUMIF('NFI Tracking'!AM$6:AM$1048576,Table10[[#This Row],[Pcode]],'NFI Tracking'!AI$6:AI$1048576)</f>
        <v>0</v>
      </c>
      <c r="J50" s="422">
        <f ca="1">MAX(Table10[[#This Row],[HH]]*VLOOKUP("Winter Clothes Adult",NFI,6)-Table10[[#This Row],[Winter Clothes Adult ]],0)</f>
        <v>164</v>
      </c>
      <c r="K50" s="422">
        <f ca="1">MAX(Table10[[#This Row],[HH]]*VLOOKUP("Winter Clothes Children ",NFI,6)-Table10[[#This Row],[Winter Clothes Children ]],0)</f>
        <v>82</v>
      </c>
      <c r="L50" s="422">
        <f ca="1">MAX(Table10[[#This Row],[HH]]*VLOOKUP("Winter Items Other ",NFI,6)-Table10[[#This Row],[Winter Items Other ]],0)</f>
        <v>82</v>
      </c>
      <c r="M50" s="469" t="str">
        <f>IF(OR(Table10[[#This Row],[Winter Clothes Adult ]]&lt;&gt;0,Table10[[#This Row],[Winter Clothes Children ]]&lt;&gt;0,Table10[[#This Row],[Winter Items Other ]]&lt;&gt;0),"No","")</f>
        <v/>
      </c>
      <c r="N50" s="470">
        <f>COUNTIF(A:A,Table10[[#This Row],[Pcode]])-1</f>
        <v>0</v>
      </c>
    </row>
    <row r="51" spans="1:14" x14ac:dyDescent="0.25">
      <c r="A51" s="381" t="s">
        <v>288</v>
      </c>
      <c r="B51" s="26" t="str">
        <f ca="1">OFFSET(CampList[Priority],MATCH(Table10[[#This Row],[Pcode]],CampList[CP_Pcode],0)-1,0,1,1)</f>
        <v>P3</v>
      </c>
      <c r="C51" s="26" t="str">
        <f ca="1">OFFSET(CampList[Camp],MATCH(Table10[[#This Row],[Pcode]],CampList[CP_Pcode],0)-1,0,1,1)</f>
        <v>Nam Hkam (KBC Jaw Wang)</v>
      </c>
      <c r="D51" s="26" t="str">
        <f ca="1">OFFSET(CampList[Township],MATCH(Table10[[#This Row],[Pcode]],CampList[CP_Pcode],0)-1,0,1,1)</f>
        <v>Namhkan</v>
      </c>
      <c r="E51" s="26">
        <f ca="1">OFFSET(CampList[HH],MATCH(Table10[[#This Row],[Pcode]],CampList[CP_Pcode],0)-1,0,1,1)</f>
        <v>68</v>
      </c>
      <c r="F51" s="26">
        <f ca="1">OFFSET(CampList[Total],MATCH(Table10[[#This Row],[Pcode]],CampList[CP_Pcode],0)-1,0,1,1)</f>
        <v>376</v>
      </c>
      <c r="G51" s="422">
        <f>SUMIF('NFI Tracking'!AM$6:AM$1048576,Table10[[#This Row],[Pcode]],'NFI Tracking'!AG$6:AG$1048576)</f>
        <v>0</v>
      </c>
      <c r="H51" s="422">
        <f>SUMIF('NFI Tracking'!AM$6:AM$1048576,Table10[[#This Row],[Pcode]],'NFI Tracking'!AH$6:AH$1048576)</f>
        <v>0</v>
      </c>
      <c r="I51" s="422">
        <f>SUMIF('NFI Tracking'!AM$6:AM$1048576,Table10[[#This Row],[Pcode]],'NFI Tracking'!AI$6:AI$1048576)</f>
        <v>0</v>
      </c>
      <c r="J51" s="422">
        <f ca="1">MAX(Table10[[#This Row],[HH]]*VLOOKUP("Winter Clothes Adult",NFI,6)-Table10[[#This Row],[Winter Clothes Adult ]],0)</f>
        <v>136</v>
      </c>
      <c r="K51" s="422">
        <f ca="1">MAX(Table10[[#This Row],[HH]]*VLOOKUP("Winter Clothes Children ",NFI,6)-Table10[[#This Row],[Winter Clothes Children ]],0)</f>
        <v>68</v>
      </c>
      <c r="L51" s="422">
        <f ca="1">MAX(Table10[[#This Row],[HH]]*VLOOKUP("Winter Items Other ",NFI,6)-Table10[[#This Row],[Winter Items Other ]],0)</f>
        <v>68</v>
      </c>
      <c r="M51" s="469" t="str">
        <f>IF(OR(Table10[[#This Row],[Winter Clothes Adult ]]&lt;&gt;0,Table10[[#This Row],[Winter Clothes Children ]]&lt;&gt;0,Table10[[#This Row],[Winter Items Other ]]&lt;&gt;0),"No","")</f>
        <v/>
      </c>
      <c r="N51" s="470">
        <f>COUNTIF(A:A,Table10[[#This Row],[Pcode]])-1</f>
        <v>0</v>
      </c>
    </row>
    <row r="52" spans="1:14" x14ac:dyDescent="0.25">
      <c r="A52" s="381" t="s">
        <v>295</v>
      </c>
      <c r="B52" s="26" t="str">
        <f ca="1">OFFSET(CampList[Priority],MATCH(Table10[[#This Row],[Pcode]],CampList[CP_Pcode],0)-1,0,1,1)</f>
        <v>P3</v>
      </c>
      <c r="C52" s="26" t="str">
        <f ca="1">OFFSET(CampList[Camp],MATCH(Table10[[#This Row],[Pcode]],CampList[CP_Pcode],0)-1,0,1,1)</f>
        <v>Nam Hkam Catholic Church ( St. Thomas I)</v>
      </c>
      <c r="D52" s="26" t="str">
        <f ca="1">OFFSET(CampList[Township],MATCH(Table10[[#This Row],[Pcode]],CampList[CP_Pcode],0)-1,0,1,1)</f>
        <v>Namhkan</v>
      </c>
      <c r="E52" s="26">
        <f ca="1">OFFSET(CampList[HH],MATCH(Table10[[#This Row],[Pcode]],CampList[CP_Pcode],0)-1,0,1,1)</f>
        <v>50</v>
      </c>
      <c r="F52" s="26">
        <f ca="1">OFFSET(CampList[Total],MATCH(Table10[[#This Row],[Pcode]],CampList[CP_Pcode],0)-1,0,1,1)</f>
        <v>218</v>
      </c>
      <c r="G52" s="422">
        <f>SUMIF('NFI Tracking'!AM$6:AM$1048576,Table10[[#This Row],[Pcode]],'NFI Tracking'!AG$6:AG$1048576)</f>
        <v>0</v>
      </c>
      <c r="H52" s="422">
        <f>SUMIF('NFI Tracking'!AM$6:AM$1048576,Table10[[#This Row],[Pcode]],'NFI Tracking'!AH$6:AH$1048576)</f>
        <v>0</v>
      </c>
      <c r="I52" s="422">
        <f>SUMIF('NFI Tracking'!AM$6:AM$1048576,Table10[[#This Row],[Pcode]],'NFI Tracking'!AI$6:AI$1048576)</f>
        <v>0</v>
      </c>
      <c r="J52" s="422">
        <f ca="1">MAX(Table10[[#This Row],[HH]]*VLOOKUP("Winter Clothes Adult",NFI,6)-Table10[[#This Row],[Winter Clothes Adult ]],0)</f>
        <v>100</v>
      </c>
      <c r="K52" s="422">
        <f ca="1">MAX(Table10[[#This Row],[HH]]*VLOOKUP("Winter Clothes Children ",NFI,6)-Table10[[#This Row],[Winter Clothes Children ]],0)</f>
        <v>50</v>
      </c>
      <c r="L52" s="422">
        <f ca="1">MAX(Table10[[#This Row],[HH]]*VLOOKUP("Winter Items Other ",NFI,6)-Table10[[#This Row],[Winter Items Other ]],0)</f>
        <v>50</v>
      </c>
      <c r="M52" s="469" t="str">
        <f>IF(OR(Table10[[#This Row],[Winter Clothes Adult ]]&lt;&gt;0,Table10[[#This Row],[Winter Clothes Children ]]&lt;&gt;0,Table10[[#This Row],[Winter Items Other ]]&lt;&gt;0),"No","")</f>
        <v/>
      </c>
      <c r="N52" s="470">
        <f>COUNTIF(A:A,Table10[[#This Row],[Pcode]])-1</f>
        <v>0</v>
      </c>
    </row>
    <row r="53" spans="1:14" x14ac:dyDescent="0.25">
      <c r="A53" s="381" t="s">
        <v>297</v>
      </c>
      <c r="B53" s="26" t="str">
        <f ca="1">OFFSET(CampList[Priority],MATCH(Table10[[#This Row],[Pcode]],CampList[CP_Pcode],0)-1,0,1,1)</f>
        <v>P3</v>
      </c>
      <c r="C53" s="26" t="str">
        <f ca="1">OFFSET(CampList[Camp],MATCH(Table10[[#This Row],[Pcode]],CampList[CP_Pcode],0)-1,0,1,1)</f>
        <v>Nam Tu Baptist</v>
      </c>
      <c r="D53" s="26" t="str">
        <f ca="1">OFFSET(CampList[Township],MATCH(Table10[[#This Row],[Pcode]],CampList[CP_Pcode],0)-1,0,1,1)</f>
        <v>Namtu</v>
      </c>
      <c r="E53" s="26">
        <f ca="1">OFFSET(CampList[HH],MATCH(Table10[[#This Row],[Pcode]],CampList[CP_Pcode],0)-1,0,1,1)</f>
        <v>10</v>
      </c>
      <c r="F53" s="26">
        <f ca="1">OFFSET(CampList[Total],MATCH(Table10[[#This Row],[Pcode]],CampList[CP_Pcode],0)-1,0,1,1)</f>
        <v>41</v>
      </c>
      <c r="G53" s="422">
        <f>SUMIF('NFI Tracking'!AM$6:AM$1048576,Table10[[#This Row],[Pcode]],'NFI Tracking'!AG$6:AG$1048576)</f>
        <v>0</v>
      </c>
      <c r="H53" s="422">
        <f>SUMIF('NFI Tracking'!AM$6:AM$1048576,Table10[[#This Row],[Pcode]],'NFI Tracking'!AH$6:AH$1048576)</f>
        <v>0</v>
      </c>
      <c r="I53" s="422">
        <f>SUMIF('NFI Tracking'!AM$6:AM$1048576,Table10[[#This Row],[Pcode]],'NFI Tracking'!AI$6:AI$1048576)</f>
        <v>0</v>
      </c>
      <c r="J53" s="422">
        <f ca="1">MAX(Table10[[#This Row],[HH]]*VLOOKUP("Winter Clothes Adult",NFI,6)-Table10[[#This Row],[Winter Clothes Adult ]],0)</f>
        <v>20</v>
      </c>
      <c r="K53" s="422">
        <f ca="1">MAX(Table10[[#This Row],[HH]]*VLOOKUP("Winter Clothes Children ",NFI,6)-Table10[[#This Row],[Winter Clothes Children ]],0)</f>
        <v>10</v>
      </c>
      <c r="L53" s="422">
        <f ca="1">MAX(Table10[[#This Row],[HH]]*VLOOKUP("Winter Items Other ",NFI,6)-Table10[[#This Row],[Winter Items Other ]],0)</f>
        <v>10</v>
      </c>
      <c r="M53" s="469" t="str">
        <f>IF(OR(Table10[[#This Row],[Winter Clothes Adult ]]&lt;&gt;0,Table10[[#This Row],[Winter Clothes Children ]]&lt;&gt;0,Table10[[#This Row],[Winter Items Other ]]&lt;&gt;0),"No","")</f>
        <v/>
      </c>
      <c r="N53" s="470">
        <f>COUNTIF(A:A,Table10[[#This Row],[Pcode]])-1</f>
        <v>0</v>
      </c>
    </row>
    <row r="54" spans="1:14" x14ac:dyDescent="0.25">
      <c r="A54" s="381" t="s">
        <v>830</v>
      </c>
      <c r="B54" s="26" t="str">
        <f ca="1">OFFSET(CampList[Priority],MATCH(Table10[[#This Row],[Pcode]],CampList[CP_Pcode],0)-1,0,1,1)</f>
        <v>P3</v>
      </c>
      <c r="C54" s="26" t="str">
        <f ca="1">OFFSET(CampList[Camp],MATCH(Table10[[#This Row],[Pcode]],CampList[CP_Pcode],0)-1,0,1,1)</f>
        <v>Nam Tu RC</v>
      </c>
      <c r="D54" s="26" t="str">
        <f ca="1">OFFSET(CampList[Township],MATCH(Table10[[#This Row],[Pcode]],CampList[CP_Pcode],0)-1,0,1,1)</f>
        <v>Namtu</v>
      </c>
      <c r="E54" s="26">
        <f ca="1">OFFSET(CampList[HH],MATCH(Table10[[#This Row],[Pcode]],CampList[CP_Pcode],0)-1,0,1,1)</f>
        <v>118</v>
      </c>
      <c r="F54" s="26">
        <f ca="1">OFFSET(CampList[Total],MATCH(Table10[[#This Row],[Pcode]],CampList[CP_Pcode],0)-1,0,1,1)</f>
        <v>520</v>
      </c>
      <c r="G54" s="422">
        <f>SUMIF('NFI Tracking'!AM$6:AM$1048576,Table10[[#This Row],[Pcode]],'NFI Tracking'!AG$6:AG$1048576)</f>
        <v>0</v>
      </c>
      <c r="H54" s="422">
        <f>SUMIF('NFI Tracking'!AM$6:AM$1048576,Table10[[#This Row],[Pcode]],'NFI Tracking'!AH$6:AH$1048576)</f>
        <v>0</v>
      </c>
      <c r="I54" s="422">
        <f>SUMIF('NFI Tracking'!AM$6:AM$1048576,Table10[[#This Row],[Pcode]],'NFI Tracking'!AI$6:AI$1048576)</f>
        <v>0</v>
      </c>
      <c r="J54" s="422">
        <f ca="1">MAX(Table10[[#This Row],[HH]]*VLOOKUP("Winter Clothes Adult",NFI,6)-Table10[[#This Row],[Winter Clothes Adult ]],0)</f>
        <v>236</v>
      </c>
      <c r="K54" s="422">
        <f ca="1">MAX(Table10[[#This Row],[HH]]*VLOOKUP("Winter Clothes Children ",NFI,6)-Table10[[#This Row],[Winter Clothes Children ]],0)</f>
        <v>118</v>
      </c>
      <c r="L54" s="422">
        <f ca="1">MAX(Table10[[#This Row],[HH]]*VLOOKUP("Winter Items Other ",NFI,6)-Table10[[#This Row],[Winter Items Other ]],0)</f>
        <v>118</v>
      </c>
      <c r="M54" s="469" t="str">
        <f>IF(OR(Table10[[#This Row],[Winter Clothes Adult ]]&lt;&gt;0,Table10[[#This Row],[Winter Clothes Children ]]&lt;&gt;0,Table10[[#This Row],[Winter Items Other ]]&lt;&gt;0),"No","")</f>
        <v/>
      </c>
      <c r="N54" s="470">
        <f>COUNTIF(A:A,Table10[[#This Row],[Pcode]])-1</f>
        <v>0</v>
      </c>
    </row>
    <row r="55" spans="1:14" x14ac:dyDescent="0.25">
      <c r="A55" s="381" t="s">
        <v>61</v>
      </c>
      <c r="B55" s="26" t="str">
        <f ca="1">OFFSET(CampList[Priority],MATCH(Table10[[#This Row],[Pcode]],CampList[CP_Pcode],0)-1,0,1,1)</f>
        <v>P4</v>
      </c>
      <c r="C55" s="26" t="str">
        <f ca="1">OFFSET(CampList[Camp],MATCH(Table10[[#This Row],[Pcode]],CampList[CP_Pcode],0)-1,0,1,1)</f>
        <v>5 Ward Baptist Church(lon Khin)</v>
      </c>
      <c r="D55" s="26" t="str">
        <f ca="1">OFFSET(CampList[Township],MATCH(Table10[[#This Row],[Pcode]],CampList[CP_Pcode],0)-1,0,1,1)</f>
        <v>Hpakant</v>
      </c>
      <c r="E55" s="422">
        <f ca="1">OFFSET(CampList[HH],MATCH(Table10[[#This Row],[Pcode]],CampList[CP_Pcode],0)-1,0,1,1)</f>
        <v>76</v>
      </c>
      <c r="F55" s="422">
        <f ca="1">OFFSET(CampList[Total],MATCH(Table10[[#This Row],[Pcode]],CampList[CP_Pcode],0)-1,0,1,1)</f>
        <v>344</v>
      </c>
      <c r="G55" s="422">
        <f>SUMIF('NFI Tracking'!AM$6:AM$1048576,Table10[[#This Row],[Pcode]],'NFI Tracking'!AG$6:AG$1048576)</f>
        <v>0</v>
      </c>
      <c r="H55" s="422">
        <f>SUMIF('NFI Tracking'!AM$6:AM$1048576,Table10[[#This Row],[Pcode]],'NFI Tracking'!AH$6:AH$1048576)</f>
        <v>0</v>
      </c>
      <c r="I55" s="422">
        <f>SUMIF('NFI Tracking'!AM$6:AM$1048576,Table10[[#This Row],[Pcode]],'NFI Tracking'!AI$6:AI$1048576)</f>
        <v>0</v>
      </c>
      <c r="J55" s="422">
        <f ca="1">MAX(Table10[[#This Row],[HH]]*VLOOKUP("Winter Clothes Adult",NFI,6)-Table10[[#This Row],[Winter Clothes Adult ]],0)</f>
        <v>152</v>
      </c>
      <c r="K55" s="422">
        <f ca="1">MAX(Table10[[#This Row],[HH]]*VLOOKUP("Winter Clothes Children ",NFI,6)-Table10[[#This Row],[Winter Clothes Children ]],0)</f>
        <v>76</v>
      </c>
      <c r="L55" s="422">
        <f ca="1">MAX(Table10[[#This Row],[HH]]*VLOOKUP("Winter Items Other ",NFI,6)-Table10[[#This Row],[Winter Items Other ]],0)</f>
        <v>76</v>
      </c>
      <c r="M55" s="469" t="str">
        <f>IF(OR(Table10[[#This Row],[Winter Clothes Adult ]]&lt;&gt;0,Table10[[#This Row],[Winter Clothes Children ]]&lt;&gt;0,Table10[[#This Row],[Winter Items Other ]]&lt;&gt;0),"No","")</f>
        <v/>
      </c>
      <c r="N55" s="470">
        <f>COUNTIF(A:A,Table10[[#This Row],[Pcode]])-1</f>
        <v>0</v>
      </c>
    </row>
    <row r="56" spans="1:14" x14ac:dyDescent="0.25">
      <c r="A56" s="381" t="s">
        <v>119</v>
      </c>
      <c r="B56" s="26" t="str">
        <f ca="1">OFFSET(CampList[Priority],MATCH(Table10[[#This Row],[Pcode]],CampList[CP_Pcode],0)-1,0,1,1)</f>
        <v>P4</v>
      </c>
      <c r="C56" s="26" t="str">
        <f ca="1">OFFSET(CampList[Camp],MATCH(Table10[[#This Row],[Pcode]],CampList[CP_Pcode],0)-1,0,1,1)</f>
        <v>5 Ward RC Church(lon Khin)</v>
      </c>
      <c r="D56" s="26" t="str">
        <f ca="1">OFFSET(CampList[Township],MATCH(Table10[[#This Row],[Pcode]],CampList[CP_Pcode],0)-1,0,1,1)</f>
        <v>Hpakant</v>
      </c>
      <c r="E56" s="422">
        <f ca="1">OFFSET(CampList[HH],MATCH(Table10[[#This Row],[Pcode]],CampList[CP_Pcode],0)-1,0,1,1)</f>
        <v>75</v>
      </c>
      <c r="F56" s="422">
        <f ca="1">OFFSET(CampList[Total],MATCH(Table10[[#This Row],[Pcode]],CampList[CP_Pcode],0)-1,0,1,1)</f>
        <v>404</v>
      </c>
      <c r="G56" s="422">
        <f>SUMIF('NFI Tracking'!AM$6:AM$1048576,Table10[[#This Row],[Pcode]],'NFI Tracking'!AG$6:AG$1048576)</f>
        <v>0</v>
      </c>
      <c r="H56" s="422">
        <f>SUMIF('NFI Tracking'!AM$6:AM$1048576,Table10[[#This Row],[Pcode]],'NFI Tracking'!AH$6:AH$1048576)</f>
        <v>0</v>
      </c>
      <c r="I56" s="422">
        <f>SUMIF('NFI Tracking'!AM$6:AM$1048576,Table10[[#This Row],[Pcode]],'NFI Tracking'!AI$6:AI$1048576)</f>
        <v>0</v>
      </c>
      <c r="J56" s="422">
        <f ca="1">MAX(Table10[[#This Row],[HH]]*VLOOKUP("Winter Clothes Adult",NFI,6)-Table10[[#This Row],[Winter Clothes Adult ]],0)</f>
        <v>150</v>
      </c>
      <c r="K56" s="422">
        <f ca="1">MAX(Table10[[#This Row],[HH]]*VLOOKUP("Winter Clothes Children ",NFI,6)-Table10[[#This Row],[Winter Clothes Children ]],0)</f>
        <v>75</v>
      </c>
      <c r="L56" s="422">
        <f ca="1">MAX(Table10[[#This Row],[HH]]*VLOOKUP("Winter Items Other ",NFI,6)-Table10[[#This Row],[Winter Items Other ]],0)</f>
        <v>75</v>
      </c>
      <c r="M56" s="469" t="str">
        <f>IF(OR(Table10[[#This Row],[Winter Clothes Adult ]]&lt;&gt;0,Table10[[#This Row],[Winter Clothes Children ]]&lt;&gt;0,Table10[[#This Row],[Winter Items Other ]]&lt;&gt;0),"No","")</f>
        <v/>
      </c>
      <c r="N56" s="470">
        <f>COUNTIF(A:A,Table10[[#This Row],[Pcode]])-1</f>
        <v>0</v>
      </c>
    </row>
    <row r="57" spans="1:14" x14ac:dyDescent="0.25">
      <c r="A57" s="381" t="s">
        <v>4</v>
      </c>
      <c r="B57" s="26" t="str">
        <f ca="1">OFFSET(CampList[Priority],MATCH(Table10[[#This Row],[Pcode]],CampList[CP_Pcode],0)-1,0,1,1)</f>
        <v>P4</v>
      </c>
      <c r="C57" s="26" t="str">
        <f ca="1">OFFSET(CampList[Camp],MATCH(Table10[[#This Row],[Pcode]],CampList[CP_Pcode],0)-1,0,1,1)</f>
        <v>AD-2000 Tharthana Compound</v>
      </c>
      <c r="D57" s="26" t="str">
        <f ca="1">OFFSET(CampList[Township],MATCH(Table10[[#This Row],[Pcode]],CampList[CP_Pcode],0)-1,0,1,1)</f>
        <v>Bhamo</v>
      </c>
      <c r="E57" s="422">
        <f ca="1">OFFSET(CampList[HH],MATCH(Table10[[#This Row],[Pcode]],CampList[CP_Pcode],0)-1,0,1,1)</f>
        <v>301</v>
      </c>
      <c r="F57" s="422">
        <f ca="1">OFFSET(CampList[Total],MATCH(Table10[[#This Row],[Pcode]],CampList[CP_Pcode],0)-1,0,1,1)</f>
        <v>1404</v>
      </c>
      <c r="G57" s="422">
        <f>SUMIF('NFI Tracking'!AM$6:AM$1048576,Table10[[#This Row],[Pcode]],'NFI Tracking'!AG$6:AG$1048576)</f>
        <v>0</v>
      </c>
      <c r="H57" s="422">
        <f>SUMIF('NFI Tracking'!AM$6:AM$1048576,Table10[[#This Row],[Pcode]],'NFI Tracking'!AH$6:AH$1048576)</f>
        <v>0</v>
      </c>
      <c r="I57" s="422">
        <f>SUMIF('NFI Tracking'!AM$6:AM$1048576,Table10[[#This Row],[Pcode]],'NFI Tracking'!AI$6:AI$1048576)</f>
        <v>0</v>
      </c>
      <c r="J57" s="422">
        <f ca="1">MAX(Table10[[#This Row],[HH]]*VLOOKUP("Winter Clothes Adult",NFI,6)-Table10[[#This Row],[Winter Clothes Adult ]],0)</f>
        <v>602</v>
      </c>
      <c r="K57" s="422">
        <f ca="1">MAX(Table10[[#This Row],[HH]]*VLOOKUP("Winter Clothes Children ",NFI,6)-Table10[[#This Row],[Winter Clothes Children ]],0)</f>
        <v>301</v>
      </c>
      <c r="L57" s="422">
        <f ca="1">MAX(Table10[[#This Row],[HH]]*VLOOKUP("Winter Items Other ",NFI,6)-Table10[[#This Row],[Winter Items Other ]],0)</f>
        <v>301</v>
      </c>
      <c r="M57" s="469" t="str">
        <f>IF(OR(Table10[[#This Row],[Winter Clothes Adult ]]&lt;&gt;0,Table10[[#This Row],[Winter Clothes Children ]]&lt;&gt;0,Table10[[#This Row],[Winter Items Other ]]&lt;&gt;0),"No","")</f>
        <v/>
      </c>
      <c r="N57" s="470">
        <f>COUNTIF(A:A,Table10[[#This Row],[Pcode]])-1</f>
        <v>0</v>
      </c>
    </row>
    <row r="58" spans="1:14" x14ac:dyDescent="0.25">
      <c r="A58" s="381" t="s">
        <v>40</v>
      </c>
      <c r="B58" s="26" t="str">
        <f ca="1">OFFSET(CampList[Priority],MATCH(Table10[[#This Row],[Pcode]],CampList[CP_Pcode],0)-1,0,1,1)</f>
        <v>P4</v>
      </c>
      <c r="C58" s="26" t="str">
        <f ca="1">OFFSET(CampList[Camp],MATCH(Table10[[#This Row],[Pcode]],CampList[CP_Pcode],0)-1,0,1,1)</f>
        <v>AG Church, Hmaw Si Sa</v>
      </c>
      <c r="D58" s="26" t="str">
        <f ca="1">OFFSET(CampList[Township],MATCH(Table10[[#This Row],[Pcode]],CampList[CP_Pcode],0)-1,0,1,1)</f>
        <v>Hpakant</v>
      </c>
      <c r="E58" s="422">
        <f ca="1">OFFSET(CampList[HH],MATCH(Table10[[#This Row],[Pcode]],CampList[CP_Pcode],0)-1,0,1,1)</f>
        <v>67</v>
      </c>
      <c r="F58" s="422">
        <f ca="1">OFFSET(CampList[Total],MATCH(Table10[[#This Row],[Pcode]],CampList[CP_Pcode],0)-1,0,1,1)</f>
        <v>350</v>
      </c>
      <c r="G58" s="422">
        <f>SUMIF('NFI Tracking'!AM$6:AM$1048576,Table10[[#This Row],[Pcode]],'NFI Tracking'!AG$6:AG$1048576)</f>
        <v>0</v>
      </c>
      <c r="H58" s="422">
        <f>SUMIF('NFI Tracking'!AM$6:AM$1048576,Table10[[#This Row],[Pcode]],'NFI Tracking'!AH$6:AH$1048576)</f>
        <v>0</v>
      </c>
      <c r="I58" s="422">
        <f>SUMIF('NFI Tracking'!AM$6:AM$1048576,Table10[[#This Row],[Pcode]],'NFI Tracking'!AI$6:AI$1048576)</f>
        <v>0</v>
      </c>
      <c r="J58" s="422">
        <f ca="1">MAX(Table10[[#This Row],[HH]]*VLOOKUP("Winter Clothes Adult",NFI,6)-Table10[[#This Row],[Winter Clothes Adult ]],0)</f>
        <v>134</v>
      </c>
      <c r="K58" s="422">
        <f ca="1">MAX(Table10[[#This Row],[HH]]*VLOOKUP("Winter Clothes Children ",NFI,6)-Table10[[#This Row],[Winter Clothes Children ]],0)</f>
        <v>67</v>
      </c>
      <c r="L58" s="422">
        <f ca="1">MAX(Table10[[#This Row],[HH]]*VLOOKUP("Winter Items Other ",NFI,6)-Table10[[#This Row],[Winter Items Other ]],0)</f>
        <v>67</v>
      </c>
      <c r="M58" s="469" t="str">
        <f>IF(OR(Table10[[#This Row],[Winter Clothes Adult ]]&lt;&gt;0,Table10[[#This Row],[Winter Clothes Children ]]&lt;&gt;0,Table10[[#This Row],[Winter Items Other ]]&lt;&gt;0),"No","")</f>
        <v/>
      </c>
      <c r="N58" s="470">
        <f>COUNTIF(A:A,Table10[[#This Row],[Pcode]])-1</f>
        <v>0</v>
      </c>
    </row>
    <row r="59" spans="1:14" x14ac:dyDescent="0.25">
      <c r="A59" s="381" t="s">
        <v>42</v>
      </c>
      <c r="B59" s="26" t="str">
        <f ca="1">OFFSET(CampList[Priority],MATCH(Table10[[#This Row],[Pcode]],CampList[CP_Pcode],0)-1,0,1,1)</f>
        <v>P4</v>
      </c>
      <c r="C59" s="26" t="str">
        <f ca="1">OFFSET(CampList[Camp],MATCH(Table10[[#This Row],[Pcode]],CampList[CP_Pcode],0)-1,0,1,1)</f>
        <v>AG Church, Maw Wan</v>
      </c>
      <c r="D59" s="26" t="str">
        <f ca="1">OFFSET(CampList[Township],MATCH(Table10[[#This Row],[Pcode]],CampList[CP_Pcode],0)-1,0,1,1)</f>
        <v>Hpakant</v>
      </c>
      <c r="E59" s="422">
        <f ca="1">OFFSET(CampList[HH],MATCH(Table10[[#This Row],[Pcode]],CampList[CP_Pcode],0)-1,0,1,1)</f>
        <v>14</v>
      </c>
      <c r="F59" s="422">
        <f ca="1">OFFSET(CampList[Total],MATCH(Table10[[#This Row],[Pcode]],CampList[CP_Pcode],0)-1,0,1,1)</f>
        <v>83</v>
      </c>
      <c r="G59" s="422">
        <f>SUMIF('NFI Tracking'!AM$6:AM$1048576,Table10[[#This Row],[Pcode]],'NFI Tracking'!AG$6:AG$1048576)</f>
        <v>0</v>
      </c>
      <c r="H59" s="422">
        <f>SUMIF('NFI Tracking'!AM$6:AM$1048576,Table10[[#This Row],[Pcode]],'NFI Tracking'!AH$6:AH$1048576)</f>
        <v>0</v>
      </c>
      <c r="I59" s="422">
        <f>SUMIF('NFI Tracking'!AM$6:AM$1048576,Table10[[#This Row],[Pcode]],'NFI Tracking'!AI$6:AI$1048576)</f>
        <v>0</v>
      </c>
      <c r="J59" s="422">
        <f ca="1">MAX(Table10[[#This Row],[HH]]*VLOOKUP("Winter Clothes Adult",NFI,6)-Table10[[#This Row],[Winter Clothes Adult ]],0)</f>
        <v>28</v>
      </c>
      <c r="K59" s="422">
        <f ca="1">MAX(Table10[[#This Row],[HH]]*VLOOKUP("Winter Clothes Children ",NFI,6)-Table10[[#This Row],[Winter Clothes Children ]],0)</f>
        <v>14</v>
      </c>
      <c r="L59" s="422">
        <f ca="1">MAX(Table10[[#This Row],[HH]]*VLOOKUP("Winter Items Other ",NFI,6)-Table10[[#This Row],[Winter Items Other ]],0)</f>
        <v>14</v>
      </c>
      <c r="M59" s="469" t="str">
        <f>IF(OR(Table10[[#This Row],[Winter Clothes Adult ]]&lt;&gt;0,Table10[[#This Row],[Winter Clothes Children ]]&lt;&gt;0,Table10[[#This Row],[Winter Items Other ]]&lt;&gt;0),"No","")</f>
        <v/>
      </c>
      <c r="N59" s="470">
        <f>COUNTIF(A:A,Table10[[#This Row],[Pcode]])-1</f>
        <v>0</v>
      </c>
    </row>
    <row r="60" spans="1:14" x14ac:dyDescent="0.25">
      <c r="A60" s="381" t="s">
        <v>377</v>
      </c>
      <c r="B60" s="26" t="str">
        <f ca="1">OFFSET(CampList[Priority],MATCH(Table10[[#This Row],[Pcode]],CampList[CP_Pcode],0)-1,0,1,1)</f>
        <v>P4</v>
      </c>
      <c r="C60" s="26" t="str">
        <f ca="1">OFFSET(CampList[Camp],MATCH(Table10[[#This Row],[Pcode]],CampList[CP_Pcode],0)-1,0,1,1)</f>
        <v>Aung Thar Church</v>
      </c>
      <c r="D60" s="26" t="str">
        <f ca="1">OFFSET(CampList[Township],MATCH(Table10[[#This Row],[Pcode]],CampList[CP_Pcode],0)-1,0,1,1)</f>
        <v>Bhamo</v>
      </c>
      <c r="E60" s="422">
        <f ca="1">OFFSET(CampList[HH],MATCH(Table10[[#This Row],[Pcode]],CampList[CP_Pcode],0)-1,0,1,1)</f>
        <v>12</v>
      </c>
      <c r="F60" s="422">
        <f ca="1">OFFSET(CampList[Total],MATCH(Table10[[#This Row],[Pcode]],CampList[CP_Pcode],0)-1,0,1,1)</f>
        <v>51</v>
      </c>
      <c r="G60" s="422">
        <f>SUMIF('NFI Tracking'!AM$6:AM$1048576,Table10[[#This Row],[Pcode]],'NFI Tracking'!AG$6:AG$1048576)</f>
        <v>0</v>
      </c>
      <c r="H60" s="422">
        <f>SUMIF('NFI Tracking'!AM$6:AM$1048576,Table10[[#This Row],[Pcode]],'NFI Tracking'!AH$6:AH$1048576)</f>
        <v>0</v>
      </c>
      <c r="I60" s="422">
        <f>SUMIF('NFI Tracking'!AM$6:AM$1048576,Table10[[#This Row],[Pcode]],'NFI Tracking'!AI$6:AI$1048576)</f>
        <v>0</v>
      </c>
      <c r="J60" s="422">
        <f ca="1">MAX(Table10[[#This Row],[HH]]*VLOOKUP("Winter Clothes Adult",NFI,6)-Table10[[#This Row],[Winter Clothes Adult ]],0)</f>
        <v>24</v>
      </c>
      <c r="K60" s="422">
        <f ca="1">MAX(Table10[[#This Row],[HH]]*VLOOKUP("Winter Clothes Children ",NFI,6)-Table10[[#This Row],[Winter Clothes Children ]],0)</f>
        <v>12</v>
      </c>
      <c r="L60" s="422">
        <f ca="1">MAX(Table10[[#This Row],[HH]]*VLOOKUP("Winter Items Other ",NFI,6)-Table10[[#This Row],[Winter Items Other ]],0)</f>
        <v>12</v>
      </c>
      <c r="M60" s="469" t="str">
        <f>IF(OR(Table10[[#This Row],[Winter Clothes Adult ]]&lt;&gt;0,Table10[[#This Row],[Winter Clothes Children ]]&lt;&gt;0,Table10[[#This Row],[Winter Items Other ]]&lt;&gt;0),"No","")</f>
        <v/>
      </c>
      <c r="N60" s="470">
        <f>COUNTIF(A:A,Table10[[#This Row],[Pcode]])-1</f>
        <v>0</v>
      </c>
    </row>
    <row r="61" spans="1:14" x14ac:dyDescent="0.25">
      <c r="A61" s="381" t="s">
        <v>887</v>
      </c>
      <c r="B61" s="26" t="str">
        <f ca="1">OFFSET(CampList[Priority],MATCH(Table10[[#This Row],[Pcode]],CampList[CP_Pcode],0)-1,0,1,1)</f>
        <v>P4</v>
      </c>
      <c r="C61" s="26" t="str">
        <f ca="1">OFFSET(CampList[Camp],MATCH(Table10[[#This Row],[Pcode]],CampList[CP_Pcode],0)-1,0,1,1)</f>
        <v>Ban Hkung Yang</v>
      </c>
      <c r="D61" s="26" t="str">
        <f ca="1">OFFSET(CampList[Township],MATCH(Table10[[#This Row],[Pcode]],CampList[CP_Pcode],0)-1,0,1,1)</f>
        <v>Mansi</v>
      </c>
      <c r="E61" s="422">
        <f ca="1">OFFSET(CampList[HH],MATCH(Table10[[#This Row],[Pcode]],CampList[CP_Pcode],0)-1,0,1,1)</f>
        <v>0</v>
      </c>
      <c r="F61" s="422">
        <f ca="1">OFFSET(CampList[Total],MATCH(Table10[[#This Row],[Pcode]],CampList[CP_Pcode],0)-1,0,1,1)</f>
        <v>0</v>
      </c>
      <c r="G61" s="422">
        <f>SUMIF('NFI Tracking'!AM$6:AM$1048576,Table10[[#This Row],[Pcode]],'NFI Tracking'!AG$6:AG$1048576)</f>
        <v>0</v>
      </c>
      <c r="H61" s="422">
        <f>SUMIF('NFI Tracking'!AM$6:AM$1048576,Table10[[#This Row],[Pcode]],'NFI Tracking'!AH$6:AH$1048576)</f>
        <v>0</v>
      </c>
      <c r="I61" s="422">
        <f>SUMIF('NFI Tracking'!AM$6:AM$1048576,Table10[[#This Row],[Pcode]],'NFI Tracking'!AI$6:AI$1048576)</f>
        <v>0</v>
      </c>
      <c r="J61" s="422">
        <f ca="1">MAX(Table10[[#This Row],[HH]]*VLOOKUP("Winter Clothes Adult",NFI,6)-Table10[[#This Row],[Winter Clothes Adult ]],0)</f>
        <v>0</v>
      </c>
      <c r="K61" s="422">
        <f ca="1">MAX(Table10[[#This Row],[HH]]*VLOOKUP("Winter Clothes Children ",NFI,6)-Table10[[#This Row],[Winter Clothes Children ]],0)</f>
        <v>0</v>
      </c>
      <c r="L61" s="422">
        <f ca="1">MAX(Table10[[#This Row],[HH]]*VLOOKUP("Winter Items Other ",NFI,6)-Table10[[#This Row],[Winter Items Other ]],0)</f>
        <v>0</v>
      </c>
      <c r="M61" s="469" t="str">
        <f>IF(OR(Table10[[#This Row],[Winter Clothes Adult ]]&lt;&gt;0,Table10[[#This Row],[Winter Clothes Children ]]&lt;&gt;0,Table10[[#This Row],[Winter Items Other ]]&lt;&gt;0),"No","")</f>
        <v/>
      </c>
      <c r="N61" s="470">
        <f>COUNTIF(A:A,Table10[[#This Row],[Pcode]])-1</f>
        <v>0</v>
      </c>
    </row>
    <row r="62" spans="1:14" x14ac:dyDescent="0.25">
      <c r="A62" s="381" t="s">
        <v>51</v>
      </c>
      <c r="B62" s="26" t="str">
        <f ca="1">OFFSET(CampList[Priority],MATCH(Table10[[#This Row],[Pcode]],CampList[CP_Pcode],0)-1,0,1,1)</f>
        <v>P4</v>
      </c>
      <c r="C62" s="26" t="str">
        <f ca="1">OFFSET(CampList[Camp],MATCH(Table10[[#This Row],[Pcode]],CampList[CP_Pcode],0)-1,0,1,1)</f>
        <v>Baptist Church, Hmaw Si Sar(Lon Khin)</v>
      </c>
      <c r="D62" s="26" t="str">
        <f ca="1">OFFSET(CampList[Township],MATCH(Table10[[#This Row],[Pcode]],CampList[CP_Pcode],0)-1,0,1,1)</f>
        <v>Hpakant</v>
      </c>
      <c r="E62" s="422">
        <f ca="1">OFFSET(CampList[HH],MATCH(Table10[[#This Row],[Pcode]],CampList[CP_Pcode],0)-1,0,1,1)</f>
        <v>35</v>
      </c>
      <c r="F62" s="422">
        <f ca="1">OFFSET(CampList[Total],MATCH(Table10[[#This Row],[Pcode]],CampList[CP_Pcode],0)-1,0,1,1)</f>
        <v>214</v>
      </c>
      <c r="G62" s="422">
        <f>SUMIF('NFI Tracking'!AM$6:AM$1048576,Table10[[#This Row],[Pcode]],'NFI Tracking'!AG$6:AG$1048576)</f>
        <v>0</v>
      </c>
      <c r="H62" s="422">
        <f>SUMIF('NFI Tracking'!AM$6:AM$1048576,Table10[[#This Row],[Pcode]],'NFI Tracking'!AH$6:AH$1048576)</f>
        <v>0</v>
      </c>
      <c r="I62" s="422">
        <f>SUMIF('NFI Tracking'!AM$6:AM$1048576,Table10[[#This Row],[Pcode]],'NFI Tracking'!AI$6:AI$1048576)</f>
        <v>0</v>
      </c>
      <c r="J62" s="422">
        <f ca="1">MAX(Table10[[#This Row],[HH]]*VLOOKUP("Winter Clothes Adult",NFI,6)-Table10[[#This Row],[Winter Clothes Adult ]],0)</f>
        <v>70</v>
      </c>
      <c r="K62" s="422">
        <f ca="1">MAX(Table10[[#This Row],[HH]]*VLOOKUP("Winter Clothes Children ",NFI,6)-Table10[[#This Row],[Winter Clothes Children ]],0)</f>
        <v>35</v>
      </c>
      <c r="L62" s="422">
        <f ca="1">MAX(Table10[[#This Row],[HH]]*VLOOKUP("Winter Items Other ",NFI,6)-Table10[[#This Row],[Winter Items Other ]],0)</f>
        <v>35</v>
      </c>
      <c r="M62" s="469" t="str">
        <f>IF(OR(Table10[[#This Row],[Winter Clothes Adult ]]&lt;&gt;0,Table10[[#This Row],[Winter Clothes Children ]]&lt;&gt;0,Table10[[#This Row],[Winter Items Other ]]&lt;&gt;0),"No","")</f>
        <v/>
      </c>
      <c r="N62" s="470">
        <f>COUNTIF(A:A,Table10[[#This Row],[Pcode]])-1</f>
        <v>0</v>
      </c>
    </row>
    <row r="63" spans="1:14" x14ac:dyDescent="0.25">
      <c r="A63" s="381" t="s">
        <v>57</v>
      </c>
      <c r="B63" s="26" t="str">
        <f ca="1">OFFSET(CampList[Priority],MATCH(Table10[[#This Row],[Pcode]],CampList[CP_Pcode],0)-1,0,1,1)</f>
        <v>P4</v>
      </c>
      <c r="C63" s="26" t="str">
        <f ca="1">OFFSET(CampList[Camp],MATCH(Table10[[#This Row],[Pcode]],CampList[CP_Pcode],0)-1,0,1,1)</f>
        <v>Baptist Church, Naung Hmee VT</v>
      </c>
      <c r="D63" s="26" t="str">
        <f ca="1">OFFSET(CampList[Township],MATCH(Table10[[#This Row],[Pcode]],CampList[CP_Pcode],0)-1,0,1,1)</f>
        <v>Hpakant</v>
      </c>
      <c r="E63" s="422">
        <f ca="1">OFFSET(CampList[HH],MATCH(Table10[[#This Row],[Pcode]],CampList[CP_Pcode],0)-1,0,1,1)</f>
        <v>0</v>
      </c>
      <c r="F63" s="422">
        <f ca="1">OFFSET(CampList[Total],MATCH(Table10[[#This Row],[Pcode]],CampList[CP_Pcode],0)-1,0,1,1)</f>
        <v>0</v>
      </c>
      <c r="G63" s="422">
        <f>SUMIF('NFI Tracking'!AM$6:AM$1048576,Table10[[#This Row],[Pcode]],'NFI Tracking'!AG$6:AG$1048576)</f>
        <v>0</v>
      </c>
      <c r="H63" s="422">
        <f>SUMIF('NFI Tracking'!AM$6:AM$1048576,Table10[[#This Row],[Pcode]],'NFI Tracking'!AH$6:AH$1048576)</f>
        <v>0</v>
      </c>
      <c r="I63" s="422">
        <f>SUMIF('NFI Tracking'!AM$6:AM$1048576,Table10[[#This Row],[Pcode]],'NFI Tracking'!AI$6:AI$1048576)</f>
        <v>0</v>
      </c>
      <c r="J63" s="422">
        <f ca="1">MAX(Table10[[#This Row],[HH]]*VLOOKUP("Winter Clothes Adult",NFI,6)-Table10[[#This Row],[Winter Clothes Adult ]],0)</f>
        <v>0</v>
      </c>
      <c r="K63" s="422">
        <f ca="1">MAX(Table10[[#This Row],[HH]]*VLOOKUP("Winter Clothes Children ",NFI,6)-Table10[[#This Row],[Winter Clothes Children ]],0)</f>
        <v>0</v>
      </c>
      <c r="L63" s="422">
        <f ca="1">MAX(Table10[[#This Row],[HH]]*VLOOKUP("Winter Items Other ",NFI,6)-Table10[[#This Row],[Winter Items Other ]],0)</f>
        <v>0</v>
      </c>
      <c r="M63" s="469" t="str">
        <f>IF(OR(Table10[[#This Row],[Winter Clothes Adult ]]&lt;&gt;0,Table10[[#This Row],[Winter Clothes Children ]]&lt;&gt;0,Table10[[#This Row],[Winter Items Other ]]&lt;&gt;0),"No","")</f>
        <v/>
      </c>
      <c r="N63" s="470">
        <f>COUNTIF(A:A,Table10[[#This Row],[Pcode]])-1</f>
        <v>0</v>
      </c>
    </row>
    <row r="64" spans="1:14" x14ac:dyDescent="0.25">
      <c r="A64" s="381" t="s">
        <v>71</v>
      </c>
      <c r="B64" s="26" t="str">
        <f ca="1">OFFSET(CampList[Priority],MATCH(Table10[[#This Row],[Pcode]],CampList[CP_Pcode],0)-1,0,1,1)</f>
        <v>P4</v>
      </c>
      <c r="C64" s="26" t="str">
        <f ca="1">OFFSET(CampList[Camp],MATCH(Table10[[#This Row],[Pcode]],CampList[CP_Pcode],0)-1,0,1,1)</f>
        <v>Chin Church, Seik Mu</v>
      </c>
      <c r="D64" s="26" t="str">
        <f ca="1">OFFSET(CampList[Township],MATCH(Table10[[#This Row],[Pcode]],CampList[CP_Pcode],0)-1,0,1,1)</f>
        <v>Hpakant</v>
      </c>
      <c r="E64" s="422">
        <f ca="1">OFFSET(CampList[HH],MATCH(Table10[[#This Row],[Pcode]],CampList[CP_Pcode],0)-1,0,1,1)</f>
        <v>6</v>
      </c>
      <c r="F64" s="422">
        <f ca="1">OFFSET(CampList[Total],MATCH(Table10[[#This Row],[Pcode]],CampList[CP_Pcode],0)-1,0,1,1)</f>
        <v>30</v>
      </c>
      <c r="G64" s="422">
        <f>SUMIF('NFI Tracking'!AM$6:AM$1048576,Table10[[#This Row],[Pcode]],'NFI Tracking'!AG$6:AG$1048576)</f>
        <v>0</v>
      </c>
      <c r="H64" s="422">
        <f>SUMIF('NFI Tracking'!AM$6:AM$1048576,Table10[[#This Row],[Pcode]],'NFI Tracking'!AH$6:AH$1048576)</f>
        <v>0</v>
      </c>
      <c r="I64" s="422">
        <f>SUMIF('NFI Tracking'!AM$6:AM$1048576,Table10[[#This Row],[Pcode]],'NFI Tracking'!AI$6:AI$1048576)</f>
        <v>0</v>
      </c>
      <c r="J64" s="422">
        <f ca="1">MAX(Table10[[#This Row],[HH]]*VLOOKUP("Winter Clothes Adult",NFI,6)-Table10[[#This Row],[Winter Clothes Adult ]],0)</f>
        <v>12</v>
      </c>
      <c r="K64" s="422">
        <f ca="1">MAX(Table10[[#This Row],[HH]]*VLOOKUP("Winter Clothes Children ",NFI,6)-Table10[[#This Row],[Winter Clothes Children ]],0)</f>
        <v>6</v>
      </c>
      <c r="L64" s="422">
        <f ca="1">MAX(Table10[[#This Row],[HH]]*VLOOKUP("Winter Items Other ",NFI,6)-Table10[[#This Row],[Winter Items Other ]],0)</f>
        <v>6</v>
      </c>
      <c r="M64" s="469" t="str">
        <f>IF(OR(Table10[[#This Row],[Winter Clothes Adult ]]&lt;&gt;0,Table10[[#This Row],[Winter Clothes Children ]]&lt;&gt;0,Table10[[#This Row],[Winter Items Other ]]&lt;&gt;0),"No","")</f>
        <v/>
      </c>
      <c r="N64" s="470">
        <f>COUNTIF(A:A,Table10[[#This Row],[Pcode]])-1</f>
        <v>0</v>
      </c>
    </row>
    <row r="65" spans="1:14" x14ac:dyDescent="0.25">
      <c r="A65" s="381" t="s">
        <v>75</v>
      </c>
      <c r="B65" s="26" t="str">
        <f ca="1">OFFSET(CampList[Priority],MATCH(Table10[[#This Row],[Pcode]],CampList[CP_Pcode],0)-1,0,1,1)</f>
        <v>P4</v>
      </c>
      <c r="C65" s="26" t="str">
        <f ca="1">OFFSET(CampList[Camp],MATCH(Table10[[#This Row],[Pcode]],CampList[CP_Pcode],0)-1,0,1,1)</f>
        <v>Dhama Rakhita, Nyein Chan Tar Yar Ward(Lon Khin)</v>
      </c>
      <c r="D65" s="26" t="str">
        <f ca="1">OFFSET(CampList[Township],MATCH(Table10[[#This Row],[Pcode]],CampList[CP_Pcode],0)-1,0,1,1)</f>
        <v>Hpakant</v>
      </c>
      <c r="E65" s="422">
        <f ca="1">OFFSET(CampList[HH],MATCH(Table10[[#This Row],[Pcode]],CampList[CP_Pcode],0)-1,0,1,1)</f>
        <v>65</v>
      </c>
      <c r="F65" s="422">
        <f ca="1">OFFSET(CampList[Total],MATCH(Table10[[#This Row],[Pcode]],CampList[CP_Pcode],0)-1,0,1,1)</f>
        <v>347</v>
      </c>
      <c r="G65" s="422">
        <f>SUMIF('NFI Tracking'!AM$6:AM$1048576,Table10[[#This Row],[Pcode]],'NFI Tracking'!AG$6:AG$1048576)</f>
        <v>0</v>
      </c>
      <c r="H65" s="422">
        <f>SUMIF('NFI Tracking'!AM$6:AM$1048576,Table10[[#This Row],[Pcode]],'NFI Tracking'!AH$6:AH$1048576)</f>
        <v>0</v>
      </c>
      <c r="I65" s="422">
        <f>SUMIF('NFI Tracking'!AM$6:AM$1048576,Table10[[#This Row],[Pcode]],'NFI Tracking'!AI$6:AI$1048576)</f>
        <v>0</v>
      </c>
      <c r="J65" s="422">
        <f ca="1">MAX(Table10[[#This Row],[HH]]*VLOOKUP("Winter Clothes Adult",NFI,6)-Table10[[#This Row],[Winter Clothes Adult ]],0)</f>
        <v>130</v>
      </c>
      <c r="K65" s="422">
        <f ca="1">MAX(Table10[[#This Row],[HH]]*VLOOKUP("Winter Clothes Children ",NFI,6)-Table10[[#This Row],[Winter Clothes Children ]],0)</f>
        <v>65</v>
      </c>
      <c r="L65" s="422">
        <f ca="1">MAX(Table10[[#This Row],[HH]]*VLOOKUP("Winter Items Other ",NFI,6)-Table10[[#This Row],[Winter Items Other ]],0)</f>
        <v>65</v>
      </c>
      <c r="M65" s="469" t="str">
        <f>IF(OR(Table10[[#This Row],[Winter Clothes Adult ]]&lt;&gt;0,Table10[[#This Row],[Winter Clothes Children ]]&lt;&gt;0,Table10[[#This Row],[Winter Items Other ]]&lt;&gt;0),"No","")</f>
        <v/>
      </c>
      <c r="N65" s="470">
        <f>COUNTIF(A:A,Table10[[#This Row],[Pcode]])-1</f>
        <v>0</v>
      </c>
    </row>
    <row r="66" spans="1:14" x14ac:dyDescent="0.25">
      <c r="A66" s="381" t="s">
        <v>242</v>
      </c>
      <c r="B66" s="26" t="str">
        <f ca="1">OFFSET(CampList[Priority],MATCH(Table10[[#This Row],[Pcode]],CampList[CP_Pcode],0)-1,0,1,1)</f>
        <v>P4</v>
      </c>
      <c r="C66" s="26" t="str">
        <f ca="1">OFFSET(CampList[Camp],MATCH(Table10[[#This Row],[Pcode]],CampList[CP_Pcode],0)-1,0,1,1)</f>
        <v>Du Kahtawng Qtr. 14</v>
      </c>
      <c r="D66" s="26" t="str">
        <f ca="1">OFFSET(CampList[Township],MATCH(Table10[[#This Row],[Pcode]],CampList[CP_Pcode],0)-1,0,1,1)</f>
        <v>Myitkyina</v>
      </c>
      <c r="E66" s="422">
        <f ca="1">OFFSET(CampList[HH],MATCH(Table10[[#This Row],[Pcode]],CampList[CP_Pcode],0)-1,0,1,1)</f>
        <v>6</v>
      </c>
      <c r="F66" s="422">
        <f ca="1">OFFSET(CampList[Total],MATCH(Table10[[#This Row],[Pcode]],CampList[CP_Pcode],0)-1,0,1,1)</f>
        <v>28</v>
      </c>
      <c r="G66" s="422">
        <f>SUMIF('NFI Tracking'!AM$6:AM$1048576,Table10[[#This Row],[Pcode]],'NFI Tracking'!AG$6:AG$1048576)</f>
        <v>0</v>
      </c>
      <c r="H66" s="422">
        <f>SUMIF('NFI Tracking'!AM$6:AM$1048576,Table10[[#This Row],[Pcode]],'NFI Tracking'!AH$6:AH$1048576)</f>
        <v>0</v>
      </c>
      <c r="I66" s="422">
        <f>SUMIF('NFI Tracking'!AM$6:AM$1048576,Table10[[#This Row],[Pcode]],'NFI Tracking'!AI$6:AI$1048576)</f>
        <v>0</v>
      </c>
      <c r="J66" s="422">
        <f ca="1">MAX(Table10[[#This Row],[HH]]*VLOOKUP("Winter Clothes Adult",NFI,6)-Table10[[#This Row],[Winter Clothes Adult ]],0)</f>
        <v>12</v>
      </c>
      <c r="K66" s="422">
        <f ca="1">MAX(Table10[[#This Row],[HH]]*VLOOKUP("Winter Clothes Children ",NFI,6)-Table10[[#This Row],[Winter Clothes Children ]],0)</f>
        <v>6</v>
      </c>
      <c r="L66" s="422">
        <f ca="1">MAX(Table10[[#This Row],[HH]]*VLOOKUP("Winter Items Other ",NFI,6)-Table10[[#This Row],[Winter Items Other ]],0)</f>
        <v>6</v>
      </c>
      <c r="M66" s="469" t="str">
        <f>IF(OR(Table10[[#This Row],[Winter Clothes Adult ]]&lt;&gt;0,Table10[[#This Row],[Winter Clothes Children ]]&lt;&gt;0,Table10[[#This Row],[Winter Items Other ]]&lt;&gt;0),"No","")</f>
        <v/>
      </c>
      <c r="N66" s="470">
        <f>COUNTIF(A:A,Table10[[#This Row],[Pcode]])-1</f>
        <v>0</v>
      </c>
    </row>
    <row r="67" spans="1:14" x14ac:dyDescent="0.25">
      <c r="A67" s="381" t="s">
        <v>244</v>
      </c>
      <c r="B67" s="26" t="str">
        <f ca="1">OFFSET(CampList[Priority],MATCH(Table10[[#This Row],[Pcode]],CampList[CP_Pcode],0)-1,0,1,1)</f>
        <v>P4</v>
      </c>
      <c r="C67" s="26" t="str">
        <f ca="1">OFFSET(CampList[Camp],MATCH(Table10[[#This Row],[Pcode]],CampList[CP_Pcode],0)-1,0,1,1)</f>
        <v>Du Kahtawng Qtr. 4</v>
      </c>
      <c r="D67" s="26" t="str">
        <f ca="1">OFFSET(CampList[Township],MATCH(Table10[[#This Row],[Pcode]],CampList[CP_Pcode],0)-1,0,1,1)</f>
        <v>Myitkyina</v>
      </c>
      <c r="E67" s="422">
        <f ca="1">OFFSET(CampList[HH],MATCH(Table10[[#This Row],[Pcode]],CampList[CP_Pcode],0)-1,0,1,1)</f>
        <v>6</v>
      </c>
      <c r="F67" s="422">
        <f ca="1">OFFSET(CampList[Total],MATCH(Table10[[#This Row],[Pcode]],CampList[CP_Pcode],0)-1,0,1,1)</f>
        <v>39</v>
      </c>
      <c r="G67" s="422">
        <f>SUMIF('NFI Tracking'!AM$6:AM$1048576,Table10[[#This Row],[Pcode]],'NFI Tracking'!AG$6:AG$1048576)</f>
        <v>0</v>
      </c>
      <c r="H67" s="422">
        <f>SUMIF('NFI Tracking'!AM$6:AM$1048576,Table10[[#This Row],[Pcode]],'NFI Tracking'!AH$6:AH$1048576)</f>
        <v>0</v>
      </c>
      <c r="I67" s="422">
        <f>SUMIF('NFI Tracking'!AM$6:AM$1048576,Table10[[#This Row],[Pcode]],'NFI Tracking'!AI$6:AI$1048576)</f>
        <v>0</v>
      </c>
      <c r="J67" s="422">
        <f ca="1">MAX(Table10[[#This Row],[HH]]*VLOOKUP("Winter Clothes Adult",NFI,6)-Table10[[#This Row],[Winter Clothes Adult ]],0)</f>
        <v>12</v>
      </c>
      <c r="K67" s="422">
        <f ca="1">MAX(Table10[[#This Row],[HH]]*VLOOKUP("Winter Clothes Children ",NFI,6)-Table10[[#This Row],[Winter Clothes Children ]],0)</f>
        <v>6</v>
      </c>
      <c r="L67" s="422">
        <f ca="1">MAX(Table10[[#This Row],[HH]]*VLOOKUP("Winter Items Other ",NFI,6)-Table10[[#This Row],[Winter Items Other ]],0)</f>
        <v>6</v>
      </c>
      <c r="M67" s="469" t="str">
        <f>IF(OR(Table10[[#This Row],[Winter Clothes Adult ]]&lt;&gt;0,Table10[[#This Row],[Winter Clothes Children ]]&lt;&gt;0,Table10[[#This Row],[Winter Items Other ]]&lt;&gt;0),"No","")</f>
        <v/>
      </c>
      <c r="N67" s="470">
        <f>COUNTIF(A:A,Table10[[#This Row],[Pcode]])-1</f>
        <v>0</v>
      </c>
    </row>
    <row r="68" spans="1:14" x14ac:dyDescent="0.25">
      <c r="A68" s="381" t="s">
        <v>246</v>
      </c>
      <c r="B68" s="26" t="str">
        <f ca="1">OFFSET(CampList[Priority],MATCH(Table10[[#This Row],[Pcode]],CampList[CP_Pcode],0)-1,0,1,1)</f>
        <v>P4</v>
      </c>
      <c r="C68" s="26" t="str">
        <f ca="1">OFFSET(CampList[Camp],MATCH(Table10[[#This Row],[Pcode]],CampList[CP_Pcode],0)-1,0,1,1)</f>
        <v>Du Kahtawng Qtr. 5</v>
      </c>
      <c r="D68" s="26" t="str">
        <f ca="1">OFFSET(CampList[Township],MATCH(Table10[[#This Row],[Pcode]],CampList[CP_Pcode],0)-1,0,1,1)</f>
        <v>Myitkyina</v>
      </c>
      <c r="E68" s="422">
        <f ca="1">OFFSET(CampList[HH],MATCH(Table10[[#This Row],[Pcode]],CampList[CP_Pcode],0)-1,0,1,1)</f>
        <v>50</v>
      </c>
      <c r="F68" s="422">
        <f ca="1">OFFSET(CampList[Total],MATCH(Table10[[#This Row],[Pcode]],CampList[CP_Pcode],0)-1,0,1,1)</f>
        <v>236</v>
      </c>
      <c r="G68" s="422">
        <f>SUMIF('NFI Tracking'!AM$6:AM$1048576,Table10[[#This Row],[Pcode]],'NFI Tracking'!AG$6:AG$1048576)</f>
        <v>0</v>
      </c>
      <c r="H68" s="422">
        <f>SUMIF('NFI Tracking'!AM$6:AM$1048576,Table10[[#This Row],[Pcode]],'NFI Tracking'!AH$6:AH$1048576)</f>
        <v>0</v>
      </c>
      <c r="I68" s="422">
        <f>SUMIF('NFI Tracking'!AM$6:AM$1048576,Table10[[#This Row],[Pcode]],'NFI Tracking'!AI$6:AI$1048576)</f>
        <v>0</v>
      </c>
      <c r="J68" s="422">
        <f ca="1">MAX(Table10[[#This Row],[HH]]*VLOOKUP("Winter Clothes Adult",NFI,6)-Table10[[#This Row],[Winter Clothes Adult ]],0)</f>
        <v>100</v>
      </c>
      <c r="K68" s="422">
        <f ca="1">MAX(Table10[[#This Row],[HH]]*VLOOKUP("Winter Clothes Children ",NFI,6)-Table10[[#This Row],[Winter Clothes Children ]],0)</f>
        <v>50</v>
      </c>
      <c r="L68" s="422">
        <f ca="1">MAX(Table10[[#This Row],[HH]]*VLOOKUP("Winter Items Other ",NFI,6)-Table10[[#This Row],[Winter Items Other ]],0)</f>
        <v>50</v>
      </c>
      <c r="M68" s="469" t="str">
        <f>IF(OR(Table10[[#This Row],[Winter Clothes Adult ]]&lt;&gt;0,Table10[[#This Row],[Winter Clothes Children ]]&lt;&gt;0,Table10[[#This Row],[Winter Items Other ]]&lt;&gt;0),"No","")</f>
        <v/>
      </c>
      <c r="N68" s="470">
        <f>COUNTIF(A:A,Table10[[#This Row],[Pcode]])-1</f>
        <v>0</v>
      </c>
    </row>
    <row r="69" spans="1:14" x14ac:dyDescent="0.25">
      <c r="A69" s="381" t="s">
        <v>312</v>
      </c>
      <c r="B69" s="26" t="str">
        <f ca="1">OFFSET(CampList[Priority],MATCH(Table10[[#This Row],[Pcode]],CampList[CP_Pcode],0)-1,0,1,1)</f>
        <v>P4</v>
      </c>
      <c r="C69" s="26" t="str">
        <f ca="1">OFFSET(CampList[Camp],MATCH(Table10[[#This Row],[Pcode]],CampList[CP_Pcode],0)-1,0,1,1)</f>
        <v xml:space="preserve">Hkat Cho </v>
      </c>
      <c r="D69" s="26" t="str">
        <f ca="1">OFFSET(CampList[Township],MATCH(Table10[[#This Row],[Pcode]],CampList[CP_Pcode],0)-1,0,1,1)</f>
        <v>Waingmaw</v>
      </c>
      <c r="E69" s="422">
        <f ca="1">OFFSET(CampList[HH],MATCH(Table10[[#This Row],[Pcode]],CampList[CP_Pcode],0)-1,0,1,1)</f>
        <v>110</v>
      </c>
      <c r="F69" s="422">
        <f ca="1">OFFSET(CampList[Total],MATCH(Table10[[#This Row],[Pcode]],CampList[CP_Pcode],0)-1,0,1,1)</f>
        <v>508</v>
      </c>
      <c r="G69" s="422">
        <f>SUMIF('NFI Tracking'!AM$6:AM$1048576,Table10[[#This Row],[Pcode]],'NFI Tracking'!AG$6:AG$1048576)</f>
        <v>0</v>
      </c>
      <c r="H69" s="422">
        <f>SUMIF('NFI Tracking'!AM$6:AM$1048576,Table10[[#This Row],[Pcode]],'NFI Tracking'!AH$6:AH$1048576)</f>
        <v>0</v>
      </c>
      <c r="I69" s="422">
        <f>SUMIF('NFI Tracking'!AM$6:AM$1048576,Table10[[#This Row],[Pcode]],'NFI Tracking'!AI$6:AI$1048576)</f>
        <v>0</v>
      </c>
      <c r="J69" s="422">
        <f ca="1">MAX(Table10[[#This Row],[HH]]*VLOOKUP("Winter Clothes Adult",NFI,6)-Table10[[#This Row],[Winter Clothes Adult ]],0)</f>
        <v>220</v>
      </c>
      <c r="K69" s="422">
        <f ca="1">MAX(Table10[[#This Row],[HH]]*VLOOKUP("Winter Clothes Children ",NFI,6)-Table10[[#This Row],[Winter Clothes Children ]],0)</f>
        <v>110</v>
      </c>
      <c r="L69" s="422">
        <f ca="1">MAX(Table10[[#This Row],[HH]]*VLOOKUP("Winter Items Other ",NFI,6)-Table10[[#This Row],[Winter Items Other ]],0)</f>
        <v>110</v>
      </c>
      <c r="M69" s="469" t="str">
        <f>IF(OR(Table10[[#This Row],[Winter Clothes Adult ]]&lt;&gt;0,Table10[[#This Row],[Winter Clothes Children ]]&lt;&gt;0,Table10[[#This Row],[Winter Items Other ]]&lt;&gt;0),"No","")</f>
        <v/>
      </c>
      <c r="N69" s="470">
        <f>COUNTIF(A:A,Table10[[#This Row],[Pcode]])-1</f>
        <v>0</v>
      </c>
    </row>
    <row r="70" spans="1:14" x14ac:dyDescent="0.25">
      <c r="A70" s="381" t="s">
        <v>87</v>
      </c>
      <c r="B70" s="26" t="str">
        <f ca="1">OFFSET(CampList[Priority],MATCH(Table10[[#This Row],[Pcode]],CampList[CP_Pcode],0)-1,0,1,1)</f>
        <v>P4</v>
      </c>
      <c r="C70" s="26" t="str">
        <f ca="1">OFFSET(CampList[Camp],MATCH(Table10[[#This Row],[Pcode]],CampList[CP_Pcode],0)-1,0,1,1)</f>
        <v>Hlaing Naung Baptist</v>
      </c>
      <c r="D70" s="26" t="str">
        <f ca="1">OFFSET(CampList[Township],MATCH(Table10[[#This Row],[Pcode]],CampList[CP_Pcode],0)-1,0,1,1)</f>
        <v>Hpakant</v>
      </c>
      <c r="E70" s="422">
        <f ca="1">OFFSET(CampList[HH],MATCH(Table10[[#This Row],[Pcode]],CampList[CP_Pcode],0)-1,0,1,1)</f>
        <v>12</v>
      </c>
      <c r="F70" s="422">
        <f ca="1">OFFSET(CampList[Total],MATCH(Table10[[#This Row],[Pcode]],CampList[CP_Pcode],0)-1,0,1,1)</f>
        <v>52</v>
      </c>
      <c r="G70" s="422">
        <f>SUMIF('NFI Tracking'!AM$6:AM$1048576,Table10[[#This Row],[Pcode]],'NFI Tracking'!AG$6:AG$1048576)</f>
        <v>0</v>
      </c>
      <c r="H70" s="422">
        <f>SUMIF('NFI Tracking'!AM$6:AM$1048576,Table10[[#This Row],[Pcode]],'NFI Tracking'!AH$6:AH$1048576)</f>
        <v>0</v>
      </c>
      <c r="I70" s="422">
        <f>SUMIF('NFI Tracking'!AM$6:AM$1048576,Table10[[#This Row],[Pcode]],'NFI Tracking'!AI$6:AI$1048576)</f>
        <v>0</v>
      </c>
      <c r="J70" s="422">
        <f ca="1">MAX(Table10[[#This Row],[HH]]*VLOOKUP("Winter Clothes Adult",NFI,6)-Table10[[#This Row],[Winter Clothes Adult ]],0)</f>
        <v>24</v>
      </c>
      <c r="K70" s="422">
        <f ca="1">MAX(Table10[[#This Row],[HH]]*VLOOKUP("Winter Clothes Children ",NFI,6)-Table10[[#This Row],[Winter Clothes Children ]],0)</f>
        <v>12</v>
      </c>
      <c r="L70" s="422">
        <f ca="1">MAX(Table10[[#This Row],[HH]]*VLOOKUP("Winter Items Other ",NFI,6)-Table10[[#This Row],[Winter Items Other ]],0)</f>
        <v>12</v>
      </c>
      <c r="M70" s="469" t="str">
        <f>IF(OR(Table10[[#This Row],[Winter Clothes Adult ]]&lt;&gt;0,Table10[[#This Row],[Winter Clothes Children ]]&lt;&gt;0,Table10[[#This Row],[Winter Items Other ]]&lt;&gt;0),"No","")</f>
        <v/>
      </c>
      <c r="N70" s="470">
        <f>COUNTIF(A:A,Table10[[#This Row],[Pcode]])-1</f>
        <v>0</v>
      </c>
    </row>
    <row r="71" spans="1:14" x14ac:dyDescent="0.25">
      <c r="A71" s="381" t="s">
        <v>45</v>
      </c>
      <c r="B71" s="26" t="str">
        <f ca="1">OFFSET(CampList[Priority],MATCH(Table10[[#This Row],[Pcode]],CampList[CP_Pcode],0)-1,0,1,1)</f>
        <v>P4</v>
      </c>
      <c r="C71" s="26" t="str">
        <f ca="1">OFFSET(CampList[Camp],MATCH(Table10[[#This Row],[Pcode]],CampList[CP_Pcode],0)-1,0,1,1)</f>
        <v>Hmaw Wan, Anglican</v>
      </c>
      <c r="D71" s="26" t="str">
        <f ca="1">OFFSET(CampList[Township],MATCH(Table10[[#This Row],[Pcode]],CampList[CP_Pcode],0)-1,0,1,1)</f>
        <v>Hpakant</v>
      </c>
      <c r="E71" s="422">
        <f ca="1">OFFSET(CampList[HH],MATCH(Table10[[#This Row],[Pcode]],CampList[CP_Pcode],0)-1,0,1,1)</f>
        <v>13</v>
      </c>
      <c r="F71" s="422">
        <f ca="1">OFFSET(CampList[Total],MATCH(Table10[[#This Row],[Pcode]],CampList[CP_Pcode],0)-1,0,1,1)</f>
        <v>75</v>
      </c>
      <c r="G71" s="422">
        <f>SUMIF('NFI Tracking'!AM$6:AM$1048576,Table10[[#This Row],[Pcode]],'NFI Tracking'!AG$6:AG$1048576)</f>
        <v>0</v>
      </c>
      <c r="H71" s="422">
        <f>SUMIF('NFI Tracking'!AM$6:AM$1048576,Table10[[#This Row],[Pcode]],'NFI Tracking'!AH$6:AH$1048576)</f>
        <v>0</v>
      </c>
      <c r="I71" s="422">
        <f>SUMIF('NFI Tracking'!AM$6:AM$1048576,Table10[[#This Row],[Pcode]],'NFI Tracking'!AI$6:AI$1048576)</f>
        <v>0</v>
      </c>
      <c r="J71" s="422">
        <f ca="1">MAX(Table10[[#This Row],[HH]]*VLOOKUP("Winter Clothes Adult",NFI,6)-Table10[[#This Row],[Winter Clothes Adult ]],0)</f>
        <v>26</v>
      </c>
      <c r="K71" s="422">
        <f ca="1">MAX(Table10[[#This Row],[HH]]*VLOOKUP("Winter Clothes Children ",NFI,6)-Table10[[#This Row],[Winter Clothes Children ]],0)</f>
        <v>13</v>
      </c>
      <c r="L71" s="422">
        <f ca="1">MAX(Table10[[#This Row],[HH]]*VLOOKUP("Winter Items Other ",NFI,6)-Table10[[#This Row],[Winter Items Other ]],0)</f>
        <v>13</v>
      </c>
      <c r="M71" s="469" t="str">
        <f>IF(OR(Table10[[#This Row],[Winter Clothes Adult ]]&lt;&gt;0,Table10[[#This Row],[Winter Clothes Children ]]&lt;&gt;0,Table10[[#This Row],[Winter Items Other ]]&lt;&gt;0),"No","")</f>
        <v/>
      </c>
      <c r="N71" s="470">
        <f>COUNTIF(A:A,Table10[[#This Row],[Pcode]])-1</f>
        <v>0</v>
      </c>
    </row>
    <row r="72" spans="1:14" x14ac:dyDescent="0.25">
      <c r="A72" s="381" t="s">
        <v>11</v>
      </c>
      <c r="B72" s="26" t="str">
        <f ca="1">OFFSET(CampList[Priority],MATCH(Table10[[#This Row],[Pcode]],CampList[CP_Pcode],0)-1,0,1,1)</f>
        <v>P4</v>
      </c>
      <c r="C72" s="26" t="str">
        <f ca="1">OFFSET(CampList[Camp],MATCH(Table10[[#This Row],[Pcode]],CampList[CP_Pcode],0)-1,0,1,1)</f>
        <v>Host Families</v>
      </c>
      <c r="D72" s="26" t="str">
        <f ca="1">OFFSET(CampList[Township],MATCH(Table10[[#This Row],[Pcode]],CampList[CP_Pcode],0)-1,0,1,1)</f>
        <v>Bhamo</v>
      </c>
      <c r="E72" s="422">
        <f ca="1">OFFSET(CampList[HH],MATCH(Table10[[#This Row],[Pcode]],CampList[CP_Pcode],0)-1,0,1,1)</f>
        <v>211</v>
      </c>
      <c r="F72" s="422">
        <f ca="1">OFFSET(CampList[Total],MATCH(Table10[[#This Row],[Pcode]],CampList[CP_Pcode],0)-1,0,1,1)</f>
        <v>989</v>
      </c>
      <c r="G72" s="422">
        <f>SUMIF('NFI Tracking'!AM$6:AM$1048576,Table10[[#This Row],[Pcode]],'NFI Tracking'!AG$6:AG$1048576)</f>
        <v>0</v>
      </c>
      <c r="H72" s="422">
        <f>SUMIF('NFI Tracking'!AM$6:AM$1048576,Table10[[#This Row],[Pcode]],'NFI Tracking'!AH$6:AH$1048576)</f>
        <v>0</v>
      </c>
      <c r="I72" s="422">
        <f>SUMIF('NFI Tracking'!AM$6:AM$1048576,Table10[[#This Row],[Pcode]],'NFI Tracking'!AI$6:AI$1048576)</f>
        <v>0</v>
      </c>
      <c r="J72" s="422">
        <f ca="1">MAX(Table10[[#This Row],[HH]]*VLOOKUP("Winter Clothes Adult",NFI,6)-Table10[[#This Row],[Winter Clothes Adult ]],0)</f>
        <v>422</v>
      </c>
      <c r="K72" s="422">
        <f ca="1">MAX(Table10[[#This Row],[HH]]*VLOOKUP("Winter Clothes Children ",NFI,6)-Table10[[#This Row],[Winter Clothes Children ]],0)</f>
        <v>211</v>
      </c>
      <c r="L72" s="422">
        <f ca="1">MAX(Table10[[#This Row],[HH]]*VLOOKUP("Winter Items Other ",NFI,6)-Table10[[#This Row],[Winter Items Other ]],0)</f>
        <v>211</v>
      </c>
      <c r="M72" s="469" t="str">
        <f>IF(OR(Table10[[#This Row],[Winter Clothes Adult ]]&lt;&gt;0,Table10[[#This Row],[Winter Clothes Children ]]&lt;&gt;0,Table10[[#This Row],[Winter Items Other ]]&lt;&gt;0),"No","")</f>
        <v/>
      </c>
      <c r="N72" s="470">
        <f>COUNTIF(A:A,Table10[[#This Row],[Pcode]])-1</f>
        <v>0</v>
      </c>
    </row>
    <row r="73" spans="1:14" x14ac:dyDescent="0.25">
      <c r="A73" s="381" t="s">
        <v>391</v>
      </c>
      <c r="B73" s="26" t="str">
        <f ca="1">OFFSET(CampList[Priority],MATCH(Table10[[#This Row],[Pcode]],CampList[CP_Pcode],0)-1,0,1,1)</f>
        <v>P4</v>
      </c>
      <c r="C73" s="26" t="str">
        <f ca="1">OFFSET(CampList[Camp],MATCH(Table10[[#This Row],[Pcode]],CampList[CP_Pcode],0)-1,0,1,1)</f>
        <v>Host Families</v>
      </c>
      <c r="D73" s="26" t="str">
        <f ca="1">OFFSET(CampList[Township],MATCH(Table10[[#This Row],[Pcode]],CampList[CP_Pcode],0)-1,0,1,1)</f>
        <v>Mansi</v>
      </c>
      <c r="E73" s="422">
        <f ca="1">OFFSET(CampList[HH],MATCH(Table10[[#This Row],[Pcode]],CampList[CP_Pcode],0)-1,0,1,1)</f>
        <v>76</v>
      </c>
      <c r="F73" s="422">
        <f ca="1">OFFSET(CampList[Total],MATCH(Table10[[#This Row],[Pcode]],CampList[CP_Pcode],0)-1,0,1,1)</f>
        <v>256</v>
      </c>
      <c r="G73" s="422">
        <f>SUMIF('NFI Tracking'!AM$6:AM$1048576,Table10[[#This Row],[Pcode]],'NFI Tracking'!AG$6:AG$1048576)</f>
        <v>0</v>
      </c>
      <c r="H73" s="422">
        <f>SUMIF('NFI Tracking'!AM$6:AM$1048576,Table10[[#This Row],[Pcode]],'NFI Tracking'!AH$6:AH$1048576)</f>
        <v>0</v>
      </c>
      <c r="I73" s="422">
        <f>SUMIF('NFI Tracking'!AM$6:AM$1048576,Table10[[#This Row],[Pcode]],'NFI Tracking'!AI$6:AI$1048576)</f>
        <v>0</v>
      </c>
      <c r="J73" s="422">
        <f ca="1">MAX(Table10[[#This Row],[HH]]*VLOOKUP("Winter Clothes Adult",NFI,6)-Table10[[#This Row],[Winter Clothes Adult ]],0)</f>
        <v>152</v>
      </c>
      <c r="K73" s="422">
        <f ca="1">MAX(Table10[[#This Row],[HH]]*VLOOKUP("Winter Clothes Children ",NFI,6)-Table10[[#This Row],[Winter Clothes Children ]],0)</f>
        <v>76</v>
      </c>
      <c r="L73" s="422">
        <f ca="1">MAX(Table10[[#This Row],[HH]]*VLOOKUP("Winter Items Other ",NFI,6)-Table10[[#This Row],[Winter Items Other ]],0)</f>
        <v>76</v>
      </c>
      <c r="M73" s="469" t="str">
        <f>IF(OR(Table10[[#This Row],[Winter Clothes Adult ]]&lt;&gt;0,Table10[[#This Row],[Winter Clothes Children ]]&lt;&gt;0,Table10[[#This Row],[Winter Items Other ]]&lt;&gt;0),"No","")</f>
        <v/>
      </c>
      <c r="N73" s="470">
        <f>COUNTIF(A:A,Table10[[#This Row],[Pcode]])-1</f>
        <v>0</v>
      </c>
    </row>
    <row r="74" spans="1:14" x14ac:dyDescent="0.25">
      <c r="A74" s="381" t="s">
        <v>392</v>
      </c>
      <c r="B74" s="26" t="str">
        <f ca="1">OFFSET(CampList[Priority],MATCH(Table10[[#This Row],[Pcode]],CampList[CP_Pcode],0)-1,0,1,1)</f>
        <v>P4</v>
      </c>
      <c r="C74" s="26" t="str">
        <f ca="1">OFFSET(CampList[Camp],MATCH(Table10[[#This Row],[Pcode]],CampList[CP_Pcode],0)-1,0,1,1)</f>
        <v>Host Families</v>
      </c>
      <c r="D74" s="26" t="str">
        <f ca="1">OFFSET(CampList[Township],MATCH(Table10[[#This Row],[Pcode]],CampList[CP_Pcode],0)-1,0,1,1)</f>
        <v>Momauk</v>
      </c>
      <c r="E74" s="422">
        <f ca="1">OFFSET(CampList[HH],MATCH(Table10[[#This Row],[Pcode]],CampList[CP_Pcode],0)-1,0,1,1)</f>
        <v>320</v>
      </c>
      <c r="F74" s="422">
        <f ca="1">OFFSET(CampList[Total],MATCH(Table10[[#This Row],[Pcode]],CampList[CP_Pcode],0)-1,0,1,1)</f>
        <v>1125</v>
      </c>
      <c r="G74" s="422">
        <f>SUMIF('NFI Tracking'!AM$6:AM$1048576,Table10[[#This Row],[Pcode]],'NFI Tracking'!AG$6:AG$1048576)</f>
        <v>0</v>
      </c>
      <c r="H74" s="422">
        <f>SUMIF('NFI Tracking'!AM$6:AM$1048576,Table10[[#This Row],[Pcode]],'NFI Tracking'!AH$6:AH$1048576)</f>
        <v>0</v>
      </c>
      <c r="I74" s="422">
        <f>SUMIF('NFI Tracking'!AM$6:AM$1048576,Table10[[#This Row],[Pcode]],'NFI Tracking'!AI$6:AI$1048576)</f>
        <v>0</v>
      </c>
      <c r="J74" s="422">
        <f ca="1">MAX(Table10[[#This Row],[HH]]*VLOOKUP("Winter Clothes Adult",NFI,6)-Table10[[#This Row],[Winter Clothes Adult ]],0)</f>
        <v>640</v>
      </c>
      <c r="K74" s="422">
        <f ca="1">MAX(Table10[[#This Row],[HH]]*VLOOKUP("Winter Clothes Children ",NFI,6)-Table10[[#This Row],[Winter Clothes Children ]],0)</f>
        <v>320</v>
      </c>
      <c r="L74" s="422">
        <f ca="1">MAX(Table10[[#This Row],[HH]]*VLOOKUP("Winter Items Other ",NFI,6)-Table10[[#This Row],[Winter Items Other ]],0)</f>
        <v>320</v>
      </c>
      <c r="M74" s="469" t="str">
        <f>IF(OR(Table10[[#This Row],[Winter Clothes Adult ]]&lt;&gt;0,Table10[[#This Row],[Winter Clothes Children ]]&lt;&gt;0,Table10[[#This Row],[Winter Items Other ]]&lt;&gt;0),"No","")</f>
        <v/>
      </c>
      <c r="N74" s="470">
        <f>COUNTIF(A:A,Table10[[#This Row],[Pcode]])-1</f>
        <v>0</v>
      </c>
    </row>
    <row r="75" spans="1:14" x14ac:dyDescent="0.25">
      <c r="A75" s="381" t="s">
        <v>394</v>
      </c>
      <c r="B75" s="26" t="str">
        <f ca="1">OFFSET(CampList[Priority],MATCH(Table10[[#This Row],[Pcode]],CampList[CP_Pcode],0)-1,0,1,1)</f>
        <v>P4</v>
      </c>
      <c r="C75" s="26" t="str">
        <f ca="1">OFFSET(CampList[Camp],MATCH(Table10[[#This Row],[Pcode]],CampList[CP_Pcode],0)-1,0,1,1)</f>
        <v>Host Families</v>
      </c>
      <c r="D75" s="26" t="str">
        <f ca="1">OFFSET(CampList[Township],MATCH(Table10[[#This Row],[Pcode]],CampList[CP_Pcode],0)-1,0,1,1)</f>
        <v>Shwegu</v>
      </c>
      <c r="E75" s="422">
        <f ca="1">OFFSET(CampList[HH],MATCH(Table10[[#This Row],[Pcode]],CampList[CP_Pcode],0)-1,0,1,1)</f>
        <v>9</v>
      </c>
      <c r="F75" s="422">
        <f ca="1">OFFSET(CampList[Total],MATCH(Table10[[#This Row],[Pcode]],CampList[CP_Pcode],0)-1,0,1,1)</f>
        <v>30</v>
      </c>
      <c r="G75" s="422">
        <f>SUMIF('NFI Tracking'!AM$6:AM$1048576,Table10[[#This Row],[Pcode]],'NFI Tracking'!AG$6:AG$1048576)</f>
        <v>0</v>
      </c>
      <c r="H75" s="422">
        <f>SUMIF('NFI Tracking'!AM$6:AM$1048576,Table10[[#This Row],[Pcode]],'NFI Tracking'!AH$6:AH$1048576)</f>
        <v>0</v>
      </c>
      <c r="I75" s="422">
        <f>SUMIF('NFI Tracking'!AM$6:AM$1048576,Table10[[#This Row],[Pcode]],'NFI Tracking'!AI$6:AI$1048576)</f>
        <v>0</v>
      </c>
      <c r="J75" s="422">
        <f ca="1">MAX(Table10[[#This Row],[HH]]*VLOOKUP("Winter Clothes Adult",NFI,6)-Table10[[#This Row],[Winter Clothes Adult ]],0)</f>
        <v>18</v>
      </c>
      <c r="K75" s="422">
        <f ca="1">MAX(Table10[[#This Row],[HH]]*VLOOKUP("Winter Clothes Children ",NFI,6)-Table10[[#This Row],[Winter Clothes Children ]],0)</f>
        <v>9</v>
      </c>
      <c r="L75" s="422">
        <f ca="1">MAX(Table10[[#This Row],[HH]]*VLOOKUP("Winter Items Other ",NFI,6)-Table10[[#This Row],[Winter Items Other ]],0)</f>
        <v>9</v>
      </c>
      <c r="M75" s="469" t="str">
        <f>IF(OR(Table10[[#This Row],[Winter Clothes Adult ]]&lt;&gt;0,Table10[[#This Row],[Winter Clothes Children ]]&lt;&gt;0,Table10[[#This Row],[Winter Items Other ]]&lt;&gt;0),"No","")</f>
        <v/>
      </c>
      <c r="N75" s="470">
        <f>COUNTIF(A:A,Table10[[#This Row],[Pcode]])-1</f>
        <v>0</v>
      </c>
    </row>
    <row r="76" spans="1:14" x14ac:dyDescent="0.25">
      <c r="A76" s="381" t="s">
        <v>388</v>
      </c>
      <c r="B76" s="26" t="str">
        <f ca="1">OFFSET(CampList[Priority],MATCH(Table10[[#This Row],[Pcode]],CampList[CP_Pcode],0)-1,0,1,1)</f>
        <v>P4</v>
      </c>
      <c r="C76" s="26" t="str">
        <f ca="1">OFFSET(CampList[Camp],MATCH(Table10[[#This Row],[Pcode]],CampList[CP_Pcode],0)-1,0,1,1)</f>
        <v>Hpai Kawng Mare</v>
      </c>
      <c r="D76" s="26" t="str">
        <f ca="1">OFFSET(CampList[Township],MATCH(Table10[[#This Row],[Pcode]],CampList[CP_Pcode],0)-1,0,1,1)</f>
        <v>Muse</v>
      </c>
      <c r="E76" s="422">
        <f ca="1">OFFSET(CampList[HH],MATCH(Table10[[#This Row],[Pcode]],CampList[CP_Pcode],0)-1,0,1,1)</f>
        <v>32</v>
      </c>
      <c r="F76" s="422">
        <f ca="1">OFFSET(CampList[Total],MATCH(Table10[[#This Row],[Pcode]],CampList[CP_Pcode],0)-1,0,1,1)</f>
        <v>187</v>
      </c>
      <c r="G76" s="422">
        <f>SUMIF('NFI Tracking'!AM$6:AM$1048576,Table10[[#This Row],[Pcode]],'NFI Tracking'!AG$6:AG$1048576)</f>
        <v>0</v>
      </c>
      <c r="H76" s="422">
        <f>SUMIF('NFI Tracking'!AM$6:AM$1048576,Table10[[#This Row],[Pcode]],'NFI Tracking'!AH$6:AH$1048576)</f>
        <v>0</v>
      </c>
      <c r="I76" s="422">
        <f>SUMIF('NFI Tracking'!AM$6:AM$1048576,Table10[[#This Row],[Pcode]],'NFI Tracking'!AI$6:AI$1048576)</f>
        <v>0</v>
      </c>
      <c r="J76" s="422">
        <f ca="1">MAX(Table10[[#This Row],[HH]]*VLOOKUP("Winter Clothes Adult",NFI,6)-Table10[[#This Row],[Winter Clothes Adult ]],0)</f>
        <v>64</v>
      </c>
      <c r="K76" s="422">
        <f ca="1">MAX(Table10[[#This Row],[HH]]*VLOOKUP("Winter Clothes Children ",NFI,6)-Table10[[#This Row],[Winter Clothes Children ]],0)</f>
        <v>32</v>
      </c>
      <c r="L76" s="422">
        <f ca="1">MAX(Table10[[#This Row],[HH]]*VLOOKUP("Winter Items Other ",NFI,6)-Table10[[#This Row],[Winter Items Other ]],0)</f>
        <v>32</v>
      </c>
      <c r="M76" s="469" t="str">
        <f>IF(OR(Table10[[#This Row],[Winter Clothes Adult ]]&lt;&gt;0,Table10[[#This Row],[Winter Clothes Children ]]&lt;&gt;0,Table10[[#This Row],[Winter Items Other ]]&lt;&gt;0),"No","")</f>
        <v/>
      </c>
      <c r="N76" s="470">
        <f>COUNTIF(A:A,Table10[[#This Row],[Pcode]])-1</f>
        <v>0</v>
      </c>
    </row>
    <row r="77" spans="1:14" x14ac:dyDescent="0.25">
      <c r="A77" s="381" t="s">
        <v>1073</v>
      </c>
      <c r="B77" s="26" t="str">
        <f ca="1">OFFSET(CampList[Priority],MATCH(Table10[[#This Row],[Pcode]],CampList[CP_Pcode],0)-1,0,1,1)</f>
        <v>P4</v>
      </c>
      <c r="C77" s="26" t="str">
        <f ca="1">OFFSET(CampList[Camp],MATCH(Table10[[#This Row],[Pcode]],CampList[CP_Pcode],0)-1,0,1,1)</f>
        <v>Hpakant Baptist Church, Nam Ma Hpit</v>
      </c>
      <c r="D77" s="26" t="str">
        <f ca="1">OFFSET(CampList[Township],MATCH(Table10[[#This Row],[Pcode]],CampList[CP_Pcode],0)-1,0,1,1)</f>
        <v>Hpakant</v>
      </c>
      <c r="E77" s="422">
        <f ca="1">OFFSET(CampList[HH],MATCH(Table10[[#This Row],[Pcode]],CampList[CP_Pcode],0)-1,0,1,1)</f>
        <v>116</v>
      </c>
      <c r="F77" s="422">
        <f ca="1">OFFSET(CampList[Total],MATCH(Table10[[#This Row],[Pcode]],CampList[CP_Pcode],0)-1,0,1,1)</f>
        <v>530</v>
      </c>
      <c r="G77" s="422">
        <f>SUMIF('NFI Tracking'!AM$6:AM$1048576,Table10[[#This Row],[Pcode]],'NFI Tracking'!AG$6:AG$1048576)</f>
        <v>0</v>
      </c>
      <c r="H77" s="422">
        <f>SUMIF('NFI Tracking'!AM$6:AM$1048576,Table10[[#This Row],[Pcode]],'NFI Tracking'!AH$6:AH$1048576)</f>
        <v>0</v>
      </c>
      <c r="I77" s="422">
        <f>SUMIF('NFI Tracking'!AM$6:AM$1048576,Table10[[#This Row],[Pcode]],'NFI Tracking'!AI$6:AI$1048576)</f>
        <v>0</v>
      </c>
      <c r="J77" s="422">
        <f ca="1">MAX(Table10[[#This Row],[HH]]*VLOOKUP("Winter Clothes Adult",NFI,6)-Table10[[#This Row],[Winter Clothes Adult ]],0)</f>
        <v>232</v>
      </c>
      <c r="K77" s="422">
        <f ca="1">MAX(Table10[[#This Row],[HH]]*VLOOKUP("Winter Clothes Children ",NFI,6)-Table10[[#This Row],[Winter Clothes Children ]],0)</f>
        <v>116</v>
      </c>
      <c r="L77" s="422">
        <f ca="1">MAX(Table10[[#This Row],[HH]]*VLOOKUP("Winter Items Other ",NFI,6)-Table10[[#This Row],[Winter Items Other ]],0)</f>
        <v>116</v>
      </c>
      <c r="M77" s="469" t="str">
        <f>IF(OR(Table10[[#This Row],[Winter Clothes Adult ]]&lt;&gt;0,Table10[[#This Row],[Winter Clothes Children ]]&lt;&gt;0,Table10[[#This Row],[Winter Items Other ]]&lt;&gt;0),"No","")</f>
        <v/>
      </c>
      <c r="N77" s="470">
        <f>COUNTIF(A:A,Table10[[#This Row],[Pcode]])-1</f>
        <v>0</v>
      </c>
    </row>
    <row r="78" spans="1:14" x14ac:dyDescent="0.25">
      <c r="A78" s="381" t="s">
        <v>13</v>
      </c>
      <c r="B78" s="26" t="str">
        <f ca="1">OFFSET(CampList[Priority],MATCH(Table10[[#This Row],[Pcode]],CampList[CP_Pcode],0)-1,0,1,1)</f>
        <v>P4</v>
      </c>
      <c r="C78" s="26" t="str">
        <f ca="1">OFFSET(CampList[Camp],MATCH(Table10[[#This Row],[Pcode]],CampList[CP_Pcode],0)-1,0,1,1)</f>
        <v>Htoi San Church</v>
      </c>
      <c r="D78" s="26" t="str">
        <f ca="1">OFFSET(CampList[Township],MATCH(Table10[[#This Row],[Pcode]],CampList[CP_Pcode],0)-1,0,1,1)</f>
        <v>Bhamo</v>
      </c>
      <c r="E78" s="422">
        <f ca="1">OFFSET(CampList[HH],MATCH(Table10[[#This Row],[Pcode]],CampList[CP_Pcode],0)-1,0,1,1)</f>
        <v>43</v>
      </c>
      <c r="F78" s="422">
        <f ca="1">OFFSET(CampList[Total],MATCH(Table10[[#This Row],[Pcode]],CampList[CP_Pcode],0)-1,0,1,1)</f>
        <v>237</v>
      </c>
      <c r="G78" s="422">
        <f>SUMIF('NFI Tracking'!AM$6:AM$1048576,Table10[[#This Row],[Pcode]],'NFI Tracking'!AG$6:AG$1048576)</f>
        <v>0</v>
      </c>
      <c r="H78" s="422">
        <f>SUMIF('NFI Tracking'!AM$6:AM$1048576,Table10[[#This Row],[Pcode]],'NFI Tracking'!AH$6:AH$1048576)</f>
        <v>0</v>
      </c>
      <c r="I78" s="422">
        <f>SUMIF('NFI Tracking'!AM$6:AM$1048576,Table10[[#This Row],[Pcode]],'NFI Tracking'!AI$6:AI$1048576)</f>
        <v>0</v>
      </c>
      <c r="J78" s="422">
        <f ca="1">MAX(Table10[[#This Row],[HH]]*VLOOKUP("Winter Clothes Adult",NFI,6)-Table10[[#This Row],[Winter Clothes Adult ]],0)</f>
        <v>86</v>
      </c>
      <c r="K78" s="422">
        <f ca="1">MAX(Table10[[#This Row],[HH]]*VLOOKUP("Winter Clothes Children ",NFI,6)-Table10[[#This Row],[Winter Clothes Children ]],0)</f>
        <v>43</v>
      </c>
      <c r="L78" s="422">
        <f ca="1">MAX(Table10[[#This Row],[HH]]*VLOOKUP("Winter Items Other ",NFI,6)-Table10[[#This Row],[Winter Items Other ]],0)</f>
        <v>43</v>
      </c>
      <c r="M78" s="469" t="str">
        <f>IF(OR(Table10[[#This Row],[Winter Clothes Adult ]]&lt;&gt;0,Table10[[#This Row],[Winter Clothes Children ]]&lt;&gt;0,Table10[[#This Row],[Winter Items Other ]]&lt;&gt;0),"No","")</f>
        <v/>
      </c>
      <c r="N78" s="470">
        <f>COUNTIF(A:A,Table10[[#This Row],[Pcode]])-1</f>
        <v>0</v>
      </c>
    </row>
    <row r="79" spans="1:14" x14ac:dyDescent="0.25">
      <c r="A79" s="381" t="s">
        <v>252</v>
      </c>
      <c r="B79" s="26" t="str">
        <f ca="1">OFFSET(CampList[Priority],MATCH(Table10[[#This Row],[Pcode]],CampList[CP_Pcode],0)-1,0,1,1)</f>
        <v>P4</v>
      </c>
      <c r="C79" s="26" t="str">
        <f ca="1">OFFSET(CampList[Camp],MATCH(Table10[[#This Row],[Pcode]],CampList[CP_Pcode],0)-1,0,1,1)</f>
        <v>Jan Mai Kawng Baptist Church</v>
      </c>
      <c r="D79" s="26" t="str">
        <f ca="1">OFFSET(CampList[Township],MATCH(Table10[[#This Row],[Pcode]],CampList[CP_Pcode],0)-1,0,1,1)</f>
        <v>Myitkyina</v>
      </c>
      <c r="E79" s="422">
        <f ca="1">OFFSET(CampList[HH],MATCH(Table10[[#This Row],[Pcode]],CampList[CP_Pcode],0)-1,0,1,1)</f>
        <v>203</v>
      </c>
      <c r="F79" s="422">
        <f ca="1">OFFSET(CampList[Total],MATCH(Table10[[#This Row],[Pcode]],CampList[CP_Pcode],0)-1,0,1,1)</f>
        <v>1072</v>
      </c>
      <c r="G79" s="422">
        <f>SUMIF('NFI Tracking'!AM$6:AM$1048576,Table10[[#This Row],[Pcode]],'NFI Tracking'!AG$6:AG$1048576)</f>
        <v>0</v>
      </c>
      <c r="H79" s="422">
        <f>SUMIF('NFI Tracking'!AM$6:AM$1048576,Table10[[#This Row],[Pcode]],'NFI Tracking'!AH$6:AH$1048576)</f>
        <v>0</v>
      </c>
      <c r="I79" s="422">
        <f>SUMIF('NFI Tracking'!AM$6:AM$1048576,Table10[[#This Row],[Pcode]],'NFI Tracking'!AI$6:AI$1048576)</f>
        <v>0</v>
      </c>
      <c r="J79" s="422">
        <f ca="1">MAX(Table10[[#This Row],[HH]]*VLOOKUP("Winter Clothes Adult",NFI,6)-Table10[[#This Row],[Winter Clothes Adult ]],0)</f>
        <v>406</v>
      </c>
      <c r="K79" s="422">
        <f ca="1">MAX(Table10[[#This Row],[HH]]*VLOOKUP("Winter Clothes Children ",NFI,6)-Table10[[#This Row],[Winter Clothes Children ]],0)</f>
        <v>203</v>
      </c>
      <c r="L79" s="422">
        <f ca="1">MAX(Table10[[#This Row],[HH]]*VLOOKUP("Winter Items Other ",NFI,6)-Table10[[#This Row],[Winter Items Other ]],0)</f>
        <v>203</v>
      </c>
      <c r="M79" s="469" t="str">
        <f>IF(OR(Table10[[#This Row],[Winter Clothes Adult ]]&lt;&gt;0,Table10[[#This Row],[Winter Clothes Children ]]&lt;&gt;0,Table10[[#This Row],[Winter Items Other ]]&lt;&gt;0),"No","")</f>
        <v/>
      </c>
      <c r="N79" s="470">
        <f>COUNTIF(A:A,Table10[[#This Row],[Pcode]])-1</f>
        <v>0</v>
      </c>
    </row>
    <row r="80" spans="1:14" x14ac:dyDescent="0.25">
      <c r="A80" s="381" t="s">
        <v>254</v>
      </c>
      <c r="B80" s="26" t="str">
        <f ca="1">OFFSET(CampList[Priority],MATCH(Table10[[#This Row],[Pcode]],CampList[CP_Pcode],0)-1,0,1,1)</f>
        <v>P4</v>
      </c>
      <c r="C80" s="26" t="str">
        <f ca="1">OFFSET(CampList[Camp],MATCH(Table10[[#This Row],[Pcode]],CampList[CP_Pcode],0)-1,0,1,1)</f>
        <v>Jan Mai Kawng Catholic Church</v>
      </c>
      <c r="D80" s="26" t="str">
        <f ca="1">OFFSET(CampList[Township],MATCH(Table10[[#This Row],[Pcode]],CampList[CP_Pcode],0)-1,0,1,1)</f>
        <v>Myitkyina</v>
      </c>
      <c r="E80" s="422">
        <f ca="1">OFFSET(CampList[HH],MATCH(Table10[[#This Row],[Pcode]],CampList[CP_Pcode],0)-1,0,1,1)</f>
        <v>109</v>
      </c>
      <c r="F80" s="422">
        <f ca="1">OFFSET(CampList[Total],MATCH(Table10[[#This Row],[Pcode]],CampList[CP_Pcode],0)-1,0,1,1)</f>
        <v>493</v>
      </c>
      <c r="G80" s="422">
        <f>SUMIF('NFI Tracking'!AM$6:AM$1048576,Table10[[#This Row],[Pcode]],'NFI Tracking'!AG$6:AG$1048576)</f>
        <v>0</v>
      </c>
      <c r="H80" s="422">
        <f>SUMIF('NFI Tracking'!AM$6:AM$1048576,Table10[[#This Row],[Pcode]],'NFI Tracking'!AH$6:AH$1048576)</f>
        <v>0</v>
      </c>
      <c r="I80" s="422">
        <f>SUMIF('NFI Tracking'!AM$6:AM$1048576,Table10[[#This Row],[Pcode]],'NFI Tracking'!AI$6:AI$1048576)</f>
        <v>0</v>
      </c>
      <c r="J80" s="422">
        <f ca="1">MAX(Table10[[#This Row],[HH]]*VLOOKUP("Winter Clothes Adult",NFI,6)-Table10[[#This Row],[Winter Clothes Adult ]],0)</f>
        <v>218</v>
      </c>
      <c r="K80" s="422">
        <f ca="1">MAX(Table10[[#This Row],[HH]]*VLOOKUP("Winter Clothes Children ",NFI,6)-Table10[[#This Row],[Winter Clothes Children ]],0)</f>
        <v>109</v>
      </c>
      <c r="L80" s="422">
        <f ca="1">MAX(Table10[[#This Row],[HH]]*VLOOKUP("Winter Items Other ",NFI,6)-Table10[[#This Row],[Winter Items Other ]],0)</f>
        <v>109</v>
      </c>
      <c r="M80" s="469" t="str">
        <f>IF(OR(Table10[[#This Row],[Winter Clothes Adult ]]&lt;&gt;0,Table10[[#This Row],[Winter Clothes Children ]]&lt;&gt;0,Table10[[#This Row],[Winter Items Other ]]&lt;&gt;0),"No","")</f>
        <v/>
      </c>
      <c r="N80" s="470">
        <f>COUNTIF(A:A,Table10[[#This Row],[Pcode]])-1</f>
        <v>0</v>
      </c>
    </row>
    <row r="81" spans="1:14" x14ac:dyDescent="0.25">
      <c r="A81" s="381" t="s">
        <v>524</v>
      </c>
      <c r="B81" s="26" t="str">
        <f ca="1">OFFSET(CampList[Priority],MATCH(Table10[[#This Row],[Pcode]],CampList[CP_Pcode],0)-1,0,1,1)</f>
        <v>P4</v>
      </c>
      <c r="C81" s="26" t="str">
        <f ca="1">OFFSET(CampList[Camp],MATCH(Table10[[#This Row],[Pcode]],CampList[CP_Pcode],0)-1,0,1,1)</f>
        <v>Khun Sint Village</v>
      </c>
      <c r="D81" s="26" t="str">
        <f ca="1">OFFSET(CampList[Township],MATCH(Table10[[#This Row],[Pcode]],CampList[CP_Pcode],0)-1,0,1,1)</f>
        <v>Momauk</v>
      </c>
      <c r="E81" s="422">
        <f ca="1">OFFSET(CampList[HH],MATCH(Table10[[#This Row],[Pcode]],CampList[CP_Pcode],0)-1,0,1,1)</f>
        <v>4</v>
      </c>
      <c r="F81" s="422">
        <f ca="1">OFFSET(CampList[Total],MATCH(Table10[[#This Row],[Pcode]],CampList[CP_Pcode],0)-1,0,1,1)</f>
        <v>26</v>
      </c>
      <c r="G81" s="422">
        <f>SUMIF('NFI Tracking'!AM$6:AM$1048576,Table10[[#This Row],[Pcode]],'NFI Tracking'!AG$6:AG$1048576)</f>
        <v>0</v>
      </c>
      <c r="H81" s="422">
        <f>SUMIF('NFI Tracking'!AM$6:AM$1048576,Table10[[#This Row],[Pcode]],'NFI Tracking'!AH$6:AH$1048576)</f>
        <v>0</v>
      </c>
      <c r="I81" s="422">
        <f>SUMIF('NFI Tracking'!AM$6:AM$1048576,Table10[[#This Row],[Pcode]],'NFI Tracking'!AI$6:AI$1048576)</f>
        <v>0</v>
      </c>
      <c r="J81" s="422">
        <f ca="1">MAX(Table10[[#This Row],[HH]]*VLOOKUP("Winter Clothes Adult",NFI,6)-Table10[[#This Row],[Winter Clothes Adult ]],0)</f>
        <v>8</v>
      </c>
      <c r="K81" s="422">
        <f ca="1">MAX(Table10[[#This Row],[HH]]*VLOOKUP("Winter Clothes Children ",NFI,6)-Table10[[#This Row],[Winter Clothes Children ]],0)</f>
        <v>4</v>
      </c>
      <c r="L81" s="422">
        <f ca="1">MAX(Table10[[#This Row],[HH]]*VLOOKUP("Winter Items Other ",NFI,6)-Table10[[#This Row],[Winter Items Other ]],0)</f>
        <v>4</v>
      </c>
      <c r="M81" s="469" t="str">
        <f>IF(OR(Table10[[#This Row],[Winter Clothes Adult ]]&lt;&gt;0,Table10[[#This Row],[Winter Clothes Children ]]&lt;&gt;0,Table10[[#This Row],[Winter Items Other ]]&lt;&gt;0),"No","")</f>
        <v/>
      </c>
      <c r="N81" s="470">
        <f>COUNTIF(A:A,Table10[[#This Row],[Pcode]])-1</f>
        <v>0</v>
      </c>
    </row>
    <row r="82" spans="1:14" x14ac:dyDescent="0.25">
      <c r="A82" s="381" t="s">
        <v>256</v>
      </c>
      <c r="B82" s="26" t="str">
        <f ca="1">OFFSET(CampList[Priority],MATCH(Table10[[#This Row],[Pcode]],CampList[CP_Pcode],0)-1,0,1,1)</f>
        <v>P4</v>
      </c>
      <c r="C82" s="26" t="str">
        <f ca="1">OFFSET(CampList[Camp],MATCH(Table10[[#This Row],[Pcode]],CampList[CP_Pcode],0)-1,0,1,1)</f>
        <v>Kyun Pin Thar Baptist Church</v>
      </c>
      <c r="D82" s="26" t="str">
        <f ca="1">OFFSET(CampList[Township],MATCH(Table10[[#This Row],[Pcode]],CampList[CP_Pcode],0)-1,0,1,1)</f>
        <v>Myitkyina</v>
      </c>
      <c r="E82" s="422">
        <f ca="1">OFFSET(CampList[HH],MATCH(Table10[[#This Row],[Pcode]],CampList[CP_Pcode],0)-1,0,1,1)</f>
        <v>45</v>
      </c>
      <c r="F82" s="422">
        <f ca="1">OFFSET(CampList[Total],MATCH(Table10[[#This Row],[Pcode]],CampList[CP_Pcode],0)-1,0,1,1)</f>
        <v>194</v>
      </c>
      <c r="G82" s="422">
        <f>SUMIF('NFI Tracking'!AM$6:AM$1048576,Table10[[#This Row],[Pcode]],'NFI Tracking'!AG$6:AG$1048576)</f>
        <v>0</v>
      </c>
      <c r="H82" s="422">
        <f>SUMIF('NFI Tracking'!AM$6:AM$1048576,Table10[[#This Row],[Pcode]],'NFI Tracking'!AH$6:AH$1048576)</f>
        <v>0</v>
      </c>
      <c r="I82" s="422">
        <f>SUMIF('NFI Tracking'!AM$6:AM$1048576,Table10[[#This Row],[Pcode]],'NFI Tracking'!AI$6:AI$1048576)</f>
        <v>0</v>
      </c>
      <c r="J82" s="422">
        <f ca="1">MAX(Table10[[#This Row],[HH]]*VLOOKUP("Winter Clothes Adult",NFI,6)-Table10[[#This Row],[Winter Clothes Adult ]],0)</f>
        <v>90</v>
      </c>
      <c r="K82" s="422">
        <f ca="1">MAX(Table10[[#This Row],[HH]]*VLOOKUP("Winter Clothes Children ",NFI,6)-Table10[[#This Row],[Winter Clothes Children ]],0)</f>
        <v>45</v>
      </c>
      <c r="L82" s="422">
        <f ca="1">MAX(Table10[[#This Row],[HH]]*VLOOKUP("Winter Items Other ",NFI,6)-Table10[[#This Row],[Winter Items Other ]],0)</f>
        <v>45</v>
      </c>
      <c r="M82" s="469" t="str">
        <f>IF(OR(Table10[[#This Row],[Winter Clothes Adult ]]&lt;&gt;0,Table10[[#This Row],[Winter Clothes Children ]]&lt;&gt;0,Table10[[#This Row],[Winter Items Other ]]&lt;&gt;0),"No","")</f>
        <v/>
      </c>
      <c r="N82" s="470">
        <f>COUNTIF(A:A,Table10[[#This Row],[Pcode]])-1</f>
        <v>0</v>
      </c>
    </row>
    <row r="83" spans="1:14" x14ac:dyDescent="0.25">
      <c r="A83" s="381" t="s">
        <v>172</v>
      </c>
      <c r="B83" s="26" t="str">
        <f ca="1">OFFSET(CampList[Priority],MATCH(Table10[[#This Row],[Pcode]],CampList[CP_Pcode],0)-1,0,1,1)</f>
        <v>P4</v>
      </c>
      <c r="C83" s="26" t="str">
        <f ca="1">OFFSET(CampList[Camp],MATCH(Table10[[#This Row],[Pcode]],CampList[CP_Pcode],0)-1,0,1,1)</f>
        <v xml:space="preserve">Kyun Taw Baptist Church </v>
      </c>
      <c r="D83" s="26" t="str">
        <f ca="1">OFFSET(CampList[Township],MATCH(Table10[[#This Row],[Pcode]],CampList[CP_Pcode],0)-1,0,1,1)</f>
        <v>Mogaung</v>
      </c>
      <c r="E83" s="422">
        <f ca="1">OFFSET(CampList[HH],MATCH(Table10[[#This Row],[Pcode]],CampList[CP_Pcode],0)-1,0,1,1)</f>
        <v>16</v>
      </c>
      <c r="F83" s="422">
        <f ca="1">OFFSET(CampList[Total],MATCH(Table10[[#This Row],[Pcode]],CampList[CP_Pcode],0)-1,0,1,1)</f>
        <v>69</v>
      </c>
      <c r="G83" s="422">
        <f>SUMIF('NFI Tracking'!AM$6:AM$1048576,Table10[[#This Row],[Pcode]],'NFI Tracking'!AG$6:AG$1048576)</f>
        <v>0</v>
      </c>
      <c r="H83" s="422">
        <f>SUMIF('NFI Tracking'!AM$6:AM$1048576,Table10[[#This Row],[Pcode]],'NFI Tracking'!AH$6:AH$1048576)</f>
        <v>0</v>
      </c>
      <c r="I83" s="422">
        <f>SUMIF('NFI Tracking'!AM$6:AM$1048576,Table10[[#This Row],[Pcode]],'NFI Tracking'!AI$6:AI$1048576)</f>
        <v>0</v>
      </c>
      <c r="J83" s="422">
        <f ca="1">MAX(Table10[[#This Row],[HH]]*VLOOKUP("Winter Clothes Adult",NFI,6)-Table10[[#This Row],[Winter Clothes Adult ]],0)</f>
        <v>32</v>
      </c>
      <c r="K83" s="422">
        <f ca="1">MAX(Table10[[#This Row],[HH]]*VLOOKUP("Winter Clothes Children ",NFI,6)-Table10[[#This Row],[Winter Clothes Children ]],0)</f>
        <v>16</v>
      </c>
      <c r="L83" s="422">
        <f ca="1">MAX(Table10[[#This Row],[HH]]*VLOOKUP("Winter Items Other ",NFI,6)-Table10[[#This Row],[Winter Items Other ]],0)</f>
        <v>16</v>
      </c>
      <c r="M83" s="469" t="str">
        <f>IF(OR(Table10[[#This Row],[Winter Clothes Adult ]]&lt;&gt;0,Table10[[#This Row],[Winter Clothes Children ]]&lt;&gt;0,Table10[[#This Row],[Winter Items Other ]]&lt;&gt;0),"No","")</f>
        <v/>
      </c>
      <c r="N83" s="470">
        <f>COUNTIF(A:A,Table10[[#This Row],[Pcode]])-1</f>
        <v>0</v>
      </c>
    </row>
    <row r="84" spans="1:14" x14ac:dyDescent="0.25">
      <c r="A84" s="381" t="s">
        <v>143</v>
      </c>
      <c r="B84" s="26" t="str">
        <f ca="1">OFFSET(CampList[Priority],MATCH(Table10[[#This Row],[Pcode]],CampList[CP_Pcode],0)-1,0,1,1)</f>
        <v>P4</v>
      </c>
      <c r="C84" s="26" t="str">
        <f ca="1">OFFSET(CampList[Camp],MATCH(Table10[[#This Row],[Pcode]],CampList[CP_Pcode],0)-1,0,1,1)</f>
        <v>La Ja</v>
      </c>
      <c r="D84" s="26" t="str">
        <f ca="1">OFFSET(CampList[Township],MATCH(Table10[[#This Row],[Pcode]],CampList[CP_Pcode],0)-1,0,1,1)</f>
        <v>Khaunglanhpu</v>
      </c>
      <c r="E84" s="422">
        <f ca="1">OFFSET(CampList[HH],MATCH(Table10[[#This Row],[Pcode]],CampList[CP_Pcode],0)-1,0,1,1)</f>
        <v>11</v>
      </c>
      <c r="F84" s="422">
        <f ca="1">OFFSET(CampList[Total],MATCH(Table10[[#This Row],[Pcode]],CampList[CP_Pcode],0)-1,0,1,1)</f>
        <v>17</v>
      </c>
      <c r="G84" s="422">
        <f>SUMIF('NFI Tracking'!AM$6:AM$1048576,Table10[[#This Row],[Pcode]],'NFI Tracking'!AG$6:AG$1048576)</f>
        <v>0</v>
      </c>
      <c r="H84" s="422">
        <f>SUMIF('NFI Tracking'!AM$6:AM$1048576,Table10[[#This Row],[Pcode]],'NFI Tracking'!AH$6:AH$1048576)</f>
        <v>0</v>
      </c>
      <c r="I84" s="422">
        <f>SUMIF('NFI Tracking'!AM$6:AM$1048576,Table10[[#This Row],[Pcode]],'NFI Tracking'!AI$6:AI$1048576)</f>
        <v>0</v>
      </c>
      <c r="J84" s="422">
        <f ca="1">MAX(Table10[[#This Row],[HH]]*VLOOKUP("Winter Clothes Adult",NFI,6)-Table10[[#This Row],[Winter Clothes Adult ]],0)</f>
        <v>22</v>
      </c>
      <c r="K84" s="422">
        <f ca="1">MAX(Table10[[#This Row],[HH]]*VLOOKUP("Winter Clothes Children ",NFI,6)-Table10[[#This Row],[Winter Clothes Children ]],0)</f>
        <v>11</v>
      </c>
      <c r="L84" s="422">
        <f ca="1">MAX(Table10[[#This Row],[HH]]*VLOOKUP("Winter Items Other ",NFI,6)-Table10[[#This Row],[Winter Items Other ]],0)</f>
        <v>11</v>
      </c>
      <c r="M84" s="469" t="str">
        <f>IF(OR(Table10[[#This Row],[Winter Clothes Adult ]]&lt;&gt;0,Table10[[#This Row],[Winter Clothes Children ]]&lt;&gt;0,Table10[[#This Row],[Winter Items Other ]]&lt;&gt;0),"No","")</f>
        <v/>
      </c>
      <c r="N84" s="470">
        <f>COUNTIF(A:A,Table10[[#This Row],[Pcode]])-1</f>
        <v>0</v>
      </c>
    </row>
    <row r="85" spans="1:14" x14ac:dyDescent="0.25">
      <c r="A85" s="381" t="s">
        <v>519</v>
      </c>
      <c r="B85" s="26" t="str">
        <f ca="1">OFFSET(CampList[Priority],MATCH(Table10[[#This Row],[Pcode]],CampList[CP_Pcode],0)-1,0,1,1)</f>
        <v>P4</v>
      </c>
      <c r="C85" s="26" t="str">
        <f ca="1">OFFSET(CampList[Camp],MATCH(Table10[[#This Row],[Pcode]],CampList[CP_Pcode],0)-1,0,1,1)</f>
        <v xml:space="preserve">Lagatyan </v>
      </c>
      <c r="D85" s="26" t="str">
        <f ca="1">OFFSET(CampList[Township],MATCH(Table10[[#This Row],[Pcode]],CampList[CP_Pcode],0)-1,0,1,1)</f>
        <v>Mansi</v>
      </c>
      <c r="E85" s="422">
        <f ca="1">OFFSET(CampList[HH],MATCH(Table10[[#This Row],[Pcode]],CampList[CP_Pcode],0)-1,0,1,1)</f>
        <v>0</v>
      </c>
      <c r="F85" s="422">
        <f ca="1">OFFSET(CampList[Total],MATCH(Table10[[#This Row],[Pcode]],CampList[CP_Pcode],0)-1,0,1,1)</f>
        <v>0</v>
      </c>
      <c r="G85" s="422">
        <f>SUMIF('NFI Tracking'!AM$6:AM$1048576,Table10[[#This Row],[Pcode]],'NFI Tracking'!AG$6:AG$1048576)</f>
        <v>0</v>
      </c>
      <c r="H85" s="422">
        <f>SUMIF('NFI Tracking'!AM$6:AM$1048576,Table10[[#This Row],[Pcode]],'NFI Tracking'!AH$6:AH$1048576)</f>
        <v>0</v>
      </c>
      <c r="I85" s="422">
        <f>SUMIF('NFI Tracking'!AM$6:AM$1048576,Table10[[#This Row],[Pcode]],'NFI Tracking'!AI$6:AI$1048576)</f>
        <v>0</v>
      </c>
      <c r="J85" s="422">
        <f ca="1">MAX(Table10[[#This Row],[HH]]*VLOOKUP("Winter Clothes Adult",NFI,6)-Table10[[#This Row],[Winter Clothes Adult ]],0)</f>
        <v>0</v>
      </c>
      <c r="K85" s="422">
        <f ca="1">MAX(Table10[[#This Row],[HH]]*VLOOKUP("Winter Clothes Children ",NFI,6)-Table10[[#This Row],[Winter Clothes Children ]],0)</f>
        <v>0</v>
      </c>
      <c r="L85" s="422">
        <f ca="1">MAX(Table10[[#This Row],[HH]]*VLOOKUP("Winter Items Other ",NFI,6)-Table10[[#This Row],[Winter Items Other ]],0)</f>
        <v>0</v>
      </c>
      <c r="M85" s="469" t="str">
        <f>IF(OR(Table10[[#This Row],[Winter Clothes Adult ]]&lt;&gt;0,Table10[[#This Row],[Winter Clothes Children ]]&lt;&gt;0,Table10[[#This Row],[Winter Items Other ]]&lt;&gt;0),"No","")</f>
        <v/>
      </c>
      <c r="N85" s="470">
        <f>COUNTIF(A:A,Table10[[#This Row],[Pcode]])-1</f>
        <v>0</v>
      </c>
    </row>
    <row r="86" spans="1:14" x14ac:dyDescent="0.25">
      <c r="A86" s="381" t="s">
        <v>339</v>
      </c>
      <c r="B86" s="26" t="str">
        <f ca="1">OFFSET(CampList[Priority],MATCH(Table10[[#This Row],[Pcode]],CampList[CP_Pcode],0)-1,0,1,1)</f>
        <v>P4</v>
      </c>
      <c r="C86" s="26" t="str">
        <f ca="1">OFFSET(CampList[Camp],MATCH(Table10[[#This Row],[Pcode]],CampList[CP_Pcode],0)-1,0,1,1)</f>
        <v>Laiza Muklum Hpyen  Yen Mungshawa ni</v>
      </c>
      <c r="D86" s="26" t="str">
        <f ca="1">OFFSET(CampList[Township],MATCH(Table10[[#This Row],[Pcode]],CampList[CP_Pcode],0)-1,0,1,1)</f>
        <v>Waingmaw</v>
      </c>
      <c r="E86" s="422">
        <f ca="1">OFFSET(CampList[HH],MATCH(Table10[[#This Row],[Pcode]],CampList[CP_Pcode],0)-1,0,1,1)</f>
        <v>355</v>
      </c>
      <c r="F86" s="422">
        <f ca="1">OFFSET(CampList[Total],MATCH(Table10[[#This Row],[Pcode]],CampList[CP_Pcode],0)-1,0,1,1)</f>
        <v>4450</v>
      </c>
      <c r="G86" s="422">
        <f>SUMIF('NFI Tracking'!AM$6:AM$1048576,Table10[[#This Row],[Pcode]],'NFI Tracking'!AG$6:AG$1048576)</f>
        <v>0</v>
      </c>
      <c r="H86" s="422">
        <f>SUMIF('NFI Tracking'!AM$6:AM$1048576,Table10[[#This Row],[Pcode]],'NFI Tracking'!AH$6:AH$1048576)</f>
        <v>0</v>
      </c>
      <c r="I86" s="422">
        <f>SUMIF('NFI Tracking'!AM$6:AM$1048576,Table10[[#This Row],[Pcode]],'NFI Tracking'!AI$6:AI$1048576)</f>
        <v>0</v>
      </c>
      <c r="J86" s="422">
        <f ca="1">MAX(Table10[[#This Row],[HH]]*VLOOKUP("Winter Clothes Adult",NFI,6)-Table10[[#This Row],[Winter Clothes Adult ]],0)</f>
        <v>710</v>
      </c>
      <c r="K86" s="422">
        <f ca="1">MAX(Table10[[#This Row],[HH]]*VLOOKUP("Winter Clothes Children ",NFI,6)-Table10[[#This Row],[Winter Clothes Children ]],0)</f>
        <v>355</v>
      </c>
      <c r="L86" s="422">
        <f ca="1">MAX(Table10[[#This Row],[HH]]*VLOOKUP("Winter Items Other ",NFI,6)-Table10[[#This Row],[Winter Items Other ]],0)</f>
        <v>355</v>
      </c>
      <c r="M86" s="469" t="str">
        <f>IF(OR(Table10[[#This Row],[Winter Clothes Adult ]]&lt;&gt;0,Table10[[#This Row],[Winter Clothes Children ]]&lt;&gt;0,Table10[[#This Row],[Winter Items Other ]]&lt;&gt;0),"No","")</f>
        <v/>
      </c>
      <c r="N86" s="470">
        <f>COUNTIF(A:A,Table10[[#This Row],[Pcode]])-1</f>
        <v>0</v>
      </c>
    </row>
    <row r="87" spans="1:14" x14ac:dyDescent="0.25">
      <c r="A87" s="381" t="s">
        <v>303</v>
      </c>
      <c r="B87" s="26" t="str">
        <f ca="1">OFFSET(CampList[Priority],MATCH(Table10[[#This Row],[Pcode]],CampList[CP_Pcode],0)-1,0,1,1)</f>
        <v>P4</v>
      </c>
      <c r="C87" s="26" t="str">
        <f ca="1">OFFSET(CampList[Camp],MATCH(Table10[[#This Row],[Pcode]],CampList[CP_Pcode],0)-1,0,1,1)</f>
        <v>Lawk Awng Mare D. (Sinbo Area)</v>
      </c>
      <c r="D87" s="26" t="str">
        <f ca="1">OFFSET(CampList[Township],MATCH(Table10[[#This Row],[Pcode]],CampList[CP_Pcode],0)-1,0,1,1)</f>
        <v>Shwegu</v>
      </c>
      <c r="E87" s="422">
        <f ca="1">OFFSET(CampList[HH],MATCH(Table10[[#This Row],[Pcode]],CampList[CP_Pcode],0)-1,0,1,1)</f>
        <v>375</v>
      </c>
      <c r="F87" s="422">
        <f ca="1">OFFSET(CampList[Total],MATCH(Table10[[#This Row],[Pcode]],CampList[CP_Pcode],0)-1,0,1,1)</f>
        <v>1691</v>
      </c>
      <c r="G87" s="422">
        <f>SUMIF('NFI Tracking'!AM$6:AM$1048576,Table10[[#This Row],[Pcode]],'NFI Tracking'!AG$6:AG$1048576)</f>
        <v>0</v>
      </c>
      <c r="H87" s="422">
        <f>SUMIF('NFI Tracking'!AM$6:AM$1048576,Table10[[#This Row],[Pcode]],'NFI Tracking'!AH$6:AH$1048576)</f>
        <v>0</v>
      </c>
      <c r="I87" s="422">
        <f>SUMIF('NFI Tracking'!AM$6:AM$1048576,Table10[[#This Row],[Pcode]],'NFI Tracking'!AI$6:AI$1048576)</f>
        <v>0</v>
      </c>
      <c r="J87" s="422">
        <f ca="1">MAX(Table10[[#This Row],[HH]]*VLOOKUP("Winter Clothes Adult",NFI,6)-Table10[[#This Row],[Winter Clothes Adult ]],0)</f>
        <v>750</v>
      </c>
      <c r="K87" s="422">
        <f ca="1">MAX(Table10[[#This Row],[HH]]*VLOOKUP("Winter Clothes Children ",NFI,6)-Table10[[#This Row],[Winter Clothes Children ]],0)</f>
        <v>375</v>
      </c>
      <c r="L87" s="422">
        <f ca="1">MAX(Table10[[#This Row],[HH]]*VLOOKUP("Winter Items Other ",NFI,6)-Table10[[#This Row],[Winter Items Other ]],0)</f>
        <v>375</v>
      </c>
      <c r="M87" s="469" t="str">
        <f>IF(OR(Table10[[#This Row],[Winter Clothes Adult ]]&lt;&gt;0,Table10[[#This Row],[Winter Clothes Children ]]&lt;&gt;0,Table10[[#This Row],[Winter Items Other ]]&lt;&gt;0),"No","")</f>
        <v/>
      </c>
      <c r="N87" s="470">
        <f>COUNTIF(A:A,Table10[[#This Row],[Pcode]])-1</f>
        <v>0</v>
      </c>
    </row>
    <row r="88" spans="1:14" x14ac:dyDescent="0.25">
      <c r="A88" s="381" t="s">
        <v>239</v>
      </c>
      <c r="B88" s="26" t="str">
        <f ca="1">OFFSET(CampList[Priority],MATCH(Table10[[#This Row],[Pcode]],CampList[CP_Pcode],0)-1,0,1,1)</f>
        <v>P4</v>
      </c>
      <c r="C88" s="26" t="str">
        <f ca="1">OFFSET(CampList[Camp],MATCH(Table10[[#This Row],[Pcode]],CampList[CP_Pcode],0)-1,0,1,1)</f>
        <v>Le Kone Bethlehem Church</v>
      </c>
      <c r="D88" s="26" t="str">
        <f ca="1">OFFSET(CampList[Township],MATCH(Table10[[#This Row],[Pcode]],CampList[CP_Pcode],0)-1,0,1,1)</f>
        <v>Myitkyina</v>
      </c>
      <c r="E88" s="422">
        <f ca="1">OFFSET(CampList[HH],MATCH(Table10[[#This Row],[Pcode]],CampList[CP_Pcode],0)-1,0,1,1)</f>
        <v>108</v>
      </c>
      <c r="F88" s="422">
        <f ca="1">OFFSET(CampList[Total],MATCH(Table10[[#This Row],[Pcode]],CampList[CP_Pcode],0)-1,0,1,1)</f>
        <v>605</v>
      </c>
      <c r="G88" s="422">
        <f>SUMIF('NFI Tracking'!AM$6:AM$1048576,Table10[[#This Row],[Pcode]],'NFI Tracking'!AG$6:AG$1048576)</f>
        <v>0</v>
      </c>
      <c r="H88" s="422">
        <f>SUMIF('NFI Tracking'!AM$6:AM$1048576,Table10[[#This Row],[Pcode]],'NFI Tracking'!AH$6:AH$1048576)</f>
        <v>0</v>
      </c>
      <c r="I88" s="422">
        <f>SUMIF('NFI Tracking'!AM$6:AM$1048576,Table10[[#This Row],[Pcode]],'NFI Tracking'!AI$6:AI$1048576)</f>
        <v>0</v>
      </c>
      <c r="J88" s="422">
        <f ca="1">MAX(Table10[[#This Row],[HH]]*VLOOKUP("Winter Clothes Adult",NFI,6)-Table10[[#This Row],[Winter Clothes Adult ]],0)</f>
        <v>216</v>
      </c>
      <c r="K88" s="422">
        <f ca="1">MAX(Table10[[#This Row],[HH]]*VLOOKUP("Winter Clothes Children ",NFI,6)-Table10[[#This Row],[Winter Clothes Children ]],0)</f>
        <v>108</v>
      </c>
      <c r="L88" s="422">
        <f ca="1">MAX(Table10[[#This Row],[HH]]*VLOOKUP("Winter Items Other ",NFI,6)-Table10[[#This Row],[Winter Items Other ]],0)</f>
        <v>108</v>
      </c>
      <c r="M88" s="469" t="str">
        <f>IF(OR(Table10[[#This Row],[Winter Clothes Adult ]]&lt;&gt;0,Table10[[#This Row],[Winter Clothes Children ]]&lt;&gt;0,Table10[[#This Row],[Winter Items Other ]]&lt;&gt;0),"No","")</f>
        <v/>
      </c>
      <c r="N88" s="470">
        <f>COUNTIF(A:A,Table10[[#This Row],[Pcode]])-1</f>
        <v>0</v>
      </c>
    </row>
    <row r="89" spans="1:14" x14ac:dyDescent="0.25">
      <c r="A89" s="381" t="s">
        <v>284</v>
      </c>
      <c r="B89" s="26" t="str">
        <f ca="1">OFFSET(CampList[Priority],MATCH(Table10[[#This Row],[Pcode]],CampList[CP_Pcode],0)-1,0,1,1)</f>
        <v>P4</v>
      </c>
      <c r="C89" s="26" t="str">
        <f ca="1">OFFSET(CampList[Camp],MATCH(Table10[[#This Row],[Pcode]],CampList[CP_Pcode],0)-1,0,1,1)</f>
        <v xml:space="preserve">Le Kone Ziun Baptist Church </v>
      </c>
      <c r="D89" s="26" t="str">
        <f ca="1">OFFSET(CampList[Township],MATCH(Table10[[#This Row],[Pcode]],CampList[CP_Pcode],0)-1,0,1,1)</f>
        <v>Myitkyina</v>
      </c>
      <c r="E89" s="422">
        <f ca="1">OFFSET(CampList[HH],MATCH(Table10[[#This Row],[Pcode]],CampList[CP_Pcode],0)-1,0,1,1)</f>
        <v>163</v>
      </c>
      <c r="F89" s="422">
        <f ca="1">OFFSET(CampList[Total],MATCH(Table10[[#This Row],[Pcode]],CampList[CP_Pcode],0)-1,0,1,1)</f>
        <v>712</v>
      </c>
      <c r="G89" s="422">
        <f>SUMIF('NFI Tracking'!AM$6:AM$1048576,Table10[[#This Row],[Pcode]],'NFI Tracking'!AG$6:AG$1048576)</f>
        <v>0</v>
      </c>
      <c r="H89" s="422">
        <f>SUMIF('NFI Tracking'!AM$6:AM$1048576,Table10[[#This Row],[Pcode]],'NFI Tracking'!AH$6:AH$1048576)</f>
        <v>0</v>
      </c>
      <c r="I89" s="422">
        <f>SUMIF('NFI Tracking'!AM$6:AM$1048576,Table10[[#This Row],[Pcode]],'NFI Tracking'!AI$6:AI$1048576)</f>
        <v>0</v>
      </c>
      <c r="J89" s="422">
        <f ca="1">MAX(Table10[[#This Row],[HH]]*VLOOKUP("Winter Clothes Adult",NFI,6)-Table10[[#This Row],[Winter Clothes Adult ]],0)</f>
        <v>326</v>
      </c>
      <c r="K89" s="422">
        <f ca="1">MAX(Table10[[#This Row],[HH]]*VLOOKUP("Winter Clothes Children ",NFI,6)-Table10[[#This Row],[Winter Clothes Children ]],0)</f>
        <v>163</v>
      </c>
      <c r="L89" s="422">
        <f ca="1">MAX(Table10[[#This Row],[HH]]*VLOOKUP("Winter Items Other ",NFI,6)-Table10[[#This Row],[Winter Items Other ]],0)</f>
        <v>163</v>
      </c>
      <c r="M89" s="469" t="str">
        <f>IF(OR(Table10[[#This Row],[Winter Clothes Adult ]]&lt;&gt;0,Table10[[#This Row],[Winter Clothes Children ]]&lt;&gt;0,Table10[[#This Row],[Winter Items Other ]]&lt;&gt;0),"No","")</f>
        <v/>
      </c>
      <c r="N89" s="470">
        <f>COUNTIF(A:A,Table10[[#This Row],[Pcode]])-1</f>
        <v>0</v>
      </c>
    </row>
    <row r="90" spans="1:14" x14ac:dyDescent="0.25">
      <c r="A90" s="381" t="s">
        <v>89</v>
      </c>
      <c r="B90" s="26" t="str">
        <f ca="1">OFFSET(CampList[Priority],MATCH(Table10[[#This Row],[Pcode]],CampList[CP_Pcode],0)-1,0,1,1)</f>
        <v>P4</v>
      </c>
      <c r="C90" s="26" t="str">
        <f ca="1">OFFSET(CampList[Camp],MATCH(Table10[[#This Row],[Pcode]],CampList[CP_Pcode],0)-1,0,1,1)</f>
        <v>Lisu Baptist Church, Maw Shan Vil,. Seik Mu</v>
      </c>
      <c r="D90" s="26" t="str">
        <f ca="1">OFFSET(CampList[Township],MATCH(Table10[[#This Row],[Pcode]],CampList[CP_Pcode],0)-1,0,1,1)</f>
        <v>Hpakant</v>
      </c>
      <c r="E90" s="422">
        <f ca="1">OFFSET(CampList[HH],MATCH(Table10[[#This Row],[Pcode]],CampList[CP_Pcode],0)-1,0,1,1)</f>
        <v>25</v>
      </c>
      <c r="F90" s="422">
        <f ca="1">OFFSET(CampList[Total],MATCH(Table10[[#This Row],[Pcode]],CampList[CP_Pcode],0)-1,0,1,1)</f>
        <v>133</v>
      </c>
      <c r="G90" s="422">
        <f>SUMIF('NFI Tracking'!AM$6:AM$1048576,Table10[[#This Row],[Pcode]],'NFI Tracking'!AG$6:AG$1048576)</f>
        <v>0</v>
      </c>
      <c r="H90" s="422">
        <f>SUMIF('NFI Tracking'!AM$6:AM$1048576,Table10[[#This Row],[Pcode]],'NFI Tracking'!AH$6:AH$1048576)</f>
        <v>0</v>
      </c>
      <c r="I90" s="422">
        <f>SUMIF('NFI Tracking'!AM$6:AM$1048576,Table10[[#This Row],[Pcode]],'NFI Tracking'!AI$6:AI$1048576)</f>
        <v>0</v>
      </c>
      <c r="J90" s="422">
        <f ca="1">MAX(Table10[[#This Row],[HH]]*VLOOKUP("Winter Clothes Adult",NFI,6)-Table10[[#This Row],[Winter Clothes Adult ]],0)</f>
        <v>50</v>
      </c>
      <c r="K90" s="422">
        <f ca="1">MAX(Table10[[#This Row],[HH]]*VLOOKUP("Winter Clothes Children ",NFI,6)-Table10[[#This Row],[Winter Clothes Children ]],0)</f>
        <v>25</v>
      </c>
      <c r="L90" s="422">
        <f ca="1">MAX(Table10[[#This Row],[HH]]*VLOOKUP("Winter Items Other ",NFI,6)-Table10[[#This Row],[Winter Items Other ]],0)</f>
        <v>25</v>
      </c>
      <c r="M90" s="469" t="str">
        <f>IF(OR(Table10[[#This Row],[Winter Clothes Adult ]]&lt;&gt;0,Table10[[#This Row],[Winter Clothes Children ]]&lt;&gt;0,Table10[[#This Row],[Winter Items Other ]]&lt;&gt;0),"No","")</f>
        <v/>
      </c>
      <c r="N90" s="470">
        <f>COUNTIF(A:A,Table10[[#This Row],[Pcode]])-1</f>
        <v>0</v>
      </c>
    </row>
    <row r="91" spans="1:14" x14ac:dyDescent="0.25">
      <c r="A91" s="381" t="s">
        <v>91</v>
      </c>
      <c r="B91" s="26" t="str">
        <f ca="1">OFFSET(CampList[Priority],MATCH(Table10[[#This Row],[Pcode]],CampList[CP_Pcode],0)-1,0,1,1)</f>
        <v>P4</v>
      </c>
      <c r="C91" s="26" t="str">
        <f ca="1">OFFSET(CampList[Camp],MATCH(Table10[[#This Row],[Pcode]],CampList[CP_Pcode],0)-1,0,1,1)</f>
        <v>Lisu Baptist Church, Maw Wan Ward</v>
      </c>
      <c r="D91" s="26" t="str">
        <f ca="1">OFFSET(CampList[Township],MATCH(Table10[[#This Row],[Pcode]],CampList[CP_Pcode],0)-1,0,1,1)</f>
        <v>Hpakant</v>
      </c>
      <c r="E91" s="422">
        <f ca="1">OFFSET(CampList[HH],MATCH(Table10[[#This Row],[Pcode]],CampList[CP_Pcode],0)-1,0,1,1)</f>
        <v>15</v>
      </c>
      <c r="F91" s="422">
        <f ca="1">OFFSET(CampList[Total],MATCH(Table10[[#This Row],[Pcode]],CampList[CP_Pcode],0)-1,0,1,1)</f>
        <v>74</v>
      </c>
      <c r="G91" s="422">
        <f>SUMIF('NFI Tracking'!AM$6:AM$1048576,Table10[[#This Row],[Pcode]],'NFI Tracking'!AG$6:AG$1048576)</f>
        <v>0</v>
      </c>
      <c r="H91" s="422">
        <f>SUMIF('NFI Tracking'!AM$6:AM$1048576,Table10[[#This Row],[Pcode]],'NFI Tracking'!AH$6:AH$1048576)</f>
        <v>0</v>
      </c>
      <c r="I91" s="422">
        <f>SUMIF('NFI Tracking'!AM$6:AM$1048576,Table10[[#This Row],[Pcode]],'NFI Tracking'!AI$6:AI$1048576)</f>
        <v>0</v>
      </c>
      <c r="J91" s="422">
        <f ca="1">MAX(Table10[[#This Row],[HH]]*VLOOKUP("Winter Clothes Adult",NFI,6)-Table10[[#This Row],[Winter Clothes Adult ]],0)</f>
        <v>30</v>
      </c>
      <c r="K91" s="422">
        <f ca="1">MAX(Table10[[#This Row],[HH]]*VLOOKUP("Winter Clothes Children ",NFI,6)-Table10[[#This Row],[Winter Clothes Children ]],0)</f>
        <v>15</v>
      </c>
      <c r="L91" s="422">
        <f ca="1">MAX(Table10[[#This Row],[HH]]*VLOOKUP("Winter Items Other ",NFI,6)-Table10[[#This Row],[Winter Items Other ]],0)</f>
        <v>15</v>
      </c>
      <c r="M91" s="469" t="str">
        <f>IF(OR(Table10[[#This Row],[Winter Clothes Adult ]]&lt;&gt;0,Table10[[#This Row],[Winter Clothes Children ]]&lt;&gt;0,Table10[[#This Row],[Winter Items Other ]]&lt;&gt;0),"No","")</f>
        <v/>
      </c>
      <c r="N91" s="470">
        <f>COUNTIF(A:A,Table10[[#This Row],[Pcode]])-1</f>
        <v>0</v>
      </c>
    </row>
    <row r="92" spans="1:14" x14ac:dyDescent="0.25">
      <c r="A92" s="381" t="s">
        <v>17</v>
      </c>
      <c r="B92" s="26" t="str">
        <f ca="1">OFFSET(CampList[Priority],MATCH(Table10[[#This Row],[Pcode]],CampList[CP_Pcode],0)-1,0,1,1)</f>
        <v>P4</v>
      </c>
      <c r="C92" s="26" t="str">
        <f ca="1">OFFSET(CampList[Camp],MATCH(Table10[[#This Row],[Pcode]],CampList[CP_Pcode],0)-1,0,1,1)</f>
        <v>Lisu Boarding-House</v>
      </c>
      <c r="D92" s="26" t="str">
        <f ca="1">OFFSET(CampList[Township],MATCH(Table10[[#This Row],[Pcode]],CampList[CP_Pcode],0)-1,0,1,1)</f>
        <v>Bhamo</v>
      </c>
      <c r="E92" s="422">
        <f ca="1">OFFSET(CampList[HH],MATCH(Table10[[#This Row],[Pcode]],CampList[CP_Pcode],0)-1,0,1,1)</f>
        <v>116</v>
      </c>
      <c r="F92" s="422">
        <f ca="1">OFFSET(CampList[Total],MATCH(Table10[[#This Row],[Pcode]],CampList[CP_Pcode],0)-1,0,1,1)</f>
        <v>659</v>
      </c>
      <c r="G92" s="422">
        <f>SUMIF('NFI Tracking'!AM$6:AM$1048576,Table10[[#This Row],[Pcode]],'NFI Tracking'!AG$6:AG$1048576)</f>
        <v>0</v>
      </c>
      <c r="H92" s="422">
        <f>SUMIF('NFI Tracking'!AM$6:AM$1048576,Table10[[#This Row],[Pcode]],'NFI Tracking'!AH$6:AH$1048576)</f>
        <v>0</v>
      </c>
      <c r="I92" s="422">
        <f>SUMIF('NFI Tracking'!AM$6:AM$1048576,Table10[[#This Row],[Pcode]],'NFI Tracking'!AI$6:AI$1048576)</f>
        <v>0</v>
      </c>
      <c r="J92" s="422">
        <f ca="1">MAX(Table10[[#This Row],[HH]]*VLOOKUP("Winter Clothes Adult",NFI,6)-Table10[[#This Row],[Winter Clothes Adult ]],0)</f>
        <v>232</v>
      </c>
      <c r="K92" s="422">
        <f ca="1">MAX(Table10[[#This Row],[HH]]*VLOOKUP("Winter Clothes Children ",NFI,6)-Table10[[#This Row],[Winter Clothes Children ]],0)</f>
        <v>116</v>
      </c>
      <c r="L92" s="422">
        <f ca="1">MAX(Table10[[#This Row],[HH]]*VLOOKUP("Winter Items Other ",NFI,6)-Table10[[#This Row],[Winter Items Other ]],0)</f>
        <v>116</v>
      </c>
      <c r="M92" s="469" t="str">
        <f>IF(OR(Table10[[#This Row],[Winter Clothes Adult ]]&lt;&gt;0,Table10[[#This Row],[Winter Clothes Children ]]&lt;&gt;0,Table10[[#This Row],[Winter Items Other ]]&lt;&gt;0),"No","")</f>
        <v/>
      </c>
      <c r="N92" s="470">
        <f>COUNTIF(A:A,Table10[[#This Row],[Pcode]])-1</f>
        <v>0</v>
      </c>
    </row>
    <row r="93" spans="1:14" x14ac:dyDescent="0.25">
      <c r="A93" s="381" t="s">
        <v>319</v>
      </c>
      <c r="B93" s="26" t="str">
        <f ca="1">OFFSET(CampList[Priority],MATCH(Table10[[#This Row],[Pcode]],CampList[CP_Pcode],0)-1,0,1,1)</f>
        <v>P4</v>
      </c>
      <c r="C93" s="26" t="str">
        <f ca="1">OFFSET(CampList[Camp],MATCH(Table10[[#This Row],[Pcode]],CampList[CP_Pcode],0)-1,0,1,1)</f>
        <v>Mading Baptist Church</v>
      </c>
      <c r="D93" s="26" t="str">
        <f ca="1">OFFSET(CampList[Township],MATCH(Table10[[#This Row],[Pcode]],CampList[CP_Pcode],0)-1,0,1,1)</f>
        <v>Waingmaw</v>
      </c>
      <c r="E93" s="422">
        <f ca="1">OFFSET(CampList[HH],MATCH(Table10[[#This Row],[Pcode]],CampList[CP_Pcode],0)-1,0,1,1)</f>
        <v>25</v>
      </c>
      <c r="F93" s="422">
        <f ca="1">OFFSET(CampList[Total],MATCH(Table10[[#This Row],[Pcode]],CampList[CP_Pcode],0)-1,0,1,1)</f>
        <v>138</v>
      </c>
      <c r="G93" s="422">
        <f>SUMIF('NFI Tracking'!AM$6:AM$1048576,Table10[[#This Row],[Pcode]],'NFI Tracking'!AG$6:AG$1048576)</f>
        <v>0</v>
      </c>
      <c r="H93" s="422">
        <f>SUMIF('NFI Tracking'!AM$6:AM$1048576,Table10[[#This Row],[Pcode]],'NFI Tracking'!AH$6:AH$1048576)</f>
        <v>0</v>
      </c>
      <c r="I93" s="422">
        <f>SUMIF('NFI Tracking'!AM$6:AM$1048576,Table10[[#This Row],[Pcode]],'NFI Tracking'!AI$6:AI$1048576)</f>
        <v>0</v>
      </c>
      <c r="J93" s="422">
        <f ca="1">MAX(Table10[[#This Row],[HH]]*VLOOKUP("Winter Clothes Adult",NFI,6)-Table10[[#This Row],[Winter Clothes Adult ]],0)</f>
        <v>50</v>
      </c>
      <c r="K93" s="422">
        <f ca="1">MAX(Table10[[#This Row],[HH]]*VLOOKUP("Winter Clothes Children ",NFI,6)-Table10[[#This Row],[Winter Clothes Children ]],0)</f>
        <v>25</v>
      </c>
      <c r="L93" s="422">
        <f ca="1">MAX(Table10[[#This Row],[HH]]*VLOOKUP("Winter Items Other ",NFI,6)-Table10[[#This Row],[Winter Items Other ]],0)</f>
        <v>25</v>
      </c>
      <c r="M93" s="469" t="str">
        <f>IF(OR(Table10[[#This Row],[Winter Clothes Adult ]]&lt;&gt;0,Table10[[#This Row],[Winter Clothes Children ]]&lt;&gt;0,Table10[[#This Row],[Winter Items Other ]]&lt;&gt;0),"No","")</f>
        <v/>
      </c>
      <c r="N93" s="470">
        <f>COUNTIF(A:A,Table10[[#This Row],[Pcode]])-1</f>
        <v>0</v>
      </c>
    </row>
    <row r="94" spans="1:14" x14ac:dyDescent="0.25">
      <c r="A94" s="381" t="s">
        <v>199</v>
      </c>
      <c r="B94" s="26" t="str">
        <f ca="1">OFFSET(CampList[Priority],MATCH(Table10[[#This Row],[Pcode]],CampList[CP_Pcode],0)-1,0,1,1)</f>
        <v>P4</v>
      </c>
      <c r="C94" s="26" t="str">
        <f ca="1">OFFSET(CampList[Camp],MATCH(Table10[[#This Row],[Pcode]],CampList[CP_Pcode],0)-1,0,1,1)</f>
        <v xml:space="preserve">Mai Khat </v>
      </c>
      <c r="D94" s="26" t="str">
        <f ca="1">OFFSET(CampList[Township],MATCH(Table10[[#This Row],[Pcode]],CampList[CP_Pcode],0)-1,0,1,1)</f>
        <v>Momauk</v>
      </c>
      <c r="E94" s="422">
        <f ca="1">OFFSET(CampList[HH],MATCH(Table10[[#This Row],[Pcode]],CampList[CP_Pcode],0)-1,0,1,1)</f>
        <v>2</v>
      </c>
      <c r="F94" s="422">
        <f ca="1">OFFSET(CampList[Total],MATCH(Table10[[#This Row],[Pcode]],CampList[CP_Pcode],0)-1,0,1,1)</f>
        <v>9</v>
      </c>
      <c r="G94" s="422">
        <f>SUMIF('NFI Tracking'!AM$6:AM$1048576,Table10[[#This Row],[Pcode]],'NFI Tracking'!AG$6:AG$1048576)</f>
        <v>0</v>
      </c>
      <c r="H94" s="422">
        <f>SUMIF('NFI Tracking'!AM$6:AM$1048576,Table10[[#This Row],[Pcode]],'NFI Tracking'!AH$6:AH$1048576)</f>
        <v>0</v>
      </c>
      <c r="I94" s="422">
        <f>SUMIF('NFI Tracking'!AM$6:AM$1048576,Table10[[#This Row],[Pcode]],'NFI Tracking'!AI$6:AI$1048576)</f>
        <v>0</v>
      </c>
      <c r="J94" s="422">
        <f ca="1">MAX(Table10[[#This Row],[HH]]*VLOOKUP("Winter Clothes Adult",NFI,6)-Table10[[#This Row],[Winter Clothes Adult ]],0)</f>
        <v>4</v>
      </c>
      <c r="K94" s="422">
        <f ca="1">MAX(Table10[[#This Row],[HH]]*VLOOKUP("Winter Clothes Children ",NFI,6)-Table10[[#This Row],[Winter Clothes Children ]],0)</f>
        <v>2</v>
      </c>
      <c r="L94" s="422">
        <f ca="1">MAX(Table10[[#This Row],[HH]]*VLOOKUP("Winter Items Other ",NFI,6)-Table10[[#This Row],[Winter Items Other ]],0)</f>
        <v>2</v>
      </c>
      <c r="M94" s="469" t="str">
        <f>IF(OR(Table10[[#This Row],[Winter Clothes Adult ]]&lt;&gt;0,Table10[[#This Row],[Winter Clothes Children ]]&lt;&gt;0,Table10[[#This Row],[Winter Items Other ]]&lt;&gt;0),"No","")</f>
        <v/>
      </c>
      <c r="N94" s="470">
        <f>COUNTIF(A:A,Table10[[#This Row],[Pcode]])-1</f>
        <v>0</v>
      </c>
    </row>
    <row r="95" spans="1:14" x14ac:dyDescent="0.25">
      <c r="A95" s="381" t="s">
        <v>327</v>
      </c>
      <c r="B95" s="26" t="str">
        <f ca="1">OFFSET(CampList[Priority],MATCH(Table10[[#This Row],[Pcode]],CampList[CP_Pcode],0)-1,0,1,1)</f>
        <v>P4</v>
      </c>
      <c r="C95" s="26" t="str">
        <f ca="1">OFFSET(CampList[Camp],MATCH(Table10[[#This Row],[Pcode]],CampList[CP_Pcode],0)-1,0,1,1)</f>
        <v>Maina AG Church</v>
      </c>
      <c r="D95" s="26" t="str">
        <f ca="1">OFFSET(CampList[Township],MATCH(Table10[[#This Row],[Pcode]],CampList[CP_Pcode],0)-1,0,1,1)</f>
        <v>Waingmaw</v>
      </c>
      <c r="E95" s="422">
        <f ca="1">OFFSET(CampList[HH],MATCH(Table10[[#This Row],[Pcode]],CampList[CP_Pcode],0)-1,0,1,1)</f>
        <v>135</v>
      </c>
      <c r="F95" s="422">
        <f ca="1">OFFSET(CampList[Total],MATCH(Table10[[#This Row],[Pcode]],CampList[CP_Pcode],0)-1,0,1,1)</f>
        <v>738</v>
      </c>
      <c r="G95" s="422">
        <f>SUMIF('NFI Tracking'!AM$6:AM$1048576,Table10[[#This Row],[Pcode]],'NFI Tracking'!AG$6:AG$1048576)</f>
        <v>0</v>
      </c>
      <c r="H95" s="422">
        <f>SUMIF('NFI Tracking'!AM$6:AM$1048576,Table10[[#This Row],[Pcode]],'NFI Tracking'!AH$6:AH$1048576)</f>
        <v>0</v>
      </c>
      <c r="I95" s="422">
        <f>SUMIF('NFI Tracking'!AM$6:AM$1048576,Table10[[#This Row],[Pcode]],'NFI Tracking'!AI$6:AI$1048576)</f>
        <v>0</v>
      </c>
      <c r="J95" s="422">
        <f ca="1">MAX(Table10[[#This Row],[HH]]*VLOOKUP("Winter Clothes Adult",NFI,6)-Table10[[#This Row],[Winter Clothes Adult ]],0)</f>
        <v>270</v>
      </c>
      <c r="K95" s="422">
        <f ca="1">MAX(Table10[[#This Row],[HH]]*VLOOKUP("Winter Clothes Children ",NFI,6)-Table10[[#This Row],[Winter Clothes Children ]],0)</f>
        <v>135</v>
      </c>
      <c r="L95" s="422">
        <f ca="1">MAX(Table10[[#This Row],[HH]]*VLOOKUP("Winter Items Other ",NFI,6)-Table10[[#This Row],[Winter Items Other ]],0)</f>
        <v>135</v>
      </c>
      <c r="M95" s="469" t="str">
        <f>IF(OR(Table10[[#This Row],[Winter Clothes Adult ]]&lt;&gt;0,Table10[[#This Row],[Winter Clothes Children ]]&lt;&gt;0,Table10[[#This Row],[Winter Items Other ]]&lt;&gt;0),"No","")</f>
        <v/>
      </c>
      <c r="N95" s="470">
        <f>COUNTIF(A:A,Table10[[#This Row],[Pcode]])-1</f>
        <v>0</v>
      </c>
    </row>
    <row r="96" spans="1:14" x14ac:dyDescent="0.25">
      <c r="A96" s="381" t="s">
        <v>329</v>
      </c>
      <c r="B96" s="26" t="str">
        <f ca="1">OFFSET(CampList[Priority],MATCH(Table10[[#This Row],[Pcode]],CampList[CP_Pcode],0)-1,0,1,1)</f>
        <v>P4</v>
      </c>
      <c r="C96" s="26" t="str">
        <f ca="1">OFFSET(CampList[Camp],MATCH(Table10[[#This Row],[Pcode]],CampList[CP_Pcode],0)-1,0,1,1)</f>
        <v>Maina Catholic Church (St. Joseph)</v>
      </c>
      <c r="D96" s="26" t="str">
        <f ca="1">OFFSET(CampList[Township],MATCH(Table10[[#This Row],[Pcode]],CampList[CP_Pcode],0)-1,0,1,1)</f>
        <v>Waingmaw</v>
      </c>
      <c r="E96" s="422">
        <f ca="1">OFFSET(CampList[HH],MATCH(Table10[[#This Row],[Pcode]],CampList[CP_Pcode],0)-1,0,1,1)</f>
        <v>227</v>
      </c>
      <c r="F96" s="422">
        <f ca="1">OFFSET(CampList[Total],MATCH(Table10[[#This Row],[Pcode]],CampList[CP_Pcode],0)-1,0,1,1)</f>
        <v>1218</v>
      </c>
      <c r="G96" s="422">
        <f>SUMIF('NFI Tracking'!AM$6:AM$1048576,Table10[[#This Row],[Pcode]],'NFI Tracking'!AG$6:AG$1048576)</f>
        <v>0</v>
      </c>
      <c r="H96" s="422">
        <f>SUMIF('NFI Tracking'!AM$6:AM$1048576,Table10[[#This Row],[Pcode]],'NFI Tracking'!AH$6:AH$1048576)</f>
        <v>0</v>
      </c>
      <c r="I96" s="422">
        <f>SUMIF('NFI Tracking'!AM$6:AM$1048576,Table10[[#This Row],[Pcode]],'NFI Tracking'!AI$6:AI$1048576)</f>
        <v>0</v>
      </c>
      <c r="J96" s="422">
        <f ca="1">MAX(Table10[[#This Row],[HH]]*VLOOKUP("Winter Clothes Adult",NFI,6)-Table10[[#This Row],[Winter Clothes Adult ]],0)</f>
        <v>454</v>
      </c>
      <c r="K96" s="422">
        <f ca="1">MAX(Table10[[#This Row],[HH]]*VLOOKUP("Winter Clothes Children ",NFI,6)-Table10[[#This Row],[Winter Clothes Children ]],0)</f>
        <v>227</v>
      </c>
      <c r="L96" s="422">
        <f ca="1">MAX(Table10[[#This Row],[HH]]*VLOOKUP("Winter Items Other ",NFI,6)-Table10[[#This Row],[Winter Items Other ]],0)</f>
        <v>227</v>
      </c>
      <c r="M96" s="469" t="str">
        <f>IF(OR(Table10[[#This Row],[Winter Clothes Adult ]]&lt;&gt;0,Table10[[#This Row],[Winter Clothes Children ]]&lt;&gt;0,Table10[[#This Row],[Winter Items Other ]]&lt;&gt;0),"No","")</f>
        <v/>
      </c>
      <c r="N96" s="470">
        <f>COUNTIF(A:A,Table10[[#This Row],[Pcode]])-1</f>
        <v>0</v>
      </c>
    </row>
    <row r="97" spans="1:14" x14ac:dyDescent="0.25">
      <c r="A97" s="381" t="s">
        <v>323</v>
      </c>
      <c r="B97" s="26" t="str">
        <f ca="1">OFFSET(CampList[Priority],MATCH(Table10[[#This Row],[Pcode]],CampList[CP_Pcode],0)-1,0,1,1)</f>
        <v>P4</v>
      </c>
      <c r="C97" s="26" t="str">
        <f ca="1">OFFSET(CampList[Camp],MATCH(Table10[[#This Row],[Pcode]],CampList[CP_Pcode],0)-1,0,1,1)</f>
        <v>Maina KBC (Bawng Ring)</v>
      </c>
      <c r="D97" s="26" t="str">
        <f ca="1">OFFSET(CampList[Township],MATCH(Table10[[#This Row],[Pcode]],CampList[CP_Pcode],0)-1,0,1,1)</f>
        <v>Waingmaw</v>
      </c>
      <c r="E97" s="422">
        <f ca="1">OFFSET(CampList[HH],MATCH(Table10[[#This Row],[Pcode]],CampList[CP_Pcode],0)-1,0,1,1)</f>
        <v>428</v>
      </c>
      <c r="F97" s="422">
        <f ca="1">OFFSET(CampList[Total],MATCH(Table10[[#This Row],[Pcode]],CampList[CP_Pcode],0)-1,0,1,1)</f>
        <v>2219</v>
      </c>
      <c r="G97" s="422">
        <f>SUMIF('NFI Tracking'!AM$6:AM$1048576,Table10[[#This Row],[Pcode]],'NFI Tracking'!AG$6:AG$1048576)</f>
        <v>0</v>
      </c>
      <c r="H97" s="422">
        <f>SUMIF('NFI Tracking'!AM$6:AM$1048576,Table10[[#This Row],[Pcode]],'NFI Tracking'!AH$6:AH$1048576)</f>
        <v>0</v>
      </c>
      <c r="I97" s="422">
        <f>SUMIF('NFI Tracking'!AM$6:AM$1048576,Table10[[#This Row],[Pcode]],'NFI Tracking'!AI$6:AI$1048576)</f>
        <v>0</v>
      </c>
      <c r="J97" s="422">
        <f ca="1">MAX(Table10[[#This Row],[HH]]*VLOOKUP("Winter Clothes Adult",NFI,6)-Table10[[#This Row],[Winter Clothes Adult ]],0)</f>
        <v>856</v>
      </c>
      <c r="K97" s="422">
        <f ca="1">MAX(Table10[[#This Row],[HH]]*VLOOKUP("Winter Clothes Children ",NFI,6)-Table10[[#This Row],[Winter Clothes Children ]],0)</f>
        <v>428</v>
      </c>
      <c r="L97" s="422">
        <f ca="1">MAX(Table10[[#This Row],[HH]]*VLOOKUP("Winter Items Other ",NFI,6)-Table10[[#This Row],[Winter Items Other ]],0)</f>
        <v>428</v>
      </c>
      <c r="M97" s="469" t="str">
        <f>IF(OR(Table10[[#This Row],[Winter Clothes Adult ]]&lt;&gt;0,Table10[[#This Row],[Winter Clothes Children ]]&lt;&gt;0,Table10[[#This Row],[Winter Items Other ]]&lt;&gt;0),"No","")</f>
        <v/>
      </c>
      <c r="N97" s="470">
        <f>COUNTIF(A:A,Table10[[#This Row],[Pcode]])-1</f>
        <v>0</v>
      </c>
    </row>
    <row r="98" spans="1:14" x14ac:dyDescent="0.25">
      <c r="A98" s="381" t="s">
        <v>325</v>
      </c>
      <c r="B98" s="26" t="str">
        <f ca="1">OFFSET(CampList[Priority],MATCH(Table10[[#This Row],[Pcode]],CampList[CP_Pcode],0)-1,0,1,1)</f>
        <v>P4</v>
      </c>
      <c r="C98" s="26" t="str">
        <f ca="1">OFFSET(CampList[Camp],MATCH(Table10[[#This Row],[Pcode]],CampList[CP_Pcode],0)-1,0,1,1)</f>
        <v>Maina Lawang Baptist Church</v>
      </c>
      <c r="D98" s="26" t="str">
        <f ca="1">OFFSET(CampList[Township],MATCH(Table10[[#This Row],[Pcode]],CampList[CP_Pcode],0)-1,0,1,1)</f>
        <v>Waingmaw</v>
      </c>
      <c r="E98" s="422">
        <f ca="1">OFFSET(CampList[HH],MATCH(Table10[[#This Row],[Pcode]],CampList[CP_Pcode],0)-1,0,1,1)</f>
        <v>48</v>
      </c>
      <c r="F98" s="422">
        <f ca="1">OFFSET(CampList[Total],MATCH(Table10[[#This Row],[Pcode]],CampList[CP_Pcode],0)-1,0,1,1)</f>
        <v>199</v>
      </c>
      <c r="G98" s="422">
        <f>SUMIF('NFI Tracking'!AM$6:AM$1048576,Table10[[#This Row],[Pcode]],'NFI Tracking'!AG$6:AG$1048576)</f>
        <v>0</v>
      </c>
      <c r="H98" s="422">
        <f>SUMIF('NFI Tracking'!AM$6:AM$1048576,Table10[[#This Row],[Pcode]],'NFI Tracking'!AH$6:AH$1048576)</f>
        <v>0</v>
      </c>
      <c r="I98" s="422">
        <f>SUMIF('NFI Tracking'!AM$6:AM$1048576,Table10[[#This Row],[Pcode]],'NFI Tracking'!AI$6:AI$1048576)</f>
        <v>0</v>
      </c>
      <c r="J98" s="422">
        <f ca="1">MAX(Table10[[#This Row],[HH]]*VLOOKUP("Winter Clothes Adult",NFI,6)-Table10[[#This Row],[Winter Clothes Adult ]],0)</f>
        <v>96</v>
      </c>
      <c r="K98" s="422">
        <f ca="1">MAX(Table10[[#This Row],[HH]]*VLOOKUP("Winter Clothes Children ",NFI,6)-Table10[[#This Row],[Winter Clothes Children ]],0)</f>
        <v>48</v>
      </c>
      <c r="L98" s="422">
        <f ca="1">MAX(Table10[[#This Row],[HH]]*VLOOKUP("Winter Items Other ",NFI,6)-Table10[[#This Row],[Winter Items Other ]],0)</f>
        <v>48</v>
      </c>
      <c r="M98" s="469" t="str">
        <f>IF(OR(Table10[[#This Row],[Winter Clothes Adult ]]&lt;&gt;0,Table10[[#This Row],[Winter Clothes Children ]]&lt;&gt;0,Table10[[#This Row],[Winter Items Other ]]&lt;&gt;0),"No","")</f>
        <v/>
      </c>
      <c r="N98" s="470">
        <f>COUNTIF(A:A,Table10[[#This Row],[Pcode]])-1</f>
        <v>0</v>
      </c>
    </row>
    <row r="99" spans="1:14" x14ac:dyDescent="0.25">
      <c r="A99" s="381" t="s">
        <v>892</v>
      </c>
      <c r="B99" s="26" t="str">
        <f ca="1">OFFSET(CampList[Priority],MATCH(Table10[[#This Row],[Pcode]],CampList[CP_Pcode],0)-1,0,1,1)</f>
        <v>P4</v>
      </c>
      <c r="C99" s="26" t="str">
        <f ca="1">OFFSET(CampList[Camp],MATCH(Table10[[#This Row],[Pcode]],CampList[CP_Pcode],0)-1,0,1,1)</f>
        <v>Maing Khaung</v>
      </c>
      <c r="D99" s="26" t="str">
        <f ca="1">OFFSET(CampList[Township],MATCH(Table10[[#This Row],[Pcode]],CampList[CP_Pcode],0)-1,0,1,1)</f>
        <v>Mansi</v>
      </c>
      <c r="E99" s="422">
        <f ca="1">OFFSET(CampList[HH],MATCH(Table10[[#This Row],[Pcode]],CampList[CP_Pcode],0)-1,0,1,1)</f>
        <v>372</v>
      </c>
      <c r="F99" s="422">
        <f ca="1">OFFSET(CampList[Total],MATCH(Table10[[#This Row],[Pcode]],CampList[CP_Pcode],0)-1,0,1,1)</f>
        <v>1141</v>
      </c>
      <c r="G99" s="422">
        <f>SUMIF('NFI Tracking'!AM$6:AM$1048576,Table10[[#This Row],[Pcode]],'NFI Tracking'!AG$6:AG$1048576)</f>
        <v>0</v>
      </c>
      <c r="H99" s="422">
        <f>SUMIF('NFI Tracking'!AM$6:AM$1048576,Table10[[#This Row],[Pcode]],'NFI Tracking'!AH$6:AH$1048576)</f>
        <v>0</v>
      </c>
      <c r="I99" s="422">
        <f>SUMIF('NFI Tracking'!AM$6:AM$1048576,Table10[[#This Row],[Pcode]],'NFI Tracking'!AI$6:AI$1048576)</f>
        <v>0</v>
      </c>
      <c r="J99" s="422">
        <f ca="1">MAX(Table10[[#This Row],[HH]]*VLOOKUP("Winter Clothes Adult",NFI,6)-Table10[[#This Row],[Winter Clothes Adult ]],0)</f>
        <v>744</v>
      </c>
      <c r="K99" s="422">
        <f ca="1">MAX(Table10[[#This Row],[HH]]*VLOOKUP("Winter Clothes Children ",NFI,6)-Table10[[#This Row],[Winter Clothes Children ]],0)</f>
        <v>372</v>
      </c>
      <c r="L99" s="422">
        <f ca="1">MAX(Table10[[#This Row],[HH]]*VLOOKUP("Winter Items Other ",NFI,6)-Table10[[#This Row],[Winter Items Other ]],0)</f>
        <v>372</v>
      </c>
      <c r="M99" s="469" t="str">
        <f>IF(OR(Table10[[#This Row],[Winter Clothes Adult ]]&lt;&gt;0,Table10[[#This Row],[Winter Clothes Children ]]&lt;&gt;0,Table10[[#This Row],[Winter Items Other ]]&lt;&gt;0),"No","")</f>
        <v/>
      </c>
      <c r="N99" s="470">
        <f>COUNTIF(A:A,Table10[[#This Row],[Pcode]])-1</f>
        <v>0</v>
      </c>
    </row>
    <row r="100" spans="1:14" x14ac:dyDescent="0.25">
      <c r="A100" s="381" t="s">
        <v>948</v>
      </c>
      <c r="B100" s="26" t="str">
        <f ca="1">OFFSET(CampList[Priority],MATCH(Table10[[#This Row],[Pcode]],CampList[CP_Pcode],0)-1,0,1,1)</f>
        <v>P4</v>
      </c>
      <c r="C100" s="26" t="str">
        <f ca="1">OFFSET(CampList[Camp],MATCH(Table10[[#This Row],[Pcode]],CampList[CP_Pcode],0)-1,0,1,1)</f>
        <v>Maing Khaung Catholic Church</v>
      </c>
      <c r="D100" s="26" t="str">
        <f ca="1">OFFSET(CampList[Township],MATCH(Table10[[#This Row],[Pcode]],CampList[CP_Pcode],0)-1,0,1,1)</f>
        <v>Mansi</v>
      </c>
      <c r="E100" s="422">
        <f ca="1">OFFSET(CampList[HH],MATCH(Table10[[#This Row],[Pcode]],CampList[CP_Pcode],0)-1,0,1,1)</f>
        <v>121</v>
      </c>
      <c r="F100" s="422">
        <f ca="1">OFFSET(CampList[Total],MATCH(Table10[[#This Row],[Pcode]],CampList[CP_Pcode],0)-1,0,1,1)</f>
        <v>596</v>
      </c>
      <c r="G100" s="422">
        <f>SUMIF('NFI Tracking'!AM$6:AM$1048576,Table10[[#This Row],[Pcode]],'NFI Tracking'!AG$6:AG$1048576)</f>
        <v>0</v>
      </c>
      <c r="H100" s="422">
        <f>SUMIF('NFI Tracking'!AM$6:AM$1048576,Table10[[#This Row],[Pcode]],'NFI Tracking'!AH$6:AH$1048576)</f>
        <v>0</v>
      </c>
      <c r="I100" s="422">
        <f>SUMIF('NFI Tracking'!AM$6:AM$1048576,Table10[[#This Row],[Pcode]],'NFI Tracking'!AI$6:AI$1048576)</f>
        <v>0</v>
      </c>
      <c r="J100" s="422">
        <f ca="1">MAX(Table10[[#This Row],[HH]]*VLOOKUP("Winter Clothes Adult",NFI,6)-Table10[[#This Row],[Winter Clothes Adult ]],0)</f>
        <v>242</v>
      </c>
      <c r="K100" s="422">
        <f ca="1">MAX(Table10[[#This Row],[HH]]*VLOOKUP("Winter Clothes Children ",NFI,6)-Table10[[#This Row],[Winter Clothes Children ]],0)</f>
        <v>121</v>
      </c>
      <c r="L100" s="422">
        <f ca="1">MAX(Table10[[#This Row],[HH]]*VLOOKUP("Winter Items Other ",NFI,6)-Table10[[#This Row],[Winter Items Other ]],0)</f>
        <v>121</v>
      </c>
      <c r="M100" s="469" t="str">
        <f>IF(OR(Table10[[#This Row],[Winter Clothes Adult ]]&lt;&gt;0,Table10[[#This Row],[Winter Clothes Children ]]&lt;&gt;0,Table10[[#This Row],[Winter Items Other ]]&lt;&gt;0),"No","")</f>
        <v/>
      </c>
      <c r="N100" s="470">
        <f>COUNTIF(A:A,Table10[[#This Row],[Pcode]])-1</f>
        <v>0</v>
      </c>
    </row>
    <row r="101" spans="1:14" x14ac:dyDescent="0.25">
      <c r="A101" s="381" t="s">
        <v>258</v>
      </c>
      <c r="B101" s="26" t="str">
        <f ca="1">OFFSET(CampList[Priority],MATCH(Table10[[#This Row],[Pcode]],CampList[CP_Pcode],0)-1,0,1,1)</f>
        <v>P4</v>
      </c>
      <c r="C101" s="26" t="str">
        <f ca="1">OFFSET(CampList[Camp],MATCH(Table10[[#This Row],[Pcode]],CampList[CP_Pcode],0)-1,0,1,1)</f>
        <v>Maliyang Baptist Church</v>
      </c>
      <c r="D101" s="26" t="str">
        <f ca="1">OFFSET(CampList[Township],MATCH(Table10[[#This Row],[Pcode]],CampList[CP_Pcode],0)-1,0,1,1)</f>
        <v>Myitkyina</v>
      </c>
      <c r="E101" s="422">
        <f ca="1">OFFSET(CampList[HH],MATCH(Table10[[#This Row],[Pcode]],CampList[CP_Pcode],0)-1,0,1,1)</f>
        <v>72</v>
      </c>
      <c r="F101" s="422">
        <f ca="1">OFFSET(CampList[Total],MATCH(Table10[[#This Row],[Pcode]],CampList[CP_Pcode],0)-1,0,1,1)</f>
        <v>375</v>
      </c>
      <c r="G101" s="422">
        <f>SUMIF('NFI Tracking'!AM$6:AM$1048576,Table10[[#This Row],[Pcode]],'NFI Tracking'!AG$6:AG$1048576)</f>
        <v>0</v>
      </c>
      <c r="H101" s="422">
        <f>SUMIF('NFI Tracking'!AM$6:AM$1048576,Table10[[#This Row],[Pcode]],'NFI Tracking'!AH$6:AH$1048576)</f>
        <v>0</v>
      </c>
      <c r="I101" s="422">
        <f>SUMIF('NFI Tracking'!AM$6:AM$1048576,Table10[[#This Row],[Pcode]],'NFI Tracking'!AI$6:AI$1048576)</f>
        <v>0</v>
      </c>
      <c r="J101" s="422">
        <f ca="1">MAX(Table10[[#This Row],[HH]]*VLOOKUP("Winter Clothes Adult",NFI,6)-Table10[[#This Row],[Winter Clothes Adult ]],0)</f>
        <v>144</v>
      </c>
      <c r="K101" s="422">
        <f ca="1">MAX(Table10[[#This Row],[HH]]*VLOOKUP("Winter Clothes Children ",NFI,6)-Table10[[#This Row],[Winter Clothes Children ]],0)</f>
        <v>72</v>
      </c>
      <c r="L101" s="422">
        <f ca="1">MAX(Table10[[#This Row],[HH]]*VLOOKUP("Winter Items Other ",NFI,6)-Table10[[#This Row],[Winter Items Other ]],0)</f>
        <v>72</v>
      </c>
      <c r="M101" s="469" t="str">
        <f>IF(OR(Table10[[#This Row],[Winter Clothes Adult ]]&lt;&gt;0,Table10[[#This Row],[Winter Clothes Children ]]&lt;&gt;0,Table10[[#This Row],[Winter Items Other ]]&lt;&gt;0),"No","")</f>
        <v/>
      </c>
      <c r="N101" s="470">
        <f>COUNTIF(A:A,Table10[[#This Row],[Pcode]])-1</f>
        <v>0</v>
      </c>
    </row>
    <row r="102" spans="1:14" x14ac:dyDescent="0.25">
      <c r="A102" s="381" t="s">
        <v>201</v>
      </c>
      <c r="B102" s="26" t="str">
        <f ca="1">OFFSET(CampList[Priority],MATCH(Table10[[#This Row],[Pcode]],CampList[CP_Pcode],0)-1,0,1,1)</f>
        <v>P4</v>
      </c>
      <c r="C102" s="26" t="str">
        <f ca="1">OFFSET(CampList[Camp],MATCH(Table10[[#This Row],[Pcode]],CampList[CP_Pcode],0)-1,0,1,1)</f>
        <v>Man Bung Catholic compound</v>
      </c>
      <c r="D102" s="26" t="str">
        <f ca="1">OFFSET(CampList[Township],MATCH(Table10[[#This Row],[Pcode]],CampList[CP_Pcode],0)-1,0,1,1)</f>
        <v>Momauk</v>
      </c>
      <c r="E102" s="422">
        <f ca="1">OFFSET(CampList[HH],MATCH(Table10[[#This Row],[Pcode]],CampList[CP_Pcode],0)-1,0,1,1)</f>
        <v>265</v>
      </c>
      <c r="F102" s="422">
        <f ca="1">OFFSET(CampList[Total],MATCH(Table10[[#This Row],[Pcode]],CampList[CP_Pcode],0)-1,0,1,1)</f>
        <v>1084</v>
      </c>
      <c r="G102" s="422">
        <f>SUMIF('NFI Tracking'!AM$6:AM$1048576,Table10[[#This Row],[Pcode]],'NFI Tracking'!AG$6:AG$1048576)</f>
        <v>0</v>
      </c>
      <c r="H102" s="422">
        <f>SUMIF('NFI Tracking'!AM$6:AM$1048576,Table10[[#This Row],[Pcode]],'NFI Tracking'!AH$6:AH$1048576)</f>
        <v>0</v>
      </c>
      <c r="I102" s="422">
        <f>SUMIF('NFI Tracking'!AM$6:AM$1048576,Table10[[#This Row],[Pcode]],'NFI Tracking'!AI$6:AI$1048576)</f>
        <v>0</v>
      </c>
      <c r="J102" s="422">
        <f ca="1">MAX(Table10[[#This Row],[HH]]*VLOOKUP("Winter Clothes Adult",NFI,6)-Table10[[#This Row],[Winter Clothes Adult ]],0)</f>
        <v>530</v>
      </c>
      <c r="K102" s="422">
        <f ca="1">MAX(Table10[[#This Row],[HH]]*VLOOKUP("Winter Clothes Children ",NFI,6)-Table10[[#This Row],[Winter Clothes Children ]],0)</f>
        <v>265</v>
      </c>
      <c r="L102" s="422">
        <f ca="1">MAX(Table10[[#This Row],[HH]]*VLOOKUP("Winter Items Other ",NFI,6)-Table10[[#This Row],[Winter Items Other ]],0)</f>
        <v>265</v>
      </c>
      <c r="M102" s="469" t="str">
        <f>IF(OR(Table10[[#This Row],[Winter Clothes Adult ]]&lt;&gt;0,Table10[[#This Row],[Winter Clothes Children ]]&lt;&gt;0,Table10[[#This Row],[Winter Items Other ]]&lt;&gt;0),"No","")</f>
        <v/>
      </c>
      <c r="N102" s="470">
        <f>COUNTIF(A:A,Table10[[#This Row],[Pcode]])-1</f>
        <v>0</v>
      </c>
    </row>
    <row r="103" spans="1:14" x14ac:dyDescent="0.25">
      <c r="A103" s="381" t="s">
        <v>260</v>
      </c>
      <c r="B103" s="26" t="str">
        <f ca="1">OFFSET(CampList[Priority],MATCH(Table10[[#This Row],[Pcode]],CampList[CP_Pcode],0)-1,0,1,1)</f>
        <v>P4</v>
      </c>
      <c r="C103" s="26" t="str">
        <f ca="1">OFFSET(CampList[Camp],MATCH(Table10[[#This Row],[Pcode]],CampList[CP_Pcode],0)-1,0,1,1)</f>
        <v>Man Hkring Baptist Church</v>
      </c>
      <c r="D103" s="26" t="str">
        <f ca="1">OFFSET(CampList[Township],MATCH(Table10[[#This Row],[Pcode]],CampList[CP_Pcode],0)-1,0,1,1)</f>
        <v>Myitkyina</v>
      </c>
      <c r="E103" s="422">
        <f ca="1">OFFSET(CampList[HH],MATCH(Table10[[#This Row],[Pcode]],CampList[CP_Pcode],0)-1,0,1,1)</f>
        <v>96</v>
      </c>
      <c r="F103" s="422">
        <f ca="1">OFFSET(CampList[Total],MATCH(Table10[[#This Row],[Pcode]],CampList[CP_Pcode],0)-1,0,1,1)</f>
        <v>505</v>
      </c>
      <c r="G103" s="422">
        <f>SUMIF('NFI Tracking'!AM$6:AM$1048576,Table10[[#This Row],[Pcode]],'NFI Tracking'!AG$6:AG$1048576)</f>
        <v>0</v>
      </c>
      <c r="H103" s="422">
        <f>SUMIF('NFI Tracking'!AM$6:AM$1048576,Table10[[#This Row],[Pcode]],'NFI Tracking'!AH$6:AH$1048576)</f>
        <v>0</v>
      </c>
      <c r="I103" s="422">
        <f>SUMIF('NFI Tracking'!AM$6:AM$1048576,Table10[[#This Row],[Pcode]],'NFI Tracking'!AI$6:AI$1048576)</f>
        <v>0</v>
      </c>
      <c r="J103" s="422">
        <f ca="1">MAX(Table10[[#This Row],[HH]]*VLOOKUP("Winter Clothes Adult",NFI,6)-Table10[[#This Row],[Winter Clothes Adult ]],0)</f>
        <v>192</v>
      </c>
      <c r="K103" s="422">
        <f ca="1">MAX(Table10[[#This Row],[HH]]*VLOOKUP("Winter Clothes Children ",NFI,6)-Table10[[#This Row],[Winter Clothes Children ]],0)</f>
        <v>96</v>
      </c>
      <c r="L103" s="422">
        <f ca="1">MAX(Table10[[#This Row],[HH]]*VLOOKUP("Winter Items Other ",NFI,6)-Table10[[#This Row],[Winter Items Other ]],0)</f>
        <v>96</v>
      </c>
      <c r="M103" s="469" t="str">
        <f>IF(OR(Table10[[#This Row],[Winter Clothes Adult ]]&lt;&gt;0,Table10[[#This Row],[Winter Clothes Children ]]&lt;&gt;0,Table10[[#This Row],[Winter Items Other ]]&lt;&gt;0),"No","")</f>
        <v/>
      </c>
      <c r="N103" s="470">
        <f>COUNTIF(A:A,Table10[[#This Row],[Pcode]])-1</f>
        <v>0</v>
      </c>
    </row>
    <row r="104" spans="1:14" x14ac:dyDescent="0.25">
      <c r="A104" s="381" t="s">
        <v>203</v>
      </c>
      <c r="B104" s="26" t="str">
        <f ca="1">OFFSET(CampList[Priority],MATCH(Table10[[#This Row],[Pcode]],CampList[CP_Pcode],0)-1,0,1,1)</f>
        <v>P4</v>
      </c>
      <c r="C104" s="26" t="str">
        <f ca="1">OFFSET(CampList[Camp],MATCH(Table10[[#This Row],[Pcode]],CampList[CP_Pcode],0)-1,0,1,1)</f>
        <v xml:space="preserve">Man Nawng </v>
      </c>
      <c r="D104" s="26" t="str">
        <f ca="1">OFFSET(CampList[Township],MATCH(Table10[[#This Row],[Pcode]],CampList[CP_Pcode],0)-1,0,1,1)</f>
        <v>Momauk</v>
      </c>
      <c r="E104" s="422">
        <f ca="1">OFFSET(CampList[HH],MATCH(Table10[[#This Row],[Pcode]],CampList[CP_Pcode],0)-1,0,1,1)</f>
        <v>28</v>
      </c>
      <c r="F104" s="422">
        <f ca="1">OFFSET(CampList[Total],MATCH(Table10[[#This Row],[Pcode]],CampList[CP_Pcode],0)-1,0,1,1)</f>
        <v>136</v>
      </c>
      <c r="G104" s="422">
        <f>SUMIF('NFI Tracking'!AM$6:AM$1048576,Table10[[#This Row],[Pcode]],'NFI Tracking'!AG$6:AG$1048576)</f>
        <v>0</v>
      </c>
      <c r="H104" s="422">
        <f>SUMIF('NFI Tracking'!AM$6:AM$1048576,Table10[[#This Row],[Pcode]],'NFI Tracking'!AH$6:AH$1048576)</f>
        <v>0</v>
      </c>
      <c r="I104" s="422">
        <f>SUMIF('NFI Tracking'!AM$6:AM$1048576,Table10[[#This Row],[Pcode]],'NFI Tracking'!AI$6:AI$1048576)</f>
        <v>0</v>
      </c>
      <c r="J104" s="422">
        <f ca="1">MAX(Table10[[#This Row],[HH]]*VLOOKUP("Winter Clothes Adult",NFI,6)-Table10[[#This Row],[Winter Clothes Adult ]],0)</f>
        <v>56</v>
      </c>
      <c r="K104" s="422">
        <f ca="1">MAX(Table10[[#This Row],[HH]]*VLOOKUP("Winter Clothes Children ",NFI,6)-Table10[[#This Row],[Winter Clothes Children ]],0)</f>
        <v>28</v>
      </c>
      <c r="L104" s="422">
        <f ca="1">MAX(Table10[[#This Row],[HH]]*VLOOKUP("Winter Items Other ",NFI,6)-Table10[[#This Row],[Winter Items Other ]],0)</f>
        <v>28</v>
      </c>
      <c r="M104" s="469" t="str">
        <f>IF(OR(Table10[[#This Row],[Winter Clothes Adult ]]&lt;&gt;0,Table10[[#This Row],[Winter Clothes Children ]]&lt;&gt;0,Table10[[#This Row],[Winter Items Other ]]&lt;&gt;0),"No","")</f>
        <v/>
      </c>
      <c r="N104" s="470">
        <f>COUNTIF(A:A,Table10[[#This Row],[Pcode]])-1</f>
        <v>0</v>
      </c>
    </row>
    <row r="105" spans="1:14" x14ac:dyDescent="0.25">
      <c r="A105" s="381" t="s">
        <v>393</v>
      </c>
      <c r="B105" s="26" t="str">
        <f ca="1">OFFSET(CampList[Priority],MATCH(Table10[[#This Row],[Pcode]],CampList[CP_Pcode],0)-1,0,1,1)</f>
        <v>P4</v>
      </c>
      <c r="C105" s="26" t="str">
        <f ca="1">OFFSET(CampList[Camp],MATCH(Table10[[#This Row],[Pcode]],CampList[CP_Pcode],0)-1,0,1,1)</f>
        <v>Man Ting</v>
      </c>
      <c r="D105" s="26" t="str">
        <f ca="1">OFFSET(CampList[Township],MATCH(Table10[[#This Row],[Pcode]],CampList[CP_Pcode],0)-1,0,1,1)</f>
        <v>Momauk</v>
      </c>
      <c r="E105" s="422">
        <f ca="1">OFFSET(CampList[HH],MATCH(Table10[[#This Row],[Pcode]],CampList[CP_Pcode],0)-1,0,1,1)</f>
        <v>0</v>
      </c>
      <c r="F105" s="422">
        <f ca="1">OFFSET(CampList[Total],MATCH(Table10[[#This Row],[Pcode]],CampList[CP_Pcode],0)-1,0,1,1)</f>
        <v>0</v>
      </c>
      <c r="G105" s="422">
        <f>SUMIF('NFI Tracking'!AM$6:AM$1048576,Table10[[#This Row],[Pcode]],'NFI Tracking'!AG$6:AG$1048576)</f>
        <v>0</v>
      </c>
      <c r="H105" s="422">
        <f>SUMIF('NFI Tracking'!AM$6:AM$1048576,Table10[[#This Row],[Pcode]],'NFI Tracking'!AH$6:AH$1048576)</f>
        <v>0</v>
      </c>
      <c r="I105" s="422">
        <f>SUMIF('NFI Tracking'!AM$6:AM$1048576,Table10[[#This Row],[Pcode]],'NFI Tracking'!AI$6:AI$1048576)</f>
        <v>0</v>
      </c>
      <c r="J105" s="422">
        <f ca="1">MAX(Table10[[#This Row],[HH]]*VLOOKUP("Winter Clothes Adult",NFI,6)-Table10[[#This Row],[Winter Clothes Adult ]],0)</f>
        <v>0</v>
      </c>
      <c r="K105" s="422">
        <f ca="1">MAX(Table10[[#This Row],[HH]]*VLOOKUP("Winter Clothes Children ",NFI,6)-Table10[[#This Row],[Winter Clothes Children ]],0)</f>
        <v>0</v>
      </c>
      <c r="L105" s="422">
        <f ca="1">MAX(Table10[[#This Row],[HH]]*VLOOKUP("Winter Items Other ",NFI,6)-Table10[[#This Row],[Winter Items Other ]],0)</f>
        <v>0</v>
      </c>
      <c r="M105" s="469" t="str">
        <f>IF(OR(Table10[[#This Row],[Winter Clothes Adult ]]&lt;&gt;0,Table10[[#This Row],[Winter Clothes Children ]]&lt;&gt;0,Table10[[#This Row],[Winter Items Other ]]&lt;&gt;0),"No","")</f>
        <v/>
      </c>
      <c r="N105" s="470">
        <f>COUNTIF(A:A,Table10[[#This Row],[Pcode]])-1</f>
        <v>0</v>
      </c>
    </row>
    <row r="106" spans="1:14" x14ac:dyDescent="0.25">
      <c r="A106" s="381" t="s">
        <v>159</v>
      </c>
      <c r="B106" s="26" t="str">
        <f ca="1">OFFSET(CampList[Priority],MATCH(Table10[[#This Row],[Pcode]],CampList[CP_Pcode],0)-1,0,1,1)</f>
        <v>P4</v>
      </c>
      <c r="C106" s="26" t="str">
        <f ca="1">OFFSET(CampList[Camp],MATCH(Table10[[#This Row],[Pcode]],CampList[CP_Pcode],0)-1,0,1,1)</f>
        <v>Man Wing Baptist Church</v>
      </c>
      <c r="D106" s="26" t="str">
        <f ca="1">OFFSET(CampList[Township],MATCH(Table10[[#This Row],[Pcode]],CampList[CP_Pcode],0)-1,0,1,1)</f>
        <v>Mansi</v>
      </c>
      <c r="E106" s="422">
        <f ca="1">OFFSET(CampList[HH],MATCH(Table10[[#This Row],[Pcode]],CampList[CP_Pcode],0)-1,0,1,1)</f>
        <v>114</v>
      </c>
      <c r="F106" s="422">
        <f ca="1">OFFSET(CampList[Total],MATCH(Table10[[#This Row],[Pcode]],CampList[CP_Pcode],0)-1,0,1,1)</f>
        <v>524</v>
      </c>
      <c r="G106" s="422">
        <f>SUMIF('NFI Tracking'!AM$6:AM$1048576,Table10[[#This Row],[Pcode]],'NFI Tracking'!AG$6:AG$1048576)</f>
        <v>0</v>
      </c>
      <c r="H106" s="422">
        <f>SUMIF('NFI Tracking'!AM$6:AM$1048576,Table10[[#This Row],[Pcode]],'NFI Tracking'!AH$6:AH$1048576)</f>
        <v>0</v>
      </c>
      <c r="I106" s="422">
        <f>SUMIF('NFI Tracking'!AM$6:AM$1048576,Table10[[#This Row],[Pcode]],'NFI Tracking'!AI$6:AI$1048576)</f>
        <v>0</v>
      </c>
      <c r="J106" s="422">
        <f ca="1">MAX(Table10[[#This Row],[HH]]*VLOOKUP("Winter Clothes Adult",NFI,6)-Table10[[#This Row],[Winter Clothes Adult ]],0)</f>
        <v>228</v>
      </c>
      <c r="K106" s="422">
        <f ca="1">MAX(Table10[[#This Row],[HH]]*VLOOKUP("Winter Clothes Children ",NFI,6)-Table10[[#This Row],[Winter Clothes Children ]],0)</f>
        <v>114</v>
      </c>
      <c r="L106" s="422">
        <f ca="1">MAX(Table10[[#This Row],[HH]]*VLOOKUP("Winter Items Other ",NFI,6)-Table10[[#This Row],[Winter Items Other ]],0)</f>
        <v>114</v>
      </c>
      <c r="M106" s="469" t="str">
        <f>IF(OR(Table10[[#This Row],[Winter Clothes Adult ]]&lt;&gt;0,Table10[[#This Row],[Winter Clothes Children ]]&lt;&gt;0,Table10[[#This Row],[Winter Items Other ]]&lt;&gt;0),"No","")</f>
        <v/>
      </c>
      <c r="N106" s="470">
        <f>COUNTIF(A:A,Table10[[#This Row],[Pcode]])-1</f>
        <v>0</v>
      </c>
    </row>
    <row r="107" spans="1:14" x14ac:dyDescent="0.25">
      <c r="A107" s="381" t="s">
        <v>153</v>
      </c>
      <c r="B107" s="26" t="str">
        <f ca="1">OFFSET(CampList[Priority],MATCH(Table10[[#This Row],[Pcode]],CampList[CP_Pcode],0)-1,0,1,1)</f>
        <v>P4</v>
      </c>
      <c r="C107" s="26" t="str">
        <f ca="1">OFFSET(CampList[Camp],MATCH(Table10[[#This Row],[Pcode]],CampList[CP_Pcode],0)-1,0,1,1)</f>
        <v>Man Wing Catholic Church</v>
      </c>
      <c r="D107" s="26" t="str">
        <f ca="1">OFFSET(CampList[Township],MATCH(Table10[[#This Row],[Pcode]],CampList[CP_Pcode],0)-1,0,1,1)</f>
        <v>Mansi</v>
      </c>
      <c r="E107" s="422">
        <f ca="1">OFFSET(CampList[HH],MATCH(Table10[[#This Row],[Pcode]],CampList[CP_Pcode],0)-1,0,1,1)</f>
        <v>486</v>
      </c>
      <c r="F107" s="422">
        <f ca="1">OFFSET(CampList[Total],MATCH(Table10[[#This Row],[Pcode]],CampList[CP_Pcode],0)-1,0,1,1)</f>
        <v>2371</v>
      </c>
      <c r="G107" s="422">
        <f>SUMIF('NFI Tracking'!AM$6:AM$1048576,Table10[[#This Row],[Pcode]],'NFI Tracking'!AG$6:AG$1048576)</f>
        <v>0</v>
      </c>
      <c r="H107" s="422">
        <f>SUMIF('NFI Tracking'!AM$6:AM$1048576,Table10[[#This Row],[Pcode]],'NFI Tracking'!AH$6:AH$1048576)</f>
        <v>0</v>
      </c>
      <c r="I107" s="422">
        <f>SUMIF('NFI Tracking'!AM$6:AM$1048576,Table10[[#This Row],[Pcode]],'NFI Tracking'!AI$6:AI$1048576)</f>
        <v>0</v>
      </c>
      <c r="J107" s="422">
        <f ca="1">MAX(Table10[[#This Row],[HH]]*VLOOKUP("Winter Clothes Adult",NFI,6)-Table10[[#This Row],[Winter Clothes Adult ]],0)</f>
        <v>972</v>
      </c>
      <c r="K107" s="422">
        <f ca="1">MAX(Table10[[#This Row],[HH]]*VLOOKUP("Winter Clothes Children ",NFI,6)-Table10[[#This Row],[Winter Clothes Children ]],0)</f>
        <v>486</v>
      </c>
      <c r="L107" s="422">
        <f ca="1">MAX(Table10[[#This Row],[HH]]*VLOOKUP("Winter Items Other ",NFI,6)-Table10[[#This Row],[Winter Items Other ]],0)</f>
        <v>486</v>
      </c>
      <c r="M107" s="469" t="str">
        <f>IF(OR(Table10[[#This Row],[Winter Clothes Adult ]]&lt;&gt;0,Table10[[#This Row],[Winter Clothes Children ]]&lt;&gt;0,Table10[[#This Row],[Winter Items Other ]]&lt;&gt;0),"No","")</f>
        <v/>
      </c>
      <c r="N107" s="470">
        <f>COUNTIF(A:A,Table10[[#This Row],[Pcode]])-1</f>
        <v>0</v>
      </c>
    </row>
    <row r="108" spans="1:14" x14ac:dyDescent="0.25">
      <c r="A108" s="381" t="s">
        <v>1069</v>
      </c>
      <c r="B108" s="26" t="str">
        <f ca="1">OFFSET(CampList[Priority],MATCH(Table10[[#This Row],[Pcode]],CampList[CP_Pcode],0)-1,0,1,1)</f>
        <v>P4</v>
      </c>
      <c r="C108" s="26" t="str">
        <f ca="1">OFFSET(CampList[Camp],MATCH(Table10[[#This Row],[Pcode]],CampList[CP_Pcode],0)-1,0,1,1)</f>
        <v>Man Wing Catholic Church II</v>
      </c>
      <c r="D108" s="26" t="str">
        <f ca="1">OFFSET(CampList[Township],MATCH(Table10[[#This Row],[Pcode]],CampList[CP_Pcode],0)-1,0,1,1)</f>
        <v>Mansi</v>
      </c>
      <c r="E108" s="422">
        <f ca="1">OFFSET(CampList[HH],MATCH(Table10[[#This Row],[Pcode]],CampList[CP_Pcode],0)-1,0,1,1)</f>
        <v>115</v>
      </c>
      <c r="F108" s="422">
        <f ca="1">OFFSET(CampList[Total],MATCH(Table10[[#This Row],[Pcode]],CampList[CP_Pcode],0)-1,0,1,1)</f>
        <v>502</v>
      </c>
      <c r="G108" s="422">
        <f>SUMIF('NFI Tracking'!AM$6:AM$1048576,Table10[[#This Row],[Pcode]],'NFI Tracking'!AG$6:AG$1048576)</f>
        <v>0</v>
      </c>
      <c r="H108" s="422">
        <f>SUMIF('NFI Tracking'!AM$6:AM$1048576,Table10[[#This Row],[Pcode]],'NFI Tracking'!AH$6:AH$1048576)</f>
        <v>0</v>
      </c>
      <c r="I108" s="422">
        <f>SUMIF('NFI Tracking'!AM$6:AM$1048576,Table10[[#This Row],[Pcode]],'NFI Tracking'!AI$6:AI$1048576)</f>
        <v>0</v>
      </c>
      <c r="J108" s="422">
        <f ca="1">MAX(Table10[[#This Row],[HH]]*VLOOKUP("Winter Clothes Adult",NFI,6)-Table10[[#This Row],[Winter Clothes Adult ]],0)</f>
        <v>230</v>
      </c>
      <c r="K108" s="422">
        <f ca="1">MAX(Table10[[#This Row],[HH]]*VLOOKUP("Winter Clothes Children ",NFI,6)-Table10[[#This Row],[Winter Clothes Children ]],0)</f>
        <v>115</v>
      </c>
      <c r="L108" s="422">
        <f ca="1">MAX(Table10[[#This Row],[HH]]*VLOOKUP("Winter Items Other ",NFI,6)-Table10[[#This Row],[Winter Items Other ]],0)</f>
        <v>115</v>
      </c>
      <c r="M108" s="469" t="str">
        <f>IF(OR(Table10[[#This Row],[Winter Clothes Adult ]]&lt;&gt;0,Table10[[#This Row],[Winter Clothes Children ]]&lt;&gt;0,Table10[[#This Row],[Winter Items Other ]]&lt;&gt;0),"No","")</f>
        <v/>
      </c>
      <c r="N108" s="470">
        <f>COUNTIF(A:A,Table10[[#This Row],[Pcode]])-1</f>
        <v>0</v>
      </c>
    </row>
    <row r="109" spans="1:14" x14ac:dyDescent="0.25">
      <c r="A109" s="381" t="s">
        <v>155</v>
      </c>
      <c r="B109" s="26" t="str">
        <f ca="1">OFFSET(CampList[Priority],MATCH(Table10[[#This Row],[Pcode]],CampList[CP_Pcode],0)-1,0,1,1)</f>
        <v>P4</v>
      </c>
      <c r="C109" s="26" t="str">
        <f ca="1">OFFSET(CampList[Camp],MATCH(Table10[[#This Row],[Pcode]],CampList[CP_Pcode],0)-1,0,1,1)</f>
        <v>Man Wing Host Families</v>
      </c>
      <c r="D109" s="26" t="str">
        <f ca="1">OFFSET(CampList[Township],MATCH(Table10[[#This Row],[Pcode]],CampList[CP_Pcode],0)-1,0,1,1)</f>
        <v>Mansi</v>
      </c>
      <c r="E109" s="422">
        <f ca="1">OFFSET(CampList[HH],MATCH(Table10[[#This Row],[Pcode]],CampList[CP_Pcode],0)-1,0,1,1)</f>
        <v>205</v>
      </c>
      <c r="F109" s="422">
        <f ca="1">OFFSET(CampList[Total],MATCH(Table10[[#This Row],[Pcode]],CampList[CP_Pcode],0)-1,0,1,1)</f>
        <v>1043</v>
      </c>
      <c r="G109" s="422">
        <f>SUMIF('NFI Tracking'!AM$6:AM$1048576,Table10[[#This Row],[Pcode]],'NFI Tracking'!AG$6:AG$1048576)</f>
        <v>0</v>
      </c>
      <c r="H109" s="422">
        <f>SUMIF('NFI Tracking'!AM$6:AM$1048576,Table10[[#This Row],[Pcode]],'NFI Tracking'!AH$6:AH$1048576)</f>
        <v>0</v>
      </c>
      <c r="I109" s="422">
        <f>SUMIF('NFI Tracking'!AM$6:AM$1048576,Table10[[#This Row],[Pcode]],'NFI Tracking'!AI$6:AI$1048576)</f>
        <v>0</v>
      </c>
      <c r="J109" s="422">
        <f ca="1">MAX(Table10[[#This Row],[HH]]*VLOOKUP("Winter Clothes Adult",NFI,6)-Table10[[#This Row],[Winter Clothes Adult ]],0)</f>
        <v>410</v>
      </c>
      <c r="K109" s="422">
        <f ca="1">MAX(Table10[[#This Row],[HH]]*VLOOKUP("Winter Clothes Children ",NFI,6)-Table10[[#This Row],[Winter Clothes Children ]],0)</f>
        <v>205</v>
      </c>
      <c r="L109" s="422">
        <f ca="1">MAX(Table10[[#This Row],[HH]]*VLOOKUP("Winter Items Other ",NFI,6)-Table10[[#This Row],[Winter Items Other ]],0)</f>
        <v>205</v>
      </c>
      <c r="M109" s="469" t="str">
        <f>IF(OR(Table10[[#This Row],[Winter Clothes Adult ]]&lt;&gt;0,Table10[[#This Row],[Winter Clothes Children ]]&lt;&gt;0,Table10[[#This Row],[Winter Items Other ]]&lt;&gt;0),"No","")</f>
        <v/>
      </c>
      <c r="N109" s="470">
        <f>COUNTIF(A:A,Table10[[#This Row],[Pcode]])-1</f>
        <v>0</v>
      </c>
    </row>
    <row r="110" spans="1:14" x14ac:dyDescent="0.25">
      <c r="A110" s="381" t="s">
        <v>206</v>
      </c>
      <c r="B110" s="26" t="str">
        <f ca="1">OFFSET(CampList[Priority],MATCH(Table10[[#This Row],[Pcode]],CampList[CP_Pcode],0)-1,0,1,1)</f>
        <v>P4</v>
      </c>
      <c r="C110" s="26" t="str">
        <f ca="1">OFFSET(CampList[Camp],MATCH(Table10[[#This Row],[Pcode]],CampList[CP_Pcode],0)-1,0,1,1)</f>
        <v>Mandalay Monestry</v>
      </c>
      <c r="D110" s="26" t="str">
        <f ca="1">OFFSET(CampList[Township],MATCH(Table10[[#This Row],[Pcode]],CampList[CP_Pcode],0)-1,0,1,1)</f>
        <v>Momauk</v>
      </c>
      <c r="E110" s="422">
        <f ca="1">OFFSET(CampList[HH],MATCH(Table10[[#This Row],[Pcode]],CampList[CP_Pcode],0)-1,0,1,1)</f>
        <v>0</v>
      </c>
      <c r="F110" s="422">
        <f ca="1">OFFSET(CampList[Total],MATCH(Table10[[#This Row],[Pcode]],CampList[CP_Pcode],0)-1,0,1,1)</f>
        <v>0</v>
      </c>
      <c r="G110" s="422">
        <f>SUMIF('NFI Tracking'!AM$6:AM$1048576,Table10[[#This Row],[Pcode]],'NFI Tracking'!AG$6:AG$1048576)</f>
        <v>0</v>
      </c>
      <c r="H110" s="422">
        <f>SUMIF('NFI Tracking'!AM$6:AM$1048576,Table10[[#This Row],[Pcode]],'NFI Tracking'!AH$6:AH$1048576)</f>
        <v>0</v>
      </c>
      <c r="I110" s="422">
        <f>SUMIF('NFI Tracking'!AM$6:AM$1048576,Table10[[#This Row],[Pcode]],'NFI Tracking'!AI$6:AI$1048576)</f>
        <v>0</v>
      </c>
      <c r="J110" s="422">
        <f ca="1">MAX(Table10[[#This Row],[HH]]*VLOOKUP("Winter Clothes Adult",NFI,6)-Table10[[#This Row],[Winter Clothes Adult ]],0)</f>
        <v>0</v>
      </c>
      <c r="K110" s="422">
        <f ca="1">MAX(Table10[[#This Row],[HH]]*VLOOKUP("Winter Clothes Children ",NFI,6)-Table10[[#This Row],[Winter Clothes Children ]],0)</f>
        <v>0</v>
      </c>
      <c r="L110" s="422">
        <f ca="1">MAX(Table10[[#This Row],[HH]]*VLOOKUP("Winter Items Other ",NFI,6)-Table10[[#This Row],[Winter Items Other ]],0)</f>
        <v>0</v>
      </c>
      <c r="M110" s="469" t="str">
        <f>IF(OR(Table10[[#This Row],[Winter Clothes Adult ]]&lt;&gt;0,Table10[[#This Row],[Winter Clothes Children ]]&lt;&gt;0,Table10[[#This Row],[Winter Items Other ]]&lt;&gt;0),"No","")</f>
        <v/>
      </c>
      <c r="N110" s="470">
        <f>COUNTIF(A:A,Table10[[#This Row],[Pcode]])-1</f>
        <v>0</v>
      </c>
    </row>
    <row r="111" spans="1:14" x14ac:dyDescent="0.25">
      <c r="A111" s="381" t="s">
        <v>175</v>
      </c>
      <c r="B111" s="26" t="str">
        <f ca="1">OFFSET(CampList[Priority],MATCH(Table10[[#This Row],[Pcode]],CampList[CP_Pcode],0)-1,0,1,1)</f>
        <v>P4</v>
      </c>
      <c r="C111" s="26" t="str">
        <f ca="1">OFFSET(CampList[Camp],MATCH(Table10[[#This Row],[Pcode]],CampList[CP_Pcode],0)-1,0,1,1)</f>
        <v>Mang Hawng Baptist Church</v>
      </c>
      <c r="D111" s="26" t="str">
        <f ca="1">OFFSET(CampList[Township],MATCH(Table10[[#This Row],[Pcode]],CampList[CP_Pcode],0)-1,0,1,1)</f>
        <v>Mogaung</v>
      </c>
      <c r="E111" s="422">
        <f ca="1">OFFSET(CampList[HH],MATCH(Table10[[#This Row],[Pcode]],CampList[CP_Pcode],0)-1,0,1,1)</f>
        <v>18</v>
      </c>
      <c r="F111" s="422">
        <f ca="1">OFFSET(CampList[Total],MATCH(Table10[[#This Row],[Pcode]],CampList[CP_Pcode],0)-1,0,1,1)</f>
        <v>79</v>
      </c>
      <c r="G111" s="422">
        <f>SUMIF('NFI Tracking'!AM$6:AM$1048576,Table10[[#This Row],[Pcode]],'NFI Tracking'!AG$6:AG$1048576)</f>
        <v>0</v>
      </c>
      <c r="H111" s="422">
        <f>SUMIF('NFI Tracking'!AM$6:AM$1048576,Table10[[#This Row],[Pcode]],'NFI Tracking'!AH$6:AH$1048576)</f>
        <v>0</v>
      </c>
      <c r="I111" s="422">
        <f>SUMIF('NFI Tracking'!AM$6:AM$1048576,Table10[[#This Row],[Pcode]],'NFI Tracking'!AI$6:AI$1048576)</f>
        <v>0</v>
      </c>
      <c r="J111" s="422">
        <f ca="1">MAX(Table10[[#This Row],[HH]]*VLOOKUP("Winter Clothes Adult",NFI,6)-Table10[[#This Row],[Winter Clothes Adult ]],0)</f>
        <v>36</v>
      </c>
      <c r="K111" s="422">
        <f ca="1">MAX(Table10[[#This Row],[HH]]*VLOOKUP("Winter Clothes Children ",NFI,6)-Table10[[#This Row],[Winter Clothes Children ]],0)</f>
        <v>18</v>
      </c>
      <c r="L111" s="422">
        <f ca="1">MAX(Table10[[#This Row],[HH]]*VLOOKUP("Winter Items Other ",NFI,6)-Table10[[#This Row],[Winter Items Other ]],0)</f>
        <v>18</v>
      </c>
      <c r="M111" s="469" t="str">
        <f>IF(OR(Table10[[#This Row],[Winter Clothes Adult ]]&lt;&gt;0,Table10[[#This Row],[Winter Clothes Children ]]&lt;&gt;0,Table10[[#This Row],[Winter Items Other ]]&lt;&gt;0),"No","")</f>
        <v/>
      </c>
      <c r="N111" s="470">
        <f>COUNTIF(A:A,Table10[[#This Row],[Pcode]])-1</f>
        <v>0</v>
      </c>
    </row>
    <row r="112" spans="1:14" x14ac:dyDescent="0.25">
      <c r="A112" s="381" t="s">
        <v>150</v>
      </c>
      <c r="B112" s="26" t="str">
        <f ca="1">OFFSET(CampList[Priority],MATCH(Table10[[#This Row],[Pcode]],CampList[CP_Pcode],0)-1,0,1,1)</f>
        <v>P4</v>
      </c>
      <c r="C112" s="26" t="str">
        <f ca="1">OFFSET(CampList[Camp],MATCH(Table10[[#This Row],[Pcode]],CampList[CP_Pcode],0)-1,0,1,1)</f>
        <v>Mansi Baptist Church</v>
      </c>
      <c r="D112" s="26" t="str">
        <f ca="1">OFFSET(CampList[Township],MATCH(Table10[[#This Row],[Pcode]],CampList[CP_Pcode],0)-1,0,1,1)</f>
        <v>Mansi</v>
      </c>
      <c r="E112" s="422">
        <f ca="1">OFFSET(CampList[HH],MATCH(Table10[[#This Row],[Pcode]],CampList[CP_Pcode],0)-1,0,1,1)</f>
        <v>221</v>
      </c>
      <c r="F112" s="422">
        <f ca="1">OFFSET(CampList[Total],MATCH(Table10[[#This Row],[Pcode]],CampList[CP_Pcode],0)-1,0,1,1)</f>
        <v>1003</v>
      </c>
      <c r="G112" s="422">
        <f>SUMIF('NFI Tracking'!AM$6:AM$1048576,Table10[[#This Row],[Pcode]],'NFI Tracking'!AG$6:AG$1048576)</f>
        <v>0</v>
      </c>
      <c r="H112" s="422">
        <f>SUMIF('NFI Tracking'!AM$6:AM$1048576,Table10[[#This Row],[Pcode]],'NFI Tracking'!AH$6:AH$1048576)</f>
        <v>0</v>
      </c>
      <c r="I112" s="422">
        <f>SUMIF('NFI Tracking'!AM$6:AM$1048576,Table10[[#This Row],[Pcode]],'NFI Tracking'!AI$6:AI$1048576)</f>
        <v>0</v>
      </c>
      <c r="J112" s="422">
        <f ca="1">MAX(Table10[[#This Row],[HH]]*VLOOKUP("Winter Clothes Adult",NFI,6)-Table10[[#This Row],[Winter Clothes Adult ]],0)</f>
        <v>442</v>
      </c>
      <c r="K112" s="422">
        <f ca="1">MAX(Table10[[#This Row],[HH]]*VLOOKUP("Winter Clothes Children ",NFI,6)-Table10[[#This Row],[Winter Clothes Children ]],0)</f>
        <v>221</v>
      </c>
      <c r="L112" s="422">
        <f ca="1">MAX(Table10[[#This Row],[HH]]*VLOOKUP("Winter Items Other ",NFI,6)-Table10[[#This Row],[Winter Items Other ]],0)</f>
        <v>221</v>
      </c>
      <c r="M112" s="469" t="str">
        <f>IF(OR(Table10[[#This Row],[Winter Clothes Adult ]]&lt;&gt;0,Table10[[#This Row],[Winter Clothes Children ]]&lt;&gt;0,Table10[[#This Row],[Winter Items Other ]]&lt;&gt;0),"No","")</f>
        <v/>
      </c>
      <c r="N112" s="470">
        <f>COUNTIF(A:A,Table10[[#This Row],[Pcode]])-1</f>
        <v>0</v>
      </c>
    </row>
    <row r="113" spans="1:14" x14ac:dyDescent="0.25">
      <c r="A113" s="381" t="s">
        <v>262</v>
      </c>
      <c r="B113" s="26" t="str">
        <f ca="1">OFFSET(CampList[Priority],MATCH(Table10[[#This Row],[Pcode]],CampList[CP_Pcode],0)-1,0,1,1)</f>
        <v>P4</v>
      </c>
      <c r="C113" s="26" t="str">
        <f ca="1">OFFSET(CampList[Camp],MATCH(Table10[[#This Row],[Pcode]],CampList[CP_Pcode],0)-1,0,1,1)</f>
        <v>Maw Hpawng Hka Nan Baptist Church</v>
      </c>
      <c r="D113" s="26" t="str">
        <f ca="1">OFFSET(CampList[Township],MATCH(Table10[[#This Row],[Pcode]],CampList[CP_Pcode],0)-1,0,1,1)</f>
        <v>Myitkyina</v>
      </c>
      <c r="E113" s="422">
        <f ca="1">OFFSET(CampList[HH],MATCH(Table10[[#This Row],[Pcode]],CampList[CP_Pcode],0)-1,0,1,1)</f>
        <v>22</v>
      </c>
      <c r="F113" s="422">
        <f ca="1">OFFSET(CampList[Total],MATCH(Table10[[#This Row],[Pcode]],CampList[CP_Pcode],0)-1,0,1,1)</f>
        <v>103</v>
      </c>
      <c r="G113" s="422">
        <f>SUMIF('NFI Tracking'!AM$6:AM$1048576,Table10[[#This Row],[Pcode]],'NFI Tracking'!AG$6:AG$1048576)</f>
        <v>0</v>
      </c>
      <c r="H113" s="422">
        <f>SUMIF('NFI Tracking'!AM$6:AM$1048576,Table10[[#This Row],[Pcode]],'NFI Tracking'!AH$6:AH$1048576)</f>
        <v>0</v>
      </c>
      <c r="I113" s="422">
        <f>SUMIF('NFI Tracking'!AM$6:AM$1048576,Table10[[#This Row],[Pcode]],'NFI Tracking'!AI$6:AI$1048576)</f>
        <v>0</v>
      </c>
      <c r="J113" s="422">
        <f ca="1">MAX(Table10[[#This Row],[HH]]*VLOOKUP("Winter Clothes Adult",NFI,6)-Table10[[#This Row],[Winter Clothes Adult ]],0)</f>
        <v>44</v>
      </c>
      <c r="K113" s="422">
        <f ca="1">MAX(Table10[[#This Row],[HH]]*VLOOKUP("Winter Clothes Children ",NFI,6)-Table10[[#This Row],[Winter Clothes Children ]],0)</f>
        <v>22</v>
      </c>
      <c r="L113" s="422">
        <f ca="1">MAX(Table10[[#This Row],[HH]]*VLOOKUP("Winter Items Other ",NFI,6)-Table10[[#This Row],[Winter Items Other ]],0)</f>
        <v>22</v>
      </c>
      <c r="M113" s="469" t="str">
        <f>IF(OR(Table10[[#This Row],[Winter Clothes Adult ]]&lt;&gt;0,Table10[[#This Row],[Winter Clothes Children ]]&lt;&gt;0,Table10[[#This Row],[Winter Items Other ]]&lt;&gt;0),"No","")</f>
        <v/>
      </c>
      <c r="N113" s="470">
        <f>COUNTIF(A:A,Table10[[#This Row],[Pcode]])-1</f>
        <v>0</v>
      </c>
    </row>
    <row r="114" spans="1:14" x14ac:dyDescent="0.25">
      <c r="A114" s="381" t="s">
        <v>264</v>
      </c>
      <c r="B114" s="26" t="str">
        <f ca="1">OFFSET(CampList[Priority],MATCH(Table10[[#This Row],[Pcode]],CampList[CP_Pcode],0)-1,0,1,1)</f>
        <v>P4</v>
      </c>
      <c r="C114" s="26" t="str">
        <f ca="1">OFFSET(CampList[Camp],MATCH(Table10[[#This Row],[Pcode]],CampList[CP_Pcode],0)-1,0,1,1)</f>
        <v>Maw Hpawng Lhaovo Baptist Church</v>
      </c>
      <c r="D114" s="26" t="str">
        <f ca="1">OFFSET(CampList[Township],MATCH(Table10[[#This Row],[Pcode]],CampList[CP_Pcode],0)-1,0,1,1)</f>
        <v>Myitkyina</v>
      </c>
      <c r="E114" s="422">
        <f ca="1">OFFSET(CampList[HH],MATCH(Table10[[#This Row],[Pcode]],CampList[CP_Pcode],0)-1,0,1,1)</f>
        <v>14</v>
      </c>
      <c r="F114" s="422">
        <f ca="1">OFFSET(CampList[Total],MATCH(Table10[[#This Row],[Pcode]],CampList[CP_Pcode],0)-1,0,1,1)</f>
        <v>73</v>
      </c>
      <c r="G114" s="422">
        <f>SUMIF('NFI Tracking'!AM$6:AM$1048576,Table10[[#This Row],[Pcode]],'NFI Tracking'!AG$6:AG$1048576)</f>
        <v>0</v>
      </c>
      <c r="H114" s="422">
        <f>SUMIF('NFI Tracking'!AM$6:AM$1048576,Table10[[#This Row],[Pcode]],'NFI Tracking'!AH$6:AH$1048576)</f>
        <v>0</v>
      </c>
      <c r="I114" s="422">
        <f>SUMIF('NFI Tracking'!AM$6:AM$1048576,Table10[[#This Row],[Pcode]],'NFI Tracking'!AI$6:AI$1048576)</f>
        <v>0</v>
      </c>
      <c r="J114" s="422">
        <f ca="1">MAX(Table10[[#This Row],[HH]]*VLOOKUP("Winter Clothes Adult",NFI,6)-Table10[[#This Row],[Winter Clothes Adult ]],0)</f>
        <v>28</v>
      </c>
      <c r="K114" s="422">
        <f ca="1">MAX(Table10[[#This Row],[HH]]*VLOOKUP("Winter Clothes Children ",NFI,6)-Table10[[#This Row],[Winter Clothes Children ]],0)</f>
        <v>14</v>
      </c>
      <c r="L114" s="422">
        <f ca="1">MAX(Table10[[#This Row],[HH]]*VLOOKUP("Winter Items Other ",NFI,6)-Table10[[#This Row],[Winter Items Other ]],0)</f>
        <v>14</v>
      </c>
      <c r="M114" s="469" t="str">
        <f>IF(OR(Table10[[#This Row],[Winter Clothes Adult ]]&lt;&gt;0,Table10[[#This Row],[Winter Clothes Children ]]&lt;&gt;0,Table10[[#This Row],[Winter Items Other ]]&lt;&gt;0),"No","")</f>
        <v/>
      </c>
      <c r="N114" s="470">
        <f>COUNTIF(A:A,Table10[[#This Row],[Pcode]])-1</f>
        <v>0</v>
      </c>
    </row>
    <row r="115" spans="1:14" x14ac:dyDescent="0.25">
      <c r="A115" s="381" t="s">
        <v>99</v>
      </c>
      <c r="B115" s="26" t="str">
        <f ca="1">OFFSET(CampList[Priority],MATCH(Table10[[#This Row],[Pcode]],CampList[CP_Pcode],0)-1,0,1,1)</f>
        <v>P4</v>
      </c>
      <c r="C115" s="26" t="str">
        <f ca="1">OFFSET(CampList[Camp],MATCH(Table10[[#This Row],[Pcode]],CampList[CP_Pcode],0)-1,0,1,1)</f>
        <v>Maw Wan, Mu-yin Baptist Church</v>
      </c>
      <c r="D115" s="26" t="str">
        <f ca="1">OFFSET(CampList[Township],MATCH(Table10[[#This Row],[Pcode]],CampList[CP_Pcode],0)-1,0,1,1)</f>
        <v>Hpakant</v>
      </c>
      <c r="E115" s="422">
        <f ca="1">OFFSET(CampList[HH],MATCH(Table10[[#This Row],[Pcode]],CampList[CP_Pcode],0)-1,0,1,1)</f>
        <v>5</v>
      </c>
      <c r="F115" s="422">
        <f ca="1">OFFSET(CampList[Total],MATCH(Table10[[#This Row],[Pcode]],CampList[CP_Pcode],0)-1,0,1,1)</f>
        <v>26</v>
      </c>
      <c r="G115" s="422">
        <f>SUMIF('NFI Tracking'!AM$6:AM$1048576,Table10[[#This Row],[Pcode]],'NFI Tracking'!AG$6:AG$1048576)</f>
        <v>0</v>
      </c>
      <c r="H115" s="422">
        <f>SUMIF('NFI Tracking'!AM$6:AM$1048576,Table10[[#This Row],[Pcode]],'NFI Tracking'!AH$6:AH$1048576)</f>
        <v>0</v>
      </c>
      <c r="I115" s="422">
        <f>SUMIF('NFI Tracking'!AM$6:AM$1048576,Table10[[#This Row],[Pcode]],'NFI Tracking'!AI$6:AI$1048576)</f>
        <v>0</v>
      </c>
      <c r="J115" s="422">
        <f ca="1">MAX(Table10[[#This Row],[HH]]*VLOOKUP("Winter Clothes Adult",NFI,6)-Table10[[#This Row],[Winter Clothes Adult ]],0)</f>
        <v>10</v>
      </c>
      <c r="K115" s="422">
        <f ca="1">MAX(Table10[[#This Row],[HH]]*VLOOKUP("Winter Clothes Children ",NFI,6)-Table10[[#This Row],[Winter Clothes Children ]],0)</f>
        <v>5</v>
      </c>
      <c r="L115" s="422">
        <f ca="1">MAX(Table10[[#This Row],[HH]]*VLOOKUP("Winter Items Other ",NFI,6)-Table10[[#This Row],[Winter Items Other ]],0)</f>
        <v>5</v>
      </c>
      <c r="M115" s="469" t="str">
        <f>IF(OR(Table10[[#This Row],[Winter Clothes Adult ]]&lt;&gt;0,Table10[[#This Row],[Winter Clothes Children ]]&lt;&gt;0,Table10[[#This Row],[Winter Items Other ]]&lt;&gt;0),"No","")</f>
        <v/>
      </c>
      <c r="N115" s="470">
        <f>COUNTIF(A:A,Table10[[#This Row],[Pcode]])-1</f>
        <v>0</v>
      </c>
    </row>
    <row r="116" spans="1:14" x14ac:dyDescent="0.25">
      <c r="A116" s="381" t="s">
        <v>208</v>
      </c>
      <c r="B116" s="26" t="str">
        <f ca="1">OFFSET(CampList[Priority],MATCH(Table10[[#This Row],[Pcode]],CampList[CP_Pcode],0)-1,0,1,1)</f>
        <v>P4</v>
      </c>
      <c r="C116" s="26" t="str">
        <f ca="1">OFFSET(CampList[Camp],MATCH(Table10[[#This Row],[Pcode]],CampList[CP_Pcode],0)-1,0,1,1)</f>
        <v>Momauk Baptist Church</v>
      </c>
      <c r="D116" s="26" t="str">
        <f ca="1">OFFSET(CampList[Township],MATCH(Table10[[#This Row],[Pcode]],CampList[CP_Pcode],0)-1,0,1,1)</f>
        <v>Momauk</v>
      </c>
      <c r="E116" s="422">
        <f ca="1">OFFSET(CampList[HH],MATCH(Table10[[#This Row],[Pcode]],CampList[CP_Pcode],0)-1,0,1,1)</f>
        <v>207</v>
      </c>
      <c r="F116" s="422">
        <f ca="1">OFFSET(CampList[Total],MATCH(Table10[[#This Row],[Pcode]],CampList[CP_Pcode],0)-1,0,1,1)</f>
        <v>1863</v>
      </c>
      <c r="G116" s="422">
        <f>SUMIF('NFI Tracking'!AM$6:AM$1048576,Table10[[#This Row],[Pcode]],'NFI Tracking'!AG$6:AG$1048576)</f>
        <v>0</v>
      </c>
      <c r="H116" s="422">
        <f>SUMIF('NFI Tracking'!AM$6:AM$1048576,Table10[[#This Row],[Pcode]],'NFI Tracking'!AH$6:AH$1048576)</f>
        <v>0</v>
      </c>
      <c r="I116" s="422">
        <f>SUMIF('NFI Tracking'!AM$6:AM$1048576,Table10[[#This Row],[Pcode]],'NFI Tracking'!AI$6:AI$1048576)</f>
        <v>0</v>
      </c>
      <c r="J116" s="422">
        <f ca="1">MAX(Table10[[#This Row],[HH]]*VLOOKUP("Winter Clothes Adult",NFI,6)-Table10[[#This Row],[Winter Clothes Adult ]],0)</f>
        <v>414</v>
      </c>
      <c r="K116" s="422">
        <f ca="1">MAX(Table10[[#This Row],[HH]]*VLOOKUP("Winter Clothes Children ",NFI,6)-Table10[[#This Row],[Winter Clothes Children ]],0)</f>
        <v>207</v>
      </c>
      <c r="L116" s="422">
        <f ca="1">MAX(Table10[[#This Row],[HH]]*VLOOKUP("Winter Items Other ",NFI,6)-Table10[[#This Row],[Winter Items Other ]],0)</f>
        <v>207</v>
      </c>
      <c r="M116" s="469" t="str">
        <f>IF(OR(Table10[[#This Row],[Winter Clothes Adult ]]&lt;&gt;0,Table10[[#This Row],[Winter Clothes Children ]]&lt;&gt;0,Table10[[#This Row],[Winter Items Other ]]&lt;&gt;0),"No","")</f>
        <v/>
      </c>
      <c r="N116" s="470">
        <f>COUNTIF(A:A,Table10[[#This Row],[Pcode]])-1</f>
        <v>0</v>
      </c>
    </row>
    <row r="117" spans="1:14" x14ac:dyDescent="0.25">
      <c r="A117" s="381" t="s">
        <v>210</v>
      </c>
      <c r="B117" s="26" t="str">
        <f ca="1">OFFSET(CampList[Priority],MATCH(Table10[[#This Row],[Pcode]],CampList[CP_Pcode],0)-1,0,1,1)</f>
        <v>P4</v>
      </c>
      <c r="C117" s="26" t="str">
        <f ca="1">OFFSET(CampList[Camp],MATCH(Table10[[#This Row],[Pcode]],CampList[CP_Pcode],0)-1,0,1,1)</f>
        <v>Momauk Catholic Church (St. Patrick)</v>
      </c>
      <c r="D117" s="26" t="str">
        <f ca="1">OFFSET(CampList[Township],MATCH(Table10[[#This Row],[Pcode]],CampList[CP_Pcode],0)-1,0,1,1)</f>
        <v>Momauk</v>
      </c>
      <c r="E117" s="422">
        <f ca="1">OFFSET(CampList[HH],MATCH(Table10[[#This Row],[Pcode]],CampList[CP_Pcode],0)-1,0,1,1)</f>
        <v>0</v>
      </c>
      <c r="F117" s="422">
        <f ca="1">OFFSET(CampList[Total],MATCH(Table10[[#This Row],[Pcode]],CampList[CP_Pcode],0)-1,0,1,1)</f>
        <v>0</v>
      </c>
      <c r="G117" s="422">
        <f>SUMIF('NFI Tracking'!AM$6:AM$1048576,Table10[[#This Row],[Pcode]],'NFI Tracking'!AG$6:AG$1048576)</f>
        <v>0</v>
      </c>
      <c r="H117" s="422">
        <f>SUMIF('NFI Tracking'!AM$6:AM$1048576,Table10[[#This Row],[Pcode]],'NFI Tracking'!AH$6:AH$1048576)</f>
        <v>0</v>
      </c>
      <c r="I117" s="422">
        <f>SUMIF('NFI Tracking'!AM$6:AM$1048576,Table10[[#This Row],[Pcode]],'NFI Tracking'!AI$6:AI$1048576)</f>
        <v>0</v>
      </c>
      <c r="J117" s="422">
        <f ca="1">MAX(Table10[[#This Row],[HH]]*VLOOKUP("Winter Clothes Adult",NFI,6)-Table10[[#This Row],[Winter Clothes Adult ]],0)</f>
        <v>0</v>
      </c>
      <c r="K117" s="422">
        <f ca="1">MAX(Table10[[#This Row],[HH]]*VLOOKUP("Winter Clothes Children ",NFI,6)-Table10[[#This Row],[Winter Clothes Children ]],0)</f>
        <v>0</v>
      </c>
      <c r="L117" s="422">
        <f ca="1">MAX(Table10[[#This Row],[HH]]*VLOOKUP("Winter Items Other ",NFI,6)-Table10[[#This Row],[Winter Items Other ]],0)</f>
        <v>0</v>
      </c>
      <c r="M117" s="469" t="str">
        <f>IF(OR(Table10[[#This Row],[Winter Clothes Adult ]]&lt;&gt;0,Table10[[#This Row],[Winter Clothes Children ]]&lt;&gt;0,Table10[[#This Row],[Winter Items Other ]]&lt;&gt;0),"No","")</f>
        <v/>
      </c>
      <c r="N117" s="470">
        <f>COUNTIF(A:A,Table10[[#This Row],[Pcode]])-1</f>
        <v>0</v>
      </c>
    </row>
    <row r="118" spans="1:14" x14ac:dyDescent="0.25">
      <c r="A118" s="381" t="s">
        <v>1061</v>
      </c>
      <c r="B118" s="26" t="str">
        <f ca="1">OFFSET(CampList[Priority],MATCH(Table10[[#This Row],[Pcode]],CampList[CP_Pcode],0)-1,0,1,1)</f>
        <v>P4</v>
      </c>
      <c r="C118" s="26" t="str">
        <f ca="1">OFFSET(CampList[Camp],MATCH(Table10[[#This Row],[Pcode]],CampList[CP_Pcode],0)-1,0,1,1)</f>
        <v>Muse Baptist Church</v>
      </c>
      <c r="D118" s="26" t="str">
        <f ca="1">OFFSET(CampList[Township],MATCH(Table10[[#This Row],[Pcode]],CampList[CP_Pcode],0)-1,0,1,1)</f>
        <v>Muse</v>
      </c>
      <c r="E118" s="422">
        <f ca="1">OFFSET(CampList[HH],MATCH(Table10[[#This Row],[Pcode]],CampList[CP_Pcode],0)-1,0,1,1)</f>
        <v>55</v>
      </c>
      <c r="F118" s="422">
        <f ca="1">OFFSET(CampList[Total],MATCH(Table10[[#This Row],[Pcode]],CampList[CP_Pcode],0)-1,0,1,1)</f>
        <v>237</v>
      </c>
      <c r="G118" s="422">
        <f>SUMIF('NFI Tracking'!AM$6:AM$1048576,Table10[[#This Row],[Pcode]],'NFI Tracking'!AG$6:AG$1048576)</f>
        <v>0</v>
      </c>
      <c r="H118" s="422">
        <f>SUMIF('NFI Tracking'!AM$6:AM$1048576,Table10[[#This Row],[Pcode]],'NFI Tracking'!AH$6:AH$1048576)</f>
        <v>0</v>
      </c>
      <c r="I118" s="422">
        <f>SUMIF('NFI Tracking'!AM$6:AM$1048576,Table10[[#This Row],[Pcode]],'NFI Tracking'!AI$6:AI$1048576)</f>
        <v>0</v>
      </c>
      <c r="J118" s="422">
        <f ca="1">MAX(Table10[[#This Row],[HH]]*VLOOKUP("Winter Clothes Adult",NFI,6)-Table10[[#This Row],[Winter Clothes Adult ]],0)</f>
        <v>110</v>
      </c>
      <c r="K118" s="422">
        <f ca="1">MAX(Table10[[#This Row],[HH]]*VLOOKUP("Winter Clothes Children ",NFI,6)-Table10[[#This Row],[Winter Clothes Children ]],0)</f>
        <v>55</v>
      </c>
      <c r="L118" s="422">
        <f ca="1">MAX(Table10[[#This Row],[HH]]*VLOOKUP("Winter Items Other ",NFI,6)-Table10[[#This Row],[Winter Items Other ]],0)</f>
        <v>55</v>
      </c>
      <c r="M118" s="469" t="str">
        <f>IF(OR(Table10[[#This Row],[Winter Clothes Adult ]]&lt;&gt;0,Table10[[#This Row],[Winter Clothes Children ]]&lt;&gt;0,Table10[[#This Row],[Winter Items Other ]]&lt;&gt;0),"No","")</f>
        <v/>
      </c>
      <c r="N118" s="470">
        <f>COUNTIF(A:A,Table10[[#This Row],[Pcode]])-1</f>
        <v>0</v>
      </c>
    </row>
    <row r="119" spans="1:14" x14ac:dyDescent="0.25">
      <c r="A119" s="381" t="s">
        <v>1071</v>
      </c>
      <c r="B119" s="26" t="str">
        <f ca="1">OFFSET(CampList[Priority],MATCH(Table10[[#This Row],[Pcode]],CampList[CP_Pcode],0)-1,0,1,1)</f>
        <v>P4</v>
      </c>
      <c r="C119" s="26" t="str">
        <f ca="1">OFFSET(CampList[Camp],MATCH(Table10[[#This Row],[Pcode]],CampList[CP_Pcode],0)-1,0,1,1)</f>
        <v>Muse Catholic Church</v>
      </c>
      <c r="D119" s="26" t="str">
        <f ca="1">OFFSET(CampList[Township],MATCH(Table10[[#This Row],[Pcode]],CampList[CP_Pcode],0)-1,0,1,1)</f>
        <v>Muse</v>
      </c>
      <c r="E119" s="422">
        <f ca="1">OFFSET(CampList[HH],MATCH(Table10[[#This Row],[Pcode]],CampList[CP_Pcode],0)-1,0,1,1)</f>
        <v>30</v>
      </c>
      <c r="F119" s="422">
        <f ca="1">OFFSET(CampList[Total],MATCH(Table10[[#This Row],[Pcode]],CampList[CP_Pcode],0)-1,0,1,1)</f>
        <v>188</v>
      </c>
      <c r="G119" s="422">
        <f>SUMIF('NFI Tracking'!AM$6:AM$1048576,Table10[[#This Row],[Pcode]],'NFI Tracking'!AG$6:AG$1048576)</f>
        <v>0</v>
      </c>
      <c r="H119" s="422">
        <f>SUMIF('NFI Tracking'!AM$6:AM$1048576,Table10[[#This Row],[Pcode]],'NFI Tracking'!AH$6:AH$1048576)</f>
        <v>0</v>
      </c>
      <c r="I119" s="422">
        <f>SUMIF('NFI Tracking'!AM$6:AM$1048576,Table10[[#This Row],[Pcode]],'NFI Tracking'!AI$6:AI$1048576)</f>
        <v>0</v>
      </c>
      <c r="J119" s="422">
        <f ca="1">MAX(Table10[[#This Row],[HH]]*VLOOKUP("Winter Clothes Adult",NFI,6)-Table10[[#This Row],[Winter Clothes Adult ]],0)</f>
        <v>60</v>
      </c>
      <c r="K119" s="422">
        <f ca="1">MAX(Table10[[#This Row],[HH]]*VLOOKUP("Winter Clothes Children ",NFI,6)-Table10[[#This Row],[Winter Clothes Children ]],0)</f>
        <v>30</v>
      </c>
      <c r="L119" s="422">
        <f ca="1">MAX(Table10[[#This Row],[HH]]*VLOOKUP("Winter Items Other ",NFI,6)-Table10[[#This Row],[Winter Items Other ]],0)</f>
        <v>30</v>
      </c>
      <c r="M119" s="469" t="str">
        <f>IF(OR(Table10[[#This Row],[Winter Clothes Adult ]]&lt;&gt;0,Table10[[#This Row],[Winter Clothes Children ]]&lt;&gt;0,Table10[[#This Row],[Winter Items Other ]]&lt;&gt;0),"No","")</f>
        <v/>
      </c>
      <c r="N119" s="470">
        <f>COUNTIF(A:A,Table10[[#This Row],[Pcode]])-1</f>
        <v>0</v>
      </c>
    </row>
    <row r="120" spans="1:14" x14ac:dyDescent="0.25">
      <c r="A120" s="381" t="s">
        <v>7</v>
      </c>
      <c r="B120" s="26" t="str">
        <f ca="1">OFFSET(CampList[Priority],MATCH(Table10[[#This Row],[Pcode]],CampList[CP_Pcode],0)-1,0,1,1)</f>
        <v>P4</v>
      </c>
      <c r="C120" s="26" t="str">
        <f ca="1">OFFSET(CampList[Camp],MATCH(Table10[[#This Row],[Pcode]],CampList[CP_Pcode],0)-1,0,1,1)</f>
        <v>Mu-yin Baptist Church</v>
      </c>
      <c r="D120" s="26" t="str">
        <f ca="1">OFFSET(CampList[Township],MATCH(Table10[[#This Row],[Pcode]],CampList[CP_Pcode],0)-1,0,1,1)</f>
        <v>Bhamo</v>
      </c>
      <c r="E120" s="422">
        <f ca="1">OFFSET(CampList[HH],MATCH(Table10[[#This Row],[Pcode]],CampList[CP_Pcode],0)-1,0,1,1)</f>
        <v>23</v>
      </c>
      <c r="F120" s="422">
        <f ca="1">OFFSET(CampList[Total],MATCH(Table10[[#This Row],[Pcode]],CampList[CP_Pcode],0)-1,0,1,1)</f>
        <v>86</v>
      </c>
      <c r="G120" s="422">
        <f>SUMIF('NFI Tracking'!AM$6:AM$1048576,Table10[[#This Row],[Pcode]],'NFI Tracking'!AG$6:AG$1048576)</f>
        <v>0</v>
      </c>
      <c r="H120" s="422">
        <f>SUMIF('NFI Tracking'!AM$6:AM$1048576,Table10[[#This Row],[Pcode]],'NFI Tracking'!AH$6:AH$1048576)</f>
        <v>0</v>
      </c>
      <c r="I120" s="422">
        <f>SUMIF('NFI Tracking'!AM$6:AM$1048576,Table10[[#This Row],[Pcode]],'NFI Tracking'!AI$6:AI$1048576)</f>
        <v>0</v>
      </c>
      <c r="J120" s="422">
        <f ca="1">MAX(Table10[[#This Row],[HH]]*VLOOKUP("Winter Clothes Adult",NFI,6)-Table10[[#This Row],[Winter Clothes Adult ]],0)</f>
        <v>46</v>
      </c>
      <c r="K120" s="422">
        <f ca="1">MAX(Table10[[#This Row],[HH]]*VLOOKUP("Winter Clothes Children ",NFI,6)-Table10[[#This Row],[Winter Clothes Children ]],0)</f>
        <v>23</v>
      </c>
      <c r="L120" s="422">
        <f ca="1">MAX(Table10[[#This Row],[HH]]*VLOOKUP("Winter Items Other ",NFI,6)-Table10[[#This Row],[Winter Items Other ]],0)</f>
        <v>23</v>
      </c>
      <c r="M120" s="469" t="str">
        <f>IF(OR(Table10[[#This Row],[Winter Clothes Adult ]]&lt;&gt;0,Table10[[#This Row],[Winter Clothes Children ]]&lt;&gt;0,Table10[[#This Row],[Winter Items Other ]]&lt;&gt;0),"No","")</f>
        <v/>
      </c>
      <c r="N120" s="470">
        <f>COUNTIF(A:A,Table10[[#This Row],[Pcode]])-1</f>
        <v>0</v>
      </c>
    </row>
    <row r="121" spans="1:14" x14ac:dyDescent="0.25">
      <c r="A121" s="381" t="s">
        <v>266</v>
      </c>
      <c r="B121" s="26" t="str">
        <f ca="1">OFFSET(CampList[Priority],MATCH(Table10[[#This Row],[Pcode]],CampList[CP_Pcode],0)-1,0,1,1)</f>
        <v>P4</v>
      </c>
      <c r="C121" s="26" t="str">
        <f ca="1">OFFSET(CampList[Camp],MATCH(Table10[[#This Row],[Pcode]],CampList[CP_Pcode],0)-1,0,1,1)</f>
        <v>Myay Myint Baptist Church</v>
      </c>
      <c r="D121" s="26" t="str">
        <f ca="1">OFFSET(CampList[Township],MATCH(Table10[[#This Row],[Pcode]],CampList[CP_Pcode],0)-1,0,1,1)</f>
        <v>Myitkyina</v>
      </c>
      <c r="E121" s="422">
        <f ca="1">OFFSET(CampList[HH],MATCH(Table10[[#This Row],[Pcode]],CampList[CP_Pcode],0)-1,0,1,1)</f>
        <v>0</v>
      </c>
      <c r="F121" s="422">
        <f ca="1">OFFSET(CampList[Total],MATCH(Table10[[#This Row],[Pcode]],CampList[CP_Pcode],0)-1,0,1,1)</f>
        <v>0</v>
      </c>
      <c r="G121" s="422">
        <f>SUMIF('NFI Tracking'!AM$6:AM$1048576,Table10[[#This Row],[Pcode]],'NFI Tracking'!AG$6:AG$1048576)</f>
        <v>0</v>
      </c>
      <c r="H121" s="422">
        <f>SUMIF('NFI Tracking'!AM$6:AM$1048576,Table10[[#This Row],[Pcode]],'NFI Tracking'!AH$6:AH$1048576)</f>
        <v>0</v>
      </c>
      <c r="I121" s="422">
        <f>SUMIF('NFI Tracking'!AM$6:AM$1048576,Table10[[#This Row],[Pcode]],'NFI Tracking'!AI$6:AI$1048576)</f>
        <v>0</v>
      </c>
      <c r="J121" s="422">
        <f ca="1">MAX(Table10[[#This Row],[HH]]*VLOOKUP("Winter Clothes Adult",NFI,6)-Table10[[#This Row],[Winter Clothes Adult ]],0)</f>
        <v>0</v>
      </c>
      <c r="K121" s="422">
        <f ca="1">MAX(Table10[[#This Row],[HH]]*VLOOKUP("Winter Clothes Children ",NFI,6)-Table10[[#This Row],[Winter Clothes Children ]],0)</f>
        <v>0</v>
      </c>
      <c r="L121" s="422">
        <f ca="1">MAX(Table10[[#This Row],[HH]]*VLOOKUP("Winter Items Other ",NFI,6)-Table10[[#This Row],[Winter Items Other ]],0)</f>
        <v>0</v>
      </c>
      <c r="M121" s="469" t="str">
        <f>IF(OR(Table10[[#This Row],[Winter Clothes Adult ]]&lt;&gt;0,Table10[[#This Row],[Winter Clothes Children ]]&lt;&gt;0,Table10[[#This Row],[Winter Items Other ]]&lt;&gt;0),"No","")</f>
        <v/>
      </c>
      <c r="N121" s="470">
        <f>COUNTIF(A:A,Table10[[#This Row],[Pcode]])-1</f>
        <v>0</v>
      </c>
    </row>
    <row r="122" spans="1:14" x14ac:dyDescent="0.25">
      <c r="A122" s="381" t="s">
        <v>212</v>
      </c>
      <c r="B122" s="26" t="str">
        <f ca="1">OFFSET(CampList[Priority],MATCH(Table10[[#This Row],[Pcode]],CampList[CP_Pcode],0)-1,0,1,1)</f>
        <v>P4</v>
      </c>
      <c r="C122" s="26" t="str">
        <f ca="1">OFFSET(CampList[Camp],MATCH(Table10[[#This Row],[Pcode]],CampList[CP_Pcode],0)-1,0,1,1)</f>
        <v xml:space="preserve">Myo Thit </v>
      </c>
      <c r="D122" s="26" t="str">
        <f ca="1">OFFSET(CampList[Township],MATCH(Table10[[#This Row],[Pcode]],CampList[CP_Pcode],0)-1,0,1,1)</f>
        <v>Momauk</v>
      </c>
      <c r="E122" s="422">
        <f ca="1">OFFSET(CampList[HH],MATCH(Table10[[#This Row],[Pcode]],CampList[CP_Pcode],0)-1,0,1,1)</f>
        <v>13</v>
      </c>
      <c r="F122" s="422">
        <f ca="1">OFFSET(CampList[Total],MATCH(Table10[[#This Row],[Pcode]],CampList[CP_Pcode],0)-1,0,1,1)</f>
        <v>53</v>
      </c>
      <c r="G122" s="422">
        <f>SUMIF('NFI Tracking'!AM$6:AM$1048576,Table10[[#This Row],[Pcode]],'NFI Tracking'!AG$6:AG$1048576)</f>
        <v>0</v>
      </c>
      <c r="H122" s="422">
        <f>SUMIF('NFI Tracking'!AM$6:AM$1048576,Table10[[#This Row],[Pcode]],'NFI Tracking'!AH$6:AH$1048576)</f>
        <v>0</v>
      </c>
      <c r="I122" s="422">
        <f>SUMIF('NFI Tracking'!AM$6:AM$1048576,Table10[[#This Row],[Pcode]],'NFI Tracking'!AI$6:AI$1048576)</f>
        <v>0</v>
      </c>
      <c r="J122" s="422">
        <f ca="1">MAX(Table10[[#This Row],[HH]]*VLOOKUP("Winter Clothes Adult",NFI,6)-Table10[[#This Row],[Winter Clothes Adult ]],0)</f>
        <v>26</v>
      </c>
      <c r="K122" s="422">
        <f ca="1">MAX(Table10[[#This Row],[HH]]*VLOOKUP("Winter Clothes Children ",NFI,6)-Table10[[#This Row],[Winter Clothes Children ]],0)</f>
        <v>13</v>
      </c>
      <c r="L122" s="422">
        <f ca="1">MAX(Table10[[#This Row],[HH]]*VLOOKUP("Winter Items Other ",NFI,6)-Table10[[#This Row],[Winter Items Other ]],0)</f>
        <v>13</v>
      </c>
      <c r="M122" s="469" t="str">
        <f>IF(OR(Table10[[#This Row],[Winter Clothes Adult ]]&lt;&gt;0,Table10[[#This Row],[Winter Clothes Children ]]&lt;&gt;0,Table10[[#This Row],[Winter Items Other ]]&lt;&gt;0),"No","")</f>
        <v/>
      </c>
      <c r="N122" s="470">
        <f>COUNTIF(A:A,Table10[[#This Row],[Pcode]])-1</f>
        <v>0</v>
      </c>
    </row>
    <row r="123" spans="1:14" x14ac:dyDescent="0.25">
      <c r="A123" s="381" t="s">
        <v>1063</v>
      </c>
      <c r="B123" s="26" t="str">
        <f ca="1">OFFSET(CampList[Priority],MATCH(Table10[[#This Row],[Pcode]],CampList[CP_Pcode],0)-1,0,1,1)</f>
        <v>P4</v>
      </c>
      <c r="C123" s="26" t="str">
        <f ca="1">OFFSET(CampList[Camp],MATCH(Table10[[#This Row],[Pcode]],CampList[CP_Pcode],0)-1,0,1,1)</f>
        <v>Nam Hkam (KBC Jaw Wang) II</v>
      </c>
      <c r="D123" s="26" t="str">
        <f ca="1">OFFSET(CampList[Township],MATCH(Table10[[#This Row],[Pcode]],CampList[CP_Pcode],0)-1,0,1,1)</f>
        <v>Namhkan</v>
      </c>
      <c r="E123" s="422">
        <f ca="1">OFFSET(CampList[HH],MATCH(Table10[[#This Row],[Pcode]],CampList[CP_Pcode],0)-1,0,1,1)</f>
        <v>41</v>
      </c>
      <c r="F123" s="422">
        <f ca="1">OFFSET(CampList[Total],MATCH(Table10[[#This Row],[Pcode]],CampList[CP_Pcode],0)-1,0,1,1)</f>
        <v>225</v>
      </c>
      <c r="G123" s="422">
        <f>SUMIF('NFI Tracking'!AM$6:AM$1048576,Table10[[#This Row],[Pcode]],'NFI Tracking'!AG$6:AG$1048576)</f>
        <v>0</v>
      </c>
      <c r="H123" s="422">
        <f>SUMIF('NFI Tracking'!AM$6:AM$1048576,Table10[[#This Row],[Pcode]],'NFI Tracking'!AH$6:AH$1048576)</f>
        <v>0</v>
      </c>
      <c r="I123" s="422">
        <f>SUMIF('NFI Tracking'!AM$6:AM$1048576,Table10[[#This Row],[Pcode]],'NFI Tracking'!AI$6:AI$1048576)</f>
        <v>0</v>
      </c>
      <c r="J123" s="422">
        <f ca="1">MAX(Table10[[#This Row],[HH]]*VLOOKUP("Winter Clothes Adult",NFI,6)-Table10[[#This Row],[Winter Clothes Adult ]],0)</f>
        <v>82</v>
      </c>
      <c r="K123" s="422">
        <f ca="1">MAX(Table10[[#This Row],[HH]]*VLOOKUP("Winter Clothes Children ",NFI,6)-Table10[[#This Row],[Winter Clothes Children ]],0)</f>
        <v>41</v>
      </c>
      <c r="L123" s="422">
        <f ca="1">MAX(Table10[[#This Row],[HH]]*VLOOKUP("Winter Items Other ",NFI,6)-Table10[[#This Row],[Winter Items Other ]],0)</f>
        <v>41</v>
      </c>
      <c r="M123" s="469" t="str">
        <f>IF(OR(Table10[[#This Row],[Winter Clothes Adult ]]&lt;&gt;0,Table10[[#This Row],[Winter Clothes Children ]]&lt;&gt;0,Table10[[#This Row],[Winter Items Other ]]&lt;&gt;0),"No","")</f>
        <v/>
      </c>
      <c r="N123" s="470">
        <f>COUNTIF(A:A,Table10[[#This Row],[Pcode]])-1</f>
        <v>0</v>
      </c>
    </row>
    <row r="124" spans="1:14" x14ac:dyDescent="0.25">
      <c r="A124" s="381" t="s">
        <v>46</v>
      </c>
      <c r="B124" s="26" t="str">
        <f ca="1">OFFSET(CampList[Priority],MATCH(Table10[[#This Row],[Pcode]],CampList[CP_Pcode],0)-1,0,1,1)</f>
        <v>P4</v>
      </c>
      <c r="C124" s="26" t="str">
        <f ca="1">OFFSET(CampList[Camp],MATCH(Table10[[#This Row],[Pcode]],CampList[CP_Pcode],0)-1,0,1,1)</f>
        <v>Nam Ma Phyit, COC</v>
      </c>
      <c r="D124" s="26" t="str">
        <f ca="1">OFFSET(CampList[Township],MATCH(Table10[[#This Row],[Pcode]],CampList[CP_Pcode],0)-1,0,1,1)</f>
        <v>Hpakant</v>
      </c>
      <c r="E124" s="422">
        <f ca="1">OFFSET(CampList[HH],MATCH(Table10[[#This Row],[Pcode]],CampList[CP_Pcode],0)-1,0,1,1)</f>
        <v>17</v>
      </c>
      <c r="F124" s="422">
        <f ca="1">OFFSET(CampList[Total],MATCH(Table10[[#This Row],[Pcode]],CampList[CP_Pcode],0)-1,0,1,1)</f>
        <v>64</v>
      </c>
      <c r="G124" s="422">
        <f>SUMIF('NFI Tracking'!AM$6:AM$1048576,Table10[[#This Row],[Pcode]],'NFI Tracking'!AG$6:AG$1048576)</f>
        <v>50</v>
      </c>
      <c r="H124" s="422">
        <f>SUMIF('NFI Tracking'!AM$6:AM$1048576,Table10[[#This Row],[Pcode]],'NFI Tracking'!AH$6:AH$1048576)</f>
        <v>17</v>
      </c>
      <c r="I124" s="422">
        <f>SUMIF('NFI Tracking'!AM$6:AM$1048576,Table10[[#This Row],[Pcode]],'NFI Tracking'!AI$6:AI$1048576)</f>
        <v>0</v>
      </c>
      <c r="J124" s="422">
        <f ca="1">MAX(Table10[[#This Row],[HH]]*VLOOKUP("Winter Clothes Adult",NFI,6)-Table10[[#This Row],[Winter Clothes Adult ]],0)</f>
        <v>0</v>
      </c>
      <c r="K124" s="422">
        <f ca="1">MAX(Table10[[#This Row],[HH]]*VLOOKUP("Winter Clothes Children ",NFI,6)-Table10[[#This Row],[Winter Clothes Children ]],0)</f>
        <v>0</v>
      </c>
      <c r="L124" s="422">
        <f ca="1">MAX(Table10[[#This Row],[HH]]*VLOOKUP("Winter Items Other ",NFI,6)-Table10[[#This Row],[Winter Items Other ]],0)</f>
        <v>17</v>
      </c>
      <c r="M124" s="469" t="str">
        <f>IF(OR(Table10[[#This Row],[Winter Clothes Adult ]]&lt;&gt;0,Table10[[#This Row],[Winter Clothes Children ]]&lt;&gt;0,Table10[[#This Row],[Winter Items Other ]]&lt;&gt;0),"No","")</f>
        <v>No</v>
      </c>
      <c r="N124" s="470">
        <f>COUNTIF(A:A,Table10[[#This Row],[Pcode]])-1</f>
        <v>0</v>
      </c>
    </row>
    <row r="125" spans="1:14" x14ac:dyDescent="0.25">
      <c r="A125" s="381" t="s">
        <v>1067</v>
      </c>
      <c r="B125" s="26" t="str">
        <f ca="1">OFFSET(CampList[Priority],MATCH(Table10[[#This Row],[Pcode]],CampList[CP_Pcode],0)-1,0,1,1)</f>
        <v>P4</v>
      </c>
      <c r="C125" s="26" t="str">
        <f ca="1">OFFSET(CampList[Camp],MATCH(Table10[[#This Row],[Pcode]],CampList[CP_Pcode],0)-1,0,1,1)</f>
        <v>Namhkan - Pang Long KBC</v>
      </c>
      <c r="D125" s="26" t="str">
        <f ca="1">OFFSET(CampList[Township],MATCH(Table10[[#This Row],[Pcode]],CampList[CP_Pcode],0)-1,0,1,1)</f>
        <v>Namhkan</v>
      </c>
      <c r="E125" s="422">
        <f ca="1">OFFSET(CampList[HH],MATCH(Table10[[#This Row],[Pcode]],CampList[CP_Pcode],0)-1,0,1,1)</f>
        <v>141</v>
      </c>
      <c r="F125" s="422">
        <f ca="1">OFFSET(CampList[Total],MATCH(Table10[[#This Row],[Pcode]],CampList[CP_Pcode],0)-1,0,1,1)</f>
        <v>669</v>
      </c>
      <c r="G125" s="422">
        <f>SUMIF('NFI Tracking'!AM$6:AM$1048576,Table10[[#This Row],[Pcode]],'NFI Tracking'!AG$6:AG$1048576)</f>
        <v>0</v>
      </c>
      <c r="H125" s="422">
        <f>SUMIF('NFI Tracking'!AM$6:AM$1048576,Table10[[#This Row],[Pcode]],'NFI Tracking'!AH$6:AH$1048576)</f>
        <v>0</v>
      </c>
      <c r="I125" s="422">
        <f>SUMIF('NFI Tracking'!AM$6:AM$1048576,Table10[[#This Row],[Pcode]],'NFI Tracking'!AI$6:AI$1048576)</f>
        <v>0</v>
      </c>
      <c r="J125" s="422">
        <f ca="1">MAX(Table10[[#This Row],[HH]]*VLOOKUP("Winter Clothes Adult",NFI,6)-Table10[[#This Row],[Winter Clothes Adult ]],0)</f>
        <v>282</v>
      </c>
      <c r="K125" s="422">
        <f ca="1">MAX(Table10[[#This Row],[HH]]*VLOOKUP("Winter Clothes Children ",NFI,6)-Table10[[#This Row],[Winter Clothes Children ]],0)</f>
        <v>141</v>
      </c>
      <c r="L125" s="422">
        <f ca="1">MAX(Table10[[#This Row],[HH]]*VLOOKUP("Winter Items Other ",NFI,6)-Table10[[#This Row],[Winter Items Other ]],0)</f>
        <v>141</v>
      </c>
      <c r="M125" s="469" t="str">
        <f>IF(OR(Table10[[#This Row],[Winter Clothes Adult ]]&lt;&gt;0,Table10[[#This Row],[Winter Clothes Children ]]&lt;&gt;0,Table10[[#This Row],[Winter Items Other ]]&lt;&gt;0),"No","")</f>
        <v/>
      </c>
      <c r="N125" s="470">
        <f>COUNTIF(A:A,Table10[[#This Row],[Pcode]])-1</f>
        <v>0</v>
      </c>
    </row>
    <row r="126" spans="1:14" x14ac:dyDescent="0.25">
      <c r="A126" s="381" t="s">
        <v>270</v>
      </c>
      <c r="B126" s="26" t="str">
        <f ca="1">OFFSET(CampList[Priority],MATCH(Table10[[#This Row],[Pcode]],CampList[CP_Pcode],0)-1,0,1,1)</f>
        <v>P4</v>
      </c>
      <c r="C126" s="26" t="str">
        <f ca="1">OFFSET(CampList[Camp],MATCH(Table10[[#This Row],[Pcode]],CampList[CP_Pcode],0)-1,0,1,1)</f>
        <v>Nan Kway St. John Catholic Church</v>
      </c>
      <c r="D126" s="26" t="str">
        <f ca="1">OFFSET(CampList[Township],MATCH(Table10[[#This Row],[Pcode]],CampList[CP_Pcode],0)-1,0,1,1)</f>
        <v>Myitkyina</v>
      </c>
      <c r="E126" s="422">
        <f ca="1">OFFSET(CampList[HH],MATCH(Table10[[#This Row],[Pcode]],CampList[CP_Pcode],0)-1,0,1,1)</f>
        <v>70</v>
      </c>
      <c r="F126" s="422">
        <f ca="1">OFFSET(CampList[Total],MATCH(Table10[[#This Row],[Pcode]],CampList[CP_Pcode],0)-1,0,1,1)</f>
        <v>326</v>
      </c>
      <c r="G126" s="422">
        <f>SUMIF('NFI Tracking'!AM$6:AM$1048576,Table10[[#This Row],[Pcode]],'NFI Tracking'!AG$6:AG$1048576)</f>
        <v>0</v>
      </c>
      <c r="H126" s="422">
        <f>SUMIF('NFI Tracking'!AM$6:AM$1048576,Table10[[#This Row],[Pcode]],'NFI Tracking'!AH$6:AH$1048576)</f>
        <v>0</v>
      </c>
      <c r="I126" s="422">
        <f>SUMIF('NFI Tracking'!AM$6:AM$1048576,Table10[[#This Row],[Pcode]],'NFI Tracking'!AI$6:AI$1048576)</f>
        <v>0</v>
      </c>
      <c r="J126" s="422">
        <f ca="1">MAX(Table10[[#This Row],[HH]]*VLOOKUP("Winter Clothes Adult",NFI,6)-Table10[[#This Row],[Winter Clothes Adult ]],0)</f>
        <v>140</v>
      </c>
      <c r="K126" s="422">
        <f ca="1">MAX(Table10[[#This Row],[HH]]*VLOOKUP("Winter Clothes Children ",NFI,6)-Table10[[#This Row],[Winter Clothes Children ]],0)</f>
        <v>70</v>
      </c>
      <c r="L126" s="422">
        <f ca="1">MAX(Table10[[#This Row],[HH]]*VLOOKUP("Winter Items Other ",NFI,6)-Table10[[#This Row],[Winter Items Other ]],0)</f>
        <v>70</v>
      </c>
      <c r="M126" s="469" t="str">
        <f>IF(OR(Table10[[#This Row],[Winter Clothes Adult ]]&lt;&gt;0,Table10[[#This Row],[Winter Clothes Children ]]&lt;&gt;0,Table10[[#This Row],[Winter Items Other ]]&lt;&gt;0),"No","")</f>
        <v/>
      </c>
      <c r="N126" s="470">
        <f>COUNTIF(A:A,Table10[[#This Row],[Pcode]])-1</f>
        <v>0</v>
      </c>
    </row>
    <row r="127" spans="1:14" x14ac:dyDescent="0.25">
      <c r="A127" s="381" t="s">
        <v>19</v>
      </c>
      <c r="B127" s="26" t="str">
        <f ca="1">OFFSET(CampList[Priority],MATCH(Table10[[#This Row],[Pcode]],CampList[CP_Pcode],0)-1,0,1,1)</f>
        <v>P4</v>
      </c>
      <c r="C127" s="26" t="str">
        <f ca="1">OFFSET(CampList[Camp],MATCH(Table10[[#This Row],[Pcode]],CampList[CP_Pcode],0)-1,0,1,1)</f>
        <v>Nant Hlaing Church</v>
      </c>
      <c r="D127" s="26" t="str">
        <f ca="1">OFFSET(CampList[Township],MATCH(Table10[[#This Row],[Pcode]],CampList[CP_Pcode],0)-1,0,1,1)</f>
        <v>Bhamo</v>
      </c>
      <c r="E127" s="422">
        <f ca="1">OFFSET(CampList[HH],MATCH(Table10[[#This Row],[Pcode]],CampList[CP_Pcode],0)-1,0,1,1)</f>
        <v>23</v>
      </c>
      <c r="F127" s="422">
        <f ca="1">OFFSET(CampList[Total],MATCH(Table10[[#This Row],[Pcode]],CampList[CP_Pcode],0)-1,0,1,1)</f>
        <v>124</v>
      </c>
      <c r="G127" s="422">
        <f>SUMIF('NFI Tracking'!AM$6:AM$1048576,Table10[[#This Row],[Pcode]],'NFI Tracking'!AG$6:AG$1048576)</f>
        <v>0</v>
      </c>
      <c r="H127" s="422">
        <f>SUMIF('NFI Tracking'!AM$6:AM$1048576,Table10[[#This Row],[Pcode]],'NFI Tracking'!AH$6:AH$1048576)</f>
        <v>0</v>
      </c>
      <c r="I127" s="422">
        <f>SUMIF('NFI Tracking'!AM$6:AM$1048576,Table10[[#This Row],[Pcode]],'NFI Tracking'!AI$6:AI$1048576)</f>
        <v>0</v>
      </c>
      <c r="J127" s="422">
        <f ca="1">MAX(Table10[[#This Row],[HH]]*VLOOKUP("Winter Clothes Adult",NFI,6)-Table10[[#This Row],[Winter Clothes Adult ]],0)</f>
        <v>46</v>
      </c>
      <c r="K127" s="422">
        <f ca="1">MAX(Table10[[#This Row],[HH]]*VLOOKUP("Winter Clothes Children ",NFI,6)-Table10[[#This Row],[Winter Clothes Children ]],0)</f>
        <v>23</v>
      </c>
      <c r="L127" s="422">
        <f ca="1">MAX(Table10[[#This Row],[HH]]*VLOOKUP("Winter Items Other ",NFI,6)-Table10[[#This Row],[Winter Items Other ]],0)</f>
        <v>23</v>
      </c>
      <c r="M127" s="469" t="str">
        <f>IF(OR(Table10[[#This Row],[Winter Clothes Adult ]]&lt;&gt;0,Table10[[#This Row],[Winter Clothes Children ]]&lt;&gt;0,Table10[[#This Row],[Winter Items Other ]]&lt;&gt;0),"No","")</f>
        <v/>
      </c>
      <c r="N127" s="470">
        <f>COUNTIF(A:A,Table10[[#This Row],[Pcode]])-1</f>
        <v>0</v>
      </c>
    </row>
    <row r="128" spans="1:14" x14ac:dyDescent="0.25">
      <c r="A128" s="381" t="s">
        <v>107</v>
      </c>
      <c r="B128" s="26" t="str">
        <f ca="1">OFFSET(CampList[Priority],MATCH(Table10[[#This Row],[Pcode]],CampList[CP_Pcode],0)-1,0,1,1)</f>
        <v>P4</v>
      </c>
      <c r="C128" s="26" t="str">
        <f ca="1">OFFSET(CampList[Camp],MATCH(Table10[[#This Row],[Pcode]],CampList[CP_Pcode],0)-1,0,1,1)</f>
        <v>Nant Ma Hpit Catholic Church</v>
      </c>
      <c r="D128" s="26" t="str">
        <f ca="1">OFFSET(CampList[Township],MATCH(Table10[[#This Row],[Pcode]],CampList[CP_Pcode],0)-1,0,1,1)</f>
        <v>Hpakant</v>
      </c>
      <c r="E128" s="422">
        <f ca="1">OFFSET(CampList[HH],MATCH(Table10[[#This Row],[Pcode]],CampList[CP_Pcode],0)-1,0,1,1)</f>
        <v>54</v>
      </c>
      <c r="F128" s="422">
        <f ca="1">OFFSET(CampList[Total],MATCH(Table10[[#This Row],[Pcode]],CampList[CP_Pcode],0)-1,0,1,1)</f>
        <v>262</v>
      </c>
      <c r="G128" s="422">
        <f>SUMIF('NFI Tracking'!AM$6:AM$1048576,Table10[[#This Row],[Pcode]],'NFI Tracking'!AG$6:AG$1048576)</f>
        <v>117</v>
      </c>
      <c r="H128" s="422">
        <f>SUMIF('NFI Tracking'!AM$6:AM$1048576,Table10[[#This Row],[Pcode]],'NFI Tracking'!AH$6:AH$1048576)</f>
        <v>65</v>
      </c>
      <c r="I128" s="422">
        <f>SUMIF('NFI Tracking'!AM$6:AM$1048576,Table10[[#This Row],[Pcode]],'NFI Tracking'!AI$6:AI$1048576)</f>
        <v>0</v>
      </c>
      <c r="J128" s="422">
        <f ca="1">MAX(Table10[[#This Row],[HH]]*VLOOKUP("Winter Clothes Adult",NFI,6)-Table10[[#This Row],[Winter Clothes Adult ]],0)</f>
        <v>0</v>
      </c>
      <c r="K128" s="422">
        <f ca="1">MAX(Table10[[#This Row],[HH]]*VLOOKUP("Winter Clothes Children ",NFI,6)-Table10[[#This Row],[Winter Clothes Children ]],0)</f>
        <v>0</v>
      </c>
      <c r="L128" s="422">
        <f ca="1">MAX(Table10[[#This Row],[HH]]*VLOOKUP("Winter Items Other ",NFI,6)-Table10[[#This Row],[Winter Items Other ]],0)</f>
        <v>54</v>
      </c>
      <c r="M128" s="469" t="str">
        <f>IF(OR(Table10[[#This Row],[Winter Clothes Adult ]]&lt;&gt;0,Table10[[#This Row],[Winter Clothes Children ]]&lt;&gt;0,Table10[[#This Row],[Winter Items Other ]]&lt;&gt;0),"No","")</f>
        <v>No</v>
      </c>
      <c r="N128" s="470">
        <f>COUNTIF(A:A,Table10[[#This Row],[Pcode]])-1</f>
        <v>0</v>
      </c>
    </row>
    <row r="129" spans="1:14" x14ac:dyDescent="0.25">
      <c r="A129" s="381" t="s">
        <v>182</v>
      </c>
      <c r="B129" s="26" t="str">
        <f ca="1">OFFSET(CampList[Priority],MATCH(Table10[[#This Row],[Pcode]],CampList[CP_Pcode],0)-1,0,1,1)</f>
        <v>P4</v>
      </c>
      <c r="C129" s="26" t="str">
        <f ca="1">OFFSET(CampList[Camp],MATCH(Table10[[#This Row],[Pcode]],CampList[CP_Pcode],0)-1,0,1,1)</f>
        <v>Nant Mun</v>
      </c>
      <c r="D129" s="26" t="str">
        <f ca="1">OFFSET(CampList[Township],MATCH(Table10[[#This Row],[Pcode]],CampList[CP_Pcode],0)-1,0,1,1)</f>
        <v>Mohnyin</v>
      </c>
      <c r="E129" s="422">
        <f ca="1">OFFSET(CampList[HH],MATCH(Table10[[#This Row],[Pcode]],CampList[CP_Pcode],0)-1,0,1,1)</f>
        <v>0</v>
      </c>
      <c r="F129" s="422">
        <f ca="1">OFFSET(CampList[Total],MATCH(Table10[[#This Row],[Pcode]],CampList[CP_Pcode],0)-1,0,1,1)</f>
        <v>0</v>
      </c>
      <c r="G129" s="422">
        <f>SUMIF('NFI Tracking'!AM$6:AM$1048576,Table10[[#This Row],[Pcode]],'NFI Tracking'!AG$6:AG$1048576)</f>
        <v>0</v>
      </c>
      <c r="H129" s="422">
        <f>SUMIF('NFI Tracking'!AM$6:AM$1048576,Table10[[#This Row],[Pcode]],'NFI Tracking'!AH$6:AH$1048576)</f>
        <v>0</v>
      </c>
      <c r="I129" s="422">
        <f>SUMIF('NFI Tracking'!AM$6:AM$1048576,Table10[[#This Row],[Pcode]],'NFI Tracking'!AI$6:AI$1048576)</f>
        <v>0</v>
      </c>
      <c r="J129" s="422">
        <f ca="1">MAX(Table10[[#This Row],[HH]]*VLOOKUP("Winter Clothes Adult",NFI,6)-Table10[[#This Row],[Winter Clothes Adult ]],0)</f>
        <v>0</v>
      </c>
      <c r="K129" s="422">
        <f ca="1">MAX(Table10[[#This Row],[HH]]*VLOOKUP("Winter Clothes Children ",NFI,6)-Table10[[#This Row],[Winter Clothes Children ]],0)</f>
        <v>0</v>
      </c>
      <c r="L129" s="422">
        <f ca="1">MAX(Table10[[#This Row],[HH]]*VLOOKUP("Winter Items Other ",NFI,6)-Table10[[#This Row],[Winter Items Other ]],0)</f>
        <v>0</v>
      </c>
      <c r="M129" s="469" t="str">
        <f>IF(OR(Table10[[#This Row],[Winter Clothes Adult ]]&lt;&gt;0,Table10[[#This Row],[Winter Clothes Children ]]&lt;&gt;0,Table10[[#This Row],[Winter Items Other ]]&lt;&gt;0),"No","")</f>
        <v/>
      </c>
      <c r="N129" s="470">
        <f>COUNTIF(A:A,Table10[[#This Row],[Pcode]])-1</f>
        <v>0</v>
      </c>
    </row>
    <row r="130" spans="1:14" x14ac:dyDescent="0.25">
      <c r="A130" s="381" t="s">
        <v>844</v>
      </c>
      <c r="B130" s="26" t="str">
        <f ca="1">OFFSET(CampList[Priority],MATCH(Table10[[#This Row],[Pcode]],CampList[CP_Pcode],0)-1,0,1,1)</f>
        <v>P4</v>
      </c>
      <c r="C130" s="26" t="str">
        <f ca="1">OFFSET(CampList[Camp],MATCH(Table10[[#This Row],[Pcode]],CampList[CP_Pcode],0)-1,0,1,1)</f>
        <v>Narte</v>
      </c>
      <c r="D130" s="26" t="str">
        <f ca="1">OFFSET(CampList[Township],MATCH(Table10[[#This Row],[Pcode]],CampList[CP_Pcode],0)-1,0,1,1)</f>
        <v>Hseni</v>
      </c>
      <c r="E130" s="422">
        <f ca="1">OFFSET(CampList[HH],MATCH(Table10[[#This Row],[Pcode]],CampList[CP_Pcode],0)-1,0,1,1)</f>
        <v>67</v>
      </c>
      <c r="F130" s="422">
        <f ca="1">OFFSET(CampList[Total],MATCH(Table10[[#This Row],[Pcode]],CampList[CP_Pcode],0)-1,0,1,1)</f>
        <v>392</v>
      </c>
      <c r="G130" s="422">
        <f>SUMIF('NFI Tracking'!AM$6:AM$1048576,Table10[[#This Row],[Pcode]],'NFI Tracking'!AG$6:AG$1048576)</f>
        <v>0</v>
      </c>
      <c r="H130" s="422">
        <f>SUMIF('NFI Tracking'!AM$6:AM$1048576,Table10[[#This Row],[Pcode]],'NFI Tracking'!AH$6:AH$1048576)</f>
        <v>0</v>
      </c>
      <c r="I130" s="422">
        <f>SUMIF('NFI Tracking'!AM$6:AM$1048576,Table10[[#This Row],[Pcode]],'NFI Tracking'!AI$6:AI$1048576)</f>
        <v>0</v>
      </c>
      <c r="J130" s="422">
        <f ca="1">MAX(Table10[[#This Row],[HH]]*VLOOKUP("Winter Clothes Adult",NFI,6)-Table10[[#This Row],[Winter Clothes Adult ]],0)</f>
        <v>134</v>
      </c>
      <c r="K130" s="422">
        <f ca="1">MAX(Table10[[#This Row],[HH]]*VLOOKUP("Winter Clothes Children ",NFI,6)-Table10[[#This Row],[Winter Clothes Children ]],0)</f>
        <v>67</v>
      </c>
      <c r="L130" s="422">
        <f ca="1">MAX(Table10[[#This Row],[HH]]*VLOOKUP("Winter Items Other ",NFI,6)-Table10[[#This Row],[Winter Items Other ]],0)</f>
        <v>67</v>
      </c>
      <c r="M130" s="469" t="str">
        <f>IF(OR(Table10[[#This Row],[Winter Clothes Adult ]]&lt;&gt;0,Table10[[#This Row],[Winter Clothes Children ]]&lt;&gt;0,Table10[[#This Row],[Winter Items Other ]]&lt;&gt;0),"No","")</f>
        <v/>
      </c>
      <c r="N130" s="470">
        <f>COUNTIF(A:A,Table10[[#This Row],[Pcode]])-1</f>
        <v>0</v>
      </c>
    </row>
    <row r="131" spans="1:14" x14ac:dyDescent="0.25">
      <c r="A131" s="381" t="s">
        <v>177</v>
      </c>
      <c r="B131" s="26" t="str">
        <f ca="1">OFFSET(CampList[Priority],MATCH(Table10[[#This Row],[Pcode]],CampList[CP_Pcode],0)-1,0,1,1)</f>
        <v>P4</v>
      </c>
      <c r="C131" s="26" t="str">
        <f ca="1">OFFSET(CampList[Camp],MATCH(Table10[[#This Row],[Pcode]],CampList[CP_Pcode],0)-1,0,1,1)</f>
        <v xml:space="preserve">Nat Gyi Kone Baptist Church </v>
      </c>
      <c r="D131" s="26" t="str">
        <f ca="1">OFFSET(CampList[Township],MATCH(Table10[[#This Row],[Pcode]],CampList[CP_Pcode],0)-1,0,1,1)</f>
        <v>Mogaung</v>
      </c>
      <c r="E131" s="422">
        <f ca="1">OFFSET(CampList[HH],MATCH(Table10[[#This Row],[Pcode]],CampList[CP_Pcode],0)-1,0,1,1)</f>
        <v>14</v>
      </c>
      <c r="F131" s="422">
        <f ca="1">OFFSET(CampList[Total],MATCH(Table10[[#This Row],[Pcode]],CampList[CP_Pcode],0)-1,0,1,1)</f>
        <v>44</v>
      </c>
      <c r="G131" s="422">
        <f>SUMIF('NFI Tracking'!AM$6:AM$1048576,Table10[[#This Row],[Pcode]],'NFI Tracking'!AG$6:AG$1048576)</f>
        <v>0</v>
      </c>
      <c r="H131" s="422">
        <f>SUMIF('NFI Tracking'!AM$6:AM$1048576,Table10[[#This Row],[Pcode]],'NFI Tracking'!AH$6:AH$1048576)</f>
        <v>0</v>
      </c>
      <c r="I131" s="422">
        <f>SUMIF('NFI Tracking'!AM$6:AM$1048576,Table10[[#This Row],[Pcode]],'NFI Tracking'!AI$6:AI$1048576)</f>
        <v>0</v>
      </c>
      <c r="J131" s="422">
        <f ca="1">MAX(Table10[[#This Row],[HH]]*VLOOKUP("Winter Clothes Adult",NFI,6)-Table10[[#This Row],[Winter Clothes Adult ]],0)</f>
        <v>28</v>
      </c>
      <c r="K131" s="422">
        <f ca="1">MAX(Table10[[#This Row],[HH]]*VLOOKUP("Winter Clothes Children ",NFI,6)-Table10[[#This Row],[Winter Clothes Children ]],0)</f>
        <v>14</v>
      </c>
      <c r="L131" s="422">
        <f ca="1">MAX(Table10[[#This Row],[HH]]*VLOOKUP("Winter Items Other ",NFI,6)-Table10[[#This Row],[Winter Items Other ]],0)</f>
        <v>14</v>
      </c>
      <c r="M131" s="469" t="str">
        <f>IF(OR(Table10[[#This Row],[Winter Clothes Adult ]]&lt;&gt;0,Table10[[#This Row],[Winter Clothes Children ]]&lt;&gt;0,Table10[[#This Row],[Winter Items Other ]]&lt;&gt;0),"No","")</f>
        <v/>
      </c>
      <c r="N131" s="470">
        <f>COUNTIF(A:A,Table10[[#This Row],[Pcode]])-1</f>
        <v>0</v>
      </c>
    </row>
    <row r="132" spans="1:14" x14ac:dyDescent="0.25">
      <c r="A132" s="381" t="s">
        <v>343</v>
      </c>
      <c r="B132" s="26" t="str">
        <f ca="1">OFFSET(CampList[Priority],MATCH(Table10[[#This Row],[Pcode]],CampList[CP_Pcode],0)-1,0,1,1)</f>
        <v>P4</v>
      </c>
      <c r="C132" s="26" t="str">
        <f ca="1">OFFSET(CampList[Camp],MATCH(Table10[[#This Row],[Pcode]],CampList[CP_Pcode],0)-1,0,1,1)</f>
        <v>Nawng Hee Village</v>
      </c>
      <c r="D132" s="26" t="str">
        <f ca="1">OFFSET(CampList[Township],MATCH(Table10[[#This Row],[Pcode]],CampList[CP_Pcode],0)-1,0,1,1)</f>
        <v>Waingmaw</v>
      </c>
      <c r="E132" s="422">
        <f ca="1">OFFSET(CampList[HH],MATCH(Table10[[#This Row],[Pcode]],CampList[CP_Pcode],0)-1,0,1,1)</f>
        <v>18</v>
      </c>
      <c r="F132" s="422">
        <f ca="1">OFFSET(CampList[Total],MATCH(Table10[[#This Row],[Pcode]],CampList[CP_Pcode],0)-1,0,1,1)</f>
        <v>82</v>
      </c>
      <c r="G132" s="422">
        <f>SUMIF('NFI Tracking'!AM$6:AM$1048576,Table10[[#This Row],[Pcode]],'NFI Tracking'!AG$6:AG$1048576)</f>
        <v>0</v>
      </c>
      <c r="H132" s="422">
        <f>SUMIF('NFI Tracking'!AM$6:AM$1048576,Table10[[#This Row],[Pcode]],'NFI Tracking'!AH$6:AH$1048576)</f>
        <v>0</v>
      </c>
      <c r="I132" s="422">
        <f>SUMIF('NFI Tracking'!AM$6:AM$1048576,Table10[[#This Row],[Pcode]],'NFI Tracking'!AI$6:AI$1048576)</f>
        <v>0</v>
      </c>
      <c r="J132" s="422">
        <f ca="1">MAX(Table10[[#This Row],[HH]]*VLOOKUP("Winter Clothes Adult",NFI,6)-Table10[[#This Row],[Winter Clothes Adult ]],0)</f>
        <v>36</v>
      </c>
      <c r="K132" s="422">
        <f ca="1">MAX(Table10[[#This Row],[HH]]*VLOOKUP("Winter Clothes Children ",NFI,6)-Table10[[#This Row],[Winter Clothes Children ]],0)</f>
        <v>18</v>
      </c>
      <c r="L132" s="422">
        <f ca="1">MAX(Table10[[#This Row],[HH]]*VLOOKUP("Winter Items Other ",NFI,6)-Table10[[#This Row],[Winter Items Other ]],0)</f>
        <v>18</v>
      </c>
      <c r="M132" s="469" t="str">
        <f>IF(OR(Table10[[#This Row],[Winter Clothes Adult ]]&lt;&gt;0,Table10[[#This Row],[Winter Clothes Children ]]&lt;&gt;0,Table10[[#This Row],[Winter Items Other ]]&lt;&gt;0),"No","")</f>
        <v/>
      </c>
      <c r="N132" s="470">
        <f>COUNTIF(A:A,Table10[[#This Row],[Pcode]])-1</f>
        <v>0</v>
      </c>
    </row>
    <row r="133" spans="1:14" x14ac:dyDescent="0.25">
      <c r="A133" s="381" t="s">
        <v>286</v>
      </c>
      <c r="B133" s="26" t="str">
        <f ca="1">OFFSET(CampList[Priority],MATCH(Table10[[#This Row],[Pcode]],CampList[CP_Pcode],0)-1,0,1,1)</f>
        <v>P4</v>
      </c>
      <c r="C133" s="26" t="str">
        <f ca="1">OFFSET(CampList[Camp],MATCH(Table10[[#This Row],[Pcode]],CampList[CP_Pcode],0)-1,0,1,1)</f>
        <v xml:space="preserve">Nawng Ing (Indawgyi) Baptist Church  </v>
      </c>
      <c r="D133" s="26" t="str">
        <f ca="1">OFFSET(CampList[Township],MATCH(Table10[[#This Row],[Pcode]],CampList[CP_Pcode],0)-1,0,1,1)</f>
        <v>Mohnyin</v>
      </c>
      <c r="E133" s="422">
        <f ca="1">OFFSET(CampList[HH],MATCH(Table10[[#This Row],[Pcode]],CampList[CP_Pcode],0)-1,0,1,1)</f>
        <v>18</v>
      </c>
      <c r="F133" s="422">
        <f ca="1">OFFSET(CampList[Total],MATCH(Table10[[#This Row],[Pcode]],CampList[CP_Pcode],0)-1,0,1,1)</f>
        <v>141</v>
      </c>
      <c r="G133" s="422">
        <f>SUMIF('NFI Tracking'!AM$6:AM$1048576,Table10[[#This Row],[Pcode]],'NFI Tracking'!AG$6:AG$1048576)</f>
        <v>0</v>
      </c>
      <c r="H133" s="422">
        <f>SUMIF('NFI Tracking'!AM$6:AM$1048576,Table10[[#This Row],[Pcode]],'NFI Tracking'!AH$6:AH$1048576)</f>
        <v>0</v>
      </c>
      <c r="I133" s="422">
        <f>SUMIF('NFI Tracking'!AM$6:AM$1048576,Table10[[#This Row],[Pcode]],'NFI Tracking'!AI$6:AI$1048576)</f>
        <v>0</v>
      </c>
      <c r="J133" s="422">
        <f ca="1">MAX(Table10[[#This Row],[HH]]*VLOOKUP("Winter Clothes Adult",NFI,6)-Table10[[#This Row],[Winter Clothes Adult ]],0)</f>
        <v>36</v>
      </c>
      <c r="K133" s="422">
        <f ca="1">MAX(Table10[[#This Row],[HH]]*VLOOKUP("Winter Clothes Children ",NFI,6)-Table10[[#This Row],[Winter Clothes Children ]],0)</f>
        <v>18</v>
      </c>
      <c r="L133" s="422">
        <f ca="1">MAX(Table10[[#This Row],[HH]]*VLOOKUP("Winter Items Other ",NFI,6)-Table10[[#This Row],[Winter Items Other ]],0)</f>
        <v>18</v>
      </c>
      <c r="M133" s="469" t="str">
        <f>IF(OR(Table10[[#This Row],[Winter Clothes Adult ]]&lt;&gt;0,Table10[[#This Row],[Winter Clothes Children ]]&lt;&gt;0,Table10[[#This Row],[Winter Items Other ]]&lt;&gt;0),"No","")</f>
        <v/>
      </c>
      <c r="N133" s="470">
        <f>COUNTIF(A:A,Table10[[#This Row],[Pcode]])-1</f>
        <v>0</v>
      </c>
    </row>
    <row r="134" spans="1:14" x14ac:dyDescent="0.25">
      <c r="A134" s="381" t="s">
        <v>216</v>
      </c>
      <c r="B134" s="26" t="str">
        <f ca="1">OFFSET(CampList[Priority],MATCH(Table10[[#This Row],[Pcode]],CampList[CP_Pcode],0)-1,0,1,1)</f>
        <v>P4</v>
      </c>
      <c r="C134" s="26" t="str">
        <f ca="1">OFFSET(CampList[Camp],MATCH(Table10[[#This Row],[Pcode]],CampList[CP_Pcode],0)-1,0,1,1)</f>
        <v>Ni Thaw Ka Monestry</v>
      </c>
      <c r="D134" s="26" t="str">
        <f ca="1">OFFSET(CampList[Township],MATCH(Table10[[#This Row],[Pcode]],CampList[CP_Pcode],0)-1,0,1,1)</f>
        <v>Momauk</v>
      </c>
      <c r="E134" s="422">
        <f ca="1">OFFSET(CampList[HH],MATCH(Table10[[#This Row],[Pcode]],CampList[CP_Pcode],0)-1,0,1,1)</f>
        <v>24</v>
      </c>
      <c r="F134" s="422">
        <f ca="1">OFFSET(CampList[Total],MATCH(Table10[[#This Row],[Pcode]],CampList[CP_Pcode],0)-1,0,1,1)</f>
        <v>89</v>
      </c>
      <c r="G134" s="422">
        <f>SUMIF('NFI Tracking'!AM$6:AM$1048576,Table10[[#This Row],[Pcode]],'NFI Tracking'!AG$6:AG$1048576)</f>
        <v>0</v>
      </c>
      <c r="H134" s="422">
        <f>SUMIF('NFI Tracking'!AM$6:AM$1048576,Table10[[#This Row],[Pcode]],'NFI Tracking'!AH$6:AH$1048576)</f>
        <v>0</v>
      </c>
      <c r="I134" s="422">
        <f>SUMIF('NFI Tracking'!AM$6:AM$1048576,Table10[[#This Row],[Pcode]],'NFI Tracking'!AI$6:AI$1048576)</f>
        <v>0</v>
      </c>
      <c r="J134" s="422">
        <f ca="1">MAX(Table10[[#This Row],[HH]]*VLOOKUP("Winter Clothes Adult",NFI,6)-Table10[[#This Row],[Winter Clothes Adult ]],0)</f>
        <v>48</v>
      </c>
      <c r="K134" s="422">
        <f ca="1">MAX(Table10[[#This Row],[HH]]*VLOOKUP("Winter Clothes Children ",NFI,6)-Table10[[#This Row],[Winter Clothes Children ]],0)</f>
        <v>24</v>
      </c>
      <c r="L134" s="422">
        <f ca="1">MAX(Table10[[#This Row],[HH]]*VLOOKUP("Winter Items Other ",NFI,6)-Table10[[#This Row],[Winter Items Other ]],0)</f>
        <v>24</v>
      </c>
      <c r="M134" s="469" t="str">
        <f>IF(OR(Table10[[#This Row],[Winter Clothes Adult ]]&lt;&gt;0,Table10[[#This Row],[Winter Clothes Children ]]&lt;&gt;0,Table10[[#This Row],[Winter Items Other ]]&lt;&gt;0),"No","")</f>
        <v/>
      </c>
      <c r="N134" s="470">
        <f>COUNTIF(A:A,Table10[[#This Row],[Pcode]])-1</f>
        <v>0</v>
      </c>
    </row>
    <row r="135" spans="1:14" x14ac:dyDescent="0.25">
      <c r="A135" s="381" t="s">
        <v>268</v>
      </c>
      <c r="B135" s="26" t="str">
        <f ca="1">OFFSET(CampList[Priority],MATCH(Table10[[#This Row],[Pcode]],CampList[CP_Pcode],0)-1,0,1,1)</f>
        <v>P4</v>
      </c>
      <c r="C135" s="26" t="str">
        <f ca="1">OFFSET(CampList[Camp],MATCH(Table10[[#This Row],[Pcode]],CampList[CP_Pcode],0)-1,0,1,1)</f>
        <v xml:space="preserve">Njang Dung Baptist Church </v>
      </c>
      <c r="D135" s="26" t="str">
        <f ca="1">OFFSET(CampList[Township],MATCH(Table10[[#This Row],[Pcode]],CampList[CP_Pcode],0)-1,0,1,1)</f>
        <v>Myitkyina</v>
      </c>
      <c r="E135" s="422">
        <f ca="1">OFFSET(CampList[HH],MATCH(Table10[[#This Row],[Pcode]],CampList[CP_Pcode],0)-1,0,1,1)</f>
        <v>57</v>
      </c>
      <c r="F135" s="422">
        <f ca="1">OFFSET(CampList[Total],MATCH(Table10[[#This Row],[Pcode]],CampList[CP_Pcode],0)-1,0,1,1)</f>
        <v>233</v>
      </c>
      <c r="G135" s="422">
        <f>SUMIF('NFI Tracking'!AM$6:AM$1048576,Table10[[#This Row],[Pcode]],'NFI Tracking'!AG$6:AG$1048576)</f>
        <v>0</v>
      </c>
      <c r="H135" s="422">
        <f>SUMIF('NFI Tracking'!AM$6:AM$1048576,Table10[[#This Row],[Pcode]],'NFI Tracking'!AH$6:AH$1048576)</f>
        <v>0</v>
      </c>
      <c r="I135" s="422">
        <f>SUMIF('NFI Tracking'!AM$6:AM$1048576,Table10[[#This Row],[Pcode]],'NFI Tracking'!AI$6:AI$1048576)</f>
        <v>0</v>
      </c>
      <c r="J135" s="422">
        <f ca="1">MAX(Table10[[#This Row],[HH]]*VLOOKUP("Winter Clothes Adult",NFI,6)-Table10[[#This Row],[Winter Clothes Adult ]],0)</f>
        <v>114</v>
      </c>
      <c r="K135" s="422">
        <f ca="1">MAX(Table10[[#This Row],[HH]]*VLOOKUP("Winter Clothes Children ",NFI,6)-Table10[[#This Row],[Winter Clothes Children ]],0)</f>
        <v>57</v>
      </c>
      <c r="L135" s="422">
        <f ca="1">MAX(Table10[[#This Row],[HH]]*VLOOKUP("Winter Items Other ",NFI,6)-Table10[[#This Row],[Winter Items Other ]],0)</f>
        <v>57</v>
      </c>
      <c r="M135" s="469" t="str">
        <f>IF(OR(Table10[[#This Row],[Winter Clothes Adult ]]&lt;&gt;0,Table10[[#This Row],[Winter Clothes Children ]]&lt;&gt;0,Table10[[#This Row],[Winter Items Other ]]&lt;&gt;0),"No","")</f>
        <v/>
      </c>
      <c r="N135" s="470">
        <f>COUNTIF(A:A,Table10[[#This Row],[Pcode]])-1</f>
        <v>0</v>
      </c>
    </row>
    <row r="136" spans="1:14" x14ac:dyDescent="0.25">
      <c r="A136" s="381" t="s">
        <v>272</v>
      </c>
      <c r="B136" s="26" t="str">
        <f ca="1">OFFSET(CampList[Priority],MATCH(Table10[[#This Row],[Pcode]],CampList[CP_Pcode],0)-1,0,1,1)</f>
        <v>P4</v>
      </c>
      <c r="C136" s="26" t="str">
        <f ca="1">OFFSET(CampList[Camp],MATCH(Table10[[#This Row],[Pcode]],CampList[CP_Pcode],0)-1,0,1,1)</f>
        <v>Pa Dauk Myaing(Pa La Na)</v>
      </c>
      <c r="D136" s="26" t="str">
        <f ca="1">OFFSET(CampList[Township],MATCH(Table10[[#This Row],[Pcode]],CampList[CP_Pcode],0)-1,0,1,1)</f>
        <v>Myitkyina</v>
      </c>
      <c r="E136" s="422">
        <f ca="1">OFFSET(CampList[HH],MATCH(Table10[[#This Row],[Pcode]],CampList[CP_Pcode],0)-1,0,1,1)</f>
        <v>57</v>
      </c>
      <c r="F136" s="422">
        <f ca="1">OFFSET(CampList[Total],MATCH(Table10[[#This Row],[Pcode]],CampList[CP_Pcode],0)-1,0,1,1)</f>
        <v>292</v>
      </c>
      <c r="G136" s="422">
        <f>SUMIF('NFI Tracking'!AM$6:AM$1048576,Table10[[#This Row],[Pcode]],'NFI Tracking'!AG$6:AG$1048576)</f>
        <v>323</v>
      </c>
      <c r="H136" s="422">
        <f>SUMIF('NFI Tracking'!AM$6:AM$1048576,Table10[[#This Row],[Pcode]],'NFI Tracking'!AH$6:AH$1048576)</f>
        <v>178</v>
      </c>
      <c r="I136" s="422">
        <f>SUMIF('NFI Tracking'!AM$6:AM$1048576,Table10[[#This Row],[Pcode]],'NFI Tracking'!AI$6:AI$1048576)</f>
        <v>0</v>
      </c>
      <c r="J136" s="422">
        <f ca="1">MAX(Table10[[#This Row],[HH]]*VLOOKUP("Winter Clothes Adult",NFI,6)-Table10[[#This Row],[Winter Clothes Adult ]],0)</f>
        <v>0</v>
      </c>
      <c r="K136" s="422">
        <f ca="1">MAX(Table10[[#This Row],[HH]]*VLOOKUP("Winter Clothes Children ",NFI,6)-Table10[[#This Row],[Winter Clothes Children ]],0)</f>
        <v>0</v>
      </c>
      <c r="L136" s="422">
        <f ca="1">MAX(Table10[[#This Row],[HH]]*VLOOKUP("Winter Items Other ",NFI,6)-Table10[[#This Row],[Winter Items Other ]],0)</f>
        <v>57</v>
      </c>
      <c r="M136" s="469" t="str">
        <f>IF(OR(Table10[[#This Row],[Winter Clothes Adult ]]&lt;&gt;0,Table10[[#This Row],[Winter Clothes Children ]]&lt;&gt;0,Table10[[#This Row],[Winter Items Other ]]&lt;&gt;0),"No","")</f>
        <v>No</v>
      </c>
      <c r="N136" s="470">
        <f>COUNTIF(A:A,Table10[[#This Row],[Pcode]])-1</f>
        <v>0</v>
      </c>
    </row>
    <row r="137" spans="1:14" x14ac:dyDescent="0.25">
      <c r="A137" s="381" t="s">
        <v>376</v>
      </c>
      <c r="B137" s="26" t="str">
        <f ca="1">OFFSET(CampList[Priority],MATCH(Table10[[#This Row],[Pcode]],CampList[CP_Pcode],0)-1,0,1,1)</f>
        <v>P4</v>
      </c>
      <c r="C137" s="26" t="str">
        <f ca="1">OFFSET(CampList[Camp],MATCH(Table10[[#This Row],[Pcode]],CampList[CP_Pcode],0)-1,0,1,1)</f>
        <v>Phan Khar Kone</v>
      </c>
      <c r="D137" s="26" t="str">
        <f ca="1">OFFSET(CampList[Township],MATCH(Table10[[#This Row],[Pcode]],CampList[CP_Pcode],0)-1,0,1,1)</f>
        <v>Bhamo</v>
      </c>
      <c r="E137" s="422">
        <f ca="1">OFFSET(CampList[HH],MATCH(Table10[[#This Row],[Pcode]],CampList[CP_Pcode],0)-1,0,1,1)</f>
        <v>157</v>
      </c>
      <c r="F137" s="422">
        <f ca="1">OFFSET(CampList[Total],MATCH(Table10[[#This Row],[Pcode]],CampList[CP_Pcode],0)-1,0,1,1)</f>
        <v>761</v>
      </c>
      <c r="G137" s="422">
        <f>SUMIF('NFI Tracking'!AM$6:AM$1048576,Table10[[#This Row],[Pcode]],'NFI Tracking'!AG$6:AG$1048576)</f>
        <v>0</v>
      </c>
      <c r="H137" s="422">
        <f>SUMIF('NFI Tracking'!AM$6:AM$1048576,Table10[[#This Row],[Pcode]],'NFI Tracking'!AH$6:AH$1048576)</f>
        <v>0</v>
      </c>
      <c r="I137" s="422">
        <f>SUMIF('NFI Tracking'!AM$6:AM$1048576,Table10[[#This Row],[Pcode]],'NFI Tracking'!AI$6:AI$1048576)</f>
        <v>0</v>
      </c>
      <c r="J137" s="422">
        <f ca="1">MAX(Table10[[#This Row],[HH]]*VLOOKUP("Winter Clothes Adult",NFI,6)-Table10[[#This Row],[Winter Clothes Adult ]],0)</f>
        <v>314</v>
      </c>
      <c r="K137" s="422">
        <f ca="1">MAX(Table10[[#This Row],[HH]]*VLOOKUP("Winter Clothes Children ",NFI,6)-Table10[[#This Row],[Winter Clothes Children ]],0)</f>
        <v>157</v>
      </c>
      <c r="L137" s="422">
        <f ca="1">MAX(Table10[[#This Row],[HH]]*VLOOKUP("Winter Items Other ",NFI,6)-Table10[[#This Row],[Winter Items Other ]],0)</f>
        <v>157</v>
      </c>
      <c r="M137" s="469" t="str">
        <f>IF(OR(Table10[[#This Row],[Winter Clothes Adult ]]&lt;&gt;0,Table10[[#This Row],[Winter Clothes Children ]]&lt;&gt;0,Table10[[#This Row],[Winter Items Other ]]&lt;&gt;0),"No","")</f>
        <v/>
      </c>
      <c r="N137" s="470">
        <f>COUNTIF(A:A,Table10[[#This Row],[Pcode]])-1</f>
        <v>0</v>
      </c>
    </row>
    <row r="138" spans="1:14" x14ac:dyDescent="0.25">
      <c r="A138" s="381" t="s">
        <v>220</v>
      </c>
      <c r="B138" s="26" t="str">
        <f ca="1">OFFSET(CampList[Priority],MATCH(Table10[[#This Row],[Pcode]],CampList[CP_Pcode],0)-1,0,1,1)</f>
        <v>P4</v>
      </c>
      <c r="C138" s="26" t="str">
        <f ca="1">OFFSET(CampList[Camp],MATCH(Table10[[#This Row],[Pcode]],CampList[CP_Pcode],0)-1,0,1,1)</f>
        <v xml:space="preserve">Phar Kay/Nant Waing </v>
      </c>
      <c r="D138" s="26" t="str">
        <f ca="1">OFFSET(CampList[Township],MATCH(Table10[[#This Row],[Pcode]],CampList[CP_Pcode],0)-1,0,1,1)</f>
        <v>Momauk</v>
      </c>
      <c r="E138" s="422">
        <f ca="1">OFFSET(CampList[HH],MATCH(Table10[[#This Row],[Pcode]],CampList[CP_Pcode],0)-1,0,1,1)</f>
        <v>39</v>
      </c>
      <c r="F138" s="422">
        <f ca="1">OFFSET(CampList[Total],MATCH(Table10[[#This Row],[Pcode]],CampList[CP_Pcode],0)-1,0,1,1)</f>
        <v>176</v>
      </c>
      <c r="G138" s="422">
        <f>SUMIF('NFI Tracking'!AM$6:AM$1048576,Table10[[#This Row],[Pcode]],'NFI Tracking'!AG$6:AG$1048576)</f>
        <v>0</v>
      </c>
      <c r="H138" s="422">
        <f>SUMIF('NFI Tracking'!AM$6:AM$1048576,Table10[[#This Row],[Pcode]],'NFI Tracking'!AH$6:AH$1048576)</f>
        <v>0</v>
      </c>
      <c r="I138" s="422">
        <f>SUMIF('NFI Tracking'!AM$6:AM$1048576,Table10[[#This Row],[Pcode]],'NFI Tracking'!AI$6:AI$1048576)</f>
        <v>0</v>
      </c>
      <c r="J138" s="422">
        <f ca="1">MAX(Table10[[#This Row],[HH]]*VLOOKUP("Winter Clothes Adult",NFI,6)-Table10[[#This Row],[Winter Clothes Adult ]],0)</f>
        <v>78</v>
      </c>
      <c r="K138" s="422">
        <f ca="1">MAX(Table10[[#This Row],[HH]]*VLOOKUP("Winter Clothes Children ",NFI,6)-Table10[[#This Row],[Winter Clothes Children ]],0)</f>
        <v>39</v>
      </c>
      <c r="L138" s="422">
        <f ca="1">MAX(Table10[[#This Row],[HH]]*VLOOKUP("Winter Items Other ",NFI,6)-Table10[[#This Row],[Winter Items Other ]],0)</f>
        <v>39</v>
      </c>
      <c r="M138" s="469" t="str">
        <f>IF(OR(Table10[[#This Row],[Winter Clothes Adult ]]&lt;&gt;0,Table10[[#This Row],[Winter Clothes Children ]]&lt;&gt;0,Table10[[#This Row],[Winter Items Other ]]&lt;&gt;0),"No","")</f>
        <v/>
      </c>
      <c r="N138" s="470">
        <f>COUNTIF(A:A,Table10[[#This Row],[Pcode]])-1</f>
        <v>0</v>
      </c>
    </row>
    <row r="139" spans="1:14" x14ac:dyDescent="0.25">
      <c r="A139" s="381" t="s">
        <v>317</v>
      </c>
      <c r="B139" s="26" t="str">
        <f ca="1">OFFSET(CampList[Priority],MATCH(Table10[[#This Row],[Pcode]],CampList[CP_Pcode],0)-1,0,1,1)</f>
        <v>P4</v>
      </c>
      <c r="C139" s="26" t="str">
        <f ca="1">OFFSET(CampList[Camp],MATCH(Table10[[#This Row],[Pcode]],CampList[CP_Pcode],0)-1,0,1,1)</f>
        <v>Qtr. 2 Lhaovo Baptist Church</v>
      </c>
      <c r="D139" s="26" t="str">
        <f ca="1">OFFSET(CampList[Township],MATCH(Table10[[#This Row],[Pcode]],CampList[CP_Pcode],0)-1,0,1,1)</f>
        <v>Waingmaw</v>
      </c>
      <c r="E139" s="422">
        <f ca="1">OFFSET(CampList[HH],MATCH(Table10[[#This Row],[Pcode]],CampList[CP_Pcode],0)-1,0,1,1)</f>
        <v>94</v>
      </c>
      <c r="F139" s="422">
        <f ca="1">OFFSET(CampList[Total],MATCH(Table10[[#This Row],[Pcode]],CampList[CP_Pcode],0)-1,0,1,1)</f>
        <v>341</v>
      </c>
      <c r="G139" s="422">
        <f>SUMIF('NFI Tracking'!AM$6:AM$1048576,Table10[[#This Row],[Pcode]],'NFI Tracking'!AG$6:AG$1048576)</f>
        <v>0</v>
      </c>
      <c r="H139" s="422">
        <f>SUMIF('NFI Tracking'!AM$6:AM$1048576,Table10[[#This Row],[Pcode]],'NFI Tracking'!AH$6:AH$1048576)</f>
        <v>0</v>
      </c>
      <c r="I139" s="422">
        <f>SUMIF('NFI Tracking'!AM$6:AM$1048576,Table10[[#This Row],[Pcode]],'NFI Tracking'!AI$6:AI$1048576)</f>
        <v>0</v>
      </c>
      <c r="J139" s="422">
        <f ca="1">MAX(Table10[[#This Row],[HH]]*VLOOKUP("Winter Clothes Adult",NFI,6)-Table10[[#This Row],[Winter Clothes Adult ]],0)</f>
        <v>188</v>
      </c>
      <c r="K139" s="422">
        <f ca="1">MAX(Table10[[#This Row],[HH]]*VLOOKUP("Winter Clothes Children ",NFI,6)-Table10[[#This Row],[Winter Clothes Children ]],0)</f>
        <v>94</v>
      </c>
      <c r="L139" s="422">
        <f ca="1">MAX(Table10[[#This Row],[HH]]*VLOOKUP("Winter Items Other ",NFI,6)-Table10[[#This Row],[Winter Items Other ]],0)</f>
        <v>94</v>
      </c>
      <c r="M139" s="469" t="str">
        <f>IF(OR(Table10[[#This Row],[Winter Clothes Adult ]]&lt;&gt;0,Table10[[#This Row],[Winter Clothes Children ]]&lt;&gt;0,Table10[[#This Row],[Winter Items Other ]]&lt;&gt;0),"No","")</f>
        <v/>
      </c>
      <c r="N139" s="470">
        <f>COUNTIF(A:A,Table10[[#This Row],[Pcode]])-1</f>
        <v>0</v>
      </c>
    </row>
    <row r="140" spans="1:14" x14ac:dyDescent="0.25">
      <c r="A140" s="381" t="s">
        <v>341</v>
      </c>
      <c r="B140" s="26" t="str">
        <f ca="1">OFFSET(CampList[Priority],MATCH(Table10[[#This Row],[Pcode]],CampList[CP_Pcode],0)-1,0,1,1)</f>
        <v>P4</v>
      </c>
      <c r="C140" s="26" t="str">
        <f ca="1">OFFSET(CampList[Camp],MATCH(Table10[[#This Row],[Pcode]],CampList[CP_Pcode],0)-1,0,1,1)</f>
        <v>Qtr. 2 Myoma Baptist Church</v>
      </c>
      <c r="D140" s="26" t="str">
        <f ca="1">OFFSET(CampList[Township],MATCH(Table10[[#This Row],[Pcode]],CampList[CP_Pcode],0)-1,0,1,1)</f>
        <v>Waingmaw</v>
      </c>
      <c r="E140" s="422">
        <f ca="1">OFFSET(CampList[HH],MATCH(Table10[[#This Row],[Pcode]],CampList[CP_Pcode],0)-1,0,1,1)</f>
        <v>65</v>
      </c>
      <c r="F140" s="422">
        <f ca="1">OFFSET(CampList[Total],MATCH(Table10[[#This Row],[Pcode]],CampList[CP_Pcode],0)-1,0,1,1)</f>
        <v>322</v>
      </c>
      <c r="G140" s="422">
        <f>SUMIF('NFI Tracking'!AM$6:AM$1048576,Table10[[#This Row],[Pcode]],'NFI Tracking'!AG$6:AG$1048576)</f>
        <v>0</v>
      </c>
      <c r="H140" s="422">
        <f>SUMIF('NFI Tracking'!AM$6:AM$1048576,Table10[[#This Row],[Pcode]],'NFI Tracking'!AH$6:AH$1048576)</f>
        <v>0</v>
      </c>
      <c r="I140" s="422">
        <f>SUMIF('NFI Tracking'!AM$6:AM$1048576,Table10[[#This Row],[Pcode]],'NFI Tracking'!AI$6:AI$1048576)</f>
        <v>0</v>
      </c>
      <c r="J140" s="422">
        <f ca="1">MAX(Table10[[#This Row],[HH]]*VLOOKUP("Winter Clothes Adult",NFI,6)-Table10[[#This Row],[Winter Clothes Adult ]],0)</f>
        <v>130</v>
      </c>
      <c r="K140" s="422">
        <f ca="1">MAX(Table10[[#This Row],[HH]]*VLOOKUP("Winter Clothes Children ",NFI,6)-Table10[[#This Row],[Winter Clothes Children ]],0)</f>
        <v>65</v>
      </c>
      <c r="L140" s="422">
        <f ca="1">MAX(Table10[[#This Row],[HH]]*VLOOKUP("Winter Items Other ",NFI,6)-Table10[[#This Row],[Winter Items Other ]],0)</f>
        <v>65</v>
      </c>
      <c r="M140" s="469" t="str">
        <f>IF(OR(Table10[[#This Row],[Winter Clothes Adult ]]&lt;&gt;0,Table10[[#This Row],[Winter Clothes Children ]]&lt;&gt;0,Table10[[#This Row],[Winter Items Other ]]&lt;&gt;0),"No","")</f>
        <v/>
      </c>
      <c r="N140" s="470">
        <f>COUNTIF(A:A,Table10[[#This Row],[Pcode]])-1</f>
        <v>0</v>
      </c>
    </row>
    <row r="141" spans="1:14" x14ac:dyDescent="0.25">
      <c r="A141" s="381" t="s">
        <v>337</v>
      </c>
      <c r="B141" s="26" t="str">
        <f ca="1">OFFSET(CampList[Priority],MATCH(Table10[[#This Row],[Pcode]],CampList[CP_Pcode],0)-1,0,1,1)</f>
        <v>P4</v>
      </c>
      <c r="C141" s="26" t="str">
        <f ca="1">OFFSET(CampList[Camp],MATCH(Table10[[#This Row],[Pcode]],CampList[CP_Pcode],0)-1,0,1,1)</f>
        <v>Qtr. 3 Mu-yin  Baptist Church</v>
      </c>
      <c r="D141" s="26" t="str">
        <f ca="1">OFFSET(CampList[Township],MATCH(Table10[[#This Row],[Pcode]],CampList[CP_Pcode],0)-1,0,1,1)</f>
        <v>Waingmaw</v>
      </c>
      <c r="E141" s="422">
        <f ca="1">OFFSET(CampList[HH],MATCH(Table10[[#This Row],[Pcode]],CampList[CP_Pcode],0)-1,0,1,1)</f>
        <v>31</v>
      </c>
      <c r="F141" s="422">
        <f ca="1">OFFSET(CampList[Total],MATCH(Table10[[#This Row],[Pcode]],CampList[CP_Pcode],0)-1,0,1,1)</f>
        <v>170</v>
      </c>
      <c r="G141" s="422">
        <f>SUMIF('NFI Tracking'!AM$6:AM$1048576,Table10[[#This Row],[Pcode]],'NFI Tracking'!AG$6:AG$1048576)</f>
        <v>0</v>
      </c>
      <c r="H141" s="422">
        <f>SUMIF('NFI Tracking'!AM$6:AM$1048576,Table10[[#This Row],[Pcode]],'NFI Tracking'!AH$6:AH$1048576)</f>
        <v>0</v>
      </c>
      <c r="I141" s="422">
        <f>SUMIF('NFI Tracking'!AM$6:AM$1048576,Table10[[#This Row],[Pcode]],'NFI Tracking'!AI$6:AI$1048576)</f>
        <v>0</v>
      </c>
      <c r="J141" s="422">
        <f ca="1">MAX(Table10[[#This Row],[HH]]*VLOOKUP("Winter Clothes Adult",NFI,6)-Table10[[#This Row],[Winter Clothes Adult ]],0)</f>
        <v>62</v>
      </c>
      <c r="K141" s="422">
        <f ca="1">MAX(Table10[[#This Row],[HH]]*VLOOKUP("Winter Clothes Children ",NFI,6)-Table10[[#This Row],[Winter Clothes Children ]],0)</f>
        <v>31</v>
      </c>
      <c r="L141" s="422">
        <f ca="1">MAX(Table10[[#This Row],[HH]]*VLOOKUP("Winter Items Other ",NFI,6)-Table10[[#This Row],[Winter Items Other ]],0)</f>
        <v>31</v>
      </c>
      <c r="M141" s="469" t="str">
        <f>IF(OR(Table10[[#This Row],[Winter Clothes Adult ]]&lt;&gt;0,Table10[[#This Row],[Winter Clothes Children ]]&lt;&gt;0,Table10[[#This Row],[Winter Items Other ]]&lt;&gt;0),"No","")</f>
        <v/>
      </c>
      <c r="N141" s="470">
        <f>COUNTIF(A:A,Table10[[#This Row],[Pcode]])-1</f>
        <v>0</v>
      </c>
    </row>
    <row r="142" spans="1:14" x14ac:dyDescent="0.25">
      <c r="A142" s="381" t="s">
        <v>350</v>
      </c>
      <c r="B142" s="26" t="str">
        <f ca="1">OFFSET(CampList[Priority],MATCH(Table10[[#This Row],[Pcode]],CampList[CP_Pcode],0)-1,0,1,1)</f>
        <v>P4</v>
      </c>
      <c r="C142" s="26" t="str">
        <f ca="1">OFFSET(CampList[Camp],MATCH(Table10[[#This Row],[Pcode]],CampList[CP_Pcode],0)-1,0,1,1)</f>
        <v>Qtr. 4 Monestry (Thargaya Thayett Taw)</v>
      </c>
      <c r="D142" s="26" t="str">
        <f ca="1">OFFSET(CampList[Township],MATCH(Table10[[#This Row],[Pcode]],CampList[CP_Pcode],0)-1,0,1,1)</f>
        <v>Waingmaw</v>
      </c>
      <c r="E142" s="422">
        <f ca="1">OFFSET(CampList[HH],MATCH(Table10[[#This Row],[Pcode]],CampList[CP_Pcode],0)-1,0,1,1)</f>
        <v>91</v>
      </c>
      <c r="F142" s="422">
        <f ca="1">OFFSET(CampList[Total],MATCH(Table10[[#This Row],[Pcode]],CampList[CP_Pcode],0)-1,0,1,1)</f>
        <v>472</v>
      </c>
      <c r="G142" s="422">
        <f>SUMIF('NFI Tracking'!AM$6:AM$1048576,Table10[[#This Row],[Pcode]],'NFI Tracking'!AG$6:AG$1048576)</f>
        <v>0</v>
      </c>
      <c r="H142" s="422">
        <f>SUMIF('NFI Tracking'!AM$6:AM$1048576,Table10[[#This Row],[Pcode]],'NFI Tracking'!AH$6:AH$1048576)</f>
        <v>0</v>
      </c>
      <c r="I142" s="422">
        <f>SUMIF('NFI Tracking'!AM$6:AM$1048576,Table10[[#This Row],[Pcode]],'NFI Tracking'!AI$6:AI$1048576)</f>
        <v>0</v>
      </c>
      <c r="J142" s="422">
        <f ca="1">MAX(Table10[[#This Row],[HH]]*VLOOKUP("Winter Clothes Adult",NFI,6)-Table10[[#This Row],[Winter Clothes Adult ]],0)</f>
        <v>182</v>
      </c>
      <c r="K142" s="422">
        <f ca="1">MAX(Table10[[#This Row],[HH]]*VLOOKUP("Winter Clothes Children ",NFI,6)-Table10[[#This Row],[Winter Clothes Children ]],0)</f>
        <v>91</v>
      </c>
      <c r="L142" s="422">
        <f ca="1">MAX(Table10[[#This Row],[HH]]*VLOOKUP("Winter Items Other ",NFI,6)-Table10[[#This Row],[Winter Items Other ]],0)</f>
        <v>91</v>
      </c>
      <c r="M142" s="469" t="str">
        <f>IF(OR(Table10[[#This Row],[Winter Clothes Adult ]]&lt;&gt;0,Table10[[#This Row],[Winter Clothes Children ]]&lt;&gt;0,Table10[[#This Row],[Winter Items Other ]]&lt;&gt;0),"No","")</f>
        <v/>
      </c>
      <c r="N142" s="470">
        <f>COUNTIF(A:A,Table10[[#This Row],[Pcode]])-1</f>
        <v>0</v>
      </c>
    </row>
    <row r="143" spans="1:14" x14ac:dyDescent="0.25">
      <c r="A143" s="381" t="s">
        <v>117</v>
      </c>
      <c r="B143" s="26" t="str">
        <f ca="1">OFFSET(CampList[Priority],MATCH(Table10[[#This Row],[Pcode]],CampList[CP_Pcode],0)-1,0,1,1)</f>
        <v>P4</v>
      </c>
      <c r="C143" s="26" t="str">
        <f ca="1">OFFSET(CampList[Camp],MATCH(Table10[[#This Row],[Pcode]],CampList[CP_Pcode],0)-1,0,1,1)</f>
        <v>Rawan Baptist Church, Maw Shan Vil., Seik Mu</v>
      </c>
      <c r="D143" s="26" t="str">
        <f ca="1">OFFSET(CampList[Township],MATCH(Table10[[#This Row],[Pcode]],CampList[CP_Pcode],0)-1,0,1,1)</f>
        <v>Hpakant</v>
      </c>
      <c r="E143" s="422">
        <f ca="1">OFFSET(CampList[HH],MATCH(Table10[[#This Row],[Pcode]],CampList[CP_Pcode],0)-1,0,1,1)</f>
        <v>10</v>
      </c>
      <c r="F143" s="422">
        <f ca="1">OFFSET(CampList[Total],MATCH(Table10[[#This Row],[Pcode]],CampList[CP_Pcode],0)-1,0,1,1)</f>
        <v>39</v>
      </c>
      <c r="G143" s="422">
        <f>SUMIF('NFI Tracking'!AM$6:AM$1048576,Table10[[#This Row],[Pcode]],'NFI Tracking'!AG$6:AG$1048576)</f>
        <v>26</v>
      </c>
      <c r="H143" s="422">
        <f>SUMIF('NFI Tracking'!AM$6:AM$1048576,Table10[[#This Row],[Pcode]],'NFI Tracking'!AH$6:AH$1048576)</f>
        <v>14</v>
      </c>
      <c r="I143" s="422">
        <f>SUMIF('NFI Tracking'!AM$6:AM$1048576,Table10[[#This Row],[Pcode]],'NFI Tracking'!AI$6:AI$1048576)</f>
        <v>0</v>
      </c>
      <c r="J143" s="422">
        <f ca="1">MAX(Table10[[#This Row],[HH]]*VLOOKUP("Winter Clothes Adult",NFI,6)-Table10[[#This Row],[Winter Clothes Adult ]],0)</f>
        <v>0</v>
      </c>
      <c r="K143" s="422">
        <f ca="1">MAX(Table10[[#This Row],[HH]]*VLOOKUP("Winter Clothes Children ",NFI,6)-Table10[[#This Row],[Winter Clothes Children ]],0)</f>
        <v>0</v>
      </c>
      <c r="L143" s="422">
        <f ca="1">MAX(Table10[[#This Row],[HH]]*VLOOKUP("Winter Items Other ",NFI,6)-Table10[[#This Row],[Winter Items Other ]],0)</f>
        <v>10</v>
      </c>
      <c r="M143" s="469" t="str">
        <f>IF(OR(Table10[[#This Row],[Winter Clothes Adult ]]&lt;&gt;0,Table10[[#This Row],[Winter Clothes Children ]]&lt;&gt;0,Table10[[#This Row],[Winter Items Other ]]&lt;&gt;0),"No","")</f>
        <v>No</v>
      </c>
      <c r="N143" s="470">
        <f>COUNTIF(A:A,Table10[[#This Row],[Pcode]])-1</f>
        <v>0</v>
      </c>
    </row>
    <row r="144" spans="1:14" x14ac:dyDescent="0.25">
      <c r="A144" s="381" t="s">
        <v>21</v>
      </c>
      <c r="B144" s="26" t="str">
        <f ca="1">OFFSET(CampList[Priority],MATCH(Table10[[#This Row],[Pcode]],CampList[CP_Pcode],0)-1,0,1,1)</f>
        <v>P4</v>
      </c>
      <c r="C144" s="26" t="str">
        <f ca="1">OFFSET(CampList[Camp],MATCH(Table10[[#This Row],[Pcode]],CampList[CP_Pcode],0)-1,0,1,1)</f>
        <v>Robert Church</v>
      </c>
      <c r="D144" s="26" t="str">
        <f ca="1">OFFSET(CampList[Township],MATCH(Table10[[#This Row],[Pcode]],CampList[CP_Pcode],0)-1,0,1,1)</f>
        <v>Bhamo</v>
      </c>
      <c r="E144" s="422">
        <f ca="1">OFFSET(CampList[HH],MATCH(Table10[[#This Row],[Pcode]],CampList[CP_Pcode],0)-1,0,1,1)</f>
        <v>652</v>
      </c>
      <c r="F144" s="422">
        <f ca="1">OFFSET(CampList[Total],MATCH(Table10[[#This Row],[Pcode]],CampList[CP_Pcode],0)-1,0,1,1)</f>
        <v>3706</v>
      </c>
      <c r="G144" s="422">
        <f>SUMIF('NFI Tracking'!AM$6:AM$1048576,Table10[[#This Row],[Pcode]],'NFI Tracking'!AG$6:AG$1048576)</f>
        <v>0</v>
      </c>
      <c r="H144" s="422">
        <f>SUMIF('NFI Tracking'!AM$6:AM$1048576,Table10[[#This Row],[Pcode]],'NFI Tracking'!AH$6:AH$1048576)</f>
        <v>0</v>
      </c>
      <c r="I144" s="422">
        <f>SUMIF('NFI Tracking'!AM$6:AM$1048576,Table10[[#This Row],[Pcode]],'NFI Tracking'!AI$6:AI$1048576)</f>
        <v>0</v>
      </c>
      <c r="J144" s="422">
        <f ca="1">MAX(Table10[[#This Row],[HH]]*VLOOKUP("Winter Clothes Adult",NFI,6)-Table10[[#This Row],[Winter Clothes Adult ]],0)</f>
        <v>1304</v>
      </c>
      <c r="K144" s="422">
        <f ca="1">MAX(Table10[[#This Row],[HH]]*VLOOKUP("Winter Clothes Children ",NFI,6)-Table10[[#This Row],[Winter Clothes Children ]],0)</f>
        <v>652</v>
      </c>
      <c r="L144" s="422">
        <f ca="1">MAX(Table10[[#This Row],[HH]]*VLOOKUP("Winter Items Other ",NFI,6)-Table10[[#This Row],[Winter Items Other ]],0)</f>
        <v>652</v>
      </c>
      <c r="M144" s="469" t="str">
        <f>IF(OR(Table10[[#This Row],[Winter Clothes Adult ]]&lt;&gt;0,Table10[[#This Row],[Winter Clothes Children ]]&lt;&gt;0,Table10[[#This Row],[Winter Items Other ]]&lt;&gt;0),"No","")</f>
        <v/>
      </c>
      <c r="N144" s="470">
        <f>COUNTIF(A:A,Table10[[#This Row],[Pcode]])-1</f>
        <v>0</v>
      </c>
    </row>
    <row r="145" spans="1:14" x14ac:dyDescent="0.25">
      <c r="A145" s="381" t="s">
        <v>123</v>
      </c>
      <c r="B145" s="26" t="str">
        <f ca="1">OFFSET(CampList[Priority],MATCH(Table10[[#This Row],[Pcode]],CampList[CP_Pcode],0)-1,0,1,1)</f>
        <v>P4</v>
      </c>
      <c r="C145" s="26" t="str">
        <f ca="1">OFFSET(CampList[Camp],MATCH(Table10[[#This Row],[Pcode]],CampList[CP_Pcode],0)-1,0,1,1)</f>
        <v>Sai Nai Baptish Church, Maw Shan Vil., Seki Mu</v>
      </c>
      <c r="D145" s="26" t="str">
        <f ca="1">OFFSET(CampList[Township],MATCH(Table10[[#This Row],[Pcode]],CampList[CP_Pcode],0)-1,0,1,1)</f>
        <v>Hpakant</v>
      </c>
      <c r="E145" s="422">
        <f ca="1">OFFSET(CampList[HH],MATCH(Table10[[#This Row],[Pcode]],CampList[CP_Pcode],0)-1,0,1,1)</f>
        <v>8</v>
      </c>
      <c r="F145" s="422">
        <f ca="1">OFFSET(CampList[Total],MATCH(Table10[[#This Row],[Pcode]],CampList[CP_Pcode],0)-1,0,1,1)</f>
        <v>40</v>
      </c>
      <c r="G145" s="422">
        <f>SUMIF('NFI Tracking'!AM$6:AM$1048576,Table10[[#This Row],[Pcode]],'NFI Tracking'!AG$6:AG$1048576)</f>
        <v>34</v>
      </c>
      <c r="H145" s="422">
        <f>SUMIF('NFI Tracking'!AM$6:AM$1048576,Table10[[#This Row],[Pcode]],'NFI Tracking'!AH$6:AH$1048576)</f>
        <v>9</v>
      </c>
      <c r="I145" s="422">
        <f>SUMIF('NFI Tracking'!AM$6:AM$1048576,Table10[[#This Row],[Pcode]],'NFI Tracking'!AI$6:AI$1048576)</f>
        <v>0</v>
      </c>
      <c r="J145" s="422">
        <f ca="1">MAX(Table10[[#This Row],[HH]]*VLOOKUP("Winter Clothes Adult",NFI,6)-Table10[[#This Row],[Winter Clothes Adult ]],0)</f>
        <v>0</v>
      </c>
      <c r="K145" s="422">
        <f ca="1">MAX(Table10[[#This Row],[HH]]*VLOOKUP("Winter Clothes Children ",NFI,6)-Table10[[#This Row],[Winter Clothes Children ]],0)</f>
        <v>0</v>
      </c>
      <c r="L145" s="422">
        <f ca="1">MAX(Table10[[#This Row],[HH]]*VLOOKUP("Winter Items Other ",NFI,6)-Table10[[#This Row],[Winter Items Other ]],0)</f>
        <v>8</v>
      </c>
      <c r="M145" s="469" t="str">
        <f>IF(OR(Table10[[#This Row],[Winter Clothes Adult ]]&lt;&gt;0,Table10[[#This Row],[Winter Clothes Children ]]&lt;&gt;0,Table10[[#This Row],[Winter Items Other ]]&lt;&gt;0),"No","")</f>
        <v>No</v>
      </c>
      <c r="N145" s="470">
        <f>COUNTIF(A:A,Table10[[#This Row],[Pcode]])-1</f>
        <v>0</v>
      </c>
    </row>
    <row r="146" spans="1:14" x14ac:dyDescent="0.25">
      <c r="A146" s="381" t="s">
        <v>276</v>
      </c>
      <c r="B146" s="26" t="str">
        <f ca="1">OFFSET(CampList[Priority],MATCH(Table10[[#This Row],[Pcode]],CampList[CP_Pcode],0)-1,0,1,1)</f>
        <v>P4</v>
      </c>
      <c r="C146" s="26" t="str">
        <f ca="1">OFFSET(CampList[Camp],MATCH(Table10[[#This Row],[Pcode]],CampList[CP_Pcode],0)-1,0,1,1)</f>
        <v>Shatapru Sut Ngai Tawng</v>
      </c>
      <c r="D146" s="26" t="str">
        <f ca="1">OFFSET(CampList[Township],MATCH(Table10[[#This Row],[Pcode]],CampList[CP_Pcode],0)-1,0,1,1)</f>
        <v>Myitkyina</v>
      </c>
      <c r="E146" s="422">
        <f ca="1">OFFSET(CampList[HH],MATCH(Table10[[#This Row],[Pcode]],CampList[CP_Pcode],0)-1,0,1,1)</f>
        <v>95</v>
      </c>
      <c r="F146" s="422">
        <f ca="1">OFFSET(CampList[Total],MATCH(Table10[[#This Row],[Pcode]],CampList[CP_Pcode],0)-1,0,1,1)</f>
        <v>385</v>
      </c>
      <c r="G146" s="422">
        <f>SUMIF('NFI Tracking'!AM$6:AM$1048576,Table10[[#This Row],[Pcode]],'NFI Tracking'!AG$6:AG$1048576)</f>
        <v>0</v>
      </c>
      <c r="H146" s="422">
        <f>SUMIF('NFI Tracking'!AM$6:AM$1048576,Table10[[#This Row],[Pcode]],'NFI Tracking'!AH$6:AH$1048576)</f>
        <v>0</v>
      </c>
      <c r="I146" s="422">
        <f>SUMIF('NFI Tracking'!AM$6:AM$1048576,Table10[[#This Row],[Pcode]],'NFI Tracking'!AI$6:AI$1048576)</f>
        <v>0</v>
      </c>
      <c r="J146" s="422">
        <f ca="1">MAX(Table10[[#This Row],[HH]]*VLOOKUP("Winter Clothes Adult",NFI,6)-Table10[[#This Row],[Winter Clothes Adult ]],0)</f>
        <v>190</v>
      </c>
      <c r="K146" s="422">
        <f ca="1">MAX(Table10[[#This Row],[HH]]*VLOOKUP("Winter Clothes Children ",NFI,6)-Table10[[#This Row],[Winter Clothes Children ]],0)</f>
        <v>95</v>
      </c>
      <c r="L146" s="422">
        <f ca="1">MAX(Table10[[#This Row],[HH]]*VLOOKUP("Winter Items Other ",NFI,6)-Table10[[#This Row],[Winter Items Other ]],0)</f>
        <v>95</v>
      </c>
      <c r="M146" s="469" t="str">
        <f>IF(OR(Table10[[#This Row],[Winter Clothes Adult ]]&lt;&gt;0,Table10[[#This Row],[Winter Clothes Children ]]&lt;&gt;0,Table10[[#This Row],[Winter Items Other ]]&lt;&gt;0),"No","")</f>
        <v/>
      </c>
      <c r="N146" s="470">
        <f>COUNTIF(A:A,Table10[[#This Row],[Pcode]])-1</f>
        <v>0</v>
      </c>
    </row>
    <row r="147" spans="1:14" x14ac:dyDescent="0.25">
      <c r="A147" s="381" t="s">
        <v>278</v>
      </c>
      <c r="B147" s="26" t="str">
        <f ca="1">OFFSET(CampList[Priority],MATCH(Table10[[#This Row],[Pcode]],CampList[CP_Pcode],0)-1,0,1,1)</f>
        <v>P4</v>
      </c>
      <c r="C147" s="26" t="str">
        <f ca="1">OFFSET(CampList[Camp],MATCH(Table10[[#This Row],[Pcode]],CampList[CP_Pcode],0)-1,0,1,1)</f>
        <v>Shatapru Thida Aye Baptist Church</v>
      </c>
      <c r="D147" s="26" t="str">
        <f ca="1">OFFSET(CampList[Township],MATCH(Table10[[#This Row],[Pcode]],CampList[CP_Pcode],0)-1,0,1,1)</f>
        <v>Myitkyina</v>
      </c>
      <c r="E147" s="422">
        <f ca="1">OFFSET(CampList[HH],MATCH(Table10[[#This Row],[Pcode]],CampList[CP_Pcode],0)-1,0,1,1)</f>
        <v>28</v>
      </c>
      <c r="F147" s="422">
        <f ca="1">OFFSET(CampList[Total],MATCH(Table10[[#This Row],[Pcode]],CampList[CP_Pcode],0)-1,0,1,1)</f>
        <v>130</v>
      </c>
      <c r="G147" s="422">
        <f>SUMIF('NFI Tracking'!AM$6:AM$1048576,Table10[[#This Row],[Pcode]],'NFI Tracking'!AG$6:AG$1048576)</f>
        <v>0</v>
      </c>
      <c r="H147" s="422">
        <f>SUMIF('NFI Tracking'!AM$6:AM$1048576,Table10[[#This Row],[Pcode]],'NFI Tracking'!AH$6:AH$1048576)</f>
        <v>0</v>
      </c>
      <c r="I147" s="422">
        <f>SUMIF('NFI Tracking'!AM$6:AM$1048576,Table10[[#This Row],[Pcode]],'NFI Tracking'!AI$6:AI$1048576)</f>
        <v>0</v>
      </c>
      <c r="J147" s="422">
        <f ca="1">MAX(Table10[[#This Row],[HH]]*VLOOKUP("Winter Clothes Adult",NFI,6)-Table10[[#This Row],[Winter Clothes Adult ]],0)</f>
        <v>56</v>
      </c>
      <c r="K147" s="422">
        <f ca="1">MAX(Table10[[#This Row],[HH]]*VLOOKUP("Winter Clothes Children ",NFI,6)-Table10[[#This Row],[Winter Clothes Children ]],0)</f>
        <v>28</v>
      </c>
      <c r="L147" s="422">
        <f ca="1">MAX(Table10[[#This Row],[HH]]*VLOOKUP("Winter Items Other ",NFI,6)-Table10[[#This Row],[Winter Items Other ]],0)</f>
        <v>28</v>
      </c>
      <c r="M147" s="469" t="str">
        <f>IF(OR(Table10[[#This Row],[Winter Clothes Adult ]]&lt;&gt;0,Table10[[#This Row],[Winter Clothes Children ]]&lt;&gt;0,Table10[[#This Row],[Winter Items Other ]]&lt;&gt;0),"No","")</f>
        <v/>
      </c>
      <c r="N147" s="470">
        <f>COUNTIF(A:A,Table10[[#This Row],[Pcode]])-1</f>
        <v>0</v>
      </c>
    </row>
    <row r="148" spans="1:14" x14ac:dyDescent="0.25">
      <c r="A148" s="381" t="s">
        <v>305</v>
      </c>
      <c r="B148" s="26" t="str">
        <f ca="1">OFFSET(CampList[Priority],MATCH(Table10[[#This Row],[Pcode]],CampList[CP_Pcode],0)-1,0,1,1)</f>
        <v>P4</v>
      </c>
      <c r="C148" s="26" t="str">
        <f ca="1">OFFSET(CampList[Camp],MATCH(Table10[[#This Row],[Pcode]],CampList[CP_Pcode],0)-1,0,1,1)</f>
        <v>Shwe Gu Baptist Church</v>
      </c>
      <c r="D148" s="26" t="str">
        <f ca="1">OFFSET(CampList[Township],MATCH(Table10[[#This Row],[Pcode]],CampList[CP_Pcode],0)-1,0,1,1)</f>
        <v>Shwegu</v>
      </c>
      <c r="E148" s="422">
        <f ca="1">OFFSET(CampList[HH],MATCH(Table10[[#This Row],[Pcode]],CampList[CP_Pcode],0)-1,0,1,1)</f>
        <v>83</v>
      </c>
      <c r="F148" s="422">
        <f ca="1">OFFSET(CampList[Total],MATCH(Table10[[#This Row],[Pcode]],CampList[CP_Pcode],0)-1,0,1,1)</f>
        <v>293</v>
      </c>
      <c r="G148" s="422">
        <f>SUMIF('NFI Tracking'!AM$6:AM$1048576,Table10[[#This Row],[Pcode]],'NFI Tracking'!AG$6:AG$1048576)</f>
        <v>0</v>
      </c>
      <c r="H148" s="422">
        <f>SUMIF('NFI Tracking'!AM$6:AM$1048576,Table10[[#This Row],[Pcode]],'NFI Tracking'!AH$6:AH$1048576)</f>
        <v>0</v>
      </c>
      <c r="I148" s="422">
        <f>SUMIF('NFI Tracking'!AM$6:AM$1048576,Table10[[#This Row],[Pcode]],'NFI Tracking'!AI$6:AI$1048576)</f>
        <v>0</v>
      </c>
      <c r="J148" s="422">
        <f ca="1">MAX(Table10[[#This Row],[HH]]*VLOOKUP("Winter Clothes Adult",NFI,6)-Table10[[#This Row],[Winter Clothes Adult ]],0)</f>
        <v>166</v>
      </c>
      <c r="K148" s="422">
        <f ca="1">MAX(Table10[[#This Row],[HH]]*VLOOKUP("Winter Clothes Children ",NFI,6)-Table10[[#This Row],[Winter Clothes Children ]],0)</f>
        <v>83</v>
      </c>
      <c r="L148" s="422">
        <f ca="1">MAX(Table10[[#This Row],[HH]]*VLOOKUP("Winter Items Other ",NFI,6)-Table10[[#This Row],[Winter Items Other ]],0)</f>
        <v>83</v>
      </c>
      <c r="M148" s="469" t="str">
        <f>IF(OR(Table10[[#This Row],[Winter Clothes Adult ]]&lt;&gt;0,Table10[[#This Row],[Winter Clothes Children ]]&lt;&gt;0,Table10[[#This Row],[Winter Items Other ]]&lt;&gt;0),"No","")</f>
        <v/>
      </c>
      <c r="N148" s="470">
        <f>COUNTIF(A:A,Table10[[#This Row],[Pcode]])-1</f>
        <v>0</v>
      </c>
    </row>
    <row r="149" spans="1:14" x14ac:dyDescent="0.25">
      <c r="A149" s="381" t="s">
        <v>307</v>
      </c>
      <c r="B149" s="26" t="str">
        <f ca="1">OFFSET(CampList[Priority],MATCH(Table10[[#This Row],[Pcode]],CampList[CP_Pcode],0)-1,0,1,1)</f>
        <v>P4</v>
      </c>
      <c r="C149" s="26" t="str">
        <f ca="1">OFFSET(CampList[Camp],MATCH(Table10[[#This Row],[Pcode]],CampList[CP_Pcode],0)-1,0,1,1)</f>
        <v>Shwe Gu Catholic Church</v>
      </c>
      <c r="D149" s="26" t="str">
        <f ca="1">OFFSET(CampList[Township],MATCH(Table10[[#This Row],[Pcode]],CampList[CP_Pcode],0)-1,0,1,1)</f>
        <v>Shwegu</v>
      </c>
      <c r="E149" s="422">
        <f ca="1">OFFSET(CampList[HH],MATCH(Table10[[#This Row],[Pcode]],CampList[CP_Pcode],0)-1,0,1,1)</f>
        <v>40</v>
      </c>
      <c r="F149" s="422">
        <f ca="1">OFFSET(CampList[Total],MATCH(Table10[[#This Row],[Pcode]],CampList[CP_Pcode],0)-1,0,1,1)</f>
        <v>208</v>
      </c>
      <c r="G149" s="422">
        <f>SUMIF('NFI Tracking'!AM$6:AM$1048576,Table10[[#This Row],[Pcode]],'NFI Tracking'!AG$6:AG$1048576)</f>
        <v>0</v>
      </c>
      <c r="H149" s="422">
        <f>SUMIF('NFI Tracking'!AM$6:AM$1048576,Table10[[#This Row],[Pcode]],'NFI Tracking'!AH$6:AH$1048576)</f>
        <v>0</v>
      </c>
      <c r="I149" s="422">
        <f>SUMIF('NFI Tracking'!AM$6:AM$1048576,Table10[[#This Row],[Pcode]],'NFI Tracking'!AI$6:AI$1048576)</f>
        <v>0</v>
      </c>
      <c r="J149" s="422">
        <f ca="1">MAX(Table10[[#This Row],[HH]]*VLOOKUP("Winter Clothes Adult",NFI,6)-Table10[[#This Row],[Winter Clothes Adult ]],0)</f>
        <v>80</v>
      </c>
      <c r="K149" s="422">
        <f ca="1">MAX(Table10[[#This Row],[HH]]*VLOOKUP("Winter Clothes Children ",NFI,6)-Table10[[#This Row],[Winter Clothes Children ]],0)</f>
        <v>40</v>
      </c>
      <c r="L149" s="422">
        <f ca="1">MAX(Table10[[#This Row],[HH]]*VLOOKUP("Winter Items Other ",NFI,6)-Table10[[#This Row],[Winter Items Other ]],0)</f>
        <v>40</v>
      </c>
      <c r="M149" s="469" t="str">
        <f>IF(OR(Table10[[#This Row],[Winter Clothes Adult ]]&lt;&gt;0,Table10[[#This Row],[Winter Clothes Children ]]&lt;&gt;0,Table10[[#This Row],[Winter Items Other ]]&lt;&gt;0),"No","")</f>
        <v/>
      </c>
      <c r="N149" s="470">
        <f>COUNTIF(A:A,Table10[[#This Row],[Pcode]])-1</f>
        <v>0</v>
      </c>
    </row>
    <row r="150" spans="1:14" x14ac:dyDescent="0.25">
      <c r="A150" s="381" t="s">
        <v>280</v>
      </c>
      <c r="B150" s="26" t="str">
        <f ca="1">OFFSET(CampList[Priority],MATCH(Table10[[#This Row],[Pcode]],CampList[CP_Pcode],0)-1,0,1,1)</f>
        <v>P4</v>
      </c>
      <c r="C150" s="26" t="str">
        <f ca="1">OFFSET(CampList[Camp],MATCH(Table10[[#This Row],[Pcode]],CampList[CP_Pcode],0)-1,0,1,1)</f>
        <v>Shwe Zet Baptist Church</v>
      </c>
      <c r="D150" s="26" t="str">
        <f ca="1">OFFSET(CampList[Township],MATCH(Table10[[#This Row],[Pcode]],CampList[CP_Pcode],0)-1,0,1,1)</f>
        <v>Myitkyina</v>
      </c>
      <c r="E150" s="422">
        <f ca="1">OFFSET(CampList[HH],MATCH(Table10[[#This Row],[Pcode]],CampList[CP_Pcode],0)-1,0,1,1)</f>
        <v>90</v>
      </c>
      <c r="F150" s="422">
        <f ca="1">OFFSET(CampList[Total],MATCH(Table10[[#This Row],[Pcode]],CampList[CP_Pcode],0)-1,0,1,1)</f>
        <v>487</v>
      </c>
      <c r="G150" s="422">
        <f>SUMIF('NFI Tracking'!AM$6:AM$1048576,Table10[[#This Row],[Pcode]],'NFI Tracking'!AG$6:AG$1048576)</f>
        <v>0</v>
      </c>
      <c r="H150" s="422">
        <f>SUMIF('NFI Tracking'!AM$6:AM$1048576,Table10[[#This Row],[Pcode]],'NFI Tracking'!AH$6:AH$1048576)</f>
        <v>0</v>
      </c>
      <c r="I150" s="422">
        <f>SUMIF('NFI Tracking'!AM$6:AM$1048576,Table10[[#This Row],[Pcode]],'NFI Tracking'!AI$6:AI$1048576)</f>
        <v>0</v>
      </c>
      <c r="J150" s="422">
        <f ca="1">MAX(Table10[[#This Row],[HH]]*VLOOKUP("Winter Clothes Adult",NFI,6)-Table10[[#This Row],[Winter Clothes Adult ]],0)</f>
        <v>180</v>
      </c>
      <c r="K150" s="422">
        <f ca="1">MAX(Table10[[#This Row],[HH]]*VLOOKUP("Winter Clothes Children ",NFI,6)-Table10[[#This Row],[Winter Clothes Children ]],0)</f>
        <v>90</v>
      </c>
      <c r="L150" s="422">
        <f ca="1">MAX(Table10[[#This Row],[HH]]*VLOOKUP("Winter Items Other ",NFI,6)-Table10[[#This Row],[Winter Items Other ]],0)</f>
        <v>90</v>
      </c>
      <c r="M150" s="469" t="str">
        <f>IF(OR(Table10[[#This Row],[Winter Clothes Adult ]]&lt;&gt;0,Table10[[#This Row],[Winter Clothes Children ]]&lt;&gt;0,Table10[[#This Row],[Winter Items Other ]]&lt;&gt;0),"No","")</f>
        <v/>
      </c>
      <c r="N150" s="470">
        <f>COUNTIF(A:A,Table10[[#This Row],[Pcode]])-1</f>
        <v>0</v>
      </c>
    </row>
    <row r="151" spans="1:14" x14ac:dyDescent="0.25">
      <c r="A151" s="381" t="s">
        <v>179</v>
      </c>
      <c r="B151" s="26" t="str">
        <f ca="1">OFFSET(CampList[Priority],MATCH(Table10[[#This Row],[Pcode]],CampList[CP_Pcode],0)-1,0,1,1)</f>
        <v>P4</v>
      </c>
      <c r="C151" s="26" t="str">
        <f ca="1">OFFSET(CampList[Camp],MATCH(Table10[[#This Row],[Pcode]],CampList[CP_Pcode],0)-1,0,1,1)</f>
        <v xml:space="preserve">St. Patrick Catholic Church </v>
      </c>
      <c r="D151" s="26" t="str">
        <f ca="1">OFFSET(CampList[Township],MATCH(Table10[[#This Row],[Pcode]],CampList[CP_Pcode],0)-1,0,1,1)</f>
        <v>Mohnyin</v>
      </c>
      <c r="E151" s="422">
        <f ca="1">OFFSET(CampList[HH],MATCH(Table10[[#This Row],[Pcode]],CampList[CP_Pcode],0)-1,0,1,1)</f>
        <v>12</v>
      </c>
      <c r="F151" s="422">
        <f ca="1">OFFSET(CampList[Total],MATCH(Table10[[#This Row],[Pcode]],CampList[CP_Pcode],0)-1,0,1,1)</f>
        <v>52</v>
      </c>
      <c r="G151" s="422">
        <f>SUMIF('NFI Tracking'!AM$6:AM$1048576,Table10[[#This Row],[Pcode]],'NFI Tracking'!AG$6:AG$1048576)</f>
        <v>0</v>
      </c>
      <c r="H151" s="422">
        <f>SUMIF('NFI Tracking'!AM$6:AM$1048576,Table10[[#This Row],[Pcode]],'NFI Tracking'!AH$6:AH$1048576)</f>
        <v>0</v>
      </c>
      <c r="I151" s="422">
        <f>SUMIF('NFI Tracking'!AM$6:AM$1048576,Table10[[#This Row],[Pcode]],'NFI Tracking'!AI$6:AI$1048576)</f>
        <v>0</v>
      </c>
      <c r="J151" s="422">
        <f ca="1">MAX(Table10[[#This Row],[HH]]*VLOOKUP("Winter Clothes Adult",NFI,6)-Table10[[#This Row],[Winter Clothes Adult ]],0)</f>
        <v>24</v>
      </c>
      <c r="K151" s="422">
        <f ca="1">MAX(Table10[[#This Row],[HH]]*VLOOKUP("Winter Clothes Children ",NFI,6)-Table10[[#This Row],[Winter Clothes Children ]],0)</f>
        <v>12</v>
      </c>
      <c r="L151" s="422">
        <f ca="1">MAX(Table10[[#This Row],[HH]]*VLOOKUP("Winter Items Other ",NFI,6)-Table10[[#This Row],[Winter Items Other ]],0)</f>
        <v>12</v>
      </c>
      <c r="M151" s="469" t="str">
        <f>IF(OR(Table10[[#This Row],[Winter Clothes Adult ]]&lt;&gt;0,Table10[[#This Row],[Winter Clothes Children ]]&lt;&gt;0,Table10[[#This Row],[Winter Items Other ]]&lt;&gt;0),"No","")</f>
        <v/>
      </c>
      <c r="N151" s="470">
        <f>COUNTIF(A:A,Table10[[#This Row],[Pcode]])-1</f>
        <v>0</v>
      </c>
    </row>
    <row r="152" spans="1:14" x14ac:dyDescent="0.25">
      <c r="A152" s="381" t="s">
        <v>817</v>
      </c>
      <c r="B152" s="26" t="str">
        <f ca="1">OFFSET(CampList[Priority],MATCH(Table10[[#This Row],[Pcode]],CampList[CP_Pcode],0)-1,0,1,1)</f>
        <v>P4</v>
      </c>
      <c r="C152" s="26" t="str">
        <f ca="1">OFFSET(CampList[Camp],MATCH(Table10[[#This Row],[Pcode]],CampList[CP_Pcode],0)-1,0,1,1)</f>
        <v>Sumprabum</v>
      </c>
      <c r="D152" s="26" t="str">
        <f ca="1">OFFSET(CampList[Township],MATCH(Table10[[#This Row],[Pcode]],CampList[CP_Pcode],0)-1,0,1,1)</f>
        <v>Sumprabum</v>
      </c>
      <c r="E152" s="422">
        <f ca="1">OFFSET(CampList[HH],MATCH(Table10[[#This Row],[Pcode]],CampList[CP_Pcode],0)-1,0,1,1)</f>
        <v>5</v>
      </c>
      <c r="F152" s="422">
        <f ca="1">OFFSET(CampList[Total],MATCH(Table10[[#This Row],[Pcode]],CampList[CP_Pcode],0)-1,0,1,1)</f>
        <v>32</v>
      </c>
      <c r="G152" s="422">
        <f>SUMIF('NFI Tracking'!AM$6:AM$1048576,Table10[[#This Row],[Pcode]],'NFI Tracking'!AG$6:AG$1048576)</f>
        <v>91</v>
      </c>
      <c r="H152" s="422">
        <f>SUMIF('NFI Tracking'!AM$6:AM$1048576,Table10[[#This Row],[Pcode]],'NFI Tracking'!AH$6:AH$1048576)</f>
        <v>32</v>
      </c>
      <c r="I152" s="422">
        <f>SUMIF('NFI Tracking'!AM$6:AM$1048576,Table10[[#This Row],[Pcode]],'NFI Tracking'!AI$6:AI$1048576)</f>
        <v>0</v>
      </c>
      <c r="J152" s="422">
        <f ca="1">MAX(Table10[[#This Row],[HH]]*VLOOKUP("Winter Clothes Adult",NFI,6)-Table10[[#This Row],[Winter Clothes Adult ]],0)</f>
        <v>0</v>
      </c>
      <c r="K152" s="422">
        <f ca="1">MAX(Table10[[#This Row],[HH]]*VLOOKUP("Winter Clothes Children ",NFI,6)-Table10[[#This Row],[Winter Clothes Children ]],0)</f>
        <v>0</v>
      </c>
      <c r="L152" s="422">
        <f ca="1">MAX(Table10[[#This Row],[HH]]*VLOOKUP("Winter Items Other ",NFI,6)-Table10[[#This Row],[Winter Items Other ]],0)</f>
        <v>5</v>
      </c>
      <c r="M152" s="469" t="str">
        <f>IF(OR(Table10[[#This Row],[Winter Clothes Adult ]]&lt;&gt;0,Table10[[#This Row],[Winter Clothes Children ]]&lt;&gt;0,Table10[[#This Row],[Winter Items Other ]]&lt;&gt;0),"No","")</f>
        <v>No</v>
      </c>
      <c r="N152" s="470">
        <f>COUNTIF(A:A,Table10[[#This Row],[Pcode]])-1</f>
        <v>0</v>
      </c>
    </row>
    <row r="153" spans="1:14" x14ac:dyDescent="0.25">
      <c r="A153" s="381" t="s">
        <v>23</v>
      </c>
      <c r="B153" s="26" t="str">
        <f ca="1">OFFSET(CampList[Priority],MATCH(Table10[[#This Row],[Pcode]],CampList[CP_Pcode],0)-1,0,1,1)</f>
        <v>P4</v>
      </c>
      <c r="C153" s="26" t="str">
        <f ca="1">OFFSET(CampList[Camp],MATCH(Table10[[#This Row],[Pcode]],CampList[CP_Pcode],0)-1,0,1,1)</f>
        <v>Ta Gun Taing Monastery (Shwe Kyi Na)</v>
      </c>
      <c r="D153" s="26" t="str">
        <f ca="1">OFFSET(CampList[Township],MATCH(Table10[[#This Row],[Pcode]],CampList[CP_Pcode],0)-1,0,1,1)</f>
        <v>Bhamo</v>
      </c>
      <c r="E153" s="422">
        <f ca="1">OFFSET(CampList[HH],MATCH(Table10[[#This Row],[Pcode]],CampList[CP_Pcode],0)-1,0,1,1)</f>
        <v>25</v>
      </c>
      <c r="F153" s="422">
        <f ca="1">OFFSET(CampList[Total],MATCH(Table10[[#This Row],[Pcode]],CampList[CP_Pcode],0)-1,0,1,1)</f>
        <v>104</v>
      </c>
      <c r="G153" s="422">
        <f>SUMIF('NFI Tracking'!AM$6:AM$1048576,Table10[[#This Row],[Pcode]],'NFI Tracking'!AG$6:AG$1048576)</f>
        <v>0</v>
      </c>
      <c r="H153" s="422">
        <f>SUMIF('NFI Tracking'!AM$6:AM$1048576,Table10[[#This Row],[Pcode]],'NFI Tracking'!AH$6:AH$1048576)</f>
        <v>0</v>
      </c>
      <c r="I153" s="422">
        <f>SUMIF('NFI Tracking'!AM$6:AM$1048576,Table10[[#This Row],[Pcode]],'NFI Tracking'!AI$6:AI$1048576)</f>
        <v>0</v>
      </c>
      <c r="J153" s="422">
        <f ca="1">MAX(Table10[[#This Row],[HH]]*VLOOKUP("Winter Clothes Adult",NFI,6)-Table10[[#This Row],[Winter Clothes Adult ]],0)</f>
        <v>50</v>
      </c>
      <c r="K153" s="422">
        <f ca="1">MAX(Table10[[#This Row],[HH]]*VLOOKUP("Winter Clothes Children ",NFI,6)-Table10[[#This Row],[Winter Clothes Children ]],0)</f>
        <v>25</v>
      </c>
      <c r="L153" s="422">
        <f ca="1">MAX(Table10[[#This Row],[HH]]*VLOOKUP("Winter Items Other ",NFI,6)-Table10[[#This Row],[Winter Items Other ]],0)</f>
        <v>25</v>
      </c>
      <c r="M153" s="469" t="str">
        <f>IF(OR(Table10[[#This Row],[Winter Clothes Adult ]]&lt;&gt;0,Table10[[#This Row],[Winter Clothes Children ]]&lt;&gt;0,Table10[[#This Row],[Winter Items Other ]]&lt;&gt;0),"No","")</f>
        <v/>
      </c>
      <c r="N153" s="470">
        <f>COUNTIF(A:A,Table10[[#This Row],[Pcode]])-1</f>
        <v>0</v>
      </c>
    </row>
    <row r="154" spans="1:14" x14ac:dyDescent="0.25">
      <c r="A154" s="381" t="s">
        <v>226</v>
      </c>
      <c r="B154" s="26" t="str">
        <f ca="1">OFFSET(CampList[Priority],MATCH(Table10[[#This Row],[Pcode]],CampList[CP_Pcode],0)-1,0,1,1)</f>
        <v>P4</v>
      </c>
      <c r="C154" s="26" t="str">
        <f ca="1">OFFSET(CampList[Camp],MATCH(Table10[[#This Row],[Pcode]],CampList[CP_Pcode],0)-1,0,1,1)</f>
        <v xml:space="preserve">Tarli </v>
      </c>
      <c r="D154" s="26" t="str">
        <f ca="1">OFFSET(CampList[Township],MATCH(Table10[[#This Row],[Pcode]],CampList[CP_Pcode],0)-1,0,1,1)</f>
        <v>Momauk</v>
      </c>
      <c r="E154" s="422">
        <f ca="1">OFFSET(CampList[HH],MATCH(Table10[[#This Row],[Pcode]],CampList[CP_Pcode],0)-1,0,1,1)</f>
        <v>10</v>
      </c>
      <c r="F154" s="422">
        <f ca="1">OFFSET(CampList[Total],MATCH(Table10[[#This Row],[Pcode]],CampList[CP_Pcode],0)-1,0,1,1)</f>
        <v>38</v>
      </c>
      <c r="G154" s="422">
        <f>SUMIF('NFI Tracking'!AM$6:AM$1048576,Table10[[#This Row],[Pcode]],'NFI Tracking'!AG$6:AG$1048576)</f>
        <v>0</v>
      </c>
      <c r="H154" s="422">
        <f>SUMIF('NFI Tracking'!AM$6:AM$1048576,Table10[[#This Row],[Pcode]],'NFI Tracking'!AH$6:AH$1048576)</f>
        <v>0</v>
      </c>
      <c r="I154" s="422">
        <f>SUMIF('NFI Tracking'!AM$6:AM$1048576,Table10[[#This Row],[Pcode]],'NFI Tracking'!AI$6:AI$1048576)</f>
        <v>0</v>
      </c>
      <c r="J154" s="422">
        <f ca="1">MAX(Table10[[#This Row],[HH]]*VLOOKUP("Winter Clothes Adult",NFI,6)-Table10[[#This Row],[Winter Clothes Adult ]],0)</f>
        <v>20</v>
      </c>
      <c r="K154" s="422">
        <f ca="1">MAX(Table10[[#This Row],[HH]]*VLOOKUP("Winter Clothes Children ",NFI,6)-Table10[[#This Row],[Winter Clothes Children ]],0)</f>
        <v>10</v>
      </c>
      <c r="L154" s="422">
        <f ca="1">MAX(Table10[[#This Row],[HH]]*VLOOKUP("Winter Items Other ",NFI,6)-Table10[[#This Row],[Winter Items Other ]],0)</f>
        <v>10</v>
      </c>
      <c r="M154" s="469" t="str">
        <f>IF(OR(Table10[[#This Row],[Winter Clothes Adult ]]&lt;&gt;0,Table10[[#This Row],[Winter Clothes Children ]]&lt;&gt;0,Table10[[#This Row],[Winter Items Other ]]&lt;&gt;0),"No","")</f>
        <v/>
      </c>
      <c r="N154" s="470">
        <f>COUNTIF(A:A,Table10[[#This Row],[Pcode]])-1</f>
        <v>0</v>
      </c>
    </row>
    <row r="155" spans="1:14" x14ac:dyDescent="0.25">
      <c r="A155" s="381" t="s">
        <v>236</v>
      </c>
      <c r="B155" s="26" t="str">
        <f ca="1">OFFSET(CampList[Priority],MATCH(Table10[[#This Row],[Pcode]],CampList[CP_Pcode],0)-1,0,1,1)</f>
        <v>P4</v>
      </c>
      <c r="C155" s="26" t="str">
        <f ca="1">OFFSET(CampList[Camp],MATCH(Table10[[#This Row],[Pcode]],CampList[CP_Pcode],0)-1,0,1,1)</f>
        <v>Tat Kone Baptist Church</v>
      </c>
      <c r="D155" s="26" t="str">
        <f ca="1">OFFSET(CampList[Township],MATCH(Table10[[#This Row],[Pcode]],CampList[CP_Pcode],0)-1,0,1,1)</f>
        <v>Myitkyina</v>
      </c>
      <c r="E155" s="422">
        <f ca="1">OFFSET(CampList[HH],MATCH(Table10[[#This Row],[Pcode]],CampList[CP_Pcode],0)-1,0,1,1)</f>
        <v>70</v>
      </c>
      <c r="F155" s="422">
        <f ca="1">OFFSET(CampList[Total],MATCH(Table10[[#This Row],[Pcode]],CampList[CP_Pcode],0)-1,0,1,1)</f>
        <v>369</v>
      </c>
      <c r="G155" s="422">
        <f>SUMIF('NFI Tracking'!AM$6:AM$1048576,Table10[[#This Row],[Pcode]],'NFI Tracking'!AG$6:AG$1048576)</f>
        <v>0</v>
      </c>
      <c r="H155" s="422">
        <f>SUMIF('NFI Tracking'!AM$6:AM$1048576,Table10[[#This Row],[Pcode]],'NFI Tracking'!AH$6:AH$1048576)</f>
        <v>0</v>
      </c>
      <c r="I155" s="422">
        <f>SUMIF('NFI Tracking'!AM$6:AM$1048576,Table10[[#This Row],[Pcode]],'NFI Tracking'!AI$6:AI$1048576)</f>
        <v>0</v>
      </c>
      <c r="J155" s="422">
        <f ca="1">MAX(Table10[[#This Row],[HH]]*VLOOKUP("Winter Clothes Adult",NFI,6)-Table10[[#This Row],[Winter Clothes Adult ]],0)</f>
        <v>140</v>
      </c>
      <c r="K155" s="422">
        <f ca="1">MAX(Table10[[#This Row],[HH]]*VLOOKUP("Winter Clothes Children ",NFI,6)-Table10[[#This Row],[Winter Clothes Children ]],0)</f>
        <v>70</v>
      </c>
      <c r="L155" s="422">
        <f ca="1">MAX(Table10[[#This Row],[HH]]*VLOOKUP("Winter Items Other ",NFI,6)-Table10[[#This Row],[Winter Items Other ]],0)</f>
        <v>70</v>
      </c>
      <c r="M155" s="469" t="str">
        <f>IF(OR(Table10[[#This Row],[Winter Clothes Adult ]]&lt;&gt;0,Table10[[#This Row],[Winter Clothes Children ]]&lt;&gt;0,Table10[[#This Row],[Winter Items Other ]]&lt;&gt;0),"No","")</f>
        <v/>
      </c>
      <c r="N155" s="470">
        <f>COUNTIF(A:A,Table10[[#This Row],[Pcode]])-1</f>
        <v>0</v>
      </c>
    </row>
    <row r="156" spans="1:14" x14ac:dyDescent="0.25">
      <c r="A156" s="381" t="s">
        <v>241</v>
      </c>
      <c r="B156" s="26" t="str">
        <f ca="1">OFFSET(CampList[Priority],MATCH(Table10[[#This Row],[Pcode]],CampList[CP_Pcode],0)-1,0,1,1)</f>
        <v>P4</v>
      </c>
      <c r="C156" s="26" t="str">
        <f ca="1">OFFSET(CampList[Camp],MATCH(Table10[[#This Row],[Pcode]],CampList[CP_Pcode],0)-1,0,1,1)</f>
        <v>Tat Kone COC Baptist - Tat Kone Htoi San</v>
      </c>
      <c r="D156" s="26" t="str">
        <f ca="1">OFFSET(CampList[Township],MATCH(Table10[[#This Row],[Pcode]],CampList[CP_Pcode],0)-1,0,1,1)</f>
        <v>Myitkyina</v>
      </c>
      <c r="E156" s="422">
        <f ca="1">OFFSET(CampList[HH],MATCH(Table10[[#This Row],[Pcode]],CampList[CP_Pcode],0)-1,0,1,1)</f>
        <v>68</v>
      </c>
      <c r="F156" s="422">
        <f ca="1">OFFSET(CampList[Total],MATCH(Table10[[#This Row],[Pcode]],CampList[CP_Pcode],0)-1,0,1,1)</f>
        <v>339</v>
      </c>
      <c r="G156" s="422">
        <f>SUMIF('NFI Tracking'!AM$6:AM$1048576,Table10[[#This Row],[Pcode]],'NFI Tracking'!AG$6:AG$1048576)</f>
        <v>0</v>
      </c>
      <c r="H156" s="422">
        <f>SUMIF('NFI Tracking'!AM$6:AM$1048576,Table10[[#This Row],[Pcode]],'NFI Tracking'!AH$6:AH$1048576)</f>
        <v>0</v>
      </c>
      <c r="I156" s="422">
        <f>SUMIF('NFI Tracking'!AM$6:AM$1048576,Table10[[#This Row],[Pcode]],'NFI Tracking'!AI$6:AI$1048576)</f>
        <v>0</v>
      </c>
      <c r="J156" s="422">
        <f ca="1">MAX(Table10[[#This Row],[HH]]*VLOOKUP("Winter Clothes Adult",NFI,6)-Table10[[#This Row],[Winter Clothes Adult ]],0)</f>
        <v>136</v>
      </c>
      <c r="K156" s="422">
        <f ca="1">MAX(Table10[[#This Row],[HH]]*VLOOKUP("Winter Clothes Children ",NFI,6)-Table10[[#This Row],[Winter Clothes Children ]],0)</f>
        <v>68</v>
      </c>
      <c r="L156" s="422">
        <f ca="1">MAX(Table10[[#This Row],[HH]]*VLOOKUP("Winter Items Other ",NFI,6)-Table10[[#This Row],[Winter Items Other ]],0)</f>
        <v>68</v>
      </c>
      <c r="M156" s="469" t="str">
        <f>IF(OR(Table10[[#This Row],[Winter Clothes Adult ]]&lt;&gt;0,Table10[[#This Row],[Winter Clothes Children ]]&lt;&gt;0,Table10[[#This Row],[Winter Items Other ]]&lt;&gt;0),"No","")</f>
        <v/>
      </c>
      <c r="N156" s="470">
        <f>COUNTIF(A:A,Table10[[#This Row],[Pcode]])-1</f>
        <v>0</v>
      </c>
    </row>
    <row r="157" spans="1:14" x14ac:dyDescent="0.25">
      <c r="A157" s="381" t="s">
        <v>248</v>
      </c>
      <c r="B157" s="26" t="str">
        <f ca="1">OFFSET(CampList[Priority],MATCH(Table10[[#This Row],[Pcode]],CampList[CP_Pcode],0)-1,0,1,1)</f>
        <v>P4</v>
      </c>
      <c r="C157" s="26" t="str">
        <f ca="1">OFFSET(CampList[Camp],MATCH(Table10[[#This Row],[Pcode]],CampList[CP_Pcode],0)-1,0,1,1)</f>
        <v>Tat Kone Emanuel Church</v>
      </c>
      <c r="D157" s="26" t="str">
        <f ca="1">OFFSET(CampList[Township],MATCH(Table10[[#This Row],[Pcode]],CampList[CP_Pcode],0)-1,0,1,1)</f>
        <v>Myitkyina</v>
      </c>
      <c r="E157" s="422">
        <f ca="1">OFFSET(CampList[HH],MATCH(Table10[[#This Row],[Pcode]],CampList[CP_Pcode],0)-1,0,1,1)</f>
        <v>12</v>
      </c>
      <c r="F157" s="422">
        <f ca="1">OFFSET(CampList[Total],MATCH(Table10[[#This Row],[Pcode]],CampList[CP_Pcode],0)-1,0,1,1)</f>
        <v>55</v>
      </c>
      <c r="G157" s="422">
        <f>SUMIF('NFI Tracking'!AM$6:AM$1048576,Table10[[#This Row],[Pcode]],'NFI Tracking'!AG$6:AG$1048576)</f>
        <v>0</v>
      </c>
      <c r="H157" s="422">
        <f>SUMIF('NFI Tracking'!AM$6:AM$1048576,Table10[[#This Row],[Pcode]],'NFI Tracking'!AH$6:AH$1048576)</f>
        <v>0</v>
      </c>
      <c r="I157" s="422">
        <f>SUMIF('NFI Tracking'!AM$6:AM$1048576,Table10[[#This Row],[Pcode]],'NFI Tracking'!AI$6:AI$1048576)</f>
        <v>0</v>
      </c>
      <c r="J157" s="422">
        <f ca="1">MAX(Table10[[#This Row],[HH]]*VLOOKUP("Winter Clothes Adult",NFI,6)-Table10[[#This Row],[Winter Clothes Adult ]],0)</f>
        <v>24</v>
      </c>
      <c r="K157" s="422">
        <f ca="1">MAX(Table10[[#This Row],[HH]]*VLOOKUP("Winter Clothes Children ",NFI,6)-Table10[[#This Row],[Winter Clothes Children ]],0)</f>
        <v>12</v>
      </c>
      <c r="L157" s="422">
        <f ca="1">MAX(Table10[[#This Row],[HH]]*VLOOKUP("Winter Items Other ",NFI,6)-Table10[[#This Row],[Winter Items Other ]],0)</f>
        <v>12</v>
      </c>
      <c r="M157" s="469" t="str">
        <f>IF(OR(Table10[[#This Row],[Winter Clothes Adult ]]&lt;&gt;0,Table10[[#This Row],[Winter Clothes Children ]]&lt;&gt;0,Table10[[#This Row],[Winter Items Other ]]&lt;&gt;0),"No","")</f>
        <v/>
      </c>
      <c r="N157" s="470">
        <f>COUNTIF(A:A,Table10[[#This Row],[Pcode]])-1</f>
        <v>0</v>
      </c>
    </row>
    <row r="158" spans="1:14" x14ac:dyDescent="0.25">
      <c r="A158" s="381" t="s">
        <v>250</v>
      </c>
      <c r="B158" s="26" t="str">
        <f ca="1">OFFSET(CampList[Priority],MATCH(Table10[[#This Row],[Pcode]],CampList[CP_Pcode],0)-1,0,1,1)</f>
        <v>P4</v>
      </c>
      <c r="C158" s="26" t="str">
        <f ca="1">OFFSET(CampList[Camp],MATCH(Table10[[#This Row],[Pcode]],CampList[CP_Pcode],0)-1,0,1,1)</f>
        <v>Tat Kone Galile Baptist Church</v>
      </c>
      <c r="D158" s="26" t="str">
        <f ca="1">OFFSET(CampList[Township],MATCH(Table10[[#This Row],[Pcode]],CampList[CP_Pcode],0)-1,0,1,1)</f>
        <v>Myitkyina</v>
      </c>
      <c r="E158" s="422">
        <f ca="1">OFFSET(CampList[HH],MATCH(Table10[[#This Row],[Pcode]],CampList[CP_Pcode],0)-1,0,1,1)</f>
        <v>32</v>
      </c>
      <c r="F158" s="422">
        <f ca="1">OFFSET(CampList[Total],MATCH(Table10[[#This Row],[Pcode]],CampList[CP_Pcode],0)-1,0,1,1)</f>
        <v>146</v>
      </c>
      <c r="G158" s="422">
        <f>SUMIF('NFI Tracking'!AM$6:AM$1048576,Table10[[#This Row],[Pcode]],'NFI Tracking'!AG$6:AG$1048576)</f>
        <v>0</v>
      </c>
      <c r="H158" s="422">
        <f>SUMIF('NFI Tracking'!AM$6:AM$1048576,Table10[[#This Row],[Pcode]],'NFI Tracking'!AH$6:AH$1048576)</f>
        <v>0</v>
      </c>
      <c r="I158" s="422">
        <f>SUMIF('NFI Tracking'!AM$6:AM$1048576,Table10[[#This Row],[Pcode]],'NFI Tracking'!AI$6:AI$1048576)</f>
        <v>0</v>
      </c>
      <c r="J158" s="422">
        <f ca="1">MAX(Table10[[#This Row],[HH]]*VLOOKUP("Winter Clothes Adult",NFI,6)-Table10[[#This Row],[Winter Clothes Adult ]],0)</f>
        <v>64</v>
      </c>
      <c r="K158" s="422">
        <f ca="1">MAX(Table10[[#This Row],[HH]]*VLOOKUP("Winter Clothes Children ",NFI,6)-Table10[[#This Row],[Winter Clothes Children ]],0)</f>
        <v>32</v>
      </c>
      <c r="L158" s="422">
        <f ca="1">MAX(Table10[[#This Row],[HH]]*VLOOKUP("Winter Items Other ",NFI,6)-Table10[[#This Row],[Winter Items Other ]],0)</f>
        <v>32</v>
      </c>
      <c r="M158" s="469" t="str">
        <f>IF(OR(Table10[[#This Row],[Winter Clothes Adult ]]&lt;&gt;0,Table10[[#This Row],[Winter Clothes Children ]]&lt;&gt;0,Table10[[#This Row],[Winter Items Other ]]&lt;&gt;0),"No","")</f>
        <v/>
      </c>
      <c r="N158" s="470">
        <f>COUNTIF(A:A,Table10[[#This Row],[Pcode]])-1</f>
        <v>0</v>
      </c>
    </row>
    <row r="159" spans="1:14" x14ac:dyDescent="0.25">
      <c r="A159" s="381" t="s">
        <v>274</v>
      </c>
      <c r="B159" s="26" t="str">
        <f ca="1">OFFSET(CampList[Priority],MATCH(Table10[[#This Row],[Pcode]],CampList[CP_Pcode],0)-1,0,1,1)</f>
        <v>P4</v>
      </c>
      <c r="C159" s="26" t="str">
        <f ca="1">OFFSET(CampList[Camp],MATCH(Table10[[#This Row],[Pcode]],CampList[CP_Pcode],0)-1,0,1,1)</f>
        <v>Tat Kone San Pya Baptist Church</v>
      </c>
      <c r="D159" s="26" t="str">
        <f ca="1">OFFSET(CampList[Township],MATCH(Table10[[#This Row],[Pcode]],CampList[CP_Pcode],0)-1,0,1,1)</f>
        <v>Myitkyina</v>
      </c>
      <c r="E159" s="422">
        <f ca="1">OFFSET(CampList[HH],MATCH(Table10[[#This Row],[Pcode]],CampList[CP_Pcode],0)-1,0,1,1)</f>
        <v>44</v>
      </c>
      <c r="F159" s="422">
        <f ca="1">OFFSET(CampList[Total],MATCH(Table10[[#This Row],[Pcode]],CampList[CP_Pcode],0)-1,0,1,1)</f>
        <v>212</v>
      </c>
      <c r="G159" s="422">
        <f>SUMIF('NFI Tracking'!AM$6:AM$1048576,Table10[[#This Row],[Pcode]],'NFI Tracking'!AG$6:AG$1048576)</f>
        <v>0</v>
      </c>
      <c r="H159" s="422">
        <f>SUMIF('NFI Tracking'!AM$6:AM$1048576,Table10[[#This Row],[Pcode]],'NFI Tracking'!AH$6:AH$1048576)</f>
        <v>0</v>
      </c>
      <c r="I159" s="422">
        <f>SUMIF('NFI Tracking'!AM$6:AM$1048576,Table10[[#This Row],[Pcode]],'NFI Tracking'!AI$6:AI$1048576)</f>
        <v>0</v>
      </c>
      <c r="J159" s="422">
        <f ca="1">MAX(Table10[[#This Row],[HH]]*VLOOKUP("Winter Clothes Adult",NFI,6)-Table10[[#This Row],[Winter Clothes Adult ]],0)</f>
        <v>88</v>
      </c>
      <c r="K159" s="422">
        <f ca="1">MAX(Table10[[#This Row],[HH]]*VLOOKUP("Winter Clothes Children ",NFI,6)-Table10[[#This Row],[Winter Clothes Children ]],0)</f>
        <v>44</v>
      </c>
      <c r="L159" s="422">
        <f ca="1">MAX(Table10[[#This Row],[HH]]*VLOOKUP("Winter Items Other ",NFI,6)-Table10[[#This Row],[Winter Items Other ]],0)</f>
        <v>44</v>
      </c>
      <c r="M159" s="469" t="str">
        <f>IF(OR(Table10[[#This Row],[Winter Clothes Adult ]]&lt;&gt;0,Table10[[#This Row],[Winter Clothes Children ]]&lt;&gt;0,Table10[[#This Row],[Winter Items Other ]]&lt;&gt;0),"No","")</f>
        <v/>
      </c>
      <c r="N159" s="470">
        <f>COUNTIF(A:A,Table10[[#This Row],[Pcode]])-1</f>
        <v>0</v>
      </c>
    </row>
    <row r="160" spans="1:14" x14ac:dyDescent="0.25">
      <c r="A160" s="381" t="s">
        <v>348</v>
      </c>
      <c r="B160" s="26" t="str">
        <f ca="1">OFFSET(CampList[Priority],MATCH(Table10[[#This Row],[Pcode]],CampList[CP_Pcode],0)-1,0,1,1)</f>
        <v>P4</v>
      </c>
      <c r="C160" s="26" t="str">
        <f ca="1">OFFSET(CampList[Camp],MATCH(Table10[[#This Row],[Pcode]],CampList[CP_Pcode],0)-1,0,1,1)</f>
        <v>Thargaya Lisu Baptist Church</v>
      </c>
      <c r="D160" s="26" t="str">
        <f ca="1">OFFSET(CampList[Township],MATCH(Table10[[#This Row],[Pcode]],CampList[CP_Pcode],0)-1,0,1,1)</f>
        <v>Waingmaw</v>
      </c>
      <c r="E160" s="422">
        <f ca="1">OFFSET(CampList[HH],MATCH(Table10[[#This Row],[Pcode]],CampList[CP_Pcode],0)-1,0,1,1)</f>
        <v>42</v>
      </c>
      <c r="F160" s="422">
        <f ca="1">OFFSET(CampList[Total],MATCH(Table10[[#This Row],[Pcode]],CampList[CP_Pcode],0)-1,0,1,1)</f>
        <v>180</v>
      </c>
      <c r="G160" s="422">
        <f>SUMIF('NFI Tracking'!AM$6:AM$1048576,Table10[[#This Row],[Pcode]],'NFI Tracking'!AG$6:AG$1048576)</f>
        <v>0</v>
      </c>
      <c r="H160" s="422">
        <f>SUMIF('NFI Tracking'!AM$6:AM$1048576,Table10[[#This Row],[Pcode]],'NFI Tracking'!AH$6:AH$1048576)</f>
        <v>0</v>
      </c>
      <c r="I160" s="422">
        <f>SUMIF('NFI Tracking'!AM$6:AM$1048576,Table10[[#This Row],[Pcode]],'NFI Tracking'!AI$6:AI$1048576)</f>
        <v>0</v>
      </c>
      <c r="J160" s="422">
        <f ca="1">MAX(Table10[[#This Row],[HH]]*VLOOKUP("Winter Clothes Adult",NFI,6)-Table10[[#This Row],[Winter Clothes Adult ]],0)</f>
        <v>84</v>
      </c>
      <c r="K160" s="422">
        <f ca="1">MAX(Table10[[#This Row],[HH]]*VLOOKUP("Winter Clothes Children ",NFI,6)-Table10[[#This Row],[Winter Clothes Children ]],0)</f>
        <v>42</v>
      </c>
      <c r="L160" s="422">
        <f ca="1">MAX(Table10[[#This Row],[HH]]*VLOOKUP("Winter Items Other ",NFI,6)-Table10[[#This Row],[Winter Items Other ]],0)</f>
        <v>42</v>
      </c>
      <c r="M160" s="469" t="str">
        <f>IF(OR(Table10[[#This Row],[Winter Clothes Adult ]]&lt;&gt;0,Table10[[#This Row],[Winter Clothes Children ]]&lt;&gt;0,Table10[[#This Row],[Winter Items Other ]]&lt;&gt;0),"No","")</f>
        <v/>
      </c>
      <c r="N160" s="470">
        <f>COUNTIF(A:A,Table10[[#This Row],[Pcode]])-1</f>
        <v>0</v>
      </c>
    </row>
    <row r="161" spans="1:14" x14ac:dyDescent="0.25">
      <c r="A161" s="381" t="s">
        <v>1025</v>
      </c>
      <c r="B161" s="26" t="str">
        <f ca="1">OFFSET(CampList[Priority],MATCH(Table10[[#This Row],[Pcode]],CampList[CP_Pcode],0)-1,0,1,1)</f>
        <v>P4</v>
      </c>
      <c r="C161" s="26" t="str">
        <f ca="1">OFFSET(CampList[Camp],MATCH(Table10[[#This Row],[Pcode]],CampList[CP_Pcode],0)-1,0,1,1)</f>
        <v>Tharthana Ahlin Yaung New Monastery</v>
      </c>
      <c r="D161" s="26" t="str">
        <f ca="1">OFFSET(CampList[Township],MATCH(Table10[[#This Row],[Pcode]],CampList[CP_Pcode],0)-1,0,1,1)</f>
        <v>Bhamo</v>
      </c>
      <c r="E161" s="422">
        <f ca="1">OFFSET(CampList[HH],MATCH(Table10[[#This Row],[Pcode]],CampList[CP_Pcode],0)-1,0,1,1)</f>
        <v>0</v>
      </c>
      <c r="F161" s="422">
        <f ca="1">OFFSET(CampList[Total],MATCH(Table10[[#This Row],[Pcode]],CampList[CP_Pcode],0)-1,0,1,1)</f>
        <v>0</v>
      </c>
      <c r="G161" s="422">
        <f>SUMIF('NFI Tracking'!AM$6:AM$1048576,Table10[[#This Row],[Pcode]],'NFI Tracking'!AG$6:AG$1048576)</f>
        <v>0</v>
      </c>
      <c r="H161" s="422">
        <f>SUMIF('NFI Tracking'!AM$6:AM$1048576,Table10[[#This Row],[Pcode]],'NFI Tracking'!AH$6:AH$1048576)</f>
        <v>0</v>
      </c>
      <c r="I161" s="422">
        <f>SUMIF('NFI Tracking'!AM$6:AM$1048576,Table10[[#This Row],[Pcode]],'NFI Tracking'!AI$6:AI$1048576)</f>
        <v>0</v>
      </c>
      <c r="J161" s="422">
        <f ca="1">MAX(Table10[[#This Row],[HH]]*VLOOKUP("Winter Clothes Adult",NFI,6)-Table10[[#This Row],[Winter Clothes Adult ]],0)</f>
        <v>0</v>
      </c>
      <c r="K161" s="422">
        <f ca="1">MAX(Table10[[#This Row],[HH]]*VLOOKUP("Winter Clothes Children ",NFI,6)-Table10[[#This Row],[Winter Clothes Children ]],0)</f>
        <v>0</v>
      </c>
      <c r="L161" s="422">
        <f ca="1">MAX(Table10[[#This Row],[HH]]*VLOOKUP("Winter Items Other ",NFI,6)-Table10[[#This Row],[Winter Items Other ]],0)</f>
        <v>0</v>
      </c>
      <c r="M161" s="469" t="str">
        <f>IF(OR(Table10[[#This Row],[Winter Clothes Adult ]]&lt;&gt;0,Table10[[#This Row],[Winter Clothes Children ]]&lt;&gt;0,Table10[[#This Row],[Winter Items Other ]]&lt;&gt;0),"No","")</f>
        <v/>
      </c>
      <c r="N161" s="470">
        <f>COUNTIF(A:A,Table10[[#This Row],[Pcode]])-1</f>
        <v>0</v>
      </c>
    </row>
    <row r="162" spans="1:14" x14ac:dyDescent="0.25">
      <c r="A162" s="381" t="s">
        <v>315</v>
      </c>
      <c r="B162" s="26" t="str">
        <f ca="1">OFFSET(CampList[Priority],MATCH(Table10[[#This Row],[Pcode]],CampList[CP_Pcode],0)-1,0,1,1)</f>
        <v>P4</v>
      </c>
      <c r="C162" s="26" t="str">
        <f ca="1">OFFSET(CampList[Camp],MATCH(Table10[[#This Row],[Pcode]],CampList[CP_Pcode],0)-1,0,1,1)</f>
        <v>Waingmaw AG Church</v>
      </c>
      <c r="D162" s="26" t="str">
        <f ca="1">OFFSET(CampList[Township],MATCH(Table10[[#This Row],[Pcode]],CampList[CP_Pcode],0)-1,0,1,1)</f>
        <v>Waingmaw</v>
      </c>
      <c r="E162" s="422">
        <f ca="1">OFFSET(CampList[HH],MATCH(Table10[[#This Row],[Pcode]],CampList[CP_Pcode],0)-1,0,1,1)</f>
        <v>91</v>
      </c>
      <c r="F162" s="422">
        <f ca="1">OFFSET(CampList[Total],MATCH(Table10[[#This Row],[Pcode]],CampList[CP_Pcode],0)-1,0,1,1)</f>
        <v>368</v>
      </c>
      <c r="G162" s="422">
        <f>SUMIF('NFI Tracking'!AM$6:AM$1048576,Table10[[#This Row],[Pcode]],'NFI Tracking'!AG$6:AG$1048576)</f>
        <v>0</v>
      </c>
      <c r="H162" s="422">
        <f>SUMIF('NFI Tracking'!AM$6:AM$1048576,Table10[[#This Row],[Pcode]],'NFI Tracking'!AH$6:AH$1048576)</f>
        <v>0</v>
      </c>
      <c r="I162" s="422">
        <f>SUMIF('NFI Tracking'!AM$6:AM$1048576,Table10[[#This Row],[Pcode]],'NFI Tracking'!AI$6:AI$1048576)</f>
        <v>0</v>
      </c>
      <c r="J162" s="422">
        <f ca="1">MAX(Table10[[#This Row],[HH]]*VLOOKUP("Winter Clothes Adult",NFI,6)-Table10[[#This Row],[Winter Clothes Adult ]],0)</f>
        <v>182</v>
      </c>
      <c r="K162" s="422">
        <f ca="1">MAX(Table10[[#This Row],[HH]]*VLOOKUP("Winter Clothes Children ",NFI,6)-Table10[[#This Row],[Winter Clothes Children ]],0)</f>
        <v>91</v>
      </c>
      <c r="L162" s="422">
        <f ca="1">MAX(Table10[[#This Row],[HH]]*VLOOKUP("Winter Items Other ",NFI,6)-Table10[[#This Row],[Winter Items Other ]],0)</f>
        <v>91</v>
      </c>
      <c r="M162" s="469" t="str">
        <f>IF(OR(Table10[[#This Row],[Winter Clothes Adult ]]&lt;&gt;0,Table10[[#This Row],[Winter Clothes Children ]]&lt;&gt;0,Table10[[#This Row],[Winter Items Other ]]&lt;&gt;0),"No","")</f>
        <v/>
      </c>
      <c r="N162" s="470">
        <f>COUNTIF(A:A,Table10[[#This Row],[Pcode]])-1</f>
        <v>0</v>
      </c>
    </row>
    <row r="163" spans="1:14" x14ac:dyDescent="0.25">
      <c r="A163" s="381" t="s">
        <v>309</v>
      </c>
      <c r="B163" s="26" t="str">
        <f ca="1">OFFSET(CampList[Priority],MATCH(Table10[[#This Row],[Pcode]],CampList[CP_Pcode],0)-1,0,1,1)</f>
        <v>P4</v>
      </c>
      <c r="C163" s="26" t="str">
        <f ca="1">OFFSET(CampList[Camp],MATCH(Table10[[#This Row],[Pcode]],CampList[CP_Pcode],0)-1,0,1,1)</f>
        <v>Waingmaw Baptist Zonal Office</v>
      </c>
      <c r="D163" s="26" t="str">
        <f ca="1">OFFSET(CampList[Township],MATCH(Table10[[#This Row],[Pcode]],CampList[CP_Pcode],0)-1,0,1,1)</f>
        <v>Waingmaw</v>
      </c>
      <c r="E163" s="422">
        <f ca="1">OFFSET(CampList[HH],MATCH(Table10[[#This Row],[Pcode]],CampList[CP_Pcode],0)-1,0,1,1)</f>
        <v>0</v>
      </c>
      <c r="F163" s="422">
        <f ca="1">OFFSET(CampList[Total],MATCH(Table10[[#This Row],[Pcode]],CampList[CP_Pcode],0)-1,0,1,1)</f>
        <v>90</v>
      </c>
      <c r="G163" s="422">
        <f>SUMIF('NFI Tracking'!AM$6:AM$1048576,Table10[[#This Row],[Pcode]],'NFI Tracking'!AG$6:AG$1048576)</f>
        <v>0</v>
      </c>
      <c r="H163" s="422">
        <f>SUMIF('NFI Tracking'!AM$6:AM$1048576,Table10[[#This Row],[Pcode]],'NFI Tracking'!AH$6:AH$1048576)</f>
        <v>0</v>
      </c>
      <c r="I163" s="422">
        <f>SUMIF('NFI Tracking'!AM$6:AM$1048576,Table10[[#This Row],[Pcode]],'NFI Tracking'!AI$6:AI$1048576)</f>
        <v>0</v>
      </c>
      <c r="J163" s="422">
        <f ca="1">MAX(Table10[[#This Row],[HH]]*VLOOKUP("Winter Clothes Adult",NFI,6)-Table10[[#This Row],[Winter Clothes Adult ]],0)</f>
        <v>0</v>
      </c>
      <c r="K163" s="422">
        <f ca="1">MAX(Table10[[#This Row],[HH]]*VLOOKUP("Winter Clothes Children ",NFI,6)-Table10[[#This Row],[Winter Clothes Children ]],0)</f>
        <v>0</v>
      </c>
      <c r="L163" s="422">
        <f ca="1">MAX(Table10[[#This Row],[HH]]*VLOOKUP("Winter Items Other ",NFI,6)-Table10[[#This Row],[Winter Items Other ]],0)</f>
        <v>0</v>
      </c>
      <c r="M163" s="469" t="str">
        <f>IF(OR(Table10[[#This Row],[Winter Clothes Adult ]]&lt;&gt;0,Table10[[#This Row],[Winter Clothes Children ]]&lt;&gt;0,Table10[[#This Row],[Winter Items Other ]]&lt;&gt;0),"No","")</f>
        <v/>
      </c>
      <c r="N163" s="470">
        <f>COUNTIF(A:A,Table10[[#This Row],[Pcode]])-1</f>
        <v>0</v>
      </c>
    </row>
    <row r="164" spans="1:14" x14ac:dyDescent="0.25">
      <c r="A164" s="381" t="s">
        <v>125</v>
      </c>
      <c r="B164" s="26" t="str">
        <f ca="1">OFFSET(CampList[Priority],MATCH(Table10[[#This Row],[Pcode]],CampList[CP_Pcode],0)-1,0,1,1)</f>
        <v>P4</v>
      </c>
      <c r="C164" s="26" t="str">
        <f ca="1">OFFSET(CampList[Camp],MATCH(Table10[[#This Row],[Pcode]],CampList[CP_Pcode],0)-1,0,1,1)</f>
        <v xml:space="preserve">Ward 2 Sai Taung Baptist Church, Seik Mu </v>
      </c>
      <c r="D164" s="26" t="str">
        <f ca="1">OFFSET(CampList[Township],MATCH(Table10[[#This Row],[Pcode]],CampList[CP_Pcode],0)-1,0,1,1)</f>
        <v>Hpakant</v>
      </c>
      <c r="E164" s="422">
        <f ca="1">OFFSET(CampList[HH],MATCH(Table10[[#This Row],[Pcode]],CampList[CP_Pcode],0)-1,0,1,1)</f>
        <v>41</v>
      </c>
      <c r="F164" s="422">
        <f ca="1">OFFSET(CampList[Total],MATCH(Table10[[#This Row],[Pcode]],CampList[CP_Pcode],0)-1,0,1,1)</f>
        <v>201</v>
      </c>
      <c r="G164" s="422">
        <f>SUMIF('NFI Tracking'!AM$6:AM$1048576,Table10[[#This Row],[Pcode]],'NFI Tracking'!AG$6:AG$1048576)</f>
        <v>94</v>
      </c>
      <c r="H164" s="422">
        <f>SUMIF('NFI Tracking'!AM$6:AM$1048576,Table10[[#This Row],[Pcode]],'NFI Tracking'!AH$6:AH$1048576)</f>
        <v>58</v>
      </c>
      <c r="I164" s="422">
        <f>SUMIF('NFI Tracking'!AM$6:AM$1048576,Table10[[#This Row],[Pcode]],'NFI Tracking'!AI$6:AI$1048576)</f>
        <v>0</v>
      </c>
      <c r="J164" s="422">
        <f ca="1">MAX(Table10[[#This Row],[HH]]*VLOOKUP("Winter Clothes Adult",NFI,6)-Table10[[#This Row],[Winter Clothes Adult ]],0)</f>
        <v>0</v>
      </c>
      <c r="K164" s="422">
        <f ca="1">MAX(Table10[[#This Row],[HH]]*VLOOKUP("Winter Clothes Children ",NFI,6)-Table10[[#This Row],[Winter Clothes Children ]],0)</f>
        <v>0</v>
      </c>
      <c r="L164" s="422">
        <f ca="1">MAX(Table10[[#This Row],[HH]]*VLOOKUP("Winter Items Other ",NFI,6)-Table10[[#This Row],[Winter Items Other ]],0)</f>
        <v>41</v>
      </c>
      <c r="M164" s="469" t="str">
        <f>IF(OR(Table10[[#This Row],[Winter Clothes Adult ]]&lt;&gt;0,Table10[[#This Row],[Winter Clothes Children ]]&lt;&gt;0,Table10[[#This Row],[Winter Items Other ]]&lt;&gt;0),"No","")</f>
        <v>No</v>
      </c>
      <c r="N164" s="470">
        <f>COUNTIF(A:A,Table10[[#This Row],[Pcode]])-1</f>
        <v>0</v>
      </c>
    </row>
    <row r="165" spans="1:14" x14ac:dyDescent="0.25">
      <c r="A165" s="381" t="s">
        <v>352</v>
      </c>
      <c r="B165" s="26" t="str">
        <f ca="1">OFFSET(CampList[Priority],MATCH(Table10[[#This Row],[Pcode]],CampList[CP_Pcode],0)-1,0,1,1)</f>
        <v>P4</v>
      </c>
      <c r="C165" s="26" t="str">
        <f ca="1">OFFSET(CampList[Camp],MATCH(Table10[[#This Row],[Pcode]],CampList[CP_Pcode],0)-1,0,1,1)</f>
        <v xml:space="preserve">Woi Chyai </v>
      </c>
      <c r="D165" s="26" t="str">
        <f ca="1">OFFSET(CampList[Township],MATCH(Table10[[#This Row],[Pcode]],CampList[CP_Pcode],0)-1,0,1,1)</f>
        <v>Waingmaw</v>
      </c>
      <c r="E165" s="422">
        <f ca="1">OFFSET(CampList[HH],MATCH(Table10[[#This Row],[Pcode]],CampList[CP_Pcode],0)-1,0,1,1)</f>
        <v>1345</v>
      </c>
      <c r="F165" s="422">
        <f ca="1">OFFSET(CampList[Total],MATCH(Table10[[#This Row],[Pcode]],CampList[CP_Pcode],0)-1,0,1,1)</f>
        <v>6811</v>
      </c>
      <c r="G165" s="422">
        <f>SUMIF('NFI Tracking'!AM$6:AM$1048576,Table10[[#This Row],[Pcode]],'NFI Tracking'!AG$6:AG$1048576)</f>
        <v>1620</v>
      </c>
      <c r="H165" s="422">
        <f>SUMIF('NFI Tracking'!AM$6:AM$1048576,Table10[[#This Row],[Pcode]],'NFI Tracking'!AH$6:AH$1048576)</f>
        <v>2840</v>
      </c>
      <c r="I165" s="422">
        <f>SUMIF('NFI Tracking'!AM$6:AM$1048576,Table10[[#This Row],[Pcode]],'NFI Tracking'!AI$6:AI$1048576)</f>
        <v>0</v>
      </c>
      <c r="J165" s="422">
        <f ca="1">MAX(Table10[[#This Row],[HH]]*VLOOKUP("Winter Clothes Adult",NFI,6)-Table10[[#This Row],[Winter Clothes Adult ]],0)</f>
        <v>1070</v>
      </c>
      <c r="K165" s="422">
        <f ca="1">MAX(Table10[[#This Row],[HH]]*VLOOKUP("Winter Clothes Children ",NFI,6)-Table10[[#This Row],[Winter Clothes Children ]],0)</f>
        <v>0</v>
      </c>
      <c r="L165" s="422">
        <f ca="1">MAX(Table10[[#This Row],[HH]]*VLOOKUP("Winter Items Other ",NFI,6)-Table10[[#This Row],[Winter Items Other ]],0)</f>
        <v>1345</v>
      </c>
      <c r="M165" s="469" t="str">
        <f>IF(OR(Table10[[#This Row],[Winter Clothes Adult ]]&lt;&gt;0,Table10[[#This Row],[Winter Clothes Children ]]&lt;&gt;0,Table10[[#This Row],[Winter Items Other ]]&lt;&gt;0),"No","")</f>
        <v>No</v>
      </c>
      <c r="N165" s="470">
        <f>COUNTIF(A:A,Table10[[#This Row],[Pcode]])-1</f>
        <v>0</v>
      </c>
    </row>
    <row r="166" spans="1:14" x14ac:dyDescent="0.25">
      <c r="A166" s="381" t="s">
        <v>282</v>
      </c>
      <c r="B166" s="26" t="str">
        <f ca="1">OFFSET(CampList[Priority],MATCH(Table10[[#This Row],[Pcode]],CampList[CP_Pcode],0)-1,0,1,1)</f>
        <v>P4</v>
      </c>
      <c r="C166" s="26" t="str">
        <f ca="1">OFFSET(CampList[Camp],MATCH(Table10[[#This Row],[Pcode]],CampList[CP_Pcode],0)-1,0,1,1)</f>
        <v>Wun Tho Buddhist Monastery</v>
      </c>
      <c r="D166" s="26" t="str">
        <f ca="1">OFFSET(CampList[Township],MATCH(Table10[[#This Row],[Pcode]],CampList[CP_Pcode],0)-1,0,1,1)</f>
        <v>Myitkyina</v>
      </c>
      <c r="E166" s="422">
        <f ca="1">OFFSET(CampList[HH],MATCH(Table10[[#This Row],[Pcode]],CampList[CP_Pcode],0)-1,0,1,1)</f>
        <v>7</v>
      </c>
      <c r="F166" s="422">
        <f ca="1">OFFSET(CampList[Total],MATCH(Table10[[#This Row],[Pcode]],CampList[CP_Pcode],0)-1,0,1,1)</f>
        <v>37</v>
      </c>
      <c r="G166" s="422">
        <f>SUMIF('NFI Tracking'!AM$6:AM$1048576,Table10[[#This Row],[Pcode]],'NFI Tracking'!AG$6:AG$1048576)</f>
        <v>0</v>
      </c>
      <c r="H166" s="422">
        <f>SUMIF('NFI Tracking'!AM$6:AM$1048576,Table10[[#This Row],[Pcode]],'NFI Tracking'!AH$6:AH$1048576)</f>
        <v>0</v>
      </c>
      <c r="I166" s="422">
        <f>SUMIF('NFI Tracking'!AM$6:AM$1048576,Table10[[#This Row],[Pcode]],'NFI Tracking'!AI$6:AI$1048576)</f>
        <v>0</v>
      </c>
      <c r="J166" s="422">
        <f ca="1">MAX(Table10[[#This Row],[HH]]*VLOOKUP("Winter Clothes Adult",NFI,6)-Table10[[#This Row],[Winter Clothes Adult ]],0)</f>
        <v>14</v>
      </c>
      <c r="K166" s="422">
        <f ca="1">MAX(Table10[[#This Row],[HH]]*VLOOKUP("Winter Clothes Children ",NFI,6)-Table10[[#This Row],[Winter Clothes Children ]],0)</f>
        <v>7</v>
      </c>
      <c r="L166" s="422">
        <f ca="1">MAX(Table10[[#This Row],[HH]]*VLOOKUP("Winter Items Other ",NFI,6)-Table10[[#This Row],[Winter Items Other ]],0)</f>
        <v>7</v>
      </c>
      <c r="M166" s="469" t="str">
        <f>IF(OR(Table10[[#This Row],[Winter Clothes Adult ]]&lt;&gt;0,Table10[[#This Row],[Winter Clothes Children ]]&lt;&gt;0,Table10[[#This Row],[Winter Items Other ]]&lt;&gt;0),"No","")</f>
        <v/>
      </c>
      <c r="N166" s="470">
        <f>COUNTIF(A:A,Table10[[#This Row],[Pcode]])-1</f>
        <v>0</v>
      </c>
    </row>
    <row r="167" spans="1:14" x14ac:dyDescent="0.25">
      <c r="A167" s="381" t="s">
        <v>25</v>
      </c>
      <c r="B167" s="26" t="str">
        <f ca="1">OFFSET(CampList[Priority],MATCH(Table10[[#This Row],[Pcode]],CampList[CP_Pcode],0)-1,0,1,1)</f>
        <v>P4</v>
      </c>
      <c r="C167" s="26" t="str">
        <f ca="1">OFFSET(CampList[Camp],MATCH(Table10[[#This Row],[Pcode]],CampList[CP_Pcode],0)-1,0,1,1)</f>
        <v>Yoe Kyi Monastery</v>
      </c>
      <c r="D167" s="26" t="str">
        <f ca="1">OFFSET(CampList[Township],MATCH(Table10[[#This Row],[Pcode]],CampList[CP_Pcode],0)-1,0,1,1)</f>
        <v>Bhamo</v>
      </c>
      <c r="E167" s="422">
        <f ca="1">OFFSET(CampList[HH],MATCH(Table10[[#This Row],[Pcode]],CampList[CP_Pcode],0)-1,0,1,1)</f>
        <v>15</v>
      </c>
      <c r="F167" s="422">
        <f ca="1">OFFSET(CampList[Total],MATCH(Table10[[#This Row],[Pcode]],CampList[CP_Pcode],0)-1,0,1,1)</f>
        <v>64</v>
      </c>
      <c r="G167" s="422">
        <f>SUMIF('NFI Tracking'!AM$6:AM$1048576,Table10[[#This Row],[Pcode]],'NFI Tracking'!AG$6:AG$1048576)</f>
        <v>0</v>
      </c>
      <c r="H167" s="422">
        <f>SUMIF('NFI Tracking'!AM$6:AM$1048576,Table10[[#This Row],[Pcode]],'NFI Tracking'!AH$6:AH$1048576)</f>
        <v>0</v>
      </c>
      <c r="I167" s="422">
        <f>SUMIF('NFI Tracking'!AM$6:AM$1048576,Table10[[#This Row],[Pcode]],'NFI Tracking'!AI$6:AI$1048576)</f>
        <v>0</v>
      </c>
      <c r="J167" s="422">
        <f ca="1">MAX(Table10[[#This Row],[HH]]*VLOOKUP("Winter Clothes Adult",NFI,6)-Table10[[#This Row],[Winter Clothes Adult ]],0)</f>
        <v>30</v>
      </c>
      <c r="K167" s="422">
        <f ca="1">MAX(Table10[[#This Row],[HH]]*VLOOKUP("Winter Clothes Children ",NFI,6)-Table10[[#This Row],[Winter Clothes Children ]],0)</f>
        <v>15</v>
      </c>
      <c r="L167" s="422">
        <f ca="1">MAX(Table10[[#This Row],[HH]]*VLOOKUP("Winter Items Other ",NFI,6)-Table10[[#This Row],[Winter Items Other ]],0)</f>
        <v>15</v>
      </c>
      <c r="M167" s="469" t="str">
        <f>IF(OR(Table10[[#This Row],[Winter Clothes Adult ]]&lt;&gt;0,Table10[[#This Row],[Winter Clothes Children ]]&lt;&gt;0,Table10[[#This Row],[Winter Items Other ]]&lt;&gt;0),"No","")</f>
        <v/>
      </c>
      <c r="N167" s="470">
        <f>COUNTIF(A:A,Table10[[#This Row],[Pcode]])-1</f>
        <v>0</v>
      </c>
    </row>
    <row r="168" spans="1:14" x14ac:dyDescent="0.25">
      <c r="A168" s="342" t="s">
        <v>139</v>
      </c>
      <c r="B168" s="425" t="str">
        <f ca="1">OFFSET(CampList[Priority],MATCH(Table10[[#This Row],[Pcode]],CampList[CP_Pcode],0)-1,0,1,1)</f>
        <v>P4</v>
      </c>
      <c r="C168" s="425" t="str">
        <f ca="1">OFFSET(CampList[Camp],MATCH(Table10[[#This Row],[Pcode]],CampList[CP_Pcode],0)-1,0,1,1)</f>
        <v>Yumar Baptist Church</v>
      </c>
      <c r="D168" s="425" t="str">
        <f ca="1">OFFSET(CampList[Township],MATCH(Table10[[#This Row],[Pcode]],CampList[CP_Pcode],0)-1,0,1,1)</f>
        <v>Hpakant</v>
      </c>
      <c r="E168" s="471">
        <f ca="1">OFFSET(CampList[HH],MATCH(Table10[[#This Row],[Pcode]],CampList[CP_Pcode],0)-1,0,1,1)</f>
        <v>20</v>
      </c>
      <c r="F168" s="471">
        <f ca="1">OFFSET(CampList[Total],MATCH(Table10[[#This Row],[Pcode]],CampList[CP_Pcode],0)-1,0,1,1)</f>
        <v>80</v>
      </c>
      <c r="G168" s="471">
        <f>SUMIF('NFI Tracking'!AM$6:AM$1048576,Table10[[#This Row],[Pcode]],'NFI Tracking'!AG$6:AG$1048576)</f>
        <v>33</v>
      </c>
      <c r="H168" s="471">
        <f>SUMIF('NFI Tracking'!AM$6:AM$1048576,Table10[[#This Row],[Pcode]],'NFI Tracking'!AH$6:AH$1048576)</f>
        <v>8</v>
      </c>
      <c r="I168" s="471">
        <f>SUMIF('NFI Tracking'!AM$6:AM$1048576,Table10[[#This Row],[Pcode]],'NFI Tracking'!AI$6:AI$1048576)</f>
        <v>0</v>
      </c>
      <c r="J168" s="471">
        <f ca="1">MAX(Table10[[#This Row],[HH]]*VLOOKUP("Winter Clothes Adult",NFI,6)-Table10[[#This Row],[Winter Clothes Adult ]],0)</f>
        <v>7</v>
      </c>
      <c r="K168" s="471">
        <f ca="1">MAX(Table10[[#This Row],[HH]]*VLOOKUP("Winter Clothes Children ",NFI,6)-Table10[[#This Row],[Winter Clothes Children ]],0)</f>
        <v>12</v>
      </c>
      <c r="L168" s="471">
        <f ca="1">MAX(Table10[[#This Row],[HH]]*VLOOKUP("Winter Items Other ",NFI,6)-Table10[[#This Row],[Winter Items Other ]],0)</f>
        <v>20</v>
      </c>
      <c r="M168" s="472" t="str">
        <f>IF(OR(Table10[[#This Row],[Winter Clothes Adult ]]&lt;&gt;0,Table10[[#This Row],[Winter Clothes Children ]]&lt;&gt;0,Table10[[#This Row],[Winter Items Other ]]&lt;&gt;0),"No","")</f>
        <v>No</v>
      </c>
      <c r="N168" s="473">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102"/>
  <sheetViews>
    <sheetView showZeros="0" zoomScaleNormal="100" zoomScaleSheetLayoutView="80" workbookViewId="0">
      <selection activeCell="AG17" sqref="AG17"/>
    </sheetView>
  </sheetViews>
  <sheetFormatPr defaultColWidth="11.42578125" defaultRowHeight="15" x14ac:dyDescent="0.25"/>
  <cols>
    <col min="1" max="1" width="2.42578125" style="129" customWidth="1"/>
    <col min="2" max="2" width="2.140625" style="129" customWidth="1"/>
    <col min="3" max="3" width="12.28515625" style="37" customWidth="1"/>
    <col min="4" max="10" width="6.85546875" style="37" customWidth="1"/>
    <col min="11" max="11" width="6.85546875" style="129" customWidth="1"/>
    <col min="12" max="12" width="17" style="37" customWidth="1"/>
    <col min="13" max="13" width="6.85546875" style="37" customWidth="1"/>
    <col min="14" max="14" width="6.5703125" style="37" customWidth="1"/>
    <col min="15" max="15" width="8" style="37" customWidth="1"/>
    <col min="16" max="16" width="6.85546875" style="37" customWidth="1"/>
    <col min="17" max="17" width="6.85546875" style="38" customWidth="1"/>
    <col min="18" max="19" width="6.85546875" style="129" customWidth="1"/>
    <col min="20" max="20" width="2.7109375" style="129" customWidth="1"/>
    <col min="21" max="21" width="5" style="129" customWidth="1"/>
    <col min="22" max="22" width="14.85546875" style="129" customWidth="1"/>
    <col min="23" max="23" width="14.140625" style="129" hidden="1" customWidth="1"/>
    <col min="24" max="24" width="14.28515625" style="129" hidden="1" customWidth="1"/>
    <col min="25" max="25" width="5" style="129" hidden="1" customWidth="1"/>
    <col min="26" max="26" width="10.42578125" style="129" hidden="1" customWidth="1"/>
    <col min="27" max="27" width="11.28515625" style="129" hidden="1" customWidth="1"/>
    <col min="28" max="28" width="10.140625" style="129" hidden="1" customWidth="1"/>
    <col min="29" max="29" width="8.5703125" style="129" hidden="1" customWidth="1"/>
    <col min="30" max="30" width="11.7109375" style="129" hidden="1" customWidth="1"/>
    <col min="31" max="31" width="13.42578125" style="129" hidden="1" customWidth="1"/>
    <col min="32" max="32" width="6.140625" style="37" hidden="1" customWidth="1"/>
    <col min="33" max="33" width="13.42578125" style="37" customWidth="1"/>
    <col min="34" max="259" width="11.42578125" style="37"/>
    <col min="260" max="260" width="5.28515625" style="37" customWidth="1"/>
    <col min="261" max="261" width="15.28515625" style="37" customWidth="1"/>
    <col min="262" max="262" width="14.42578125" style="37" bestFit="1" customWidth="1"/>
    <col min="263" max="263" width="10.42578125" style="37" bestFit="1" customWidth="1"/>
    <col min="264" max="264" width="12.28515625" style="37" customWidth="1"/>
    <col min="265" max="269" width="11.42578125" style="37" customWidth="1"/>
    <col min="270" max="271" width="10.5703125" style="37" bestFit="1" customWidth="1"/>
    <col min="272" max="273" width="11.42578125" style="37" customWidth="1"/>
    <col min="274" max="274" width="6.140625" style="37" customWidth="1"/>
    <col min="275" max="285" width="11.42578125" style="37" customWidth="1"/>
    <col min="286" max="515" width="11.42578125" style="37"/>
    <col min="516" max="516" width="5.28515625" style="37" customWidth="1"/>
    <col min="517" max="517" width="15.28515625" style="37" customWidth="1"/>
    <col min="518" max="518" width="14.42578125" style="37" bestFit="1" customWidth="1"/>
    <col min="519" max="519" width="10.42578125" style="37" bestFit="1" customWidth="1"/>
    <col min="520" max="520" width="12.28515625" style="37" customWidth="1"/>
    <col min="521" max="525" width="11.42578125" style="37" customWidth="1"/>
    <col min="526" max="527" width="10.5703125" style="37" bestFit="1" customWidth="1"/>
    <col min="528" max="529" width="11.42578125" style="37" customWidth="1"/>
    <col min="530" max="530" width="6.140625" style="37" customWidth="1"/>
    <col min="531" max="541" width="11.42578125" style="37" customWidth="1"/>
    <col min="542" max="771" width="11.42578125" style="37"/>
    <col min="772" max="772" width="5.28515625" style="37" customWidth="1"/>
    <col min="773" max="773" width="15.28515625" style="37" customWidth="1"/>
    <col min="774" max="774" width="14.42578125" style="37" bestFit="1" customWidth="1"/>
    <col min="775" max="775" width="10.42578125" style="37" bestFit="1" customWidth="1"/>
    <col min="776" max="776" width="12.28515625" style="37" customWidth="1"/>
    <col min="777" max="781" width="11.42578125" style="37" customWidth="1"/>
    <col min="782" max="783" width="10.5703125" style="37" bestFit="1" customWidth="1"/>
    <col min="784" max="785" width="11.42578125" style="37" customWidth="1"/>
    <col min="786" max="786" width="6.140625" style="37" customWidth="1"/>
    <col min="787" max="797" width="11.42578125" style="37" customWidth="1"/>
    <col min="798" max="1027" width="11.42578125" style="37"/>
    <col min="1028" max="1028" width="5.28515625" style="37" customWidth="1"/>
    <col min="1029" max="1029" width="15.28515625" style="37" customWidth="1"/>
    <col min="1030" max="1030" width="14.42578125" style="37" bestFit="1" customWidth="1"/>
    <col min="1031" max="1031" width="10.42578125" style="37" bestFit="1" customWidth="1"/>
    <col min="1032" max="1032" width="12.28515625" style="37" customWidth="1"/>
    <col min="1033" max="1037" width="11.42578125" style="37" customWidth="1"/>
    <col min="1038" max="1039" width="10.5703125" style="37" bestFit="1" customWidth="1"/>
    <col min="1040" max="1041" width="11.42578125" style="37" customWidth="1"/>
    <col min="1042" max="1042" width="6.140625" style="37" customWidth="1"/>
    <col min="1043" max="1053" width="11.42578125" style="37" customWidth="1"/>
    <col min="1054" max="1283" width="11.42578125" style="37"/>
    <col min="1284" max="1284" width="5.28515625" style="37" customWidth="1"/>
    <col min="1285" max="1285" width="15.28515625" style="37" customWidth="1"/>
    <col min="1286" max="1286" width="14.42578125" style="37" bestFit="1" customWidth="1"/>
    <col min="1287" max="1287" width="10.42578125" style="37" bestFit="1" customWidth="1"/>
    <col min="1288" max="1288" width="12.28515625" style="37" customWidth="1"/>
    <col min="1289" max="1293" width="11.42578125" style="37" customWidth="1"/>
    <col min="1294" max="1295" width="10.5703125" style="37" bestFit="1" customWidth="1"/>
    <col min="1296" max="1297" width="11.42578125" style="37" customWidth="1"/>
    <col min="1298" max="1298" width="6.140625" style="37" customWidth="1"/>
    <col min="1299" max="1309" width="11.42578125" style="37" customWidth="1"/>
    <col min="1310" max="1539" width="11.42578125" style="37"/>
    <col min="1540" max="1540" width="5.28515625" style="37" customWidth="1"/>
    <col min="1541" max="1541" width="15.28515625" style="37" customWidth="1"/>
    <col min="1542" max="1542" width="14.42578125" style="37" bestFit="1" customWidth="1"/>
    <col min="1543" max="1543" width="10.42578125" style="37" bestFit="1" customWidth="1"/>
    <col min="1544" max="1544" width="12.28515625" style="37" customWidth="1"/>
    <col min="1545" max="1549" width="11.42578125" style="37" customWidth="1"/>
    <col min="1550" max="1551" width="10.5703125" style="37" bestFit="1" customWidth="1"/>
    <col min="1552" max="1553" width="11.42578125" style="37" customWidth="1"/>
    <col min="1554" max="1554" width="6.140625" style="37" customWidth="1"/>
    <col min="1555" max="1565" width="11.42578125" style="37" customWidth="1"/>
    <col min="1566" max="1795" width="11.42578125" style="37"/>
    <col min="1796" max="1796" width="5.28515625" style="37" customWidth="1"/>
    <col min="1797" max="1797" width="15.28515625" style="37" customWidth="1"/>
    <col min="1798" max="1798" width="14.42578125" style="37" bestFit="1" customWidth="1"/>
    <col min="1799" max="1799" width="10.42578125" style="37" bestFit="1" customWidth="1"/>
    <col min="1800" max="1800" width="12.28515625" style="37" customWidth="1"/>
    <col min="1801" max="1805" width="11.42578125" style="37" customWidth="1"/>
    <col min="1806" max="1807" width="10.5703125" style="37" bestFit="1" customWidth="1"/>
    <col min="1808" max="1809" width="11.42578125" style="37" customWidth="1"/>
    <col min="1810" max="1810" width="6.140625" style="37" customWidth="1"/>
    <col min="1811" max="1821" width="11.42578125" style="37" customWidth="1"/>
    <col min="1822" max="2051" width="11.42578125" style="37"/>
    <col min="2052" max="2052" width="5.28515625" style="37" customWidth="1"/>
    <col min="2053" max="2053" width="15.28515625" style="37" customWidth="1"/>
    <col min="2054" max="2054" width="14.42578125" style="37" bestFit="1" customWidth="1"/>
    <col min="2055" max="2055" width="10.42578125" style="37" bestFit="1" customWidth="1"/>
    <col min="2056" max="2056" width="12.28515625" style="37" customWidth="1"/>
    <col min="2057" max="2061" width="11.42578125" style="37" customWidth="1"/>
    <col min="2062" max="2063" width="10.5703125" style="37" bestFit="1" customWidth="1"/>
    <col min="2064" max="2065" width="11.42578125" style="37" customWidth="1"/>
    <col min="2066" max="2066" width="6.140625" style="37" customWidth="1"/>
    <col min="2067" max="2077" width="11.42578125" style="37" customWidth="1"/>
    <col min="2078" max="2307" width="11.42578125" style="37"/>
    <col min="2308" max="2308" width="5.28515625" style="37" customWidth="1"/>
    <col min="2309" max="2309" width="15.28515625" style="37" customWidth="1"/>
    <col min="2310" max="2310" width="14.42578125" style="37" bestFit="1" customWidth="1"/>
    <col min="2311" max="2311" width="10.42578125" style="37" bestFit="1" customWidth="1"/>
    <col min="2312" max="2312" width="12.28515625" style="37" customWidth="1"/>
    <col min="2313" max="2317" width="11.42578125" style="37" customWidth="1"/>
    <col min="2318" max="2319" width="10.5703125" style="37" bestFit="1" customWidth="1"/>
    <col min="2320" max="2321" width="11.42578125" style="37" customWidth="1"/>
    <col min="2322" max="2322" width="6.140625" style="37" customWidth="1"/>
    <col min="2323" max="2333" width="11.42578125" style="37" customWidth="1"/>
    <col min="2334" max="2563" width="11.42578125" style="37"/>
    <col min="2564" max="2564" width="5.28515625" style="37" customWidth="1"/>
    <col min="2565" max="2565" width="15.28515625" style="37" customWidth="1"/>
    <col min="2566" max="2566" width="14.42578125" style="37" bestFit="1" customWidth="1"/>
    <col min="2567" max="2567" width="10.42578125" style="37" bestFit="1" customWidth="1"/>
    <col min="2568" max="2568" width="12.28515625" style="37" customWidth="1"/>
    <col min="2569" max="2573" width="11.42578125" style="37" customWidth="1"/>
    <col min="2574" max="2575" width="10.5703125" style="37" bestFit="1" customWidth="1"/>
    <col min="2576" max="2577" width="11.42578125" style="37" customWidth="1"/>
    <col min="2578" max="2578" width="6.140625" style="37" customWidth="1"/>
    <col min="2579" max="2589" width="11.42578125" style="37" customWidth="1"/>
    <col min="2590" max="2819" width="11.42578125" style="37"/>
    <col min="2820" max="2820" width="5.28515625" style="37" customWidth="1"/>
    <col min="2821" max="2821" width="15.28515625" style="37" customWidth="1"/>
    <col min="2822" max="2822" width="14.42578125" style="37" bestFit="1" customWidth="1"/>
    <col min="2823" max="2823" width="10.42578125" style="37" bestFit="1" customWidth="1"/>
    <col min="2824" max="2824" width="12.28515625" style="37" customWidth="1"/>
    <col min="2825" max="2829" width="11.42578125" style="37" customWidth="1"/>
    <col min="2830" max="2831" width="10.5703125" style="37" bestFit="1" customWidth="1"/>
    <col min="2832" max="2833" width="11.42578125" style="37" customWidth="1"/>
    <col min="2834" max="2834" width="6.140625" style="37" customWidth="1"/>
    <col min="2835" max="2845" width="11.42578125" style="37" customWidth="1"/>
    <col min="2846" max="3075" width="11.42578125" style="37"/>
    <col min="3076" max="3076" width="5.28515625" style="37" customWidth="1"/>
    <col min="3077" max="3077" width="15.28515625" style="37" customWidth="1"/>
    <col min="3078" max="3078" width="14.42578125" style="37" bestFit="1" customWidth="1"/>
    <col min="3079" max="3079" width="10.42578125" style="37" bestFit="1" customWidth="1"/>
    <col min="3080" max="3080" width="12.28515625" style="37" customWidth="1"/>
    <col min="3081" max="3085" width="11.42578125" style="37" customWidth="1"/>
    <col min="3086" max="3087" width="10.5703125" style="37" bestFit="1" customWidth="1"/>
    <col min="3088" max="3089" width="11.42578125" style="37" customWidth="1"/>
    <col min="3090" max="3090" width="6.140625" style="37" customWidth="1"/>
    <col min="3091" max="3101" width="11.42578125" style="37" customWidth="1"/>
    <col min="3102" max="3331" width="11.42578125" style="37"/>
    <col min="3332" max="3332" width="5.28515625" style="37" customWidth="1"/>
    <col min="3333" max="3333" width="15.28515625" style="37" customWidth="1"/>
    <col min="3334" max="3334" width="14.42578125" style="37" bestFit="1" customWidth="1"/>
    <col min="3335" max="3335" width="10.42578125" style="37" bestFit="1" customWidth="1"/>
    <col min="3336" max="3336" width="12.28515625" style="37" customWidth="1"/>
    <col min="3337" max="3341" width="11.42578125" style="37" customWidth="1"/>
    <col min="3342" max="3343" width="10.5703125" style="37" bestFit="1" customWidth="1"/>
    <col min="3344" max="3345" width="11.42578125" style="37" customWidth="1"/>
    <col min="3346" max="3346" width="6.140625" style="37" customWidth="1"/>
    <col min="3347" max="3357" width="11.42578125" style="37" customWidth="1"/>
    <col min="3358" max="3587" width="11.42578125" style="37"/>
    <col min="3588" max="3588" width="5.28515625" style="37" customWidth="1"/>
    <col min="3589" max="3589" width="15.28515625" style="37" customWidth="1"/>
    <col min="3590" max="3590" width="14.42578125" style="37" bestFit="1" customWidth="1"/>
    <col min="3591" max="3591" width="10.42578125" style="37" bestFit="1" customWidth="1"/>
    <col min="3592" max="3592" width="12.28515625" style="37" customWidth="1"/>
    <col min="3593" max="3597" width="11.42578125" style="37" customWidth="1"/>
    <col min="3598" max="3599" width="10.5703125" style="37" bestFit="1" customWidth="1"/>
    <col min="3600" max="3601" width="11.42578125" style="37" customWidth="1"/>
    <col min="3602" max="3602" width="6.140625" style="37" customWidth="1"/>
    <col min="3603" max="3613" width="11.42578125" style="37" customWidth="1"/>
    <col min="3614" max="3843" width="11.42578125" style="37"/>
    <col min="3844" max="3844" width="5.28515625" style="37" customWidth="1"/>
    <col min="3845" max="3845" width="15.28515625" style="37" customWidth="1"/>
    <col min="3846" max="3846" width="14.42578125" style="37" bestFit="1" customWidth="1"/>
    <col min="3847" max="3847" width="10.42578125" style="37" bestFit="1" customWidth="1"/>
    <col min="3848" max="3848" width="12.28515625" style="37" customWidth="1"/>
    <col min="3849" max="3853" width="11.42578125" style="37" customWidth="1"/>
    <col min="3854" max="3855" width="10.5703125" style="37" bestFit="1" customWidth="1"/>
    <col min="3856" max="3857" width="11.42578125" style="37" customWidth="1"/>
    <col min="3858" max="3858" width="6.140625" style="37" customWidth="1"/>
    <col min="3859" max="3869" width="11.42578125" style="37" customWidth="1"/>
    <col min="3870" max="4099" width="11.42578125" style="37"/>
    <col min="4100" max="4100" width="5.28515625" style="37" customWidth="1"/>
    <col min="4101" max="4101" width="15.28515625" style="37" customWidth="1"/>
    <col min="4102" max="4102" width="14.42578125" style="37" bestFit="1" customWidth="1"/>
    <col min="4103" max="4103" width="10.42578125" style="37" bestFit="1" customWidth="1"/>
    <col min="4104" max="4104" width="12.28515625" style="37" customWidth="1"/>
    <col min="4105" max="4109" width="11.42578125" style="37" customWidth="1"/>
    <col min="4110" max="4111" width="10.5703125" style="37" bestFit="1" customWidth="1"/>
    <col min="4112" max="4113" width="11.42578125" style="37" customWidth="1"/>
    <col min="4114" max="4114" width="6.140625" style="37" customWidth="1"/>
    <col min="4115" max="4125" width="11.42578125" style="37" customWidth="1"/>
    <col min="4126" max="4355" width="11.42578125" style="37"/>
    <col min="4356" max="4356" width="5.28515625" style="37" customWidth="1"/>
    <col min="4357" max="4357" width="15.28515625" style="37" customWidth="1"/>
    <col min="4358" max="4358" width="14.42578125" style="37" bestFit="1" customWidth="1"/>
    <col min="4359" max="4359" width="10.42578125" style="37" bestFit="1" customWidth="1"/>
    <col min="4360" max="4360" width="12.28515625" style="37" customWidth="1"/>
    <col min="4361" max="4365" width="11.42578125" style="37" customWidth="1"/>
    <col min="4366" max="4367" width="10.5703125" style="37" bestFit="1" customWidth="1"/>
    <col min="4368" max="4369" width="11.42578125" style="37" customWidth="1"/>
    <col min="4370" max="4370" width="6.140625" style="37" customWidth="1"/>
    <col min="4371" max="4381" width="11.42578125" style="37" customWidth="1"/>
    <col min="4382" max="4611" width="11.42578125" style="37"/>
    <col min="4612" max="4612" width="5.28515625" style="37" customWidth="1"/>
    <col min="4613" max="4613" width="15.28515625" style="37" customWidth="1"/>
    <col min="4614" max="4614" width="14.42578125" style="37" bestFit="1" customWidth="1"/>
    <col min="4615" max="4615" width="10.42578125" style="37" bestFit="1" customWidth="1"/>
    <col min="4616" max="4616" width="12.28515625" style="37" customWidth="1"/>
    <col min="4617" max="4621" width="11.42578125" style="37" customWidth="1"/>
    <col min="4622" max="4623" width="10.5703125" style="37" bestFit="1" customWidth="1"/>
    <col min="4624" max="4625" width="11.42578125" style="37" customWidth="1"/>
    <col min="4626" max="4626" width="6.140625" style="37" customWidth="1"/>
    <col min="4627" max="4637" width="11.42578125" style="37" customWidth="1"/>
    <col min="4638" max="4867" width="11.42578125" style="37"/>
    <col min="4868" max="4868" width="5.28515625" style="37" customWidth="1"/>
    <col min="4869" max="4869" width="15.28515625" style="37" customWidth="1"/>
    <col min="4870" max="4870" width="14.42578125" style="37" bestFit="1" customWidth="1"/>
    <col min="4871" max="4871" width="10.42578125" style="37" bestFit="1" customWidth="1"/>
    <col min="4872" max="4872" width="12.28515625" style="37" customWidth="1"/>
    <col min="4873" max="4877" width="11.42578125" style="37" customWidth="1"/>
    <col min="4878" max="4879" width="10.5703125" style="37" bestFit="1" customWidth="1"/>
    <col min="4880" max="4881" width="11.42578125" style="37" customWidth="1"/>
    <col min="4882" max="4882" width="6.140625" style="37" customWidth="1"/>
    <col min="4883" max="4893" width="11.42578125" style="37" customWidth="1"/>
    <col min="4894" max="5123" width="11.42578125" style="37"/>
    <col min="5124" max="5124" width="5.28515625" style="37" customWidth="1"/>
    <col min="5125" max="5125" width="15.28515625" style="37" customWidth="1"/>
    <col min="5126" max="5126" width="14.42578125" style="37" bestFit="1" customWidth="1"/>
    <col min="5127" max="5127" width="10.42578125" style="37" bestFit="1" customWidth="1"/>
    <col min="5128" max="5128" width="12.28515625" style="37" customWidth="1"/>
    <col min="5129" max="5133" width="11.42578125" style="37" customWidth="1"/>
    <col min="5134" max="5135" width="10.5703125" style="37" bestFit="1" customWidth="1"/>
    <col min="5136" max="5137" width="11.42578125" style="37" customWidth="1"/>
    <col min="5138" max="5138" width="6.140625" style="37" customWidth="1"/>
    <col min="5139" max="5149" width="11.42578125" style="37" customWidth="1"/>
    <col min="5150" max="5379" width="11.42578125" style="37"/>
    <col min="5380" max="5380" width="5.28515625" style="37" customWidth="1"/>
    <col min="5381" max="5381" width="15.28515625" style="37" customWidth="1"/>
    <col min="5382" max="5382" width="14.42578125" style="37" bestFit="1" customWidth="1"/>
    <col min="5383" max="5383" width="10.42578125" style="37" bestFit="1" customWidth="1"/>
    <col min="5384" max="5384" width="12.28515625" style="37" customWidth="1"/>
    <col min="5385" max="5389" width="11.42578125" style="37" customWidth="1"/>
    <col min="5390" max="5391" width="10.5703125" style="37" bestFit="1" customWidth="1"/>
    <col min="5392" max="5393" width="11.42578125" style="37" customWidth="1"/>
    <col min="5394" max="5394" width="6.140625" style="37" customWidth="1"/>
    <col min="5395" max="5405" width="11.42578125" style="37" customWidth="1"/>
    <col min="5406" max="5635" width="11.42578125" style="37"/>
    <col min="5636" max="5636" width="5.28515625" style="37" customWidth="1"/>
    <col min="5637" max="5637" width="15.28515625" style="37" customWidth="1"/>
    <col min="5638" max="5638" width="14.42578125" style="37" bestFit="1" customWidth="1"/>
    <col min="5639" max="5639" width="10.42578125" style="37" bestFit="1" customWidth="1"/>
    <col min="5640" max="5640" width="12.28515625" style="37" customWidth="1"/>
    <col min="5641" max="5645" width="11.42578125" style="37" customWidth="1"/>
    <col min="5646" max="5647" width="10.5703125" style="37" bestFit="1" customWidth="1"/>
    <col min="5648" max="5649" width="11.42578125" style="37" customWidth="1"/>
    <col min="5650" max="5650" width="6.140625" style="37" customWidth="1"/>
    <col min="5651" max="5661" width="11.42578125" style="37" customWidth="1"/>
    <col min="5662" max="5891" width="11.42578125" style="37"/>
    <col min="5892" max="5892" width="5.28515625" style="37" customWidth="1"/>
    <col min="5893" max="5893" width="15.28515625" style="37" customWidth="1"/>
    <col min="5894" max="5894" width="14.42578125" style="37" bestFit="1" customWidth="1"/>
    <col min="5895" max="5895" width="10.42578125" style="37" bestFit="1" customWidth="1"/>
    <col min="5896" max="5896" width="12.28515625" style="37" customWidth="1"/>
    <col min="5897" max="5901" width="11.42578125" style="37" customWidth="1"/>
    <col min="5902" max="5903" width="10.5703125" style="37" bestFit="1" customWidth="1"/>
    <col min="5904" max="5905" width="11.42578125" style="37" customWidth="1"/>
    <col min="5906" max="5906" width="6.140625" style="37" customWidth="1"/>
    <col min="5907" max="5917" width="11.42578125" style="37" customWidth="1"/>
    <col min="5918" max="6147" width="11.42578125" style="37"/>
    <col min="6148" max="6148" width="5.28515625" style="37" customWidth="1"/>
    <col min="6149" max="6149" width="15.28515625" style="37" customWidth="1"/>
    <col min="6150" max="6150" width="14.42578125" style="37" bestFit="1" customWidth="1"/>
    <col min="6151" max="6151" width="10.42578125" style="37" bestFit="1" customWidth="1"/>
    <col min="6152" max="6152" width="12.28515625" style="37" customWidth="1"/>
    <col min="6153" max="6157" width="11.42578125" style="37" customWidth="1"/>
    <col min="6158" max="6159" width="10.5703125" style="37" bestFit="1" customWidth="1"/>
    <col min="6160" max="6161" width="11.42578125" style="37" customWidth="1"/>
    <col min="6162" max="6162" width="6.140625" style="37" customWidth="1"/>
    <col min="6163" max="6173" width="11.42578125" style="37" customWidth="1"/>
    <col min="6174" max="6403" width="11.42578125" style="37"/>
    <col min="6404" max="6404" width="5.28515625" style="37" customWidth="1"/>
    <col min="6405" max="6405" width="15.28515625" style="37" customWidth="1"/>
    <col min="6406" max="6406" width="14.42578125" style="37" bestFit="1" customWidth="1"/>
    <col min="6407" max="6407" width="10.42578125" style="37" bestFit="1" customWidth="1"/>
    <col min="6408" max="6408" width="12.28515625" style="37" customWidth="1"/>
    <col min="6409" max="6413" width="11.42578125" style="37" customWidth="1"/>
    <col min="6414" max="6415" width="10.5703125" style="37" bestFit="1" customWidth="1"/>
    <col min="6416" max="6417" width="11.42578125" style="37" customWidth="1"/>
    <col min="6418" max="6418" width="6.140625" style="37" customWidth="1"/>
    <col min="6419" max="6429" width="11.42578125" style="37" customWidth="1"/>
    <col min="6430" max="6659" width="11.42578125" style="37"/>
    <col min="6660" max="6660" width="5.28515625" style="37" customWidth="1"/>
    <col min="6661" max="6661" width="15.28515625" style="37" customWidth="1"/>
    <col min="6662" max="6662" width="14.42578125" style="37" bestFit="1" customWidth="1"/>
    <col min="6663" max="6663" width="10.42578125" style="37" bestFit="1" customWidth="1"/>
    <col min="6664" max="6664" width="12.28515625" style="37" customWidth="1"/>
    <col min="6665" max="6669" width="11.42578125" style="37" customWidth="1"/>
    <col min="6670" max="6671" width="10.5703125" style="37" bestFit="1" customWidth="1"/>
    <col min="6672" max="6673" width="11.42578125" style="37" customWidth="1"/>
    <col min="6674" max="6674" width="6.140625" style="37" customWidth="1"/>
    <col min="6675" max="6685" width="11.42578125" style="37" customWidth="1"/>
    <col min="6686" max="6915" width="11.42578125" style="37"/>
    <col min="6916" max="6916" width="5.28515625" style="37" customWidth="1"/>
    <col min="6917" max="6917" width="15.28515625" style="37" customWidth="1"/>
    <col min="6918" max="6918" width="14.42578125" style="37" bestFit="1" customWidth="1"/>
    <col min="6919" max="6919" width="10.42578125" style="37" bestFit="1" customWidth="1"/>
    <col min="6920" max="6920" width="12.28515625" style="37" customWidth="1"/>
    <col min="6921" max="6925" width="11.42578125" style="37" customWidth="1"/>
    <col min="6926" max="6927" width="10.5703125" style="37" bestFit="1" customWidth="1"/>
    <col min="6928" max="6929" width="11.42578125" style="37" customWidth="1"/>
    <col min="6930" max="6930" width="6.140625" style="37" customWidth="1"/>
    <col min="6931" max="6941" width="11.42578125" style="37" customWidth="1"/>
    <col min="6942" max="7171" width="11.42578125" style="37"/>
    <col min="7172" max="7172" width="5.28515625" style="37" customWidth="1"/>
    <col min="7173" max="7173" width="15.28515625" style="37" customWidth="1"/>
    <col min="7174" max="7174" width="14.42578125" style="37" bestFit="1" customWidth="1"/>
    <col min="7175" max="7175" width="10.42578125" style="37" bestFit="1" customWidth="1"/>
    <col min="7176" max="7176" width="12.28515625" style="37" customWidth="1"/>
    <col min="7177" max="7181" width="11.42578125" style="37" customWidth="1"/>
    <col min="7182" max="7183" width="10.5703125" style="37" bestFit="1" customWidth="1"/>
    <col min="7184" max="7185" width="11.42578125" style="37" customWidth="1"/>
    <col min="7186" max="7186" width="6.140625" style="37" customWidth="1"/>
    <col min="7187" max="7197" width="11.42578125" style="37" customWidth="1"/>
    <col min="7198" max="7427" width="11.42578125" style="37"/>
    <col min="7428" max="7428" width="5.28515625" style="37" customWidth="1"/>
    <col min="7429" max="7429" width="15.28515625" style="37" customWidth="1"/>
    <col min="7430" max="7430" width="14.42578125" style="37" bestFit="1" customWidth="1"/>
    <col min="7431" max="7431" width="10.42578125" style="37" bestFit="1" customWidth="1"/>
    <col min="7432" max="7432" width="12.28515625" style="37" customWidth="1"/>
    <col min="7433" max="7437" width="11.42578125" style="37" customWidth="1"/>
    <col min="7438" max="7439" width="10.5703125" style="37" bestFit="1" customWidth="1"/>
    <col min="7440" max="7441" width="11.42578125" style="37" customWidth="1"/>
    <col min="7442" max="7442" width="6.140625" style="37" customWidth="1"/>
    <col min="7443" max="7453" width="11.42578125" style="37" customWidth="1"/>
    <col min="7454" max="7683" width="11.42578125" style="37"/>
    <col min="7684" max="7684" width="5.28515625" style="37" customWidth="1"/>
    <col min="7685" max="7685" width="15.28515625" style="37" customWidth="1"/>
    <col min="7686" max="7686" width="14.42578125" style="37" bestFit="1" customWidth="1"/>
    <col min="7687" max="7687" width="10.42578125" style="37" bestFit="1" customWidth="1"/>
    <col min="7688" max="7688" width="12.28515625" style="37" customWidth="1"/>
    <col min="7689" max="7693" width="11.42578125" style="37" customWidth="1"/>
    <col min="7694" max="7695" width="10.5703125" style="37" bestFit="1" customWidth="1"/>
    <col min="7696" max="7697" width="11.42578125" style="37" customWidth="1"/>
    <col min="7698" max="7698" width="6.140625" style="37" customWidth="1"/>
    <col min="7699" max="7709" width="11.42578125" style="37" customWidth="1"/>
    <col min="7710" max="7939" width="11.42578125" style="37"/>
    <col min="7940" max="7940" width="5.28515625" style="37" customWidth="1"/>
    <col min="7941" max="7941" width="15.28515625" style="37" customWidth="1"/>
    <col min="7942" max="7942" width="14.42578125" style="37" bestFit="1" customWidth="1"/>
    <col min="7943" max="7943" width="10.42578125" style="37" bestFit="1" customWidth="1"/>
    <col min="7944" max="7944" width="12.28515625" style="37" customWidth="1"/>
    <col min="7945" max="7949" width="11.42578125" style="37" customWidth="1"/>
    <col min="7950" max="7951" width="10.5703125" style="37" bestFit="1" customWidth="1"/>
    <col min="7952" max="7953" width="11.42578125" style="37" customWidth="1"/>
    <col min="7954" max="7954" width="6.140625" style="37" customWidth="1"/>
    <col min="7955" max="7965" width="11.42578125" style="37" customWidth="1"/>
    <col min="7966" max="8195" width="11.42578125" style="37"/>
    <col min="8196" max="8196" width="5.28515625" style="37" customWidth="1"/>
    <col min="8197" max="8197" width="15.28515625" style="37" customWidth="1"/>
    <col min="8198" max="8198" width="14.42578125" style="37" bestFit="1" customWidth="1"/>
    <col min="8199" max="8199" width="10.42578125" style="37" bestFit="1" customWidth="1"/>
    <col min="8200" max="8200" width="12.28515625" style="37" customWidth="1"/>
    <col min="8201" max="8205" width="11.42578125" style="37" customWidth="1"/>
    <col min="8206" max="8207" width="10.5703125" style="37" bestFit="1" customWidth="1"/>
    <col min="8208" max="8209" width="11.42578125" style="37" customWidth="1"/>
    <col min="8210" max="8210" width="6.140625" style="37" customWidth="1"/>
    <col min="8211" max="8221" width="11.42578125" style="37" customWidth="1"/>
    <col min="8222" max="8451" width="11.42578125" style="37"/>
    <col min="8452" max="8452" width="5.28515625" style="37" customWidth="1"/>
    <col min="8453" max="8453" width="15.28515625" style="37" customWidth="1"/>
    <col min="8454" max="8454" width="14.42578125" style="37" bestFit="1" customWidth="1"/>
    <col min="8455" max="8455" width="10.42578125" style="37" bestFit="1" customWidth="1"/>
    <col min="8456" max="8456" width="12.28515625" style="37" customWidth="1"/>
    <col min="8457" max="8461" width="11.42578125" style="37" customWidth="1"/>
    <col min="8462" max="8463" width="10.5703125" style="37" bestFit="1" customWidth="1"/>
    <col min="8464" max="8465" width="11.42578125" style="37" customWidth="1"/>
    <col min="8466" max="8466" width="6.140625" style="37" customWidth="1"/>
    <col min="8467" max="8477" width="11.42578125" style="37" customWidth="1"/>
    <col min="8478" max="8707" width="11.42578125" style="37"/>
    <col min="8708" max="8708" width="5.28515625" style="37" customWidth="1"/>
    <col min="8709" max="8709" width="15.28515625" style="37" customWidth="1"/>
    <col min="8710" max="8710" width="14.42578125" style="37" bestFit="1" customWidth="1"/>
    <col min="8711" max="8711" width="10.42578125" style="37" bestFit="1" customWidth="1"/>
    <col min="8712" max="8712" width="12.28515625" style="37" customWidth="1"/>
    <col min="8713" max="8717" width="11.42578125" style="37" customWidth="1"/>
    <col min="8718" max="8719" width="10.5703125" style="37" bestFit="1" customWidth="1"/>
    <col min="8720" max="8721" width="11.42578125" style="37" customWidth="1"/>
    <col min="8722" max="8722" width="6.140625" style="37" customWidth="1"/>
    <col min="8723" max="8733" width="11.42578125" style="37" customWidth="1"/>
    <col min="8734" max="8963" width="11.42578125" style="37"/>
    <col min="8964" max="8964" width="5.28515625" style="37" customWidth="1"/>
    <col min="8965" max="8965" width="15.28515625" style="37" customWidth="1"/>
    <col min="8966" max="8966" width="14.42578125" style="37" bestFit="1" customWidth="1"/>
    <col min="8967" max="8967" width="10.42578125" style="37" bestFit="1" customWidth="1"/>
    <col min="8968" max="8968" width="12.28515625" style="37" customWidth="1"/>
    <col min="8969" max="8973" width="11.42578125" style="37" customWidth="1"/>
    <col min="8974" max="8975" width="10.5703125" style="37" bestFit="1" customWidth="1"/>
    <col min="8976" max="8977" width="11.42578125" style="37" customWidth="1"/>
    <col min="8978" max="8978" width="6.140625" style="37" customWidth="1"/>
    <col min="8979" max="8989" width="11.42578125" style="37" customWidth="1"/>
    <col min="8990" max="9219" width="11.42578125" style="37"/>
    <col min="9220" max="9220" width="5.28515625" style="37" customWidth="1"/>
    <col min="9221" max="9221" width="15.28515625" style="37" customWidth="1"/>
    <col min="9222" max="9222" width="14.42578125" style="37" bestFit="1" customWidth="1"/>
    <col min="9223" max="9223" width="10.42578125" style="37" bestFit="1" customWidth="1"/>
    <col min="9224" max="9224" width="12.28515625" style="37" customWidth="1"/>
    <col min="9225" max="9229" width="11.42578125" style="37" customWidth="1"/>
    <col min="9230" max="9231" width="10.5703125" style="37" bestFit="1" customWidth="1"/>
    <col min="9232" max="9233" width="11.42578125" style="37" customWidth="1"/>
    <col min="9234" max="9234" width="6.140625" style="37" customWidth="1"/>
    <col min="9235" max="9245" width="11.42578125" style="37" customWidth="1"/>
    <col min="9246" max="9475" width="11.42578125" style="37"/>
    <col min="9476" max="9476" width="5.28515625" style="37" customWidth="1"/>
    <col min="9477" max="9477" width="15.28515625" style="37" customWidth="1"/>
    <col min="9478" max="9478" width="14.42578125" style="37" bestFit="1" customWidth="1"/>
    <col min="9479" max="9479" width="10.42578125" style="37" bestFit="1" customWidth="1"/>
    <col min="9480" max="9480" width="12.28515625" style="37" customWidth="1"/>
    <col min="9481" max="9485" width="11.42578125" style="37" customWidth="1"/>
    <col min="9486" max="9487" width="10.5703125" style="37" bestFit="1" customWidth="1"/>
    <col min="9488" max="9489" width="11.42578125" style="37" customWidth="1"/>
    <col min="9490" max="9490" width="6.140625" style="37" customWidth="1"/>
    <col min="9491" max="9501" width="11.42578125" style="37" customWidth="1"/>
    <col min="9502" max="9731" width="11.42578125" style="37"/>
    <col min="9732" max="9732" width="5.28515625" style="37" customWidth="1"/>
    <col min="9733" max="9733" width="15.28515625" style="37" customWidth="1"/>
    <col min="9734" max="9734" width="14.42578125" style="37" bestFit="1" customWidth="1"/>
    <col min="9735" max="9735" width="10.42578125" style="37" bestFit="1" customWidth="1"/>
    <col min="9736" max="9736" width="12.28515625" style="37" customWidth="1"/>
    <col min="9737" max="9741" width="11.42578125" style="37" customWidth="1"/>
    <col min="9742" max="9743" width="10.5703125" style="37" bestFit="1" customWidth="1"/>
    <col min="9744" max="9745" width="11.42578125" style="37" customWidth="1"/>
    <col min="9746" max="9746" width="6.140625" style="37" customWidth="1"/>
    <col min="9747" max="9757" width="11.42578125" style="37" customWidth="1"/>
    <col min="9758" max="9987" width="11.42578125" style="37"/>
    <col min="9988" max="9988" width="5.28515625" style="37" customWidth="1"/>
    <col min="9989" max="9989" width="15.28515625" style="37" customWidth="1"/>
    <col min="9990" max="9990" width="14.42578125" style="37" bestFit="1" customWidth="1"/>
    <col min="9991" max="9991" width="10.42578125" style="37" bestFit="1" customWidth="1"/>
    <col min="9992" max="9992" width="12.28515625" style="37" customWidth="1"/>
    <col min="9993" max="9997" width="11.42578125" style="37" customWidth="1"/>
    <col min="9998" max="9999" width="10.5703125" style="37" bestFit="1" customWidth="1"/>
    <col min="10000" max="10001" width="11.42578125" style="37" customWidth="1"/>
    <col min="10002" max="10002" width="6.140625" style="37" customWidth="1"/>
    <col min="10003" max="10013" width="11.42578125" style="37" customWidth="1"/>
    <col min="10014" max="10243" width="11.42578125" style="37"/>
    <col min="10244" max="10244" width="5.28515625" style="37" customWidth="1"/>
    <col min="10245" max="10245" width="15.28515625" style="37" customWidth="1"/>
    <col min="10246" max="10246" width="14.42578125" style="37" bestFit="1" customWidth="1"/>
    <col min="10247" max="10247" width="10.42578125" style="37" bestFit="1" customWidth="1"/>
    <col min="10248" max="10248" width="12.28515625" style="37" customWidth="1"/>
    <col min="10249" max="10253" width="11.42578125" style="37" customWidth="1"/>
    <col min="10254" max="10255" width="10.5703125" style="37" bestFit="1" customWidth="1"/>
    <col min="10256" max="10257" width="11.42578125" style="37" customWidth="1"/>
    <col min="10258" max="10258" width="6.140625" style="37" customWidth="1"/>
    <col min="10259" max="10269" width="11.42578125" style="37" customWidth="1"/>
    <col min="10270" max="10499" width="11.42578125" style="37"/>
    <col min="10500" max="10500" width="5.28515625" style="37" customWidth="1"/>
    <col min="10501" max="10501" width="15.28515625" style="37" customWidth="1"/>
    <col min="10502" max="10502" width="14.42578125" style="37" bestFit="1" customWidth="1"/>
    <col min="10503" max="10503" width="10.42578125" style="37" bestFit="1" customWidth="1"/>
    <col min="10504" max="10504" width="12.28515625" style="37" customWidth="1"/>
    <col min="10505" max="10509" width="11.42578125" style="37" customWidth="1"/>
    <col min="10510" max="10511" width="10.5703125" style="37" bestFit="1" customWidth="1"/>
    <col min="10512" max="10513" width="11.42578125" style="37" customWidth="1"/>
    <col min="10514" max="10514" width="6.140625" style="37" customWidth="1"/>
    <col min="10515" max="10525" width="11.42578125" style="37" customWidth="1"/>
    <col min="10526" max="10755" width="11.42578125" style="37"/>
    <col min="10756" max="10756" width="5.28515625" style="37" customWidth="1"/>
    <col min="10757" max="10757" width="15.28515625" style="37" customWidth="1"/>
    <col min="10758" max="10758" width="14.42578125" style="37" bestFit="1" customWidth="1"/>
    <col min="10759" max="10759" width="10.42578125" style="37" bestFit="1" customWidth="1"/>
    <col min="10760" max="10760" width="12.28515625" style="37" customWidth="1"/>
    <col min="10761" max="10765" width="11.42578125" style="37" customWidth="1"/>
    <col min="10766" max="10767" width="10.5703125" style="37" bestFit="1" customWidth="1"/>
    <col min="10768" max="10769" width="11.42578125" style="37" customWidth="1"/>
    <col min="10770" max="10770" width="6.140625" style="37" customWidth="1"/>
    <col min="10771" max="10781" width="11.42578125" style="37" customWidth="1"/>
    <col min="10782" max="11011" width="11.42578125" style="37"/>
    <col min="11012" max="11012" width="5.28515625" style="37" customWidth="1"/>
    <col min="11013" max="11013" width="15.28515625" style="37" customWidth="1"/>
    <col min="11014" max="11014" width="14.42578125" style="37" bestFit="1" customWidth="1"/>
    <col min="11015" max="11015" width="10.42578125" style="37" bestFit="1" customWidth="1"/>
    <col min="11016" max="11016" width="12.28515625" style="37" customWidth="1"/>
    <col min="11017" max="11021" width="11.42578125" style="37" customWidth="1"/>
    <col min="11022" max="11023" width="10.5703125" style="37" bestFit="1" customWidth="1"/>
    <col min="11024" max="11025" width="11.42578125" style="37" customWidth="1"/>
    <col min="11026" max="11026" width="6.140625" style="37" customWidth="1"/>
    <col min="11027" max="11037" width="11.42578125" style="37" customWidth="1"/>
    <col min="11038" max="11267" width="11.42578125" style="37"/>
    <col min="11268" max="11268" width="5.28515625" style="37" customWidth="1"/>
    <col min="11269" max="11269" width="15.28515625" style="37" customWidth="1"/>
    <col min="11270" max="11270" width="14.42578125" style="37" bestFit="1" customWidth="1"/>
    <col min="11271" max="11271" width="10.42578125" style="37" bestFit="1" customWidth="1"/>
    <col min="11272" max="11272" width="12.28515625" style="37" customWidth="1"/>
    <col min="11273" max="11277" width="11.42578125" style="37" customWidth="1"/>
    <col min="11278" max="11279" width="10.5703125" style="37" bestFit="1" customWidth="1"/>
    <col min="11280" max="11281" width="11.42578125" style="37" customWidth="1"/>
    <col min="11282" max="11282" width="6.140625" style="37" customWidth="1"/>
    <col min="11283" max="11293" width="11.42578125" style="37" customWidth="1"/>
    <col min="11294" max="11523" width="11.42578125" style="37"/>
    <col min="11524" max="11524" width="5.28515625" style="37" customWidth="1"/>
    <col min="11525" max="11525" width="15.28515625" style="37" customWidth="1"/>
    <col min="11526" max="11526" width="14.42578125" style="37" bestFit="1" customWidth="1"/>
    <col min="11527" max="11527" width="10.42578125" style="37" bestFit="1" customWidth="1"/>
    <col min="11528" max="11528" width="12.28515625" style="37" customWidth="1"/>
    <col min="11529" max="11533" width="11.42578125" style="37" customWidth="1"/>
    <col min="11534" max="11535" width="10.5703125" style="37" bestFit="1" customWidth="1"/>
    <col min="11536" max="11537" width="11.42578125" style="37" customWidth="1"/>
    <col min="11538" max="11538" width="6.140625" style="37" customWidth="1"/>
    <col min="11539" max="11549" width="11.42578125" style="37" customWidth="1"/>
    <col min="11550" max="11779" width="11.42578125" style="37"/>
    <col min="11780" max="11780" width="5.28515625" style="37" customWidth="1"/>
    <col min="11781" max="11781" width="15.28515625" style="37" customWidth="1"/>
    <col min="11782" max="11782" width="14.42578125" style="37" bestFit="1" customWidth="1"/>
    <col min="11783" max="11783" width="10.42578125" style="37" bestFit="1" customWidth="1"/>
    <col min="11784" max="11784" width="12.28515625" style="37" customWidth="1"/>
    <col min="11785" max="11789" width="11.42578125" style="37" customWidth="1"/>
    <col min="11790" max="11791" width="10.5703125" style="37" bestFit="1" customWidth="1"/>
    <col min="11792" max="11793" width="11.42578125" style="37" customWidth="1"/>
    <col min="11794" max="11794" width="6.140625" style="37" customWidth="1"/>
    <col min="11795" max="11805" width="11.42578125" style="37" customWidth="1"/>
    <col min="11806" max="12035" width="11.42578125" style="37"/>
    <col min="12036" max="12036" width="5.28515625" style="37" customWidth="1"/>
    <col min="12037" max="12037" width="15.28515625" style="37" customWidth="1"/>
    <col min="12038" max="12038" width="14.42578125" style="37" bestFit="1" customWidth="1"/>
    <col min="12039" max="12039" width="10.42578125" style="37" bestFit="1" customWidth="1"/>
    <col min="12040" max="12040" width="12.28515625" style="37" customWidth="1"/>
    <col min="12041" max="12045" width="11.42578125" style="37" customWidth="1"/>
    <col min="12046" max="12047" width="10.5703125" style="37" bestFit="1" customWidth="1"/>
    <col min="12048" max="12049" width="11.42578125" style="37" customWidth="1"/>
    <col min="12050" max="12050" width="6.140625" style="37" customWidth="1"/>
    <col min="12051" max="12061" width="11.42578125" style="37" customWidth="1"/>
    <col min="12062" max="12291" width="11.42578125" style="37"/>
    <col min="12292" max="12292" width="5.28515625" style="37" customWidth="1"/>
    <col min="12293" max="12293" width="15.28515625" style="37" customWidth="1"/>
    <col min="12294" max="12294" width="14.42578125" style="37" bestFit="1" customWidth="1"/>
    <col min="12295" max="12295" width="10.42578125" style="37" bestFit="1" customWidth="1"/>
    <col min="12296" max="12296" width="12.28515625" style="37" customWidth="1"/>
    <col min="12297" max="12301" width="11.42578125" style="37" customWidth="1"/>
    <col min="12302" max="12303" width="10.5703125" style="37" bestFit="1" customWidth="1"/>
    <col min="12304" max="12305" width="11.42578125" style="37" customWidth="1"/>
    <col min="12306" max="12306" width="6.140625" style="37" customWidth="1"/>
    <col min="12307" max="12317" width="11.42578125" style="37" customWidth="1"/>
    <col min="12318" max="12547" width="11.42578125" style="37"/>
    <col min="12548" max="12548" width="5.28515625" style="37" customWidth="1"/>
    <col min="12549" max="12549" width="15.28515625" style="37" customWidth="1"/>
    <col min="12550" max="12550" width="14.42578125" style="37" bestFit="1" customWidth="1"/>
    <col min="12551" max="12551" width="10.42578125" style="37" bestFit="1" customWidth="1"/>
    <col min="12552" max="12552" width="12.28515625" style="37" customWidth="1"/>
    <col min="12553" max="12557" width="11.42578125" style="37" customWidth="1"/>
    <col min="12558" max="12559" width="10.5703125" style="37" bestFit="1" customWidth="1"/>
    <col min="12560" max="12561" width="11.42578125" style="37" customWidth="1"/>
    <col min="12562" max="12562" width="6.140625" style="37" customWidth="1"/>
    <col min="12563" max="12573" width="11.42578125" style="37" customWidth="1"/>
    <col min="12574" max="12803" width="11.42578125" style="37"/>
    <col min="12804" max="12804" width="5.28515625" style="37" customWidth="1"/>
    <col min="12805" max="12805" width="15.28515625" style="37" customWidth="1"/>
    <col min="12806" max="12806" width="14.42578125" style="37" bestFit="1" customWidth="1"/>
    <col min="12807" max="12807" width="10.42578125" style="37" bestFit="1" customWidth="1"/>
    <col min="12808" max="12808" width="12.28515625" style="37" customWidth="1"/>
    <col min="12809" max="12813" width="11.42578125" style="37" customWidth="1"/>
    <col min="12814" max="12815" width="10.5703125" style="37" bestFit="1" customWidth="1"/>
    <col min="12816" max="12817" width="11.42578125" style="37" customWidth="1"/>
    <col min="12818" max="12818" width="6.140625" style="37" customWidth="1"/>
    <col min="12819" max="12829" width="11.42578125" style="37" customWidth="1"/>
    <col min="12830" max="13059" width="11.42578125" style="37"/>
    <col min="13060" max="13060" width="5.28515625" style="37" customWidth="1"/>
    <col min="13061" max="13061" width="15.28515625" style="37" customWidth="1"/>
    <col min="13062" max="13062" width="14.42578125" style="37" bestFit="1" customWidth="1"/>
    <col min="13063" max="13063" width="10.42578125" style="37" bestFit="1" customWidth="1"/>
    <col min="13064" max="13064" width="12.28515625" style="37" customWidth="1"/>
    <col min="13065" max="13069" width="11.42578125" style="37" customWidth="1"/>
    <col min="13070" max="13071" width="10.5703125" style="37" bestFit="1" customWidth="1"/>
    <col min="13072" max="13073" width="11.42578125" style="37" customWidth="1"/>
    <col min="13074" max="13074" width="6.140625" style="37" customWidth="1"/>
    <col min="13075" max="13085" width="11.42578125" style="37" customWidth="1"/>
    <col min="13086" max="13315" width="11.42578125" style="37"/>
    <col min="13316" max="13316" width="5.28515625" style="37" customWidth="1"/>
    <col min="13317" max="13317" width="15.28515625" style="37" customWidth="1"/>
    <col min="13318" max="13318" width="14.42578125" style="37" bestFit="1" customWidth="1"/>
    <col min="13319" max="13319" width="10.42578125" style="37" bestFit="1" customWidth="1"/>
    <col min="13320" max="13320" width="12.28515625" style="37" customWidth="1"/>
    <col min="13321" max="13325" width="11.42578125" style="37" customWidth="1"/>
    <col min="13326" max="13327" width="10.5703125" style="37" bestFit="1" customWidth="1"/>
    <col min="13328" max="13329" width="11.42578125" style="37" customWidth="1"/>
    <col min="13330" max="13330" width="6.140625" style="37" customWidth="1"/>
    <col min="13331" max="13341" width="11.42578125" style="37" customWidth="1"/>
    <col min="13342" max="13571" width="11.42578125" style="37"/>
    <col min="13572" max="13572" width="5.28515625" style="37" customWidth="1"/>
    <col min="13573" max="13573" width="15.28515625" style="37" customWidth="1"/>
    <col min="13574" max="13574" width="14.42578125" style="37" bestFit="1" customWidth="1"/>
    <col min="13575" max="13575" width="10.42578125" style="37" bestFit="1" customWidth="1"/>
    <col min="13576" max="13576" width="12.28515625" style="37" customWidth="1"/>
    <col min="13577" max="13581" width="11.42578125" style="37" customWidth="1"/>
    <col min="13582" max="13583" width="10.5703125" style="37" bestFit="1" customWidth="1"/>
    <col min="13584" max="13585" width="11.42578125" style="37" customWidth="1"/>
    <col min="13586" max="13586" width="6.140625" style="37" customWidth="1"/>
    <col min="13587" max="13597" width="11.42578125" style="37" customWidth="1"/>
    <col min="13598" max="13827" width="11.42578125" style="37"/>
    <col min="13828" max="13828" width="5.28515625" style="37" customWidth="1"/>
    <col min="13829" max="13829" width="15.28515625" style="37" customWidth="1"/>
    <col min="13830" max="13830" width="14.42578125" style="37" bestFit="1" customWidth="1"/>
    <col min="13831" max="13831" width="10.42578125" style="37" bestFit="1" customWidth="1"/>
    <col min="13832" max="13832" width="12.28515625" style="37" customWidth="1"/>
    <col min="13833" max="13837" width="11.42578125" style="37" customWidth="1"/>
    <col min="13838" max="13839" width="10.5703125" style="37" bestFit="1" customWidth="1"/>
    <col min="13840" max="13841" width="11.42578125" style="37" customWidth="1"/>
    <col min="13842" max="13842" width="6.140625" style="37" customWidth="1"/>
    <col min="13843" max="13853" width="11.42578125" style="37" customWidth="1"/>
    <col min="13854" max="14083" width="11.42578125" style="37"/>
    <col min="14084" max="14084" width="5.28515625" style="37" customWidth="1"/>
    <col min="14085" max="14085" width="15.28515625" style="37" customWidth="1"/>
    <col min="14086" max="14086" width="14.42578125" style="37" bestFit="1" customWidth="1"/>
    <col min="14087" max="14087" width="10.42578125" style="37" bestFit="1" customWidth="1"/>
    <col min="14088" max="14088" width="12.28515625" style="37" customWidth="1"/>
    <col min="14089" max="14093" width="11.42578125" style="37" customWidth="1"/>
    <col min="14094" max="14095" width="10.5703125" style="37" bestFit="1" customWidth="1"/>
    <col min="14096" max="14097" width="11.42578125" style="37" customWidth="1"/>
    <col min="14098" max="14098" width="6.140625" style="37" customWidth="1"/>
    <col min="14099" max="14109" width="11.42578125" style="37" customWidth="1"/>
    <col min="14110" max="14339" width="11.42578125" style="37"/>
    <col min="14340" max="14340" width="5.28515625" style="37" customWidth="1"/>
    <col min="14341" max="14341" width="15.28515625" style="37" customWidth="1"/>
    <col min="14342" max="14342" width="14.42578125" style="37" bestFit="1" customWidth="1"/>
    <col min="14343" max="14343" width="10.42578125" style="37" bestFit="1" customWidth="1"/>
    <col min="14344" max="14344" width="12.28515625" style="37" customWidth="1"/>
    <col min="14345" max="14349" width="11.42578125" style="37" customWidth="1"/>
    <col min="14350" max="14351" width="10.5703125" style="37" bestFit="1" customWidth="1"/>
    <col min="14352" max="14353" width="11.42578125" style="37" customWidth="1"/>
    <col min="14354" max="14354" width="6.140625" style="37" customWidth="1"/>
    <col min="14355" max="14365" width="11.42578125" style="37" customWidth="1"/>
    <col min="14366" max="14595" width="11.42578125" style="37"/>
    <col min="14596" max="14596" width="5.28515625" style="37" customWidth="1"/>
    <col min="14597" max="14597" width="15.28515625" style="37" customWidth="1"/>
    <col min="14598" max="14598" width="14.42578125" style="37" bestFit="1" customWidth="1"/>
    <col min="14599" max="14599" width="10.42578125" style="37" bestFit="1" customWidth="1"/>
    <col min="14600" max="14600" width="12.28515625" style="37" customWidth="1"/>
    <col min="14601" max="14605" width="11.42578125" style="37" customWidth="1"/>
    <col min="14606" max="14607" width="10.5703125" style="37" bestFit="1" customWidth="1"/>
    <col min="14608" max="14609" width="11.42578125" style="37" customWidth="1"/>
    <col min="14610" max="14610" width="6.140625" style="37" customWidth="1"/>
    <col min="14611" max="14621" width="11.42578125" style="37" customWidth="1"/>
    <col min="14622" max="14851" width="11.42578125" style="37"/>
    <col min="14852" max="14852" width="5.28515625" style="37" customWidth="1"/>
    <col min="14853" max="14853" width="15.28515625" style="37" customWidth="1"/>
    <col min="14854" max="14854" width="14.42578125" style="37" bestFit="1" customWidth="1"/>
    <col min="14855" max="14855" width="10.42578125" style="37" bestFit="1" customWidth="1"/>
    <col min="14856" max="14856" width="12.28515625" style="37" customWidth="1"/>
    <col min="14857" max="14861" width="11.42578125" style="37" customWidth="1"/>
    <col min="14862" max="14863" width="10.5703125" style="37" bestFit="1" customWidth="1"/>
    <col min="14864" max="14865" width="11.42578125" style="37" customWidth="1"/>
    <col min="14866" max="14866" width="6.140625" style="37" customWidth="1"/>
    <col min="14867" max="14877" width="11.42578125" style="37" customWidth="1"/>
    <col min="14878" max="15107" width="11.42578125" style="37"/>
    <col min="15108" max="15108" width="5.28515625" style="37" customWidth="1"/>
    <col min="15109" max="15109" width="15.28515625" style="37" customWidth="1"/>
    <col min="15110" max="15110" width="14.42578125" style="37" bestFit="1" customWidth="1"/>
    <col min="15111" max="15111" width="10.42578125" style="37" bestFit="1" customWidth="1"/>
    <col min="15112" max="15112" width="12.28515625" style="37" customWidth="1"/>
    <col min="15113" max="15117" width="11.42578125" style="37" customWidth="1"/>
    <col min="15118" max="15119" width="10.5703125" style="37" bestFit="1" customWidth="1"/>
    <col min="15120" max="15121" width="11.42578125" style="37" customWidth="1"/>
    <col min="15122" max="15122" width="6.140625" style="37" customWidth="1"/>
    <col min="15123" max="15133" width="11.42578125" style="37" customWidth="1"/>
    <col min="15134" max="15363" width="11.42578125" style="37"/>
    <col min="15364" max="15364" width="5.28515625" style="37" customWidth="1"/>
    <col min="15365" max="15365" width="15.28515625" style="37" customWidth="1"/>
    <col min="15366" max="15366" width="14.42578125" style="37" bestFit="1" customWidth="1"/>
    <col min="15367" max="15367" width="10.42578125" style="37" bestFit="1" customWidth="1"/>
    <col min="15368" max="15368" width="12.28515625" style="37" customWidth="1"/>
    <col min="15369" max="15373" width="11.42578125" style="37" customWidth="1"/>
    <col min="15374" max="15375" width="10.5703125" style="37" bestFit="1" customWidth="1"/>
    <col min="15376" max="15377" width="11.42578125" style="37" customWidth="1"/>
    <col min="15378" max="15378" width="6.140625" style="37" customWidth="1"/>
    <col min="15379" max="15389" width="11.42578125" style="37" customWidth="1"/>
    <col min="15390" max="15619" width="11.42578125" style="37"/>
    <col min="15620" max="15620" width="5.28515625" style="37" customWidth="1"/>
    <col min="15621" max="15621" width="15.28515625" style="37" customWidth="1"/>
    <col min="15622" max="15622" width="14.42578125" style="37" bestFit="1" customWidth="1"/>
    <col min="15623" max="15623" width="10.42578125" style="37" bestFit="1" customWidth="1"/>
    <col min="15624" max="15624" width="12.28515625" style="37" customWidth="1"/>
    <col min="15625" max="15629" width="11.42578125" style="37" customWidth="1"/>
    <col min="15630" max="15631" width="10.5703125" style="37" bestFit="1" customWidth="1"/>
    <col min="15632" max="15633" width="11.42578125" style="37" customWidth="1"/>
    <col min="15634" max="15634" width="6.140625" style="37" customWidth="1"/>
    <col min="15635" max="15645" width="11.42578125" style="37" customWidth="1"/>
    <col min="15646" max="15875" width="11.42578125" style="37"/>
    <col min="15876" max="15876" width="5.28515625" style="37" customWidth="1"/>
    <col min="15877" max="15877" width="15.28515625" style="37" customWidth="1"/>
    <col min="15878" max="15878" width="14.42578125" style="37" bestFit="1" customWidth="1"/>
    <col min="15879" max="15879" width="10.42578125" style="37" bestFit="1" customWidth="1"/>
    <col min="15880" max="15880" width="12.28515625" style="37" customWidth="1"/>
    <col min="15881" max="15885" width="11.42578125" style="37" customWidth="1"/>
    <col min="15886" max="15887" width="10.5703125" style="37" bestFit="1" customWidth="1"/>
    <col min="15888" max="15889" width="11.42578125" style="37" customWidth="1"/>
    <col min="15890" max="15890" width="6.140625" style="37" customWidth="1"/>
    <col min="15891" max="15901" width="11.42578125" style="37" customWidth="1"/>
    <col min="15902" max="16131" width="11.42578125" style="37"/>
    <col min="16132" max="16132" width="5.28515625" style="37" customWidth="1"/>
    <col min="16133" max="16133" width="15.28515625" style="37" customWidth="1"/>
    <col min="16134" max="16134" width="14.42578125" style="37" bestFit="1" customWidth="1"/>
    <col min="16135" max="16135" width="10.42578125" style="37" bestFit="1" customWidth="1"/>
    <col min="16136" max="16136" width="12.28515625" style="37" customWidth="1"/>
    <col min="16137" max="16141" width="11.42578125" style="37" customWidth="1"/>
    <col min="16142" max="16143" width="10.5703125" style="37" bestFit="1" customWidth="1"/>
    <col min="16144" max="16145" width="11.42578125" style="37" customWidth="1"/>
    <col min="16146" max="16146" width="6.140625" style="37" customWidth="1"/>
    <col min="16147" max="16157" width="11.42578125" style="37" customWidth="1"/>
    <col min="16158" max="16384" width="11.42578125" style="37"/>
  </cols>
  <sheetData>
    <row r="1" spans="1:62" s="129" customFormat="1" ht="10.5" customHeight="1" thickBot="1" x14ac:dyDescent="0.3">
      <c r="Q1" s="38"/>
    </row>
    <row r="2" spans="1:62" s="129" customFormat="1" x14ac:dyDescent="0.25">
      <c r="B2" s="259"/>
      <c r="C2" s="260"/>
      <c r="D2" s="260"/>
      <c r="E2" s="260"/>
      <c r="F2" s="260"/>
      <c r="G2" s="260"/>
      <c r="H2" s="260"/>
      <c r="I2" s="260"/>
      <c r="J2" s="260"/>
      <c r="K2" s="260"/>
      <c r="L2" s="260"/>
      <c r="M2" s="260"/>
      <c r="N2" s="260"/>
      <c r="O2" s="260"/>
      <c r="P2" s="260"/>
      <c r="Q2" s="260"/>
      <c r="R2" s="260"/>
      <c r="S2" s="260"/>
      <c r="T2" s="261"/>
    </row>
    <row r="3" spans="1:62" s="1" customFormat="1" ht="36" x14ac:dyDescent="0.25">
      <c r="B3" s="262"/>
      <c r="C3" s="276"/>
      <c r="D3" s="276"/>
      <c r="E3" s="276"/>
      <c r="F3" s="276"/>
      <c r="G3" s="276"/>
      <c r="H3" s="276"/>
      <c r="I3" s="276"/>
      <c r="J3" s="276"/>
      <c r="K3" s="276"/>
      <c r="L3" s="276"/>
      <c r="M3" s="276"/>
      <c r="N3" s="276"/>
      <c r="O3" s="276"/>
      <c r="P3" s="276"/>
      <c r="Q3" s="276"/>
      <c r="R3" s="276"/>
      <c r="S3" s="276"/>
      <c r="T3" s="263"/>
      <c r="U3" s="129"/>
      <c r="V3" s="1" t="s">
        <v>1253</v>
      </c>
      <c r="W3" s="189">
        <v>1</v>
      </c>
      <c r="X3" s="129"/>
      <c r="Y3" s="129"/>
      <c r="Z3" s="129"/>
      <c r="AA3" s="129"/>
      <c r="AB3" s="129"/>
      <c r="AC3" s="129"/>
      <c r="AD3" s="129"/>
      <c r="AE3" s="129"/>
      <c r="BI3" s="59"/>
      <c r="BJ3" s="59"/>
    </row>
    <row r="4" spans="1:62" s="1" customFormat="1" ht="33" customHeight="1" x14ac:dyDescent="0.25">
      <c r="B4" s="262"/>
      <c r="C4" s="294" t="s">
        <v>593</v>
      </c>
      <c r="D4" s="294"/>
      <c r="E4" s="294"/>
      <c r="F4" s="294"/>
      <c r="G4" s="294"/>
      <c r="H4" s="294"/>
      <c r="I4" s="294"/>
      <c r="J4" s="252"/>
      <c r="K4" s="252"/>
      <c r="L4" s="252"/>
      <c r="M4" s="252"/>
      <c r="N4" s="252"/>
      <c r="O4" s="252"/>
      <c r="P4" s="252"/>
      <c r="Q4" s="252"/>
      <c r="R4" s="252"/>
      <c r="S4" s="252"/>
      <c r="T4" s="263"/>
      <c r="V4" s="129" t="s">
        <v>1251</v>
      </c>
      <c r="W4" s="187">
        <f>SUMIFS(CampList[HH],CampList[Status],"open",CampList[Opening Date],"&gt;=" &amp; NFI_Monitor_Date)</f>
        <v>495</v>
      </c>
      <c r="X4" s="129"/>
      <c r="Y4" s="129"/>
      <c r="Z4" s="129"/>
      <c r="AA4" s="129"/>
      <c r="AB4" s="129"/>
      <c r="AC4" s="129"/>
      <c r="AD4" s="129"/>
      <c r="AE4" s="129"/>
      <c r="AF4" s="82"/>
      <c r="AG4" s="82"/>
      <c r="AH4" s="82"/>
      <c r="AI4" s="82"/>
      <c r="AJ4" s="82"/>
      <c r="AK4" s="82"/>
      <c r="AL4" s="82"/>
      <c r="AM4" s="82"/>
      <c r="AN4" s="82"/>
      <c r="AO4" s="82"/>
      <c r="AP4" s="82"/>
      <c r="AQ4" s="82"/>
      <c r="AR4" s="82"/>
      <c r="AS4" s="82"/>
      <c r="BC4" s="59"/>
      <c r="BD4" s="59"/>
    </row>
    <row r="5" spans="1:62" s="18" customFormat="1" ht="12.75" customHeight="1" x14ac:dyDescent="0.25">
      <c r="B5" s="262"/>
      <c r="C5" s="885">
        <f>Report_Date</f>
        <v>42309</v>
      </c>
      <c r="D5" s="885"/>
      <c r="E5" s="885"/>
      <c r="F5" s="885"/>
      <c r="G5" s="885"/>
      <c r="H5" s="885"/>
      <c r="I5" s="295"/>
      <c r="J5" s="252"/>
      <c r="K5" s="252"/>
      <c r="L5" s="252"/>
      <c r="M5" s="252"/>
      <c r="N5" s="252"/>
      <c r="O5" s="252"/>
      <c r="P5" s="252"/>
      <c r="Q5" s="252"/>
      <c r="R5" s="252"/>
      <c r="S5" s="252"/>
      <c r="T5" s="263"/>
      <c r="V5" s="129" t="s">
        <v>1252</v>
      </c>
      <c r="W5" s="187">
        <f>SUMIFS(CampList[HH],CampList[Status],"open",CampList[Priority],"P1")</f>
        <v>1868</v>
      </c>
      <c r="X5" s="129"/>
      <c r="Y5" s="129"/>
      <c r="Z5" s="129"/>
      <c r="AA5" s="129"/>
      <c r="AB5" s="129"/>
      <c r="AC5" s="129"/>
      <c r="AD5" s="129"/>
      <c r="AE5" s="129"/>
      <c r="AF5" s="82"/>
      <c r="AG5" s="82"/>
      <c r="AH5" s="82"/>
      <c r="AI5" s="82"/>
      <c r="AJ5" s="82"/>
      <c r="AK5" s="82"/>
      <c r="AL5" s="82"/>
      <c r="AM5" s="82"/>
      <c r="AN5" s="82"/>
      <c r="AO5" s="82"/>
      <c r="AP5" s="82"/>
      <c r="AQ5" s="82"/>
      <c r="AR5" s="82"/>
      <c r="AS5" s="82"/>
      <c r="BC5" s="60"/>
      <c r="BD5" s="60"/>
    </row>
    <row r="6" spans="1:62" s="47" customFormat="1" ht="44.25" customHeight="1" x14ac:dyDescent="0.55000000000000004">
      <c r="B6" s="299"/>
      <c r="C6" s="296"/>
      <c r="D6" s="297"/>
      <c r="E6" s="297"/>
      <c r="F6" s="297"/>
      <c r="G6" s="297"/>
      <c r="H6" s="297"/>
      <c r="I6" s="297"/>
      <c r="J6" s="297"/>
      <c r="K6" s="297"/>
      <c r="L6" s="297"/>
      <c r="M6" s="297"/>
      <c r="N6" s="297"/>
      <c r="O6" s="297"/>
      <c r="P6" s="297"/>
      <c r="Q6" s="298"/>
      <c r="R6" s="297"/>
      <c r="S6" s="297"/>
      <c r="T6" s="300"/>
    </row>
    <row r="7" spans="1:62" s="47" customFormat="1" ht="7.5" customHeight="1" x14ac:dyDescent="0.55000000000000004">
      <c r="B7" s="478"/>
      <c r="C7" s="479"/>
      <c r="D7" s="480"/>
      <c r="E7" s="480"/>
      <c r="F7" s="480"/>
      <c r="G7" s="480"/>
      <c r="H7" s="480"/>
      <c r="I7" s="480"/>
      <c r="J7" s="480"/>
      <c r="K7" s="480"/>
      <c r="L7" s="480"/>
      <c r="M7" s="480"/>
      <c r="N7" s="480"/>
      <c r="O7" s="480"/>
      <c r="P7" s="480"/>
      <c r="Q7" s="481"/>
      <c r="R7" s="480"/>
      <c r="S7" s="480"/>
      <c r="T7" s="482"/>
    </row>
    <row r="8" spans="1:62" s="82" customFormat="1" ht="12.75" customHeight="1" x14ac:dyDescent="0.35">
      <c r="A8" s="129"/>
      <c r="B8" s="283"/>
      <c r="C8" s="39"/>
      <c r="D8" s="39"/>
      <c r="E8" s="39"/>
      <c r="F8" s="39"/>
      <c r="G8" s="39"/>
      <c r="H8" s="39"/>
      <c r="I8" s="39"/>
      <c r="J8" s="39"/>
      <c r="K8" s="39"/>
      <c r="L8" s="39"/>
      <c r="M8" s="39"/>
      <c r="N8" s="39"/>
      <c r="O8" s="39"/>
      <c r="P8" s="39"/>
      <c r="Q8" s="483"/>
      <c r="R8" s="39"/>
      <c r="S8" s="39"/>
      <c r="T8" s="277"/>
      <c r="U8" s="129"/>
      <c r="V8" s="129"/>
      <c r="W8" s="129"/>
      <c r="X8" s="129"/>
      <c r="Y8" s="129"/>
      <c r="Z8" s="129"/>
      <c r="AA8" s="129"/>
      <c r="AB8" s="129"/>
      <c r="AC8" s="129"/>
      <c r="AD8" s="129"/>
      <c r="AE8" s="129"/>
    </row>
    <row r="9" spans="1:62" s="82" customFormat="1" ht="12.75" customHeight="1" x14ac:dyDescent="0.25">
      <c r="A9" s="129"/>
      <c r="B9" s="283"/>
      <c r="C9" s="39"/>
      <c r="D9" s="39"/>
      <c r="E9" s="39"/>
      <c r="F9" s="39"/>
      <c r="G9" s="39"/>
      <c r="H9" s="39"/>
      <c r="I9" s="39"/>
      <c r="J9" s="39"/>
      <c r="K9" s="39"/>
      <c r="L9" s="39"/>
      <c r="M9" s="39"/>
      <c r="N9" s="39"/>
      <c r="O9" s="39"/>
      <c r="P9" s="39"/>
      <c r="Q9" s="39"/>
      <c r="R9" s="39"/>
      <c r="S9" s="39"/>
      <c r="T9" s="277"/>
      <c r="U9" s="129"/>
      <c r="V9" s="129"/>
      <c r="W9" s="129"/>
      <c r="X9" s="129"/>
      <c r="Y9" s="129"/>
      <c r="Z9" s="129"/>
      <c r="AA9" s="129"/>
      <c r="AB9" s="129"/>
      <c r="AC9" s="129"/>
      <c r="AD9" s="129"/>
      <c r="AE9" s="129"/>
    </row>
    <row r="10" spans="1:62" ht="12.75" customHeight="1" thickBot="1" x14ac:dyDescent="0.3">
      <c r="B10" s="283"/>
      <c r="C10" s="39"/>
      <c r="D10" s="39"/>
      <c r="E10" s="39"/>
      <c r="F10" s="39"/>
      <c r="G10" s="39"/>
      <c r="H10" s="39"/>
      <c r="I10" s="39"/>
      <c r="J10" s="39"/>
      <c r="K10" s="39"/>
      <c r="L10" s="39"/>
      <c r="M10" s="39"/>
      <c r="N10" s="39"/>
      <c r="O10" s="39"/>
      <c r="P10" s="39"/>
      <c r="Q10" s="39"/>
      <c r="R10" s="39"/>
      <c r="S10" s="39"/>
      <c r="T10" s="277"/>
      <c r="Y10" s="1"/>
    </row>
    <row r="11" spans="1:62" ht="12.75" customHeight="1" x14ac:dyDescent="0.25">
      <c r="B11" s="283"/>
      <c r="C11" s="39"/>
      <c r="D11" s="39"/>
      <c r="E11" s="39"/>
      <c r="F11" s="39"/>
      <c r="G11" s="39"/>
      <c r="H11" s="39"/>
      <c r="I11" s="39"/>
      <c r="J11" s="39"/>
      <c r="K11" s="39"/>
      <c r="L11" s="39"/>
      <c r="M11" s="39"/>
      <c r="N11" s="39"/>
      <c r="O11" s="39"/>
      <c r="P11" s="39"/>
      <c r="Q11" s="39"/>
      <c r="R11" s="39"/>
      <c r="S11" s="39"/>
      <c r="T11" s="277"/>
      <c r="W11" s="301"/>
      <c r="X11" s="302"/>
      <c r="Y11" s="488"/>
      <c r="Z11" s="489"/>
      <c r="AA11" s="489"/>
      <c r="AB11" s="489"/>
      <c r="AC11" s="489"/>
      <c r="AD11" s="489"/>
      <c r="AE11" s="489"/>
      <c r="AF11" s="490"/>
    </row>
    <row r="12" spans="1:62" ht="24" customHeight="1" x14ac:dyDescent="0.25">
      <c r="B12" s="283"/>
      <c r="C12" s="200" t="s">
        <v>587</v>
      </c>
      <c r="D12" s="201" t="s">
        <v>456</v>
      </c>
      <c r="E12" s="202" t="s">
        <v>837</v>
      </c>
      <c r="F12" s="203" t="s">
        <v>833</v>
      </c>
      <c r="G12" s="203" t="s">
        <v>834</v>
      </c>
      <c r="H12" s="204" t="s">
        <v>835</v>
      </c>
      <c r="I12" s="204" t="s">
        <v>836</v>
      </c>
      <c r="J12" s="205" t="s">
        <v>1254</v>
      </c>
      <c r="K12" s="39"/>
      <c r="L12" s="200" t="s">
        <v>587</v>
      </c>
      <c r="M12" s="201" t="s">
        <v>456</v>
      </c>
      <c r="N12" s="202" t="s">
        <v>837</v>
      </c>
      <c r="O12" s="203" t="s">
        <v>833</v>
      </c>
      <c r="P12" s="203" t="s">
        <v>834</v>
      </c>
      <c r="Q12" s="204" t="s">
        <v>835</v>
      </c>
      <c r="R12" s="204" t="s">
        <v>836</v>
      </c>
      <c r="S12" s="205" t="s">
        <v>1254</v>
      </c>
      <c r="T12" s="277"/>
      <c r="W12" s="48"/>
      <c r="X12" s="1"/>
      <c r="Y12" s="283"/>
      <c r="Z12" s="484" t="s">
        <v>837</v>
      </c>
      <c r="AA12" s="484" t="s">
        <v>838</v>
      </c>
      <c r="AB12" s="142" t="s">
        <v>839</v>
      </c>
      <c r="AC12" s="142" t="s">
        <v>840</v>
      </c>
      <c r="AD12" s="143" t="s">
        <v>841</v>
      </c>
      <c r="AE12" s="143" t="s">
        <v>842</v>
      </c>
      <c r="AF12" s="277"/>
    </row>
    <row r="13" spans="1:62" ht="12.75" customHeight="1" x14ac:dyDescent="0.25">
      <c r="B13" s="283"/>
      <c r="C13" s="206" t="s">
        <v>597</v>
      </c>
      <c r="D13" s="207">
        <f t="shared" ref="D13:D19" si="0">VLOOKUP($C13,NFI,6,0)</f>
        <v>2</v>
      </c>
      <c r="E13" s="208">
        <f>$W$4*D13</f>
        <v>990</v>
      </c>
      <c r="F13" s="209">
        <f ca="1">SUMIFS(Table_NFI[Mosquito net_LS],Table_NFI[opening_date],1,Table_NFI[Status],"open")</f>
        <v>0</v>
      </c>
      <c r="G13" s="210">
        <f t="shared" ref="G13:G18" ca="1" si="1">IF((F13/E13)&gt;100%,100%,(F13/E13))</f>
        <v>0</v>
      </c>
      <c r="H13" s="209">
        <f ca="1">SUM(INDIRECT(VLOOKUP($C13,NFI,3,0)))</f>
        <v>3306</v>
      </c>
      <c r="I13" s="211">
        <f ca="1">H13/E13</f>
        <v>3.3393939393939394</v>
      </c>
      <c r="J13" s="212">
        <f ca="1">MAX(0,1-G13-I13)</f>
        <v>0</v>
      </c>
      <c r="K13" s="39"/>
      <c r="L13" s="206" t="s">
        <v>994</v>
      </c>
      <c r="M13" s="207">
        <f>VLOOKUP($L13,NFI,6,0)</f>
        <v>2</v>
      </c>
      <c r="N13" s="208">
        <f>$W$5*M13</f>
        <v>3736</v>
      </c>
      <c r="O13" s="209">
        <f ca="1">SUMIFS(Table_NFI[Winter Clothes Adult_LS],Table_NFI[Priority],"P1",Table_NFI[Status],"open")</f>
        <v>2573</v>
      </c>
      <c r="P13" s="210">
        <f t="shared" ref="P13:P14" ca="1" si="2">IF((O13/N13)&gt;100%,100%,(O13/N13))</f>
        <v>0.6887044967880086</v>
      </c>
      <c r="Q13" s="209">
        <f ca="1">SUM(INDIRECT(VLOOKUP($L13,NFI,3,0)))</f>
        <v>0</v>
      </c>
      <c r="R13" s="211">
        <f t="shared" ref="R13:R14" ca="1" si="3">Q13/N13</f>
        <v>0</v>
      </c>
      <c r="S13" s="212">
        <f ca="1">MAX(0,1-P13-R13)</f>
        <v>0.3112955032119914</v>
      </c>
      <c r="T13" s="277"/>
      <c r="W13" s="48"/>
      <c r="X13" s="1"/>
      <c r="Y13" s="283"/>
      <c r="Z13" s="88">
        <f t="shared" ref="Z13:Z19" ca="1" si="4">IF((E13-(SUM(F13:H13)))&lt;0,0,(E13-(SUM(F13:H13))))</f>
        <v>0</v>
      </c>
      <c r="AA13" s="485">
        <f t="shared" ref="AA13:AA19" ca="1" si="5">Z13/E13</f>
        <v>0</v>
      </c>
      <c r="AB13" s="88">
        <f t="shared" ref="AB13:AB19" ca="1" si="6">SUMIFS(INDIRECT(VLOOKUP($C13,NFI,4,0)),NFI_Pipeline_State,$C$6)</f>
        <v>0</v>
      </c>
      <c r="AC13" s="87">
        <f t="shared" ref="AC13:AC19" ca="1" si="7">AB13/E13</f>
        <v>0</v>
      </c>
      <c r="AD13" s="89">
        <f t="shared" ref="AD13:AD19" ca="1" si="8">IF((E13-(F13+H13+AB13))&lt;0,0,(E13-(F13+H13+AB13)))</f>
        <v>0</v>
      </c>
      <c r="AE13" s="90">
        <f t="shared" ref="AE13:AE19" ca="1" si="9">AD13/E13</f>
        <v>0</v>
      </c>
      <c r="AF13" s="277"/>
    </row>
    <row r="14" spans="1:62" ht="12.75" customHeight="1" x14ac:dyDescent="0.25">
      <c r="B14" s="283"/>
      <c r="C14" s="206" t="s">
        <v>459</v>
      </c>
      <c r="D14" s="207">
        <f t="shared" si="0"/>
        <v>1</v>
      </c>
      <c r="E14" s="208">
        <f t="shared" ref="E14:E19" si="10">$W$4*D14</f>
        <v>495</v>
      </c>
      <c r="F14" s="209">
        <f ca="1">SUMIFS(Table_NFI[Tarpaulin_LS],Table_NFI[opening_date],1,Table_NFI[Status],"open")</f>
        <v>0</v>
      </c>
      <c r="G14" s="210">
        <f t="shared" ca="1" si="1"/>
        <v>0</v>
      </c>
      <c r="H14" s="209">
        <f ca="1">SUM(INDIRECT(VLOOKUP($C14,NFI,3,0)))</f>
        <v>1475</v>
      </c>
      <c r="I14" s="211">
        <f ca="1">H14/E14</f>
        <v>2.9797979797979797</v>
      </c>
      <c r="J14" s="212">
        <f t="shared" ref="J14:J19" ca="1" si="11">MAX(0,1-G14-I14)</f>
        <v>0</v>
      </c>
      <c r="K14" s="39"/>
      <c r="L14" s="206" t="s">
        <v>998</v>
      </c>
      <c r="M14" s="207">
        <f>VLOOKUP($L14,NFI,6,0)</f>
        <v>3</v>
      </c>
      <c r="N14" s="208">
        <f>$W$5*M14</f>
        <v>5604</v>
      </c>
      <c r="O14" s="209">
        <f ca="1">SUMIFS(Table_NFI[Winter Clothes Children_LS],Table_NFI[Priority],"P1",Table_NFI[Status],"open")</f>
        <v>3040</v>
      </c>
      <c r="P14" s="210">
        <f t="shared" ca="1" si="2"/>
        <v>0.54246966452533907</v>
      </c>
      <c r="Q14" s="209">
        <f ca="1">SUM(INDIRECT(VLOOKUP($L14,NFI,3,0)))</f>
        <v>0</v>
      </c>
      <c r="R14" s="211">
        <f t="shared" ca="1" si="3"/>
        <v>0</v>
      </c>
      <c r="S14" s="212">
        <f ca="1">MAX(0,1-P14-R14)</f>
        <v>0.45753033547466093</v>
      </c>
      <c r="T14" s="277"/>
      <c r="W14" s="48"/>
      <c r="X14" s="1"/>
      <c r="Y14" s="283"/>
      <c r="Z14" s="88">
        <f t="shared" ca="1" si="4"/>
        <v>0</v>
      </c>
      <c r="AA14" s="485">
        <f t="shared" ca="1" si="5"/>
        <v>0</v>
      </c>
      <c r="AB14" s="88">
        <f t="shared" ca="1" si="6"/>
        <v>0</v>
      </c>
      <c r="AC14" s="87">
        <f t="shared" ca="1" si="7"/>
        <v>0</v>
      </c>
      <c r="AD14" s="89">
        <f t="shared" ca="1" si="8"/>
        <v>0</v>
      </c>
      <c r="AE14" s="90">
        <f t="shared" ca="1" si="9"/>
        <v>0</v>
      </c>
      <c r="AF14" s="277"/>
    </row>
    <row r="15" spans="1:62" x14ac:dyDescent="0.25">
      <c r="B15" s="283"/>
      <c r="C15" s="206" t="s">
        <v>436</v>
      </c>
      <c r="D15" s="207">
        <f t="shared" si="0"/>
        <v>2</v>
      </c>
      <c r="E15" s="208">
        <f t="shared" si="10"/>
        <v>990</v>
      </c>
      <c r="F15" s="209">
        <f ca="1">SUMIFS(Table_NFI[Blanket_LS],Table_NFI[opening_date],1,Table_NFI[Status],"open")</f>
        <v>0</v>
      </c>
      <c r="G15" s="210">
        <f t="shared" ca="1" si="1"/>
        <v>0</v>
      </c>
      <c r="H15" s="209">
        <f t="shared" ref="H15:H19" ca="1" si="12">SUM(INDIRECT(VLOOKUP($C15,NFI,3,0)))</f>
        <v>4637</v>
      </c>
      <c r="I15" s="211">
        <f ca="1">H15/E15</f>
        <v>4.6838383838383839</v>
      </c>
      <c r="J15" s="212">
        <f ca="1">MAX(0,1-G15-I15)</f>
        <v>0</v>
      </c>
      <c r="K15" s="39"/>
      <c r="L15" s="206" t="s">
        <v>1120</v>
      </c>
      <c r="M15" s="207">
        <f>VLOOKUP(L15,NFI,6,0)</f>
        <v>2</v>
      </c>
      <c r="N15" s="208">
        <f>$W$5*M15</f>
        <v>3736</v>
      </c>
      <c r="O15" s="209">
        <f ca="1">SUMIFS(Table_NFI[Winter Blanket_LS],Table_NFI[Priority],"P1",Table_NFI[Status],"open")</f>
        <v>2157</v>
      </c>
      <c r="P15" s="210">
        <f ca="1">IF((O15/N15)&gt;100%,100%,(O15/N15))</f>
        <v>0.57735546038543895</v>
      </c>
      <c r="Q15" s="209">
        <f ca="1">SUM(INDIRECT(VLOOKUP($L15,NFI,3,0)))</f>
        <v>1053</v>
      </c>
      <c r="R15" s="211">
        <f t="shared" ref="R15" ca="1" si="13">Q15/N15</f>
        <v>0.2818522483940043</v>
      </c>
      <c r="S15" s="212">
        <f ca="1">MAX(0,1-P15-R15)</f>
        <v>0.14079229122055675</v>
      </c>
      <c r="T15" s="277"/>
      <c r="W15" s="48"/>
      <c r="X15" s="1"/>
      <c r="Y15" s="283"/>
      <c r="Z15" s="88">
        <f t="shared" ca="1" si="4"/>
        <v>0</v>
      </c>
      <c r="AA15" s="485">
        <f t="shared" ca="1" si="5"/>
        <v>0</v>
      </c>
      <c r="AB15" s="88">
        <f t="shared" ca="1" si="6"/>
        <v>0</v>
      </c>
      <c r="AC15" s="87">
        <f t="shared" ca="1" si="7"/>
        <v>0</v>
      </c>
      <c r="AD15" s="89">
        <f t="shared" ca="1" si="8"/>
        <v>0</v>
      </c>
      <c r="AE15" s="90">
        <f t="shared" ca="1" si="9"/>
        <v>0</v>
      </c>
      <c r="AF15" s="277"/>
    </row>
    <row r="16" spans="1:62" x14ac:dyDescent="0.25">
      <c r="B16" s="283"/>
      <c r="C16" s="206" t="s">
        <v>437</v>
      </c>
      <c r="D16" s="207">
        <f t="shared" si="0"/>
        <v>1</v>
      </c>
      <c r="E16" s="208">
        <f t="shared" si="10"/>
        <v>495</v>
      </c>
      <c r="F16" s="209">
        <f ca="1">SUMIFS(Table_NFI[Kitchen Set_LS],Table_NFI[opening_date],1,Table_NFI[Status],"open")</f>
        <v>0</v>
      </c>
      <c r="G16" s="210">
        <f t="shared" ca="1" si="1"/>
        <v>0</v>
      </c>
      <c r="H16" s="209">
        <f t="shared" ca="1" si="12"/>
        <v>1181</v>
      </c>
      <c r="I16" s="211">
        <f ca="1">H16/E16</f>
        <v>2.3858585858585859</v>
      </c>
      <c r="J16" s="212">
        <f t="shared" ca="1" si="11"/>
        <v>0</v>
      </c>
      <c r="K16" s="39"/>
      <c r="L16" s="39"/>
      <c r="M16" s="39"/>
      <c r="N16" s="39"/>
      <c r="O16" s="39"/>
      <c r="P16" s="39"/>
      <c r="Q16" s="39"/>
      <c r="R16" s="39"/>
      <c r="S16" s="39"/>
      <c r="T16" s="277"/>
      <c r="W16" s="48"/>
      <c r="X16" s="1"/>
      <c r="Y16" s="283"/>
      <c r="Z16" s="88">
        <f t="shared" ca="1" si="4"/>
        <v>0</v>
      </c>
      <c r="AA16" s="485">
        <f t="shared" ca="1" si="5"/>
        <v>0</v>
      </c>
      <c r="AB16" s="88">
        <f t="shared" ca="1" si="6"/>
        <v>0</v>
      </c>
      <c r="AC16" s="87">
        <f t="shared" ca="1" si="7"/>
        <v>0</v>
      </c>
      <c r="AD16" s="89">
        <f t="shared" ca="1" si="8"/>
        <v>0</v>
      </c>
      <c r="AE16" s="90">
        <f t="shared" ca="1" si="9"/>
        <v>0</v>
      </c>
      <c r="AF16" s="277"/>
    </row>
    <row r="17" spans="2:32" x14ac:dyDescent="0.25">
      <c r="B17" s="283"/>
      <c r="C17" s="206" t="s">
        <v>1241</v>
      </c>
      <c r="D17" s="207">
        <f t="shared" si="0"/>
        <v>1</v>
      </c>
      <c r="E17" s="208">
        <f t="shared" si="10"/>
        <v>495</v>
      </c>
      <c r="F17" s="209">
        <f ca="1">SUMIFS(Table_NFI[Clothes Kit_LS],Table_NFI[opening_date],1,Table_NFI[Status],"open")</f>
        <v>0</v>
      </c>
      <c r="G17" s="210">
        <f t="shared" ca="1" si="1"/>
        <v>0</v>
      </c>
      <c r="H17" s="209">
        <f t="shared" ca="1" si="12"/>
        <v>1038</v>
      </c>
      <c r="I17" s="211">
        <f t="shared" ref="I17:I19" ca="1" si="14">H17/E17</f>
        <v>2.0969696969696972</v>
      </c>
      <c r="J17" s="212">
        <f t="shared" ca="1" si="11"/>
        <v>0</v>
      </c>
      <c r="K17" s="39"/>
      <c r="L17" s="39"/>
      <c r="M17" s="39"/>
      <c r="N17" s="39"/>
      <c r="O17" s="39"/>
      <c r="P17" s="39"/>
      <c r="Q17" s="39"/>
      <c r="R17" s="39"/>
      <c r="S17" s="39"/>
      <c r="T17" s="277"/>
      <c r="W17" s="48"/>
      <c r="X17" s="1"/>
      <c r="Y17" s="283"/>
      <c r="Z17" s="88">
        <f t="shared" ca="1" si="4"/>
        <v>0</v>
      </c>
      <c r="AA17" s="485">
        <f t="shared" ca="1" si="5"/>
        <v>0</v>
      </c>
      <c r="AB17" s="88">
        <f t="shared" ca="1" si="6"/>
        <v>0</v>
      </c>
      <c r="AC17" s="87">
        <f t="shared" ca="1" si="7"/>
        <v>0</v>
      </c>
      <c r="AD17" s="89">
        <f t="shared" ca="1" si="8"/>
        <v>0</v>
      </c>
      <c r="AE17" s="90">
        <f t="shared" ca="1" si="9"/>
        <v>0</v>
      </c>
      <c r="AF17" s="277"/>
    </row>
    <row r="18" spans="2:32" x14ac:dyDescent="0.25">
      <c r="B18" s="283"/>
      <c r="C18" s="206" t="s">
        <v>579</v>
      </c>
      <c r="D18" s="207">
        <f t="shared" si="0"/>
        <v>1</v>
      </c>
      <c r="E18" s="208">
        <f t="shared" si="10"/>
        <v>495</v>
      </c>
      <c r="F18" s="209">
        <f ca="1">SUMIFS(Table_NFI[Plastic Bucket _LS],Table_NFI[opening_date],1,Table_NFI[Status],"open")</f>
        <v>0</v>
      </c>
      <c r="G18" s="210">
        <f t="shared" ca="1" si="1"/>
        <v>0</v>
      </c>
      <c r="H18" s="209">
        <f ca="1">SUM(INDIRECT(VLOOKUP($C18,NFI,3,0)))</f>
        <v>940</v>
      </c>
      <c r="I18" s="211">
        <f t="shared" ca="1" si="14"/>
        <v>1.898989898989899</v>
      </c>
      <c r="J18" s="212">
        <f t="shared" ca="1" si="11"/>
        <v>0</v>
      </c>
      <c r="K18" s="39"/>
      <c r="L18" s="39"/>
      <c r="M18" s="39"/>
      <c r="N18" s="39"/>
      <c r="O18" s="39"/>
      <c r="P18" s="39"/>
      <c r="Q18" s="39"/>
      <c r="R18" s="39"/>
      <c r="S18" s="39"/>
      <c r="T18" s="277"/>
      <c r="W18" s="48"/>
      <c r="X18" s="1"/>
      <c r="Y18" s="283"/>
      <c r="Z18" s="88">
        <f t="shared" ca="1" si="4"/>
        <v>0</v>
      </c>
      <c r="AA18" s="485">
        <f t="shared" ca="1" si="5"/>
        <v>0</v>
      </c>
      <c r="AB18" s="88">
        <f t="shared" ca="1" si="6"/>
        <v>0</v>
      </c>
      <c r="AC18" s="87">
        <f t="shared" ca="1" si="7"/>
        <v>0</v>
      </c>
      <c r="AD18" s="89">
        <f t="shared" ca="1" si="8"/>
        <v>0</v>
      </c>
      <c r="AE18" s="90">
        <f t="shared" ca="1" si="9"/>
        <v>0</v>
      </c>
      <c r="AF18" s="277"/>
    </row>
    <row r="19" spans="2:32" x14ac:dyDescent="0.25">
      <c r="B19" s="283"/>
      <c r="C19" s="206" t="s">
        <v>580</v>
      </c>
      <c r="D19" s="207">
        <f t="shared" si="0"/>
        <v>5</v>
      </c>
      <c r="E19" s="208">
        <f t="shared" si="10"/>
        <v>2475</v>
      </c>
      <c r="F19" s="209">
        <f ca="1">SUMIFS(Table_NFI[Plastic  Mat_LS],Table_NFI[opening_date],1,Table_NFI[Status],"open")</f>
        <v>0</v>
      </c>
      <c r="G19" s="210">
        <f ca="1">IF((F19/E19)&gt;100%,100%,(F19/E19))</f>
        <v>0</v>
      </c>
      <c r="H19" s="209">
        <f t="shared" ca="1" si="12"/>
        <v>4846</v>
      </c>
      <c r="I19" s="211">
        <f t="shared" ca="1" si="14"/>
        <v>1.9579797979797979</v>
      </c>
      <c r="J19" s="212">
        <f t="shared" ca="1" si="11"/>
        <v>0</v>
      </c>
      <c r="K19" s="39"/>
      <c r="L19" s="39"/>
      <c r="M19" s="39"/>
      <c r="N19" s="39"/>
      <c r="O19" s="39"/>
      <c r="P19" s="39"/>
      <c r="Q19" s="39"/>
      <c r="R19" s="39"/>
      <c r="S19" s="39"/>
      <c r="T19" s="277"/>
      <c r="W19" s="48"/>
      <c r="X19" s="1"/>
      <c r="Y19" s="283"/>
      <c r="Z19" s="88">
        <f t="shared" ca="1" si="4"/>
        <v>0</v>
      </c>
      <c r="AA19" s="485">
        <f t="shared" ca="1" si="5"/>
        <v>0</v>
      </c>
      <c r="AB19" s="88">
        <f t="shared" ca="1" si="6"/>
        <v>0</v>
      </c>
      <c r="AC19" s="87">
        <f t="shared" ca="1" si="7"/>
        <v>0</v>
      </c>
      <c r="AD19" s="89">
        <f t="shared" ca="1" si="8"/>
        <v>0</v>
      </c>
      <c r="AE19" s="90">
        <f t="shared" ca="1" si="9"/>
        <v>0</v>
      </c>
      <c r="AF19" s="277"/>
    </row>
    <row r="20" spans="2:32" s="129" customFormat="1" x14ac:dyDescent="0.25">
      <c r="B20" s="283"/>
      <c r="C20" s="39"/>
      <c r="D20" s="39"/>
      <c r="E20" s="39"/>
      <c r="F20" s="39"/>
      <c r="G20" s="39"/>
      <c r="H20" s="39"/>
      <c r="I20" s="39"/>
      <c r="J20" s="39"/>
      <c r="K20" s="39"/>
      <c r="L20" s="39"/>
      <c r="M20" s="39"/>
      <c r="N20" s="39"/>
      <c r="O20" s="39"/>
      <c r="P20" s="39"/>
      <c r="Q20" s="39"/>
      <c r="R20" s="39"/>
      <c r="S20" s="39"/>
      <c r="T20" s="277"/>
      <c r="W20" s="48"/>
      <c r="X20" s="1"/>
      <c r="Y20" s="283"/>
      <c r="Z20" s="88">
        <f ca="1">IF((N13-(SUM(O13:Q13)))&lt;0,0,(N13-(SUM(O13:Q13))))</f>
        <v>1162.311295503212</v>
      </c>
      <c r="AA20" s="485">
        <f ca="1">Z20/N13</f>
        <v>0.31111116046659848</v>
      </c>
      <c r="AB20" s="88">
        <f ca="1">SUMIFS(INDIRECT(VLOOKUP($L13,NFI,4,0)),NFI_Pipeline_State,$C$6)</f>
        <v>0</v>
      </c>
      <c r="AC20" s="87">
        <f ca="1">AB20/N13</f>
        <v>0</v>
      </c>
      <c r="AD20" s="89">
        <f ca="1">IF((N13-(O13+Q13+AB20))&lt;0,0,(N13-(O13+Q13+AB20)))</f>
        <v>1163</v>
      </c>
      <c r="AE20" s="90">
        <f ca="1">AD20/N13</f>
        <v>0.31129550321199145</v>
      </c>
      <c r="AF20" s="277"/>
    </row>
    <row r="21" spans="2:32" s="129" customFormat="1" x14ac:dyDescent="0.25">
      <c r="B21" s="283"/>
      <c r="C21" s="39"/>
      <c r="D21" s="39"/>
      <c r="E21" s="39"/>
      <c r="F21" s="39"/>
      <c r="G21" s="39"/>
      <c r="H21" s="39"/>
      <c r="I21" s="39"/>
      <c r="J21" s="39"/>
      <c r="K21" s="39"/>
      <c r="L21" s="39"/>
      <c r="M21" s="39"/>
      <c r="N21" s="39"/>
      <c r="O21" s="39"/>
      <c r="P21" s="39"/>
      <c r="Q21" s="39"/>
      <c r="R21" s="39"/>
      <c r="S21" s="39"/>
      <c r="T21" s="277"/>
      <c r="W21" s="48"/>
      <c r="X21" s="1"/>
      <c r="Y21" s="283"/>
      <c r="Z21" s="88">
        <f ca="1">IF((N14-(SUM(O14:Q14)))&lt;0,0,(N14-(SUM(O14:Q14))))</f>
        <v>2563.4575303354745</v>
      </c>
      <c r="AA21" s="485">
        <f ca="1">Z21/N14</f>
        <v>0.45743353503488127</v>
      </c>
      <c r="AB21" s="88">
        <f ca="1">SUMIFS(INDIRECT(VLOOKUP($L14,NFI,4,0)),NFI_Pipeline_State,$C$6)</f>
        <v>0</v>
      </c>
      <c r="AC21" s="87">
        <f ca="1">AB21/N14</f>
        <v>0</v>
      </c>
      <c r="AD21" s="89">
        <f ca="1">IF((N14-(O14+Q14+AB21))&lt;0,0,(N14-(O14+Q14+AB21)))</f>
        <v>2564</v>
      </c>
      <c r="AE21" s="90">
        <f ca="1">AD21/N14</f>
        <v>0.45753033547466093</v>
      </c>
      <c r="AF21" s="277"/>
    </row>
    <row r="22" spans="2:32" x14ac:dyDescent="0.25">
      <c r="B22" s="283"/>
      <c r="C22" s="39"/>
      <c r="D22" s="39"/>
      <c r="E22" s="39"/>
      <c r="F22" s="39"/>
      <c r="G22" s="39"/>
      <c r="H22" s="39"/>
      <c r="I22" s="39"/>
      <c r="J22" s="39"/>
      <c r="K22" s="39"/>
      <c r="L22" s="39"/>
      <c r="M22" s="39"/>
      <c r="N22" s="39"/>
      <c r="O22" s="39"/>
      <c r="P22" s="39"/>
      <c r="Q22" s="39"/>
      <c r="R22" s="39"/>
      <c r="S22" s="39"/>
      <c r="T22" s="277"/>
      <c r="W22" s="48"/>
      <c r="X22" s="1"/>
      <c r="Y22" s="283"/>
      <c r="Z22" s="88">
        <f ca="1">IF((N15-(SUM(O15:Q15)))&lt;0,0,(N15-(SUM(O15:Q15))))</f>
        <v>525.42264453961434</v>
      </c>
      <c r="AA22" s="485">
        <f ca="1">Z22/N15</f>
        <v>0.14063775282109592</v>
      </c>
      <c r="AB22" s="88">
        <f ca="1">SUMIFS(INDIRECT(VLOOKUP($L15,NFI,4,0)),NFI_Pipeline_State,$C$6)</f>
        <v>0</v>
      </c>
      <c r="AC22" s="87">
        <f ca="1">AB22/N15</f>
        <v>0</v>
      </c>
      <c r="AD22" s="89">
        <f ca="1">IF((N15-(O15+Q15+AB22))&lt;0,0,(N15-(O15+Q15+AB22)))</f>
        <v>526</v>
      </c>
      <c r="AE22" s="90">
        <f ca="1">AD22/N15</f>
        <v>0.14079229122055675</v>
      </c>
      <c r="AF22" s="277"/>
    </row>
    <row r="23" spans="2:32" ht="15.75" thickBot="1" x14ac:dyDescent="0.3">
      <c r="B23" s="283"/>
      <c r="C23" s="39"/>
      <c r="D23" s="39"/>
      <c r="E23" s="39"/>
      <c r="F23" s="39"/>
      <c r="G23" s="39"/>
      <c r="H23" s="39"/>
      <c r="I23" s="39"/>
      <c r="J23" s="39"/>
      <c r="K23" s="39"/>
      <c r="L23" s="39"/>
      <c r="M23" s="39"/>
      <c r="N23" s="39"/>
      <c r="O23" s="39"/>
      <c r="P23" s="39"/>
      <c r="Q23" s="39"/>
      <c r="R23" s="39"/>
      <c r="S23" s="39"/>
      <c r="T23" s="277"/>
      <c r="W23" s="267"/>
      <c r="X23" s="268"/>
      <c r="Y23" s="284"/>
      <c r="Z23" s="269"/>
      <c r="AA23" s="269"/>
      <c r="AB23" s="269"/>
      <c r="AC23" s="269"/>
      <c r="AD23" s="269"/>
      <c r="AE23" s="269"/>
      <c r="AF23" s="282"/>
    </row>
    <row r="24" spans="2:32" x14ac:dyDescent="0.25">
      <c r="B24" s="283"/>
      <c r="C24" s="39"/>
      <c r="D24" s="39"/>
      <c r="E24" s="39"/>
      <c r="F24" s="39"/>
      <c r="G24" s="39"/>
      <c r="H24" s="39"/>
      <c r="I24" s="39"/>
      <c r="J24" s="39"/>
      <c r="K24" s="39"/>
      <c r="L24" s="39"/>
      <c r="M24" s="39"/>
      <c r="N24" s="39"/>
      <c r="O24" s="39"/>
      <c r="P24" s="39"/>
      <c r="Q24" s="39"/>
      <c r="R24" s="39"/>
      <c r="S24" s="39"/>
      <c r="T24" s="277"/>
      <c r="Y24" s="1"/>
    </row>
    <row r="25" spans="2:32" x14ac:dyDescent="0.25">
      <c r="B25" s="283"/>
      <c r="C25" s="39"/>
      <c r="D25" s="39"/>
      <c r="E25" s="39"/>
      <c r="F25" s="39"/>
      <c r="G25" s="39"/>
      <c r="H25" s="39"/>
      <c r="I25" s="39"/>
      <c r="J25" s="39"/>
      <c r="K25" s="39"/>
      <c r="L25" s="39"/>
      <c r="M25" s="39"/>
      <c r="N25" s="39"/>
      <c r="O25" s="39"/>
      <c r="P25" s="39"/>
      <c r="Q25" s="39"/>
      <c r="R25" s="39"/>
      <c r="S25" s="39"/>
      <c r="T25" s="277"/>
      <c r="Y25" s="1"/>
    </row>
    <row r="26" spans="2:32" x14ac:dyDescent="0.25">
      <c r="B26" s="283"/>
      <c r="C26" s="39"/>
      <c r="D26" s="39"/>
      <c r="E26" s="39"/>
      <c r="F26" s="39"/>
      <c r="G26" s="39"/>
      <c r="H26" s="39"/>
      <c r="I26" s="39"/>
      <c r="J26" s="39"/>
      <c r="K26" s="39"/>
      <c r="L26" s="39"/>
      <c r="M26" s="39"/>
      <c r="N26" s="39"/>
      <c r="O26" s="39"/>
      <c r="P26" s="39"/>
      <c r="Q26" s="39"/>
      <c r="R26" s="39"/>
      <c r="S26" s="39"/>
      <c r="T26" s="277"/>
    </row>
    <row r="27" spans="2:32" x14ac:dyDescent="0.25">
      <c r="B27" s="283"/>
      <c r="C27" s="39"/>
      <c r="D27" s="39"/>
      <c r="E27" s="39"/>
      <c r="F27" s="39"/>
      <c r="G27" s="39"/>
      <c r="H27" s="39"/>
      <c r="I27" s="39"/>
      <c r="J27" s="39"/>
      <c r="K27" s="39"/>
      <c r="L27" s="39"/>
      <c r="M27" s="39"/>
      <c r="N27" s="39"/>
      <c r="O27" s="39"/>
      <c r="P27" s="39"/>
      <c r="Q27" s="39"/>
      <c r="R27" s="39"/>
      <c r="S27" s="39"/>
      <c r="T27" s="277"/>
    </row>
    <row r="28" spans="2:32" x14ac:dyDescent="0.25">
      <c r="B28" s="283"/>
      <c r="C28" s="39"/>
      <c r="D28" s="39"/>
      <c r="E28" s="39"/>
      <c r="F28" s="39"/>
      <c r="G28" s="39"/>
      <c r="H28" s="39"/>
      <c r="I28" s="39"/>
      <c r="J28" s="39"/>
      <c r="K28" s="39"/>
      <c r="L28" s="39"/>
      <c r="M28" s="39"/>
      <c r="N28" s="39"/>
      <c r="O28" s="39"/>
      <c r="P28" s="39"/>
      <c r="Q28" s="39"/>
      <c r="R28" s="39"/>
      <c r="S28" s="39"/>
      <c r="T28" s="277"/>
    </row>
    <row r="29" spans="2:32" x14ac:dyDescent="0.25">
      <c r="B29" s="283"/>
      <c r="C29" s="39"/>
      <c r="D29" s="39"/>
      <c r="E29" s="39"/>
      <c r="F29" s="39"/>
      <c r="G29" s="39"/>
      <c r="H29" s="39"/>
      <c r="I29" s="39"/>
      <c r="J29" s="39"/>
      <c r="K29" s="39"/>
      <c r="L29" s="39"/>
      <c r="M29" s="39"/>
      <c r="N29" s="39"/>
      <c r="O29" s="39"/>
      <c r="P29" s="39"/>
      <c r="Q29" s="39"/>
      <c r="R29" s="39"/>
      <c r="S29" s="39"/>
      <c r="T29" s="277"/>
    </row>
    <row r="30" spans="2:32" x14ac:dyDescent="0.25">
      <c r="B30" s="283"/>
      <c r="C30" s="39"/>
      <c r="D30" s="39"/>
      <c r="E30" s="39"/>
      <c r="F30" s="39"/>
      <c r="G30" s="39"/>
      <c r="H30" s="39"/>
      <c r="I30" s="39"/>
      <c r="J30" s="39"/>
      <c r="K30" s="39"/>
      <c r="L30" s="39"/>
      <c r="M30" s="39"/>
      <c r="N30" s="39"/>
      <c r="O30" s="39"/>
      <c r="P30" s="39"/>
      <c r="Q30" s="39"/>
      <c r="R30" s="39"/>
      <c r="S30" s="39"/>
      <c r="T30" s="277"/>
    </row>
    <row r="31" spans="2:32" x14ac:dyDescent="0.25">
      <c r="B31" s="283"/>
      <c r="C31" s="39"/>
      <c r="D31" s="39"/>
      <c r="E31" s="39"/>
      <c r="F31" s="39"/>
      <c r="G31" s="39"/>
      <c r="H31" s="39"/>
      <c r="I31" s="39"/>
      <c r="J31" s="39"/>
      <c r="K31" s="39"/>
      <c r="L31" s="39"/>
      <c r="M31" s="39"/>
      <c r="N31" s="39"/>
      <c r="O31" s="39"/>
      <c r="P31" s="39"/>
      <c r="Q31" s="39"/>
      <c r="R31" s="39"/>
      <c r="S31" s="39"/>
      <c r="T31" s="277"/>
    </row>
    <row r="32" spans="2:32" s="129" customFormat="1" x14ac:dyDescent="0.25">
      <c r="B32" s="283"/>
      <c r="C32" s="39"/>
      <c r="D32" s="39"/>
      <c r="E32" s="39"/>
      <c r="F32" s="39"/>
      <c r="G32" s="39"/>
      <c r="H32" s="39"/>
      <c r="I32" s="39"/>
      <c r="J32" s="39"/>
      <c r="K32" s="39"/>
      <c r="L32" s="39"/>
      <c r="M32" s="39"/>
      <c r="N32" s="39"/>
      <c r="O32" s="39"/>
      <c r="P32" s="39"/>
      <c r="Q32" s="39"/>
      <c r="R32" s="39"/>
      <c r="S32" s="39"/>
      <c r="T32" s="277"/>
    </row>
    <row r="33" spans="2:20" s="129" customFormat="1" x14ac:dyDescent="0.25">
      <c r="B33" s="283"/>
      <c r="C33" s="39"/>
      <c r="D33" s="39"/>
      <c r="E33" s="39"/>
      <c r="F33" s="39"/>
      <c r="G33" s="39"/>
      <c r="H33" s="39"/>
      <c r="I33" s="39"/>
      <c r="J33" s="39"/>
      <c r="K33" s="39"/>
      <c r="L33" s="39"/>
      <c r="M33" s="39"/>
      <c r="N33" s="39"/>
      <c r="O33" s="39"/>
      <c r="P33" s="39"/>
      <c r="Q33" s="39"/>
      <c r="R33" s="39"/>
      <c r="S33" s="39"/>
      <c r="T33" s="277"/>
    </row>
    <row r="34" spans="2:20" x14ac:dyDescent="0.25">
      <c r="B34" s="283"/>
      <c r="C34" s="39"/>
      <c r="D34" s="39"/>
      <c r="E34" s="39"/>
      <c r="F34" s="39"/>
      <c r="G34" s="39"/>
      <c r="H34" s="39"/>
      <c r="I34" s="39"/>
      <c r="J34" s="39"/>
      <c r="K34" s="39"/>
      <c r="L34" s="39"/>
      <c r="M34" s="39"/>
      <c r="N34" s="39"/>
      <c r="O34" s="39"/>
      <c r="P34" s="39"/>
      <c r="Q34" s="39"/>
      <c r="R34" s="39"/>
      <c r="S34" s="39"/>
      <c r="T34" s="277"/>
    </row>
    <row r="35" spans="2:20" x14ac:dyDescent="0.25">
      <c r="B35" s="283"/>
      <c r="C35" s="39"/>
      <c r="D35" s="39"/>
      <c r="E35" s="39"/>
      <c r="F35" s="39"/>
      <c r="G35" s="39"/>
      <c r="H35" s="39"/>
      <c r="I35" s="39"/>
      <c r="J35" s="39"/>
      <c r="K35" s="39"/>
      <c r="L35" s="39"/>
      <c r="M35" s="39"/>
      <c r="N35" s="39"/>
      <c r="O35" s="39"/>
      <c r="P35" s="39"/>
      <c r="Q35" s="39"/>
      <c r="R35" s="39"/>
      <c r="S35" s="39"/>
      <c r="T35" s="277"/>
    </row>
    <row r="36" spans="2:20" x14ac:dyDescent="0.25">
      <c r="B36" s="283"/>
      <c r="C36" s="39"/>
      <c r="D36" s="39"/>
      <c r="E36" s="39"/>
      <c r="F36" s="39"/>
      <c r="G36" s="39"/>
      <c r="H36" s="39"/>
      <c r="I36" s="39"/>
      <c r="J36" s="39"/>
      <c r="K36" s="39"/>
      <c r="L36" s="39"/>
      <c r="M36" s="39"/>
      <c r="N36" s="39"/>
      <c r="O36" s="39"/>
      <c r="P36" s="39"/>
      <c r="Q36" s="39"/>
      <c r="R36" s="39"/>
      <c r="S36" s="39"/>
      <c r="T36" s="277"/>
    </row>
    <row r="37" spans="2:20" s="129" customFormat="1" x14ac:dyDescent="0.25">
      <c r="B37" s="283"/>
      <c r="C37" s="39"/>
      <c r="D37" s="39"/>
      <c r="E37" s="39"/>
      <c r="F37" s="39"/>
      <c r="G37" s="39"/>
      <c r="H37" s="39"/>
      <c r="I37" s="39"/>
      <c r="J37" s="39"/>
      <c r="K37" s="39"/>
      <c r="L37" s="39"/>
      <c r="M37" s="39"/>
      <c r="N37" s="39"/>
      <c r="O37" s="39"/>
      <c r="P37" s="39"/>
      <c r="Q37" s="39"/>
      <c r="R37" s="39"/>
      <c r="S37" s="39"/>
      <c r="T37" s="277"/>
    </row>
    <row r="38" spans="2:20" s="129" customFormat="1" x14ac:dyDescent="0.25">
      <c r="B38" s="283"/>
      <c r="C38" s="39"/>
      <c r="D38" s="39"/>
      <c r="E38" s="39"/>
      <c r="F38" s="39"/>
      <c r="G38" s="39"/>
      <c r="H38" s="39"/>
      <c r="I38" s="39"/>
      <c r="J38" s="39"/>
      <c r="K38" s="39"/>
      <c r="L38" s="39"/>
      <c r="M38" s="39"/>
      <c r="N38" s="39"/>
      <c r="O38" s="39"/>
      <c r="P38" s="39"/>
      <c r="Q38" s="39"/>
      <c r="R38" s="39"/>
      <c r="S38" s="39"/>
      <c r="T38" s="277"/>
    </row>
    <row r="39" spans="2:20" ht="20.25" customHeight="1" x14ac:dyDescent="0.25">
      <c r="B39" s="283"/>
      <c r="C39" s="39"/>
      <c r="D39" s="39"/>
      <c r="E39" s="39"/>
      <c r="F39" s="39"/>
      <c r="G39" s="39"/>
      <c r="H39" s="39"/>
      <c r="I39" s="39"/>
      <c r="J39" s="39"/>
      <c r="K39" s="39"/>
      <c r="L39" s="39"/>
      <c r="M39" s="39"/>
      <c r="N39" s="39"/>
      <c r="O39" s="39"/>
      <c r="P39" s="39"/>
      <c r="Q39" s="39"/>
      <c r="R39" s="39"/>
      <c r="S39" s="39"/>
      <c r="T39" s="277"/>
    </row>
    <row r="40" spans="2:20" ht="14.25" customHeight="1" thickBot="1" x14ac:dyDescent="0.3">
      <c r="B40" s="284"/>
      <c r="C40" s="269"/>
      <c r="D40" s="269"/>
      <c r="E40" s="269"/>
      <c r="F40" s="269"/>
      <c r="G40" s="269"/>
      <c r="H40" s="269"/>
      <c r="I40" s="269"/>
      <c r="J40" s="269"/>
      <c r="K40" s="269"/>
      <c r="L40" s="269"/>
      <c r="M40" s="269"/>
      <c r="N40" s="269"/>
      <c r="O40" s="269"/>
      <c r="P40" s="269"/>
      <c r="Q40" s="269"/>
      <c r="R40" s="269"/>
      <c r="S40" s="269"/>
      <c r="T40" s="282"/>
    </row>
    <row r="41" spans="2:20" x14ac:dyDescent="0.25">
      <c r="C41" s="6"/>
      <c r="D41" s="6"/>
      <c r="E41" s="6"/>
      <c r="F41" s="6"/>
      <c r="G41" s="6"/>
      <c r="H41" s="6"/>
      <c r="I41" s="6"/>
      <c r="J41" s="6"/>
      <c r="K41" s="6"/>
      <c r="L41" s="6"/>
      <c r="M41" s="6"/>
      <c r="N41" s="6"/>
      <c r="O41" s="6"/>
      <c r="P41" s="6"/>
      <c r="Q41" s="6"/>
    </row>
    <row r="43" spans="2:20" ht="3.75" customHeight="1" x14ac:dyDescent="0.25"/>
    <row r="44" spans="2:20" x14ac:dyDescent="0.25">
      <c r="J44" s="38"/>
      <c r="K44" s="38"/>
    </row>
    <row r="49" spans="3:10" x14ac:dyDescent="0.25">
      <c r="C49"/>
      <c r="D49"/>
      <c r="E49"/>
      <c r="F49"/>
      <c r="G49"/>
      <c r="H49"/>
      <c r="I49"/>
      <c r="J4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sheetData>
  <mergeCells count="1">
    <mergeCell ref="C5:H5"/>
  </mergeCells>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R26" sqref="R26"/>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14.42578125" style="4" customWidth="1"/>
    <col min="20" max="20" width="14.42578125" style="158" customWidth="1"/>
    <col min="21" max="21" width="19.28515625" style="158" customWidth="1"/>
    <col min="22" max="24" width="9.28515625" style="158" customWidth="1"/>
    <col min="25" max="25" width="15.5703125" style="158" customWidth="1"/>
    <col min="26" max="26" width="9.28515625" style="158" customWidth="1"/>
    <col min="27" max="27" width="24.7109375" style="158" customWidth="1"/>
    <col min="28" max="33" width="9.28515625" style="158" customWidth="1"/>
    <col min="34" max="97" width="14.42578125" style="4" customWidth="1"/>
    <col min="98" max="109" width="14.42578125" style="18" customWidth="1"/>
    <col min="110" max="110" width="12.7109375" style="18" customWidth="1"/>
    <col min="111" max="111" width="9.140625" style="18"/>
    <col min="112" max="112" width="11.42578125" style="18" customWidth="1"/>
    <col min="113" max="113" width="6.140625" style="4" customWidth="1"/>
    <col min="114" max="114" width="5.85546875" style="4" customWidth="1"/>
    <col min="115" max="16384" width="9.140625" style="4"/>
  </cols>
  <sheetData>
    <row r="1" spans="15:112" ht="18.75" customHeight="1" thickBot="1" x14ac:dyDescent="0.4">
      <c r="O1" s="18"/>
      <c r="P1" s="18"/>
      <c r="S1" s="18">
        <v>23.5</v>
      </c>
      <c r="T1" s="154" t="s">
        <v>556</v>
      </c>
      <c r="U1" s="155"/>
      <c r="V1" s="155"/>
      <c r="W1" s="155"/>
      <c r="X1" s="155"/>
      <c r="Y1" s="155"/>
      <c r="Z1" s="155"/>
      <c r="AA1" s="156" t="s">
        <v>449</v>
      </c>
      <c r="AB1" s="154" t="s">
        <v>450</v>
      </c>
      <c r="AC1" s="155"/>
      <c r="AD1" s="157"/>
      <c r="CT1" s="4"/>
      <c r="CU1" s="4"/>
      <c r="CV1" s="4"/>
      <c r="CW1" s="4"/>
      <c r="CX1" s="4"/>
      <c r="CY1" s="4"/>
      <c r="CZ1" s="4"/>
      <c r="DA1" s="4"/>
      <c r="DB1" s="4"/>
      <c r="DC1" s="4"/>
      <c r="DD1" s="4"/>
      <c r="DE1" s="4"/>
      <c r="DF1" s="4"/>
      <c r="DG1" s="4"/>
      <c r="DH1" s="4"/>
    </row>
    <row r="2" spans="15:112" ht="18.75" customHeight="1" x14ac:dyDescent="0.35">
      <c r="O2" s="18"/>
      <c r="P2" s="18"/>
      <c r="S2" s="18">
        <v>96.5</v>
      </c>
      <c r="T2" s="159" t="s">
        <v>560</v>
      </c>
      <c r="U2" s="160" t="s">
        <v>0</v>
      </c>
      <c r="V2" s="160" t="s">
        <v>562</v>
      </c>
      <c r="W2" s="161" t="s">
        <v>561</v>
      </c>
      <c r="X2" s="159" t="s">
        <v>565</v>
      </c>
      <c r="Y2" s="160" t="s">
        <v>566</v>
      </c>
      <c r="Z2" s="162" t="s">
        <v>577</v>
      </c>
      <c r="AA2" s="163" t="s">
        <v>442</v>
      </c>
      <c r="AB2" s="164" t="s">
        <v>557</v>
      </c>
      <c r="AC2" s="160" t="s">
        <v>558</v>
      </c>
      <c r="AD2" s="162" t="s">
        <v>559</v>
      </c>
      <c r="AE2" s="165" t="s">
        <v>563</v>
      </c>
      <c r="AF2" s="166" t="s">
        <v>564</v>
      </c>
      <c r="AG2" s="167" t="s">
        <v>567</v>
      </c>
      <c r="CT2" s="4"/>
      <c r="CU2" s="4"/>
      <c r="CV2" s="4"/>
      <c r="CW2" s="4"/>
      <c r="CX2" s="4"/>
      <c r="CY2" s="4"/>
      <c r="CZ2" s="4"/>
      <c r="DA2" s="4"/>
      <c r="DB2" s="4"/>
      <c r="DC2" s="4"/>
      <c r="DD2" s="4"/>
      <c r="DE2" s="4"/>
      <c r="DF2" s="4"/>
      <c r="DG2" s="4"/>
      <c r="DH2" s="4"/>
    </row>
    <row r="3" spans="15:112" ht="18.75" customHeight="1" x14ac:dyDescent="0.35">
      <c r="O3" s="18"/>
      <c r="P3" s="18"/>
      <c r="S3" s="18">
        <v>600</v>
      </c>
      <c r="T3" s="168" t="s">
        <v>532</v>
      </c>
      <c r="U3" s="169" t="s">
        <v>5</v>
      </c>
      <c r="V3" s="168">
        <v>97.12</v>
      </c>
      <c r="W3" s="169">
        <v>24.3</v>
      </c>
      <c r="X3" s="169">
        <f>'CCCM Dashboard'!D12</f>
        <v>1578</v>
      </c>
      <c r="Y3" s="170">
        <f>'CCCM Dashboard'!E12</f>
        <v>8185</v>
      </c>
      <c r="Z3" s="171" t="str">
        <f t="shared" ref="Z3:Z23" si="0">CONCATENATE(AG3, " cp",IF(AG3&gt;1,"s",""))</f>
        <v>11 cps</v>
      </c>
      <c r="AA3" s="172" t="e">
        <f>'Shelter Coverage &amp; Gaps'!#REF!</f>
        <v>#REF!</v>
      </c>
      <c r="AB3" s="172">
        <v>0</v>
      </c>
      <c r="AC3" s="172">
        <v>0</v>
      </c>
      <c r="AD3" s="172">
        <v>0</v>
      </c>
      <c r="AE3" s="173">
        <f t="shared" ref="AE3:AE23" si="1">$S$3-ROUND((W3-$S$1)*$S$5,0)</f>
        <v>496</v>
      </c>
      <c r="AF3" s="174">
        <f t="shared" ref="AF3:AF23" si="2">ROUND((V3-$S$2)*$S$5,0)+$S$4</f>
        <v>181</v>
      </c>
      <c r="AG3" s="175">
        <f>'CCCM Dashboard'!F12</f>
        <v>11</v>
      </c>
      <c r="CT3" s="4"/>
      <c r="CU3" s="4"/>
      <c r="CV3" s="4"/>
      <c r="CW3" s="4"/>
      <c r="CX3" s="4"/>
      <c r="CY3" s="4"/>
      <c r="CZ3" s="4"/>
      <c r="DA3" s="4"/>
      <c r="DB3" s="4"/>
      <c r="DC3" s="4"/>
      <c r="DD3" s="4"/>
      <c r="DE3" s="4"/>
      <c r="DF3" s="4"/>
      <c r="DG3" s="4"/>
      <c r="DH3" s="4"/>
    </row>
    <row r="4" spans="15:112" ht="18.75" customHeight="1" x14ac:dyDescent="0.35">
      <c r="O4" s="18"/>
      <c r="P4" s="18"/>
      <c r="S4" s="18">
        <v>100</v>
      </c>
      <c r="T4" s="176" t="s">
        <v>536</v>
      </c>
      <c r="U4" s="169" t="s">
        <v>27</v>
      </c>
      <c r="V4" s="176">
        <v>98.322799999999987</v>
      </c>
      <c r="W4" s="169">
        <v>25.917999999999999</v>
      </c>
      <c r="X4" s="169">
        <f>'CCCM Dashboard'!D13</f>
        <v>511</v>
      </c>
      <c r="Y4" s="170">
        <f>'CCCM Dashboard'!E13</f>
        <v>2570</v>
      </c>
      <c r="Z4" s="171" t="str">
        <f t="shared" si="0"/>
        <v>6 cps</v>
      </c>
      <c r="AA4" s="172" t="e">
        <f>'Shelter Coverage &amp; Gaps'!#REF!</f>
        <v>#REF!</v>
      </c>
      <c r="AB4" s="172">
        <v>1</v>
      </c>
      <c r="AC4" s="172">
        <v>0</v>
      </c>
      <c r="AD4" s="172">
        <v>0.95387840670859536</v>
      </c>
      <c r="AE4" s="173">
        <f t="shared" si="1"/>
        <v>286</v>
      </c>
      <c r="AF4" s="174">
        <f t="shared" si="2"/>
        <v>337</v>
      </c>
      <c r="AG4" s="175">
        <f>'CCCM Dashboard'!F13</f>
        <v>6</v>
      </c>
      <c r="CT4" s="4"/>
      <c r="CU4" s="4"/>
      <c r="CV4" s="4"/>
      <c r="CW4" s="4"/>
      <c r="CX4" s="4"/>
      <c r="CY4" s="4"/>
      <c r="CZ4" s="4"/>
      <c r="DA4" s="4"/>
      <c r="DB4" s="4"/>
      <c r="DC4" s="4"/>
      <c r="DD4" s="4"/>
      <c r="DE4" s="4"/>
      <c r="DF4" s="4"/>
      <c r="DG4" s="4"/>
      <c r="DH4" s="4"/>
    </row>
    <row r="5" spans="15:112" ht="18.75" customHeight="1" x14ac:dyDescent="0.35">
      <c r="O5" s="18"/>
      <c r="P5" s="18"/>
      <c r="S5" s="18">
        <v>130</v>
      </c>
      <c r="T5" s="168" t="s">
        <v>530</v>
      </c>
      <c r="U5" s="169" t="s">
        <v>529</v>
      </c>
      <c r="V5" s="168">
        <v>96.373750000000001</v>
      </c>
      <c r="W5" s="169">
        <v>25.9</v>
      </c>
      <c r="X5" s="169">
        <f>'CCCM Dashboard'!D14</f>
        <v>724</v>
      </c>
      <c r="Y5" s="170">
        <f>'CCCM Dashboard'!E14</f>
        <v>3574</v>
      </c>
      <c r="Z5" s="171" t="str">
        <f t="shared" si="0"/>
        <v>20 cps</v>
      </c>
      <c r="AA5" s="172" t="e">
        <f>'Shelter Coverage &amp; Gaps'!#REF!</f>
        <v>#REF!</v>
      </c>
      <c r="AB5" s="172">
        <v>0.69172932330827064</v>
      </c>
      <c r="AC5" s="172">
        <v>0</v>
      </c>
      <c r="AD5" s="172">
        <v>1</v>
      </c>
      <c r="AE5" s="173">
        <f t="shared" si="1"/>
        <v>288</v>
      </c>
      <c r="AF5" s="174">
        <f t="shared" si="2"/>
        <v>84</v>
      </c>
      <c r="AG5" s="175">
        <f>'CCCM Dashboard'!F14</f>
        <v>20</v>
      </c>
      <c r="CT5" s="4"/>
      <c r="CU5" s="4"/>
      <c r="CV5" s="4"/>
      <c r="CW5" s="4"/>
      <c r="CX5" s="4"/>
      <c r="CY5" s="4"/>
      <c r="CZ5" s="4"/>
      <c r="DA5" s="4"/>
      <c r="DB5" s="4"/>
      <c r="DC5" s="4"/>
      <c r="DD5" s="4"/>
      <c r="DE5" s="4"/>
      <c r="DF5" s="4"/>
      <c r="DG5" s="4"/>
      <c r="DH5" s="4"/>
    </row>
    <row r="6" spans="15:112" ht="18.75" customHeight="1" x14ac:dyDescent="0.35">
      <c r="O6" s="18"/>
      <c r="P6" s="18"/>
      <c r="T6" s="176"/>
      <c r="U6" s="169" t="s">
        <v>784</v>
      </c>
      <c r="V6" s="177">
        <v>98.1</v>
      </c>
      <c r="W6" s="178">
        <v>23.28</v>
      </c>
      <c r="X6" s="169">
        <f>'CCCM Dashboard'!D15</f>
        <v>111</v>
      </c>
      <c r="Y6" s="170">
        <f>'CCCM Dashboard'!E15</f>
        <v>665</v>
      </c>
      <c r="Z6" s="171" t="str">
        <f>CONCATENATE(AG6, " cp",IF(AG6&gt;1,"s",""))</f>
        <v>2 cps</v>
      </c>
      <c r="AA6" s="172" t="e">
        <f>'Shelter Coverage &amp; Gaps'!#REF!</f>
        <v>#REF!</v>
      </c>
      <c r="AB6" s="172"/>
      <c r="AC6" s="172"/>
      <c r="AD6" s="172"/>
      <c r="AE6" s="173">
        <f t="shared" si="1"/>
        <v>629</v>
      </c>
      <c r="AF6" s="174">
        <f t="shared" si="2"/>
        <v>308</v>
      </c>
      <c r="AG6" s="175">
        <f>'CCCM Dashboard'!F15</f>
        <v>2</v>
      </c>
      <c r="AI6" s="18"/>
      <c r="CT6" s="4"/>
      <c r="CU6" s="4"/>
      <c r="CV6" s="4"/>
      <c r="CW6" s="4"/>
      <c r="CX6" s="4"/>
      <c r="CY6" s="4"/>
      <c r="CZ6" s="4"/>
      <c r="DA6" s="4"/>
      <c r="DB6" s="4"/>
      <c r="DC6" s="4"/>
      <c r="DD6" s="4"/>
      <c r="DE6" s="4"/>
      <c r="DF6" s="4"/>
      <c r="DG6" s="4"/>
      <c r="DH6" s="4"/>
    </row>
    <row r="7" spans="15:112" ht="18.75" customHeight="1" x14ac:dyDescent="0.35">
      <c r="O7" s="18"/>
      <c r="P7" s="18"/>
      <c r="T7" s="176" t="s">
        <v>550</v>
      </c>
      <c r="U7" s="169" t="s">
        <v>363</v>
      </c>
      <c r="V7" s="176">
        <v>97.89587301587305</v>
      </c>
      <c r="W7" s="169">
        <v>26.232698412698419</v>
      </c>
      <c r="X7" s="169">
        <f>'CCCM Dashboard'!D16</f>
        <v>0</v>
      </c>
      <c r="Y7" s="170">
        <f>'CCCM Dashboard'!E16</f>
        <v>0</v>
      </c>
      <c r="Z7" s="171" t="str">
        <f t="shared" si="0"/>
        <v>0 cp</v>
      </c>
      <c r="AA7" s="172" t="e">
        <f>'Shelter Coverage &amp; Gaps'!#REF!</f>
        <v>#REF!</v>
      </c>
      <c r="AB7" s="172">
        <v>0</v>
      </c>
      <c r="AC7" s="172">
        <v>0</v>
      </c>
      <c r="AD7" s="172">
        <v>0</v>
      </c>
      <c r="AE7" s="173">
        <f t="shared" si="1"/>
        <v>245</v>
      </c>
      <c r="AF7" s="174">
        <f t="shared" si="2"/>
        <v>281</v>
      </c>
      <c r="AG7" s="175">
        <f>'CCCM Dashboard'!F16</f>
        <v>0</v>
      </c>
      <c r="CT7" s="4"/>
      <c r="CU7" s="4"/>
      <c r="CV7" s="4"/>
      <c r="CW7" s="4"/>
      <c r="CX7" s="4"/>
      <c r="CY7" s="4"/>
      <c r="CZ7" s="4"/>
      <c r="DA7" s="4"/>
      <c r="DB7" s="4"/>
      <c r="DC7" s="4"/>
      <c r="DD7" s="4"/>
      <c r="DE7" s="4"/>
      <c r="DF7" s="4"/>
      <c r="DG7" s="4"/>
      <c r="DH7" s="4"/>
    </row>
    <row r="8" spans="15:112" ht="18.75" customHeight="1" x14ac:dyDescent="0.35">
      <c r="O8" s="18"/>
      <c r="P8" s="18"/>
      <c r="T8" s="168" t="s">
        <v>549</v>
      </c>
      <c r="U8" s="169" t="s">
        <v>144</v>
      </c>
      <c r="V8" s="168">
        <v>98.438571428571422</v>
      </c>
      <c r="W8" s="169">
        <v>27.1</v>
      </c>
      <c r="X8" s="169">
        <f>'CCCM Dashboard'!D17</f>
        <v>11</v>
      </c>
      <c r="Y8" s="170">
        <f>'CCCM Dashboard'!E17</f>
        <v>17</v>
      </c>
      <c r="Z8" s="171" t="str">
        <f t="shared" si="0"/>
        <v>1 cp</v>
      </c>
      <c r="AA8" s="172" t="e">
        <f>'Shelter Coverage &amp; Gaps'!#REF!</f>
        <v>#REF!</v>
      </c>
      <c r="AB8" s="172">
        <v>0</v>
      </c>
      <c r="AC8" s="172">
        <v>0</v>
      </c>
      <c r="AD8" s="172">
        <v>0</v>
      </c>
      <c r="AE8" s="173">
        <f t="shared" si="1"/>
        <v>132</v>
      </c>
      <c r="AF8" s="174">
        <f t="shared" si="2"/>
        <v>352</v>
      </c>
      <c r="AG8" s="175">
        <f>'CCCM Dashboard'!F17</f>
        <v>1</v>
      </c>
      <c r="CT8" s="4"/>
      <c r="CU8" s="4"/>
      <c r="CV8" s="4"/>
      <c r="CW8" s="4"/>
      <c r="CX8" s="4"/>
      <c r="CY8" s="4"/>
      <c r="CZ8" s="4"/>
      <c r="DA8" s="4"/>
      <c r="DB8" s="4"/>
      <c r="DC8" s="4"/>
      <c r="DD8" s="4"/>
      <c r="DE8" s="4"/>
      <c r="DF8" s="4"/>
      <c r="DG8" s="4"/>
      <c r="DH8" s="4"/>
    </row>
    <row r="9" spans="15:112" ht="18.75" customHeight="1" x14ac:dyDescent="0.35">
      <c r="O9" s="18"/>
      <c r="P9" s="18"/>
      <c r="T9" s="176" t="s">
        <v>546</v>
      </c>
      <c r="U9" s="169" t="s">
        <v>146</v>
      </c>
      <c r="V9" s="176">
        <v>98.1</v>
      </c>
      <c r="W9" s="169">
        <v>23.553031914893619</v>
      </c>
      <c r="X9" s="169">
        <f>'CCCM Dashboard'!D18</f>
        <v>686</v>
      </c>
      <c r="Y9" s="170">
        <f>'CCCM Dashboard'!E18</f>
        <v>3291</v>
      </c>
      <c r="Z9" s="171" t="str">
        <f t="shared" si="0"/>
        <v>9 cps</v>
      </c>
      <c r="AA9" s="172" t="e">
        <f>'Shelter Coverage &amp; Gaps'!#REF!</f>
        <v>#REF!</v>
      </c>
      <c r="AB9" s="172">
        <v>0</v>
      </c>
      <c r="AC9" s="172">
        <v>0</v>
      </c>
      <c r="AD9" s="172">
        <v>1</v>
      </c>
      <c r="AE9" s="173">
        <f t="shared" si="1"/>
        <v>593</v>
      </c>
      <c r="AF9" s="174">
        <f t="shared" si="2"/>
        <v>308</v>
      </c>
      <c r="AG9" s="175">
        <f>'CCCM Dashboard'!F18</f>
        <v>9</v>
      </c>
      <c r="CT9" s="4"/>
      <c r="CU9" s="4"/>
      <c r="CV9" s="4"/>
      <c r="CW9" s="4"/>
      <c r="CX9" s="4"/>
      <c r="CY9" s="4"/>
      <c r="CZ9" s="4"/>
      <c r="DA9" s="4"/>
      <c r="DB9" s="4"/>
      <c r="DC9" s="4"/>
      <c r="DD9" s="4"/>
      <c r="DE9" s="4"/>
      <c r="DF9" s="4"/>
      <c r="DG9" s="4"/>
      <c r="DH9" s="4"/>
    </row>
    <row r="10" spans="15:112" ht="18.75" customHeight="1" x14ac:dyDescent="0.35">
      <c r="O10" s="18"/>
      <c r="P10" s="18"/>
      <c r="T10" s="176"/>
      <c r="U10" s="169" t="s">
        <v>899</v>
      </c>
      <c r="V10" s="177">
        <v>97.88</v>
      </c>
      <c r="W10" s="178">
        <v>27.2</v>
      </c>
      <c r="X10" s="169">
        <f>'CCCM Dashboard'!D19</f>
        <v>0</v>
      </c>
      <c r="Y10" s="170">
        <f>'CCCM Dashboard'!E19</f>
        <v>0</v>
      </c>
      <c r="Z10" s="171" t="str">
        <f>U3</f>
        <v>Bhamo</v>
      </c>
      <c r="AA10" s="172" t="e">
        <f>'Shelter Coverage &amp; Gaps'!#REF!</f>
        <v>#REF!</v>
      </c>
      <c r="AB10" s="172"/>
      <c r="AC10" s="172"/>
      <c r="AD10" s="172"/>
      <c r="AE10" s="173">
        <f t="shared" si="1"/>
        <v>119</v>
      </c>
      <c r="AF10" s="174">
        <f t="shared" si="2"/>
        <v>279</v>
      </c>
      <c r="AG10" s="175">
        <f>'CCCM Dashboard'!F19</f>
        <v>0</v>
      </c>
      <c r="CT10" s="4"/>
      <c r="CU10" s="4"/>
      <c r="CV10" s="4"/>
      <c r="CW10" s="4"/>
      <c r="CX10" s="4"/>
      <c r="CY10" s="4"/>
      <c r="CZ10" s="4"/>
      <c r="DA10" s="4"/>
      <c r="DB10" s="4"/>
      <c r="DC10" s="4"/>
      <c r="DD10" s="4"/>
      <c r="DE10" s="4"/>
      <c r="DF10" s="4"/>
      <c r="DG10" s="4"/>
      <c r="DH10" s="4"/>
    </row>
    <row r="11" spans="15:112" ht="18.75" customHeight="1" x14ac:dyDescent="0.35">
      <c r="O11" s="18"/>
      <c r="P11" s="18"/>
      <c r="T11" s="168" t="s">
        <v>541</v>
      </c>
      <c r="U11" s="169" t="s">
        <v>151</v>
      </c>
      <c r="V11" s="168">
        <v>97.372845528455244</v>
      </c>
      <c r="W11" s="169">
        <v>24</v>
      </c>
      <c r="X11" s="169">
        <f>'CCCM Dashboard'!D20</f>
        <v>2758</v>
      </c>
      <c r="Y11" s="170">
        <f>'CCCM Dashboard'!E20</f>
        <v>12643</v>
      </c>
      <c r="Z11" s="171" t="str">
        <f t="shared" si="0"/>
        <v>12 cps</v>
      </c>
      <c r="AA11" s="172" t="e">
        <f>'Shelter Coverage &amp; Gaps'!#REF!</f>
        <v>#REF!</v>
      </c>
      <c r="AB11" s="172">
        <v>0</v>
      </c>
      <c r="AC11" s="172">
        <v>0</v>
      </c>
      <c r="AD11" s="172">
        <v>0</v>
      </c>
      <c r="AE11" s="173">
        <f t="shared" si="1"/>
        <v>535</v>
      </c>
      <c r="AF11" s="174">
        <f t="shared" si="2"/>
        <v>213</v>
      </c>
      <c r="AG11" s="175">
        <f>'CCCM Dashboard'!F20</f>
        <v>12</v>
      </c>
      <c r="CT11" s="4"/>
      <c r="CU11" s="4"/>
      <c r="CV11" s="4"/>
      <c r="CW11" s="4"/>
      <c r="CX11" s="4"/>
      <c r="CY11" s="4"/>
      <c r="CZ11" s="4"/>
      <c r="DA11" s="4"/>
      <c r="DB11" s="4"/>
      <c r="DC11" s="4"/>
      <c r="DD11" s="4"/>
      <c r="DE11" s="4"/>
      <c r="DF11" s="4"/>
      <c r="DG11" s="4"/>
      <c r="DH11" s="4"/>
    </row>
    <row r="12" spans="15:112" ht="18.75" customHeight="1" x14ac:dyDescent="0.35">
      <c r="O12" s="18"/>
      <c r="P12" s="18"/>
      <c r="T12" s="176" t="s">
        <v>545</v>
      </c>
      <c r="U12" s="169" t="s">
        <v>166</v>
      </c>
      <c r="V12" s="176">
        <v>97.266347826086943</v>
      </c>
      <c r="W12" s="169">
        <v>23.345826086956535</v>
      </c>
      <c r="X12" s="169">
        <f>'CCCM Dashboard'!D21</f>
        <v>69</v>
      </c>
      <c r="Y12" s="170">
        <f>'CCCM Dashboard'!E21</f>
        <v>355</v>
      </c>
      <c r="Z12" s="171" t="str">
        <f t="shared" si="0"/>
        <v>2 cps</v>
      </c>
      <c r="AA12" s="172" t="e">
        <f>'Shelter Coverage &amp; Gaps'!#REF!</f>
        <v>#REF!</v>
      </c>
      <c r="AB12" s="172">
        <v>0</v>
      </c>
      <c r="AC12" s="172">
        <v>0</v>
      </c>
      <c r="AD12" s="172">
        <v>0</v>
      </c>
      <c r="AE12" s="173">
        <f t="shared" si="1"/>
        <v>620</v>
      </c>
      <c r="AF12" s="174">
        <f t="shared" si="2"/>
        <v>200</v>
      </c>
      <c r="AG12" s="175">
        <f>'CCCM Dashboard'!F21</f>
        <v>2</v>
      </c>
      <c r="CT12" s="4"/>
      <c r="CU12" s="4"/>
      <c r="CV12" s="4"/>
      <c r="CW12" s="4"/>
      <c r="CX12" s="4"/>
      <c r="CY12" s="4"/>
      <c r="CZ12" s="4"/>
      <c r="DA12" s="4"/>
      <c r="DB12" s="4"/>
      <c r="DC12" s="4"/>
      <c r="DD12" s="4"/>
      <c r="DE12" s="4"/>
      <c r="DF12" s="4"/>
      <c r="DG12" s="4"/>
      <c r="DH12" s="4"/>
    </row>
    <row r="13" spans="15:112" ht="18.75" customHeight="1" x14ac:dyDescent="0.35">
      <c r="O13" s="18"/>
      <c r="P13" s="18"/>
      <c r="T13" s="168" t="s">
        <v>547</v>
      </c>
      <c r="U13" s="169" t="s">
        <v>173</v>
      </c>
      <c r="V13" s="168">
        <v>96.9</v>
      </c>
      <c r="W13" s="169">
        <v>25.4</v>
      </c>
      <c r="X13" s="169">
        <f>'CCCM Dashboard'!D22</f>
        <v>121</v>
      </c>
      <c r="Y13" s="170">
        <f>'CCCM Dashboard'!E22</f>
        <v>472</v>
      </c>
      <c r="Z13" s="171" t="str">
        <f t="shared" si="0"/>
        <v>6 cps</v>
      </c>
      <c r="AA13" s="172" t="e">
        <f>'Shelter Coverage &amp; Gaps'!#REF!</f>
        <v>#REF!</v>
      </c>
      <c r="AB13" s="172">
        <v>0</v>
      </c>
      <c r="AC13" s="172">
        <v>0</v>
      </c>
      <c r="AD13" s="172">
        <v>0</v>
      </c>
      <c r="AE13" s="173">
        <f t="shared" si="1"/>
        <v>353</v>
      </c>
      <c r="AF13" s="174">
        <f t="shared" si="2"/>
        <v>152</v>
      </c>
      <c r="AG13" s="175">
        <f>'CCCM Dashboard'!F22</f>
        <v>6</v>
      </c>
      <c r="CT13" s="4"/>
      <c r="CU13" s="4"/>
      <c r="CV13" s="4"/>
      <c r="CW13" s="4"/>
      <c r="CX13" s="4"/>
      <c r="CY13" s="4"/>
      <c r="CZ13" s="4"/>
      <c r="DA13" s="4"/>
      <c r="DB13" s="4"/>
      <c r="DC13" s="4"/>
      <c r="DD13" s="4"/>
      <c r="DE13" s="4"/>
      <c r="DF13" s="4"/>
      <c r="DG13" s="4"/>
      <c r="DH13" s="4"/>
    </row>
    <row r="14" spans="15:112" ht="18.75" customHeight="1" x14ac:dyDescent="0.35">
      <c r="O14" s="18"/>
      <c r="P14" s="18"/>
      <c r="T14" s="176" t="s">
        <v>553</v>
      </c>
      <c r="U14" s="169" t="s">
        <v>180</v>
      </c>
      <c r="V14" s="176">
        <v>96.376558441558373</v>
      </c>
      <c r="W14" s="169">
        <v>24.957077922077939</v>
      </c>
      <c r="X14" s="169">
        <f>'CCCM Dashboard'!D23</f>
        <v>84</v>
      </c>
      <c r="Y14" s="170">
        <f>'CCCM Dashboard'!E23</f>
        <v>420</v>
      </c>
      <c r="Z14" s="171" t="str">
        <f t="shared" si="0"/>
        <v>4 cps</v>
      </c>
      <c r="AA14" s="172" t="e">
        <f>'Shelter Coverage &amp; Gaps'!#REF!</f>
        <v>#REF!</v>
      </c>
      <c r="AB14" s="172">
        <v>1</v>
      </c>
      <c r="AC14" s="172">
        <v>0</v>
      </c>
      <c r="AD14" s="172">
        <v>0</v>
      </c>
      <c r="AE14" s="173">
        <f t="shared" si="1"/>
        <v>411</v>
      </c>
      <c r="AF14" s="174">
        <f t="shared" si="2"/>
        <v>84</v>
      </c>
      <c r="AG14" s="175">
        <f>'CCCM Dashboard'!F23</f>
        <v>4</v>
      </c>
      <c r="CT14" s="4"/>
      <c r="CU14" s="4"/>
      <c r="CV14" s="4"/>
      <c r="CW14" s="4"/>
      <c r="CX14" s="4"/>
      <c r="CY14" s="4"/>
      <c r="CZ14" s="4"/>
      <c r="DA14" s="4"/>
      <c r="DB14" s="4"/>
      <c r="DC14" s="4"/>
      <c r="DD14" s="4"/>
      <c r="DE14" s="4"/>
      <c r="DF14" s="4"/>
      <c r="DG14" s="4"/>
      <c r="DH14" s="4"/>
    </row>
    <row r="15" spans="15:112" ht="18.75" customHeight="1" x14ac:dyDescent="0.35">
      <c r="O15" s="18"/>
      <c r="P15" s="18"/>
      <c r="T15" s="168" t="s">
        <v>535</v>
      </c>
      <c r="U15" s="169" t="s">
        <v>185</v>
      </c>
      <c r="V15" s="168">
        <v>97.449510489510473</v>
      </c>
      <c r="W15" s="169">
        <v>24.6</v>
      </c>
      <c r="X15" s="169">
        <f>'CCCM Dashboard'!D24</f>
        <v>4966</v>
      </c>
      <c r="Y15" s="170">
        <f>'CCCM Dashboard'!E24</f>
        <v>24326</v>
      </c>
      <c r="Z15" s="171" t="str">
        <f t="shared" si="0"/>
        <v>22 cps</v>
      </c>
      <c r="AA15" s="172" t="e">
        <f>'Shelter Coverage &amp; Gaps'!#REF!</f>
        <v>#REF!</v>
      </c>
      <c r="AB15" s="172">
        <v>0.12549019607843137</v>
      </c>
      <c r="AC15" s="172">
        <v>0</v>
      </c>
      <c r="AD15" s="172">
        <v>0.58263305322128844</v>
      </c>
      <c r="AE15" s="173">
        <f t="shared" si="1"/>
        <v>457</v>
      </c>
      <c r="AF15" s="174">
        <f t="shared" si="2"/>
        <v>223</v>
      </c>
      <c r="AG15" s="175">
        <f>'CCCM Dashboard'!F24</f>
        <v>22</v>
      </c>
      <c r="CT15" s="4"/>
      <c r="CU15" s="4"/>
      <c r="CV15" s="4"/>
      <c r="CW15" s="4"/>
      <c r="CX15" s="4"/>
      <c r="CY15" s="4"/>
      <c r="CZ15" s="4"/>
      <c r="DA15" s="4"/>
      <c r="DB15" s="4"/>
      <c r="DC15" s="4"/>
      <c r="DD15" s="4"/>
      <c r="DE15" s="4"/>
      <c r="DF15" s="4"/>
      <c r="DG15" s="4"/>
      <c r="DH15" s="4"/>
    </row>
    <row r="16" spans="15:112" ht="18.75" customHeight="1" x14ac:dyDescent="0.35">
      <c r="O16" s="18"/>
      <c r="P16" s="18"/>
      <c r="T16" s="176" t="s">
        <v>540</v>
      </c>
      <c r="U16" s="169" t="s">
        <v>230</v>
      </c>
      <c r="V16" s="176">
        <v>98.12</v>
      </c>
      <c r="W16" s="169">
        <v>23.972235294117642</v>
      </c>
      <c r="X16" s="169">
        <f>'CCCM Dashboard'!D25</f>
        <v>296</v>
      </c>
      <c r="Y16" s="170">
        <f>'CCCM Dashboard'!E25</f>
        <v>1211</v>
      </c>
      <c r="Z16" s="171" t="str">
        <f t="shared" si="0"/>
        <v>8 cps</v>
      </c>
      <c r="AA16" s="172" t="e">
        <f>'Shelter Coverage &amp; Gaps'!#REF!</f>
        <v>#REF!</v>
      </c>
      <c r="AB16" s="172">
        <v>0</v>
      </c>
      <c r="AC16" s="172">
        <v>0</v>
      </c>
      <c r="AD16" s="172">
        <v>0</v>
      </c>
      <c r="AE16" s="173">
        <f t="shared" si="1"/>
        <v>539</v>
      </c>
      <c r="AF16" s="174">
        <f t="shared" si="2"/>
        <v>311</v>
      </c>
      <c r="AG16" s="175">
        <f>'CCCM Dashboard'!F25</f>
        <v>8</v>
      </c>
      <c r="CT16" s="4"/>
      <c r="CU16" s="4"/>
      <c r="CV16" s="4"/>
      <c r="CW16" s="4"/>
      <c r="CX16" s="4"/>
      <c r="CY16" s="4"/>
      <c r="CZ16" s="4"/>
      <c r="DA16" s="4"/>
      <c r="DB16" s="4"/>
      <c r="DC16" s="4"/>
      <c r="DD16" s="4"/>
      <c r="DE16" s="4"/>
      <c r="DF16" s="4"/>
      <c r="DG16" s="4"/>
      <c r="DH16" s="4"/>
    </row>
    <row r="17" spans="1:112" ht="18.75" customHeight="1" x14ac:dyDescent="0.35">
      <c r="O17" s="18"/>
      <c r="P17" s="18"/>
      <c r="T17" s="168" t="s">
        <v>537</v>
      </c>
      <c r="U17" s="169" t="s">
        <v>237</v>
      </c>
      <c r="V17" s="168">
        <v>97.301176470588288</v>
      </c>
      <c r="W17" s="169">
        <v>25.24</v>
      </c>
      <c r="X17" s="169">
        <f>'CCCM Dashboard'!D26</f>
        <v>1524</v>
      </c>
      <c r="Y17" s="170">
        <f>'CCCM Dashboard'!E26</f>
        <v>7446</v>
      </c>
      <c r="Z17" s="171" t="str">
        <f t="shared" si="0"/>
        <v>24 cps</v>
      </c>
      <c r="AA17" s="172" t="e">
        <f>'Shelter Coverage &amp; Gaps'!#REF!</f>
        <v>#REF!</v>
      </c>
      <c r="AB17" s="172">
        <v>0.65062761506276146</v>
      </c>
      <c r="AC17" s="172">
        <v>0</v>
      </c>
      <c r="AD17" s="172">
        <v>0.25732217573221761</v>
      </c>
      <c r="AE17" s="173">
        <f t="shared" si="1"/>
        <v>374</v>
      </c>
      <c r="AF17" s="174">
        <f t="shared" si="2"/>
        <v>204</v>
      </c>
      <c r="AG17" s="175">
        <f>'CCCM Dashboard'!F26</f>
        <v>24</v>
      </c>
      <c r="CT17" s="4"/>
      <c r="CU17" s="4"/>
      <c r="CV17" s="4"/>
      <c r="CW17" s="4"/>
      <c r="CX17" s="4"/>
      <c r="CY17" s="4"/>
      <c r="CZ17" s="4"/>
      <c r="DA17" s="4"/>
      <c r="DB17" s="4"/>
      <c r="DC17" s="4"/>
      <c r="DD17" s="4"/>
      <c r="DE17" s="4"/>
      <c r="DF17" s="4"/>
      <c r="DG17" s="4"/>
      <c r="DH17" s="4"/>
    </row>
    <row r="18" spans="1:112" ht="18.75" customHeight="1" x14ac:dyDescent="0.35">
      <c r="O18" s="18"/>
      <c r="P18" s="18"/>
      <c r="T18" s="176" t="s">
        <v>551</v>
      </c>
      <c r="U18" s="169" t="s">
        <v>289</v>
      </c>
      <c r="V18" s="176">
        <v>97.619855072463778</v>
      </c>
      <c r="W18" s="169">
        <v>23.7</v>
      </c>
      <c r="X18" s="169">
        <f>'CCCM Dashboard'!D27</f>
        <v>382</v>
      </c>
      <c r="Y18" s="170">
        <f>'CCCM Dashboard'!E27</f>
        <v>1896</v>
      </c>
      <c r="Z18" s="171" t="str">
        <f t="shared" si="0"/>
        <v>5 cps</v>
      </c>
      <c r="AA18" s="172" t="e">
        <f>'Shelter Coverage &amp; Gaps'!#REF!</f>
        <v>#REF!</v>
      </c>
      <c r="AB18" s="172">
        <v>0</v>
      </c>
      <c r="AC18" s="172">
        <v>0</v>
      </c>
      <c r="AD18" s="172">
        <v>0</v>
      </c>
      <c r="AE18" s="173">
        <f t="shared" si="1"/>
        <v>574</v>
      </c>
      <c r="AF18" s="174">
        <f t="shared" si="2"/>
        <v>246</v>
      </c>
      <c r="AG18" s="175">
        <f>'CCCM Dashboard'!F27</f>
        <v>5</v>
      </c>
      <c r="CT18" s="4"/>
      <c r="CU18" s="4"/>
      <c r="CV18" s="4"/>
      <c r="CW18" s="4"/>
      <c r="CX18" s="4"/>
      <c r="CY18" s="4"/>
      <c r="CZ18" s="4"/>
      <c r="DA18" s="4"/>
      <c r="DB18" s="4"/>
      <c r="DC18" s="4"/>
      <c r="DD18" s="4"/>
      <c r="DE18" s="4"/>
      <c r="DF18" s="4"/>
      <c r="DG18" s="4"/>
      <c r="DH18" s="4"/>
    </row>
    <row r="19" spans="1:112" ht="18.75" customHeight="1" x14ac:dyDescent="0.35">
      <c r="O19" s="18"/>
      <c r="P19" s="18"/>
      <c r="T19" s="168" t="s">
        <v>552</v>
      </c>
      <c r="U19" s="169" t="s">
        <v>298</v>
      </c>
      <c r="V19" s="168">
        <v>97.48</v>
      </c>
      <c r="W19" s="169">
        <v>23.01813559322035</v>
      </c>
      <c r="X19" s="169">
        <f>'CCCM Dashboard'!D28</f>
        <v>128</v>
      </c>
      <c r="Y19" s="170">
        <f>'CCCM Dashboard'!E28</f>
        <v>561</v>
      </c>
      <c r="Z19" s="171" t="str">
        <f t="shared" si="0"/>
        <v>2 cps</v>
      </c>
      <c r="AA19" s="172" t="e">
        <f>'Shelter Coverage &amp; Gaps'!#REF!</f>
        <v>#REF!</v>
      </c>
      <c r="AB19" s="172">
        <v>0</v>
      </c>
      <c r="AC19" s="172">
        <v>0</v>
      </c>
      <c r="AD19" s="172">
        <v>0</v>
      </c>
      <c r="AE19" s="173">
        <f t="shared" si="1"/>
        <v>663</v>
      </c>
      <c r="AF19" s="174">
        <f t="shared" si="2"/>
        <v>227</v>
      </c>
      <c r="AG19" s="175">
        <f>'CCCM Dashboard'!F28</f>
        <v>2</v>
      </c>
      <c r="CT19" s="4"/>
      <c r="CU19" s="4"/>
      <c r="CV19" s="4"/>
      <c r="CW19" s="4"/>
      <c r="CX19" s="4"/>
      <c r="CY19" s="4"/>
      <c r="CZ19" s="4"/>
      <c r="DA19" s="4"/>
      <c r="DB19" s="4"/>
      <c r="DC19" s="4"/>
      <c r="DD19" s="4"/>
      <c r="DE19" s="4"/>
      <c r="DF19" s="4"/>
      <c r="DG19" s="4"/>
      <c r="DH19" s="4"/>
    </row>
    <row r="20" spans="1:112" ht="18.75" customHeight="1" x14ac:dyDescent="0.35">
      <c r="O20" s="18"/>
      <c r="P20" s="18"/>
      <c r="T20" s="176" t="s">
        <v>554</v>
      </c>
      <c r="U20" s="169" t="s">
        <v>300</v>
      </c>
      <c r="V20" s="176">
        <v>97.435148514851463</v>
      </c>
      <c r="W20" s="169">
        <v>27.327029702970304</v>
      </c>
      <c r="X20" s="169">
        <f>'CCCM Dashboard'!D29</f>
        <v>83</v>
      </c>
      <c r="Y20" s="170">
        <f>'CCCM Dashboard'!E29</f>
        <v>394</v>
      </c>
      <c r="Z20" s="171" t="str">
        <f t="shared" si="0"/>
        <v>3 cps</v>
      </c>
      <c r="AA20" s="172" t="e">
        <f>'Shelter Coverage &amp; Gaps'!#REF!</f>
        <v>#REF!</v>
      </c>
      <c r="AB20" s="172">
        <v>0</v>
      </c>
      <c r="AC20" s="172">
        <v>0</v>
      </c>
      <c r="AD20" s="172">
        <v>0</v>
      </c>
      <c r="AE20" s="173">
        <f t="shared" si="1"/>
        <v>102</v>
      </c>
      <c r="AF20" s="174">
        <f t="shared" si="2"/>
        <v>222</v>
      </c>
      <c r="AG20" s="175">
        <f>'CCCM Dashboard'!F29</f>
        <v>3</v>
      </c>
      <c r="CT20" s="4"/>
      <c r="CU20" s="4"/>
      <c r="CV20" s="4"/>
      <c r="CW20" s="4"/>
      <c r="CX20" s="4"/>
      <c r="CY20" s="4"/>
      <c r="CZ20" s="4"/>
      <c r="DA20" s="4"/>
      <c r="DB20" s="4"/>
      <c r="DC20" s="4"/>
      <c r="DD20" s="4"/>
      <c r="DE20" s="4"/>
      <c r="DF20" s="4"/>
      <c r="DG20" s="4"/>
      <c r="DH20" s="4"/>
    </row>
    <row r="21" spans="1:112" ht="18.75" customHeight="1" x14ac:dyDescent="0.35">
      <c r="T21" s="168" t="s">
        <v>542</v>
      </c>
      <c r="U21" s="169" t="s">
        <v>302</v>
      </c>
      <c r="V21" s="168">
        <v>96.752179487179433</v>
      </c>
      <c r="W21" s="169">
        <v>24.4</v>
      </c>
      <c r="X21" s="169">
        <f>'CCCM Dashboard'!D30</f>
        <v>507</v>
      </c>
      <c r="Y21" s="170">
        <f>'CCCM Dashboard'!E30</f>
        <v>2222</v>
      </c>
      <c r="Z21" s="169" t="str">
        <f t="shared" si="0"/>
        <v>4 cps</v>
      </c>
      <c r="AA21" s="172" t="e">
        <f>'Shelter Coverage &amp; Gaps'!#REF!</f>
        <v>#REF!</v>
      </c>
      <c r="AB21" s="172">
        <v>0</v>
      </c>
      <c r="AC21" s="172">
        <v>0</v>
      </c>
      <c r="AD21" s="172">
        <v>0</v>
      </c>
      <c r="AE21" s="173">
        <f t="shared" si="1"/>
        <v>483</v>
      </c>
      <c r="AF21" s="174">
        <f t="shared" si="2"/>
        <v>133</v>
      </c>
      <c r="AG21" s="175">
        <f>'CCCM Dashboard'!F30</f>
        <v>4</v>
      </c>
      <c r="DA21" s="68"/>
      <c r="DB21" s="69"/>
      <c r="DC21" s="69"/>
      <c r="DD21" s="69"/>
      <c r="DE21" s="69"/>
    </row>
    <row r="22" spans="1:112" ht="18.75" customHeight="1" x14ac:dyDescent="0.35">
      <c r="A22" s="80"/>
      <c r="B22" s="80"/>
      <c r="C22" s="80"/>
      <c r="D22" s="80"/>
      <c r="E22" s="80"/>
      <c r="F22" s="80"/>
      <c r="G22" s="80"/>
      <c r="H22" s="80"/>
      <c r="I22" s="80"/>
      <c r="J22" s="80"/>
      <c r="K22" s="80"/>
      <c r="L22" s="80"/>
      <c r="M22" s="80"/>
      <c r="N22" s="71"/>
      <c r="T22" s="176"/>
      <c r="U22" s="169" t="s">
        <v>813</v>
      </c>
      <c r="V22" s="168">
        <v>97.5</v>
      </c>
      <c r="W22" s="178">
        <v>26.5</v>
      </c>
      <c r="X22" s="169">
        <f>'CCCM Dashboard'!D31</f>
        <v>166</v>
      </c>
      <c r="Y22" s="170">
        <f>'CCCM Dashboard'!E31</f>
        <v>1232</v>
      </c>
      <c r="Z22" s="171" t="str">
        <f>CONCATENATE(AG22, " cp",IF(AG22&gt;1,"s",""))</f>
        <v>3 cps</v>
      </c>
      <c r="AA22" s="172" t="e">
        <f>'Shelter Coverage &amp; Gaps'!#REF!</f>
        <v>#REF!</v>
      </c>
      <c r="AB22" s="172"/>
      <c r="AC22" s="172"/>
      <c r="AD22" s="172"/>
      <c r="AE22" s="173">
        <f t="shared" si="1"/>
        <v>210</v>
      </c>
      <c r="AF22" s="174">
        <f t="shared" si="2"/>
        <v>230</v>
      </c>
      <c r="AG22" s="175">
        <f>'CCCM Dashboard'!F31</f>
        <v>3</v>
      </c>
      <c r="DA22" s="68"/>
      <c r="DB22" s="69"/>
      <c r="DC22" s="69"/>
      <c r="DD22" s="69"/>
      <c r="DE22" s="69"/>
    </row>
    <row r="23" spans="1:112" ht="18.75" customHeight="1" x14ac:dyDescent="0.35">
      <c r="A23" s="73"/>
      <c r="B23" s="73"/>
      <c r="C23" s="74"/>
      <c r="D23" s="74"/>
      <c r="E23" s="75"/>
      <c r="F23" s="75"/>
      <c r="G23" s="76"/>
      <c r="H23" s="77"/>
      <c r="I23" s="77"/>
      <c r="J23" s="77"/>
      <c r="K23" s="78"/>
      <c r="L23" s="79"/>
      <c r="M23" s="80"/>
      <c r="N23" s="71"/>
      <c r="T23" s="176" t="s">
        <v>534</v>
      </c>
      <c r="U23" s="169" t="s">
        <v>310</v>
      </c>
      <c r="V23" s="176">
        <v>97.8</v>
      </c>
      <c r="W23" s="169">
        <v>25.5</v>
      </c>
      <c r="X23" s="169">
        <f>'CCCM Dashboard'!D32</f>
        <v>4801</v>
      </c>
      <c r="Y23" s="170">
        <f>'CCCM Dashboard'!E32</f>
        <v>24442</v>
      </c>
      <c r="Z23" s="169" t="str">
        <f t="shared" si="0"/>
        <v>23 cps</v>
      </c>
      <c r="AA23" s="172" t="e">
        <f>'Shelter Coverage &amp; Gaps'!#REF!</f>
        <v>#REF!</v>
      </c>
      <c r="AB23" s="172">
        <v>0.37372161553128791</v>
      </c>
      <c r="AC23" s="172">
        <v>0</v>
      </c>
      <c r="AD23" s="172">
        <v>4.6281851274050934E-2</v>
      </c>
      <c r="AE23" s="173">
        <f t="shared" si="1"/>
        <v>340</v>
      </c>
      <c r="AF23" s="174">
        <f t="shared" si="2"/>
        <v>269</v>
      </c>
      <c r="AG23" s="175">
        <f>'CCCM Dashboard'!F32</f>
        <v>23</v>
      </c>
      <c r="DA23" s="68"/>
      <c r="DB23" s="69"/>
      <c r="DC23" s="69"/>
      <c r="DD23" s="69"/>
      <c r="DE23" s="69"/>
    </row>
    <row r="24" spans="1:112" ht="18.75" customHeight="1" x14ac:dyDescent="0.35">
      <c r="T24" s="169"/>
      <c r="U24" s="169" t="s">
        <v>568</v>
      </c>
      <c r="V24" s="178" t="s">
        <v>570</v>
      </c>
      <c r="W24" s="178" t="s">
        <v>569</v>
      </c>
      <c r="X24" s="179">
        <f>SUBTOTAL(109,Table58[HS])</f>
        <v>19506</v>
      </c>
      <c r="Y24" s="170">
        <f>SUBTOTAL(109,Table58[Pop])</f>
        <v>95922</v>
      </c>
      <c r="Z24" s="171" t="str">
        <f>CONCATENATE(Table58[[#Totals],[Column1]]," camps")</f>
        <v>167 camps</v>
      </c>
      <c r="AA24" s="180" t="e">
        <f>SUMPRODUCT(Table58[Pop]*Table58[Coverage])/Table58[[#Totals],[Pop]]</f>
        <v>#REF!</v>
      </c>
      <c r="AB24" s="180">
        <f>SUMPRODUCT(Table58[Pop]*Table58[Hygiene])/Table58[[#Totals],[Pop]]</f>
        <v>0.23450295093806159</v>
      </c>
      <c r="AC24" s="180">
        <f>SUMPRODUCT(Table58[Pop]*Table58[Core])/Table58[[#Totals],[Pop]]</f>
        <v>0</v>
      </c>
      <c r="AD24" s="180">
        <f>SUMPRODUCT(Table58[Pop]*Table58[Sanitary])/Table58[[#Totals],[Pop]]</f>
        <v>0.27665020628473752</v>
      </c>
      <c r="AE24" s="181">
        <f>1000-ROUND((W24-23.5)*$S$5,0)</f>
        <v>545</v>
      </c>
      <c r="AF24" s="182">
        <f>ROUND((V24-96.5)*$S$5,0)+100</f>
        <v>35</v>
      </c>
      <c r="AG24" s="183">
        <f>SUBTOTAL(109,Table58[Column1])</f>
        <v>167</v>
      </c>
      <c r="DA24" s="68"/>
      <c r="DE24" s="1"/>
      <c r="DF24" s="46"/>
    </row>
    <row r="25" spans="1:112" ht="18.75" customHeight="1" x14ac:dyDescent="0.35">
      <c r="DA25" s="68"/>
      <c r="DE25" s="1"/>
      <c r="DF25" s="46"/>
    </row>
    <row r="26" spans="1:112" ht="18.75" customHeight="1" x14ac:dyDescent="0.35">
      <c r="P26" s="72"/>
      <c r="Q26" s="72"/>
      <c r="DA26" s="68"/>
      <c r="DE26" s="1"/>
      <c r="DF26" s="46"/>
    </row>
    <row r="27" spans="1:112" s="18" customFormat="1" ht="18.75" customHeight="1" x14ac:dyDescent="0.35">
      <c r="A27" s="4"/>
      <c r="B27" s="4"/>
      <c r="C27" s="4"/>
      <c r="D27" s="4"/>
      <c r="E27" s="4"/>
      <c r="F27" s="4"/>
      <c r="G27" s="4"/>
      <c r="H27" s="4"/>
      <c r="I27" s="4"/>
      <c r="J27" s="4"/>
      <c r="K27" s="4"/>
      <c r="L27" s="4"/>
      <c r="M27" s="4"/>
      <c r="N27" s="4"/>
      <c r="O27" s="4"/>
      <c r="P27" s="4"/>
      <c r="Q27" s="4"/>
      <c r="R27" s="4"/>
      <c r="S27" s="4"/>
      <c r="T27" s="158"/>
      <c r="U27" s="158"/>
      <c r="V27" s="158"/>
      <c r="W27" s="158"/>
      <c r="X27" s="158"/>
      <c r="Y27" s="158"/>
      <c r="Z27" s="158"/>
      <c r="AA27" s="158"/>
      <c r="AB27" s="158"/>
      <c r="AC27" s="158"/>
      <c r="AD27" s="158"/>
      <c r="AE27" s="158"/>
      <c r="AF27" s="158"/>
      <c r="AG27" s="158"/>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68"/>
      <c r="DE27" s="1"/>
      <c r="DF27" s="46"/>
    </row>
    <row r="28" spans="1:112" s="18" customFormat="1" ht="18.75" customHeight="1" x14ac:dyDescent="0.35">
      <c r="A28" s="4"/>
      <c r="B28" s="4"/>
      <c r="C28" s="4"/>
      <c r="D28" s="4"/>
      <c r="E28" s="4"/>
      <c r="F28" s="4"/>
      <c r="G28" s="4"/>
      <c r="H28" s="4"/>
      <c r="I28" s="4"/>
      <c r="J28" s="4"/>
      <c r="K28" s="4"/>
      <c r="L28" s="4"/>
      <c r="M28" s="4"/>
      <c r="N28" s="4"/>
      <c r="O28" s="4"/>
      <c r="P28" s="4"/>
      <c r="Q28" s="4"/>
      <c r="R28" s="4"/>
      <c r="S28" s="4"/>
      <c r="T28" s="158"/>
      <c r="U28" s="158"/>
      <c r="V28" s="158"/>
      <c r="W28" s="158"/>
      <c r="X28" s="158"/>
      <c r="Y28" s="158"/>
      <c r="Z28" s="158"/>
      <c r="AA28" s="158"/>
      <c r="AB28" s="158"/>
      <c r="AC28" s="158"/>
      <c r="AD28" s="158"/>
      <c r="AE28" s="158"/>
      <c r="AF28" s="158"/>
      <c r="AG28" s="158"/>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68"/>
      <c r="DE28" s="1"/>
      <c r="DF28" s="46"/>
    </row>
    <row r="29" spans="1:112" s="18" customFormat="1" ht="18.75" customHeight="1" x14ac:dyDescent="0.35">
      <c r="A29" s="4"/>
      <c r="B29" s="4"/>
      <c r="C29" s="4"/>
      <c r="D29" s="4"/>
      <c r="E29" s="4"/>
      <c r="F29" s="4"/>
      <c r="G29" s="4"/>
      <c r="H29" s="4"/>
      <c r="I29" s="4"/>
      <c r="J29" s="4"/>
      <c r="K29" s="4"/>
      <c r="L29" s="4"/>
      <c r="M29" s="4"/>
      <c r="N29" s="4"/>
      <c r="O29" s="4"/>
      <c r="P29" s="4"/>
      <c r="Q29" s="4"/>
      <c r="R29" s="4"/>
      <c r="S29" s="4"/>
      <c r="T29" s="158"/>
      <c r="U29" s="158"/>
      <c r="V29" s="158"/>
      <c r="W29" s="158"/>
      <c r="X29" s="158"/>
      <c r="Y29" s="158"/>
      <c r="Z29" s="158"/>
      <c r="AA29" s="158"/>
      <c r="AB29" s="158"/>
      <c r="AC29" s="158"/>
      <c r="AD29" s="158"/>
      <c r="AE29" s="158"/>
      <c r="AF29" s="158"/>
      <c r="AG29" s="158"/>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68"/>
      <c r="DE29" s="1"/>
      <c r="DF29" s="46"/>
    </row>
    <row r="30" spans="1:112" s="18" customFormat="1" ht="18.75" customHeight="1" x14ac:dyDescent="0.35">
      <c r="A30" s="4"/>
      <c r="B30" s="4"/>
      <c r="C30" s="4"/>
      <c r="D30" s="4"/>
      <c r="E30" s="4"/>
      <c r="F30" s="4"/>
      <c r="G30" s="4"/>
      <c r="H30" s="4"/>
      <c r="I30" s="4"/>
      <c r="J30" s="4"/>
      <c r="K30" s="4"/>
      <c r="L30" s="4"/>
      <c r="M30" s="4"/>
      <c r="N30" s="4"/>
      <c r="O30" s="4"/>
      <c r="P30" s="4"/>
      <c r="Q30" s="4"/>
      <c r="R30" s="4"/>
      <c r="S30" s="4"/>
      <c r="T30" s="158"/>
      <c r="U30" s="158"/>
      <c r="V30" s="158"/>
      <c r="W30" s="158"/>
      <c r="X30" s="158"/>
      <c r="Y30" s="158"/>
      <c r="Z30" s="158"/>
      <c r="AA30" s="158"/>
      <c r="AB30" s="158"/>
      <c r="AC30" s="158"/>
      <c r="AD30" s="158"/>
      <c r="AE30" s="158"/>
      <c r="AF30" s="158"/>
      <c r="AG30" s="158"/>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68"/>
      <c r="DE30" s="1"/>
      <c r="DF30" s="46"/>
    </row>
    <row r="31" spans="1:112" s="18" customFormat="1" ht="18.75" customHeight="1" x14ac:dyDescent="0.35">
      <c r="A31" s="4"/>
      <c r="B31" s="4"/>
      <c r="C31" s="4"/>
      <c r="D31" s="4"/>
      <c r="E31" s="4"/>
      <c r="F31" s="4"/>
      <c r="G31" s="4"/>
      <c r="H31" s="4"/>
      <c r="I31" s="4"/>
      <c r="J31" s="4"/>
      <c r="K31" s="4"/>
      <c r="L31" s="4"/>
      <c r="M31" s="4"/>
      <c r="N31" s="4"/>
      <c r="O31" s="4"/>
      <c r="P31" s="4"/>
      <c r="Q31" s="4"/>
      <c r="R31" s="4"/>
      <c r="S31" s="4"/>
      <c r="T31" s="158"/>
      <c r="U31" s="158"/>
      <c r="V31" s="158"/>
      <c r="W31" s="158"/>
      <c r="X31" s="158"/>
      <c r="Y31" s="158"/>
      <c r="Z31" s="158"/>
      <c r="AA31" s="158"/>
      <c r="AB31" s="158"/>
      <c r="AC31" s="158"/>
      <c r="AD31" s="158"/>
      <c r="AE31" s="158"/>
      <c r="AF31" s="158"/>
      <c r="AG31" s="158"/>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68"/>
      <c r="DE31" s="1"/>
      <c r="DF31" s="46"/>
    </row>
    <row r="32" spans="1:112" s="18" customFormat="1" ht="18.75" customHeight="1" x14ac:dyDescent="0.35">
      <c r="A32" s="4"/>
      <c r="B32" s="4"/>
      <c r="C32" s="4"/>
      <c r="D32" s="4"/>
      <c r="E32" s="4"/>
      <c r="F32" s="4"/>
      <c r="G32" s="4"/>
      <c r="H32" s="4"/>
      <c r="I32" s="4"/>
      <c r="J32" s="4"/>
      <c r="K32" s="4"/>
      <c r="L32" s="4"/>
      <c r="M32" s="4"/>
      <c r="N32" s="4"/>
      <c r="O32" s="4"/>
      <c r="P32" s="4"/>
      <c r="Q32" s="4"/>
      <c r="R32" s="4"/>
      <c r="S32" s="4"/>
      <c r="T32" s="158"/>
      <c r="U32" s="158"/>
      <c r="V32" s="158"/>
      <c r="W32" s="158"/>
      <c r="X32" s="158"/>
      <c r="Y32" s="158"/>
      <c r="Z32" s="158"/>
      <c r="AA32" s="158"/>
      <c r="AB32" s="158"/>
      <c r="AC32" s="158"/>
      <c r="AD32" s="158"/>
      <c r="AE32" s="158"/>
      <c r="AF32" s="158"/>
      <c r="AG32" s="158"/>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46"/>
    </row>
    <row r="33" spans="1:111" s="18" customFormat="1" ht="18.75" customHeight="1" x14ac:dyDescent="0.35">
      <c r="A33" s="4"/>
      <c r="B33" s="4"/>
      <c r="C33" s="4"/>
      <c r="D33" s="4"/>
      <c r="E33" s="4"/>
      <c r="F33" s="4"/>
      <c r="G33" s="4"/>
      <c r="H33" s="4"/>
      <c r="I33" s="4"/>
      <c r="J33" s="4"/>
      <c r="K33" s="4"/>
      <c r="L33" s="4"/>
      <c r="M33" s="4"/>
      <c r="N33" s="4"/>
      <c r="O33" s="4"/>
      <c r="P33" s="4"/>
      <c r="Q33" s="4"/>
      <c r="R33" s="4"/>
      <c r="S33" s="4"/>
      <c r="T33" s="158"/>
      <c r="U33" s="158"/>
      <c r="V33" s="158"/>
      <c r="W33" s="158"/>
      <c r="X33" s="158"/>
      <c r="Y33" s="158"/>
      <c r="Z33" s="158"/>
      <c r="AA33" s="158"/>
      <c r="AB33" s="158"/>
      <c r="AC33" s="158"/>
      <c r="AD33" s="158"/>
      <c r="AE33" s="158"/>
      <c r="AF33" s="158"/>
      <c r="AG33" s="158"/>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46"/>
    </row>
    <row r="34" spans="1:111" s="18" customFormat="1" ht="18.75" customHeight="1" x14ac:dyDescent="0.35">
      <c r="A34" s="4"/>
      <c r="B34" s="4"/>
      <c r="C34" s="4"/>
      <c r="D34" s="4"/>
      <c r="E34" s="4"/>
      <c r="F34" s="4"/>
      <c r="G34" s="4"/>
      <c r="H34" s="4"/>
      <c r="I34" s="4"/>
      <c r="J34" s="4"/>
      <c r="K34" s="4"/>
      <c r="L34" s="4"/>
      <c r="M34" s="4"/>
      <c r="N34" s="4"/>
      <c r="O34" s="4"/>
      <c r="P34" s="4"/>
      <c r="Q34" s="4"/>
      <c r="R34" s="4"/>
      <c r="S34" s="4"/>
      <c r="T34" s="158"/>
      <c r="U34" s="158"/>
      <c r="V34" s="158"/>
      <c r="W34" s="158"/>
      <c r="X34" s="158"/>
      <c r="Y34" s="158"/>
      <c r="Z34" s="158"/>
      <c r="AA34" s="158"/>
      <c r="AB34" s="158"/>
      <c r="AC34" s="158"/>
      <c r="AD34" s="158"/>
      <c r="AE34" s="158"/>
      <c r="AF34" s="158"/>
      <c r="AG34" s="158"/>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46"/>
    </row>
    <row r="35" spans="1:111" s="18" customFormat="1" ht="18.75" customHeight="1" x14ac:dyDescent="0.35">
      <c r="A35" s="4"/>
      <c r="B35" s="4"/>
      <c r="C35" s="4"/>
      <c r="D35" s="4"/>
      <c r="E35" s="4"/>
      <c r="F35" s="4"/>
      <c r="G35" s="4"/>
      <c r="H35" s="4"/>
      <c r="I35" s="4"/>
      <c r="J35" s="4"/>
      <c r="K35" s="4"/>
      <c r="L35" s="4"/>
      <c r="M35" s="4"/>
      <c r="N35" s="4"/>
      <c r="O35" s="4"/>
      <c r="P35" s="4"/>
      <c r="Q35" s="4"/>
      <c r="R35" s="4"/>
      <c r="S35" s="4"/>
      <c r="T35" s="158"/>
      <c r="U35" s="158"/>
      <c r="V35" s="158"/>
      <c r="W35" s="158"/>
      <c r="X35" s="158"/>
      <c r="Y35" s="158"/>
      <c r="Z35" s="158"/>
      <c r="AA35" s="158"/>
      <c r="AB35" s="158"/>
      <c r="AC35" s="158"/>
      <c r="AD35" s="158"/>
      <c r="AE35" s="158"/>
      <c r="AF35" s="158"/>
      <c r="AG35" s="158"/>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46"/>
    </row>
    <row r="36" spans="1:111" s="18" customFormat="1" ht="18.75" customHeight="1" x14ac:dyDescent="0.35">
      <c r="A36" s="4"/>
      <c r="B36" s="4"/>
      <c r="C36" s="4"/>
      <c r="D36" s="4"/>
      <c r="E36" s="4"/>
      <c r="F36" s="4"/>
      <c r="G36" s="4"/>
      <c r="H36" s="4"/>
      <c r="I36" s="4"/>
      <c r="J36" s="4"/>
      <c r="K36" s="4"/>
      <c r="L36" s="4"/>
      <c r="M36" s="4"/>
      <c r="N36" s="4"/>
      <c r="O36" s="4"/>
      <c r="P36" s="4"/>
      <c r="Q36" s="4"/>
      <c r="R36" s="4"/>
      <c r="S36" s="4"/>
      <c r="T36" s="158"/>
      <c r="U36" s="158"/>
      <c r="V36" s="158"/>
      <c r="W36" s="158"/>
      <c r="X36" s="158"/>
      <c r="Y36" s="158"/>
      <c r="Z36" s="158"/>
      <c r="AA36" s="158"/>
      <c r="AB36" s="158"/>
      <c r="AC36" s="158"/>
      <c r="AD36" s="158"/>
      <c r="AE36" s="158"/>
      <c r="AF36" s="158"/>
      <c r="AG36" s="158"/>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46"/>
    </row>
    <row r="37" spans="1:111" s="18" customFormat="1" ht="18.75" customHeight="1" x14ac:dyDescent="0.35">
      <c r="A37" s="4"/>
      <c r="B37" s="4"/>
      <c r="C37" s="4"/>
      <c r="D37" s="4"/>
      <c r="E37" s="4"/>
      <c r="F37" s="4"/>
      <c r="G37" s="4"/>
      <c r="H37" s="4"/>
      <c r="I37" s="4"/>
      <c r="J37" s="4"/>
      <c r="K37" s="4"/>
      <c r="L37" s="4"/>
      <c r="M37" s="4"/>
      <c r="N37" s="4"/>
      <c r="O37" s="4"/>
      <c r="P37" s="4"/>
      <c r="Q37" s="4"/>
      <c r="R37" s="4"/>
      <c r="S37" s="4"/>
      <c r="T37" s="158"/>
      <c r="U37" s="158"/>
      <c r="V37" s="158"/>
      <c r="W37" s="158"/>
      <c r="X37" s="158"/>
      <c r="Y37" s="158"/>
      <c r="Z37" s="158"/>
      <c r="AA37" s="158"/>
      <c r="AB37" s="158"/>
      <c r="AC37" s="158"/>
      <c r="AD37" s="158"/>
      <c r="AE37" s="158"/>
      <c r="AF37" s="158"/>
      <c r="AG37" s="158"/>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46"/>
    </row>
    <row r="38" spans="1:111" s="18" customFormat="1" ht="18.75" customHeight="1" x14ac:dyDescent="0.35">
      <c r="A38" s="4"/>
      <c r="B38" s="4"/>
      <c r="C38" s="4"/>
      <c r="D38" s="4"/>
      <c r="E38" s="4"/>
      <c r="F38" s="4"/>
      <c r="G38" s="4"/>
      <c r="H38" s="4"/>
      <c r="I38" s="4"/>
      <c r="J38" s="4"/>
      <c r="K38" s="4"/>
      <c r="L38" s="4"/>
      <c r="M38" s="4"/>
      <c r="N38" s="4"/>
      <c r="O38" s="4"/>
      <c r="P38" s="4"/>
      <c r="Q38" s="4"/>
      <c r="R38" s="4"/>
      <c r="S38" s="4"/>
      <c r="T38" s="158"/>
      <c r="U38" s="158"/>
      <c r="V38" s="158"/>
      <c r="W38" s="158"/>
      <c r="X38" s="158"/>
      <c r="Y38" s="158"/>
      <c r="Z38" s="158"/>
      <c r="AA38" s="158"/>
      <c r="AB38" s="158"/>
      <c r="AC38" s="158"/>
      <c r="AD38" s="158"/>
      <c r="AE38" s="158"/>
      <c r="AF38" s="158"/>
      <c r="AG38" s="158"/>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46"/>
    </row>
    <row r="39" spans="1:111" s="18" customFormat="1" ht="18.75" customHeight="1" x14ac:dyDescent="0.35">
      <c r="A39" s="4"/>
      <c r="B39" s="4"/>
      <c r="C39" s="4"/>
      <c r="D39" s="4"/>
      <c r="E39" s="4"/>
      <c r="F39" s="4"/>
      <c r="G39" s="4"/>
      <c r="H39" s="4"/>
      <c r="I39" s="4"/>
      <c r="J39" s="4"/>
      <c r="K39" s="4"/>
      <c r="L39" s="4"/>
      <c r="M39" s="4"/>
      <c r="N39" s="4"/>
      <c r="O39" s="4"/>
      <c r="P39" s="4"/>
      <c r="Q39" s="4"/>
      <c r="R39" s="4"/>
      <c r="S39" s="4"/>
      <c r="T39" s="158"/>
      <c r="U39" s="158"/>
      <c r="V39" s="158"/>
      <c r="W39" s="158"/>
      <c r="X39" s="158"/>
      <c r="Y39" s="158"/>
      <c r="Z39" s="158"/>
      <c r="AA39" s="158"/>
      <c r="AB39" s="158"/>
      <c r="AC39" s="158"/>
      <c r="AD39" s="158"/>
      <c r="AE39" s="158"/>
      <c r="AF39" s="158"/>
      <c r="AG39" s="158"/>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46"/>
    </row>
    <row r="40" spans="1:111" s="18" customFormat="1" ht="18.75" customHeight="1" x14ac:dyDescent="0.35">
      <c r="A40" s="4"/>
      <c r="B40" s="4"/>
      <c r="C40" s="4"/>
      <c r="D40" s="4"/>
      <c r="E40" s="4"/>
      <c r="F40" s="4"/>
      <c r="G40" s="4"/>
      <c r="H40" s="4"/>
      <c r="I40" s="4"/>
      <c r="J40" s="4"/>
      <c r="K40" s="4"/>
      <c r="L40" s="4"/>
      <c r="M40" s="4"/>
      <c r="N40" s="4"/>
      <c r="O40" s="4"/>
      <c r="P40" s="4"/>
      <c r="Q40" s="4"/>
      <c r="R40" s="4"/>
      <c r="S40" s="4"/>
      <c r="T40" s="158"/>
      <c r="U40" s="158"/>
      <c r="V40" s="158"/>
      <c r="W40" s="158"/>
      <c r="X40" s="158"/>
      <c r="Y40" s="158"/>
      <c r="Z40" s="158"/>
      <c r="AA40" s="158"/>
      <c r="AB40" s="158"/>
      <c r="AC40" s="158"/>
      <c r="AD40" s="158"/>
      <c r="AE40" s="158"/>
      <c r="AF40" s="158"/>
      <c r="AG40" s="158"/>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46"/>
    </row>
    <row r="41" spans="1:111" s="18" customFormat="1" ht="18.75" customHeight="1" x14ac:dyDescent="0.35">
      <c r="A41" s="4"/>
      <c r="B41" s="4"/>
      <c r="C41" s="4"/>
      <c r="D41" s="4"/>
      <c r="E41" s="4"/>
      <c r="F41" s="4"/>
      <c r="G41" s="4"/>
      <c r="H41" s="4"/>
      <c r="I41" s="4"/>
      <c r="J41" s="4"/>
      <c r="K41" s="4"/>
      <c r="L41" s="4"/>
      <c r="M41" s="4"/>
      <c r="N41" s="4"/>
      <c r="O41" s="4"/>
      <c r="P41" s="4"/>
      <c r="Q41" s="4"/>
      <c r="R41" s="4"/>
      <c r="S41" s="4"/>
      <c r="T41" s="158"/>
      <c r="U41" s="158"/>
      <c r="V41" s="158"/>
      <c r="W41" s="158"/>
      <c r="X41" s="158"/>
      <c r="Y41" s="158"/>
      <c r="Z41" s="158"/>
      <c r="AA41" s="158"/>
      <c r="AB41" s="158"/>
      <c r="AC41" s="158"/>
      <c r="AD41" s="158"/>
      <c r="AE41" s="158"/>
      <c r="AF41" s="158"/>
      <c r="AG41" s="158"/>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46"/>
    </row>
    <row r="42" spans="1:111" s="18" customFormat="1" ht="18.75" customHeight="1" x14ac:dyDescent="0.35">
      <c r="A42" s="4"/>
      <c r="B42" s="4"/>
      <c r="C42" s="4"/>
      <c r="D42" s="4"/>
      <c r="E42" s="4"/>
      <c r="F42" s="4"/>
      <c r="G42" s="4"/>
      <c r="H42" s="4"/>
      <c r="I42" s="4"/>
      <c r="J42" s="4"/>
      <c r="K42" s="4"/>
      <c r="L42" s="4"/>
      <c r="M42" s="4"/>
      <c r="N42" s="4"/>
      <c r="O42" s="4"/>
      <c r="P42" s="4"/>
      <c r="Q42" s="4"/>
      <c r="R42" s="4"/>
      <c r="S42" s="4"/>
      <c r="T42" s="158"/>
      <c r="U42" s="158"/>
      <c r="V42" s="158"/>
      <c r="W42" s="158"/>
      <c r="X42" s="158"/>
      <c r="Y42" s="158"/>
      <c r="Z42" s="158"/>
      <c r="AA42" s="158"/>
      <c r="AB42" s="158"/>
      <c r="AC42" s="158"/>
      <c r="AD42" s="158"/>
      <c r="AE42" s="158"/>
      <c r="AF42" s="158"/>
      <c r="AG42" s="158"/>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46"/>
    </row>
    <row r="43" spans="1:111" s="18" customFormat="1" ht="18.75" customHeight="1" x14ac:dyDescent="0.35">
      <c r="A43" s="4"/>
      <c r="B43" s="4"/>
      <c r="C43" s="4"/>
      <c r="D43" s="4"/>
      <c r="E43" s="4"/>
      <c r="F43" s="4"/>
      <c r="G43" s="4"/>
      <c r="H43" s="4"/>
      <c r="I43" s="4"/>
      <c r="J43" s="4"/>
      <c r="K43" s="4"/>
      <c r="L43" s="4"/>
      <c r="M43" s="4"/>
      <c r="N43" s="4"/>
      <c r="O43" s="4"/>
      <c r="P43" s="4"/>
      <c r="Q43" s="4"/>
      <c r="R43" s="4"/>
      <c r="S43" s="4"/>
      <c r="T43" s="158"/>
      <c r="U43" s="158"/>
      <c r="V43" s="158"/>
      <c r="W43" s="158"/>
      <c r="X43" s="158"/>
      <c r="Y43" s="158"/>
      <c r="Z43" s="158"/>
      <c r="AA43" s="158"/>
      <c r="AB43" s="158"/>
      <c r="AC43" s="158"/>
      <c r="AD43" s="158"/>
      <c r="AE43" s="158"/>
      <c r="AF43" s="158"/>
      <c r="AG43" s="158"/>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46"/>
    </row>
    <row r="44" spans="1:111" s="18" customFormat="1" ht="18.75" customHeight="1" x14ac:dyDescent="0.35">
      <c r="A44" s="4"/>
      <c r="B44" s="4"/>
      <c r="C44" s="4"/>
      <c r="D44" s="4"/>
      <c r="E44" s="4"/>
      <c r="F44" s="4"/>
      <c r="G44" s="4"/>
      <c r="H44" s="4"/>
      <c r="I44" s="4"/>
      <c r="J44" s="4"/>
      <c r="K44" s="4"/>
      <c r="L44" s="4"/>
      <c r="M44" s="4"/>
      <c r="N44" s="4"/>
      <c r="O44" s="4"/>
      <c r="P44" s="4"/>
      <c r="Q44" s="4"/>
      <c r="R44" s="4"/>
      <c r="S44" s="4"/>
      <c r="T44" s="158"/>
      <c r="U44" s="158"/>
      <c r="V44" s="158"/>
      <c r="W44" s="158"/>
      <c r="X44" s="158"/>
      <c r="Y44" s="158"/>
      <c r="Z44" s="158"/>
      <c r="AA44" s="158"/>
      <c r="AB44" s="158"/>
      <c r="AC44" s="158"/>
      <c r="AD44" s="158"/>
      <c r="AE44" s="158"/>
      <c r="AF44" s="158"/>
      <c r="AG44" s="158"/>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46"/>
    </row>
    <row r="45" spans="1:111" s="18" customFormat="1" ht="12" customHeight="1" x14ac:dyDescent="0.35">
      <c r="A45" s="4"/>
      <c r="B45" s="4"/>
      <c r="C45" s="4"/>
      <c r="D45" s="4"/>
      <c r="E45" s="4"/>
      <c r="F45" s="4"/>
      <c r="G45" s="4"/>
      <c r="H45" s="4"/>
      <c r="I45" s="4"/>
      <c r="J45" s="4"/>
      <c r="K45" s="4"/>
      <c r="L45" s="4"/>
      <c r="M45" s="4"/>
      <c r="N45" s="4"/>
      <c r="O45" s="4"/>
      <c r="P45" s="4"/>
      <c r="Q45" s="4"/>
      <c r="R45" s="4"/>
      <c r="S45" s="4"/>
      <c r="T45" s="158"/>
      <c r="U45" s="158"/>
      <c r="V45" s="158"/>
      <c r="W45" s="158"/>
      <c r="X45" s="158"/>
      <c r="Y45" s="158"/>
      <c r="Z45" s="158"/>
      <c r="AA45" s="158"/>
      <c r="AB45" s="158"/>
      <c r="AC45" s="158"/>
      <c r="AD45" s="158"/>
      <c r="AE45" s="158"/>
      <c r="AF45" s="158"/>
      <c r="AG45" s="158"/>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46"/>
    </row>
    <row r="46" spans="1:111" s="18" customFormat="1" ht="12" customHeight="1" x14ac:dyDescent="0.35">
      <c r="A46" s="4"/>
      <c r="B46" s="4"/>
      <c r="C46" s="4"/>
      <c r="D46" s="4"/>
      <c r="E46" s="4"/>
      <c r="F46" s="4"/>
      <c r="G46" s="4"/>
      <c r="H46" s="4"/>
      <c r="I46" s="4"/>
      <c r="J46" s="4"/>
      <c r="K46" s="4"/>
      <c r="L46" s="4"/>
      <c r="M46" s="4"/>
      <c r="N46" s="4"/>
      <c r="O46" s="4"/>
      <c r="P46" s="4"/>
      <c r="Q46" s="4"/>
      <c r="R46" s="4"/>
      <c r="S46" s="4"/>
      <c r="T46" s="158"/>
      <c r="U46" s="158"/>
      <c r="V46" s="158"/>
      <c r="W46" s="158"/>
      <c r="X46" s="158"/>
      <c r="Y46" s="158"/>
      <c r="Z46" s="158"/>
      <c r="AA46" s="158"/>
      <c r="AB46" s="158"/>
      <c r="AC46" s="158"/>
      <c r="AD46" s="158"/>
      <c r="AE46" s="158"/>
      <c r="AF46" s="158"/>
      <c r="AG46" s="158"/>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46"/>
      <c r="DG46" s="46"/>
    </row>
    <row r="47" spans="1:111" s="18" customFormat="1" ht="12" customHeight="1" x14ac:dyDescent="0.35">
      <c r="A47" s="4"/>
      <c r="B47" s="4"/>
      <c r="C47" s="4"/>
      <c r="D47" s="4"/>
      <c r="E47" s="4"/>
      <c r="F47" s="4"/>
      <c r="G47" s="4"/>
      <c r="H47" s="4"/>
      <c r="I47" s="4"/>
      <c r="J47" s="4"/>
      <c r="K47" s="4"/>
      <c r="L47" s="4"/>
      <c r="M47" s="4"/>
      <c r="N47" s="4"/>
      <c r="O47" s="4"/>
      <c r="P47" s="4"/>
      <c r="Q47" s="4"/>
      <c r="R47" s="4"/>
      <c r="S47" s="4"/>
      <c r="T47" s="158"/>
      <c r="U47" s="158"/>
      <c r="V47" s="158"/>
      <c r="W47" s="158"/>
      <c r="X47" s="158"/>
      <c r="Y47" s="158"/>
      <c r="Z47" s="158"/>
      <c r="AA47" s="158"/>
      <c r="AB47" s="158"/>
      <c r="AC47" s="158"/>
      <c r="AD47" s="158"/>
      <c r="AE47" s="158"/>
      <c r="AF47" s="158"/>
      <c r="AG47" s="158"/>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46"/>
      <c r="DG47" s="46"/>
    </row>
    <row r="48" spans="1:111" s="18" customFormat="1" ht="12" customHeight="1" x14ac:dyDescent="0.35">
      <c r="A48" s="4"/>
      <c r="B48" s="4"/>
      <c r="C48" s="4"/>
      <c r="D48" s="4"/>
      <c r="E48" s="4"/>
      <c r="F48" s="4"/>
      <c r="G48" s="4"/>
      <c r="H48" s="4"/>
      <c r="I48" s="4"/>
      <c r="J48" s="4"/>
      <c r="K48" s="4"/>
      <c r="L48" s="4"/>
      <c r="M48" s="4"/>
      <c r="N48" s="4"/>
      <c r="O48" s="4"/>
      <c r="P48" s="4"/>
      <c r="Q48" s="4"/>
      <c r="R48" s="4"/>
      <c r="S48" s="4"/>
      <c r="T48" s="158"/>
      <c r="U48" s="158"/>
      <c r="V48" s="158"/>
      <c r="W48" s="158"/>
      <c r="X48" s="158"/>
      <c r="Y48" s="158"/>
      <c r="Z48" s="158"/>
      <c r="AA48" s="158"/>
      <c r="AB48" s="158"/>
      <c r="AC48" s="158"/>
      <c r="AD48" s="158"/>
      <c r="AE48" s="158"/>
      <c r="AF48" s="158"/>
      <c r="AG48" s="158"/>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46"/>
      <c r="DG48" s="46"/>
    </row>
    <row r="49" spans="1:111" s="18" customFormat="1" ht="12" customHeight="1" x14ac:dyDescent="0.35">
      <c r="A49" s="4"/>
      <c r="B49" s="4"/>
      <c r="C49" s="4"/>
      <c r="D49" s="4"/>
      <c r="E49" s="4"/>
      <c r="F49" s="4"/>
      <c r="G49" s="4"/>
      <c r="H49" s="4"/>
      <c r="I49" s="4"/>
      <c r="J49" s="4"/>
      <c r="K49" s="4"/>
      <c r="L49" s="4"/>
      <c r="M49" s="4"/>
      <c r="N49" s="4"/>
      <c r="O49" s="4"/>
      <c r="P49" s="4"/>
      <c r="Q49" s="4"/>
      <c r="R49" s="4"/>
      <c r="S49" s="4"/>
      <c r="T49" s="158"/>
      <c r="U49" s="158"/>
      <c r="V49" s="158"/>
      <c r="W49" s="158"/>
      <c r="X49" s="158"/>
      <c r="Y49" s="158"/>
      <c r="Z49" s="158"/>
      <c r="AA49" s="158"/>
      <c r="AB49" s="158"/>
      <c r="AC49" s="158"/>
      <c r="AD49" s="158"/>
      <c r="AE49" s="158"/>
      <c r="AF49" s="158"/>
      <c r="AG49" s="158"/>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46"/>
      <c r="DG49" s="46"/>
    </row>
    <row r="50" spans="1:111" s="18" customFormat="1" ht="12" customHeight="1" x14ac:dyDescent="0.35">
      <c r="A50" s="4"/>
      <c r="B50" s="4"/>
      <c r="C50" s="4"/>
      <c r="D50" s="4"/>
      <c r="E50" s="4"/>
      <c r="F50" s="4"/>
      <c r="G50" s="4"/>
      <c r="H50" s="4"/>
      <c r="I50" s="4"/>
      <c r="J50" s="4"/>
      <c r="K50" s="4"/>
      <c r="L50" s="4"/>
      <c r="M50" s="4"/>
      <c r="N50" s="4"/>
      <c r="O50" s="4"/>
      <c r="P50" s="4"/>
      <c r="Q50" s="4"/>
      <c r="R50" s="4"/>
      <c r="S50" s="4"/>
      <c r="T50" s="158"/>
      <c r="U50" s="158"/>
      <c r="V50" s="158"/>
      <c r="W50" s="158"/>
      <c r="X50" s="158"/>
      <c r="Y50" s="158"/>
      <c r="Z50" s="158"/>
      <c r="AA50" s="158"/>
      <c r="AB50" s="158"/>
      <c r="AC50" s="158"/>
      <c r="AD50" s="158"/>
      <c r="AE50" s="158"/>
      <c r="AF50" s="158"/>
      <c r="AG50" s="158"/>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46"/>
      <c r="DG50" s="46"/>
    </row>
    <row r="51" spans="1:111" s="18" customFormat="1" ht="12" customHeight="1" x14ac:dyDescent="0.35">
      <c r="A51" s="4"/>
      <c r="B51" s="4"/>
      <c r="C51" s="4"/>
      <c r="D51" s="4"/>
      <c r="E51" s="4"/>
      <c r="F51" s="4"/>
      <c r="G51" s="4"/>
      <c r="H51" s="4"/>
      <c r="I51" s="4"/>
      <c r="J51" s="4"/>
      <c r="K51" s="4"/>
      <c r="L51" s="4"/>
      <c r="M51" s="4"/>
      <c r="N51" s="4"/>
      <c r="O51" s="4"/>
      <c r="P51" s="4"/>
      <c r="Q51" s="4"/>
      <c r="R51" s="4"/>
      <c r="S51" s="4"/>
      <c r="T51" s="158"/>
      <c r="U51" s="158"/>
      <c r="V51" s="158"/>
      <c r="W51" s="158"/>
      <c r="X51" s="158"/>
      <c r="Y51" s="158"/>
      <c r="Z51" s="158"/>
      <c r="AA51" s="158"/>
      <c r="AB51" s="158"/>
      <c r="AC51" s="158"/>
      <c r="AD51" s="158"/>
      <c r="AE51" s="158"/>
      <c r="AF51" s="158"/>
      <c r="AG51" s="158"/>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46"/>
      <c r="DG51" s="46"/>
    </row>
    <row r="52" spans="1:111" s="18" customFormat="1" ht="12" customHeight="1" x14ac:dyDescent="0.35">
      <c r="A52" s="4"/>
      <c r="B52" s="4"/>
      <c r="C52" s="4"/>
      <c r="D52" s="4"/>
      <c r="E52" s="4"/>
      <c r="F52" s="4"/>
      <c r="G52" s="4"/>
      <c r="H52" s="4"/>
      <c r="I52" s="4"/>
      <c r="J52" s="4"/>
      <c r="K52" s="4"/>
      <c r="L52" s="4"/>
      <c r="M52" s="4"/>
      <c r="N52" s="4"/>
      <c r="O52" s="4"/>
      <c r="P52" s="4"/>
      <c r="Q52" s="4"/>
      <c r="R52" s="4"/>
      <c r="S52" s="4"/>
      <c r="T52" s="158"/>
      <c r="U52" s="158"/>
      <c r="V52" s="158"/>
      <c r="W52" s="158"/>
      <c r="X52" s="158"/>
      <c r="Y52" s="158"/>
      <c r="Z52" s="158"/>
      <c r="AA52" s="158"/>
      <c r="AB52" s="158"/>
      <c r="AC52" s="158"/>
      <c r="AD52" s="158"/>
      <c r="AE52" s="158"/>
      <c r="AF52" s="158"/>
      <c r="AG52" s="158"/>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46"/>
      <c r="DG52" s="46"/>
    </row>
  </sheetData>
  <dataConsolidate/>
  <conditionalFormatting sqref="H23:K23 AA3:AD24">
    <cfRule type="cellIs" dxfId="265" priority="1" operator="between">
      <formula>0.4</formula>
      <formula>0.6</formula>
    </cfRule>
    <cfRule type="cellIs" dxfId="264" priority="2" operator="greaterThan">
      <formula>0.8</formula>
    </cfRule>
    <cfRule type="cellIs" dxfId="263" priority="3" operator="between">
      <formula>0.6</formula>
      <formula>0.8</formula>
    </cfRule>
    <cfRule type="cellIs" dxfId="262" priority="4" operator="between">
      <formula>0.2</formula>
      <formula>0.4</formula>
    </cfRule>
    <cfRule type="cellIs" dxfId="261"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19</xdr:col>
                <xdr:colOff>457200</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228600</xdr:colOff>
                <xdr:row>4</xdr:row>
                <xdr:rowOff>219075</xdr:rowOff>
              </from>
              <to>
                <xdr:col>0</xdr:col>
                <xdr:colOff>590550</xdr:colOff>
                <xdr:row>5</xdr:row>
                <xdr:rowOff>171450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752475</xdr:colOff>
                <xdr:row>4</xdr:row>
                <xdr:rowOff>209550</xdr:rowOff>
              </from>
              <to>
                <xdr:col>1</xdr:col>
                <xdr:colOff>257175</xdr:colOff>
                <xdr:row>5</xdr:row>
                <xdr:rowOff>161925</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647700</xdr:colOff>
                <xdr:row>4</xdr:row>
                <xdr:rowOff>228600</xdr:rowOff>
              </from>
              <to>
                <xdr:col>2</xdr:col>
                <xdr:colOff>190500</xdr:colOff>
                <xdr:row>5</xdr:row>
                <xdr:rowOff>180975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638175</xdr:colOff>
                <xdr:row>0</xdr:row>
                <xdr:rowOff>190500</xdr:rowOff>
              </from>
              <to>
                <xdr:col>1</xdr:col>
                <xdr:colOff>723900</xdr:colOff>
                <xdr:row>1</xdr:row>
                <xdr:rowOff>133350</xdr:rowOff>
              </to>
            </anchor>
          </controlPr>
        </control>
      </mc:Choice>
    </mc:AlternateContent>
  </controls>
  <tableParts count="1">
    <tablePart r:id="rId1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47"/>
  <sheetViews>
    <sheetView topLeftCell="D1" workbookViewId="0">
      <selection activeCell="H7" sqref="H7"/>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0.140625" bestFit="1" customWidth="1"/>
    <col min="13" max="13" width="16.140625" style="129" bestFit="1" customWidth="1"/>
    <col min="14" max="14" width="56.7109375" style="129" bestFit="1" customWidth="1"/>
    <col min="15" max="15" width="13.85546875" style="129" bestFit="1" customWidth="1"/>
    <col min="16" max="16" width="10.140625" style="129" bestFit="1" customWidth="1"/>
    <col min="17" max="17" width="12" bestFit="1" customWidth="1"/>
    <col min="21" max="21" width="16.140625" bestFit="1" customWidth="1"/>
    <col min="22" max="22" width="23.28515625" customWidth="1"/>
  </cols>
  <sheetData>
    <row r="1" spans="1:22" x14ac:dyDescent="0.25">
      <c r="A1" s="505" t="s">
        <v>500</v>
      </c>
      <c r="B1" s="497" t="s">
        <v>598</v>
      </c>
      <c r="M1" s="505" t="s">
        <v>500</v>
      </c>
      <c r="N1" s="497" t="s">
        <v>598</v>
      </c>
    </row>
    <row r="2" spans="1:22" x14ac:dyDescent="0.25">
      <c r="G2" s="112"/>
      <c r="U2" s="505" t="s">
        <v>500</v>
      </c>
      <c r="V2" s="497" t="s">
        <v>598</v>
      </c>
    </row>
    <row r="3" spans="1:22" x14ac:dyDescent="0.25">
      <c r="A3" s="505" t="s">
        <v>0</v>
      </c>
      <c r="B3" s="505" t="s">
        <v>556</v>
      </c>
      <c r="G3" s="505" t="s">
        <v>556</v>
      </c>
      <c r="H3" s="505" t="s">
        <v>932</v>
      </c>
      <c r="I3" s="505" t="s">
        <v>500</v>
      </c>
      <c r="J3" t="s">
        <v>874</v>
      </c>
      <c r="M3" s="505" t="s">
        <v>932</v>
      </c>
      <c r="N3" s="505" t="s">
        <v>556</v>
      </c>
      <c r="O3" s="505" t="s">
        <v>1205</v>
      </c>
      <c r="P3" s="505" t="s">
        <v>0</v>
      </c>
      <c r="Q3" s="497" t="s">
        <v>874</v>
      </c>
      <c r="R3" s="497" t="s">
        <v>832</v>
      </c>
    </row>
    <row r="4" spans="1:22" x14ac:dyDescent="0.25">
      <c r="A4" s="497" t="s">
        <v>5</v>
      </c>
      <c r="B4" s="497" t="s">
        <v>6</v>
      </c>
      <c r="G4" s="497" t="s">
        <v>128</v>
      </c>
      <c r="H4" s="497" t="s">
        <v>127</v>
      </c>
      <c r="I4" s="497" t="s">
        <v>849</v>
      </c>
      <c r="J4" s="499">
        <v>0</v>
      </c>
      <c r="M4" s="497" t="s">
        <v>236</v>
      </c>
      <c r="N4" s="497" t="s">
        <v>238</v>
      </c>
      <c r="O4" s="497" t="s">
        <v>237</v>
      </c>
      <c r="P4" s="497" t="s">
        <v>237</v>
      </c>
      <c r="Q4" s="499">
        <v>70</v>
      </c>
      <c r="R4" s="499">
        <v>369</v>
      </c>
      <c r="U4" s="505" t="s">
        <v>932</v>
      </c>
      <c r="V4" s="505" t="s">
        <v>402</v>
      </c>
    </row>
    <row r="5" spans="1:22" x14ac:dyDescent="0.25">
      <c r="A5" s="497" t="s">
        <v>5</v>
      </c>
      <c r="B5" s="497" t="s">
        <v>514</v>
      </c>
      <c r="G5" s="497" t="s">
        <v>62</v>
      </c>
      <c r="H5" s="497" t="s">
        <v>61</v>
      </c>
      <c r="I5" s="497" t="s">
        <v>502</v>
      </c>
      <c r="J5" s="499">
        <v>76</v>
      </c>
      <c r="M5" s="497" t="s">
        <v>268</v>
      </c>
      <c r="N5" s="497" t="s">
        <v>269</v>
      </c>
      <c r="O5" s="497" t="s">
        <v>237</v>
      </c>
      <c r="P5" s="497" t="s">
        <v>237</v>
      </c>
      <c r="Q5" s="499">
        <v>57</v>
      </c>
      <c r="R5" s="499">
        <v>233</v>
      </c>
      <c r="U5" s="497" t="s">
        <v>236</v>
      </c>
      <c r="V5" s="497" t="s">
        <v>556</v>
      </c>
    </row>
    <row r="6" spans="1:22" x14ac:dyDescent="0.25">
      <c r="A6" s="497" t="s">
        <v>5</v>
      </c>
      <c r="B6" s="497" t="s">
        <v>10</v>
      </c>
      <c r="G6" s="497" t="s">
        <v>120</v>
      </c>
      <c r="H6" s="497" t="s">
        <v>119</v>
      </c>
      <c r="I6" s="497" t="s">
        <v>502</v>
      </c>
      <c r="J6" s="499">
        <v>75</v>
      </c>
      <c r="M6" s="497" t="s">
        <v>250</v>
      </c>
      <c r="N6" s="497" t="s">
        <v>251</v>
      </c>
      <c r="O6" s="497" t="s">
        <v>237</v>
      </c>
      <c r="P6" s="497" t="s">
        <v>237</v>
      </c>
      <c r="Q6" s="499">
        <v>32</v>
      </c>
      <c r="R6" s="499">
        <v>146</v>
      </c>
      <c r="U6" s="497" t="s">
        <v>268</v>
      </c>
      <c r="V6" s="497" t="s">
        <v>556</v>
      </c>
    </row>
    <row r="7" spans="1:22" x14ac:dyDescent="0.25">
      <c r="A7" s="497" t="s">
        <v>5</v>
      </c>
      <c r="B7" s="497" t="s">
        <v>12</v>
      </c>
      <c r="G7" s="497" t="s">
        <v>6</v>
      </c>
      <c r="H7" s="497" t="s">
        <v>4</v>
      </c>
      <c r="I7" s="497" t="s">
        <v>502</v>
      </c>
      <c r="J7" s="499">
        <v>301</v>
      </c>
      <c r="M7" s="497" t="s">
        <v>248</v>
      </c>
      <c r="N7" s="497" t="s">
        <v>249</v>
      </c>
      <c r="O7" s="497" t="s">
        <v>237</v>
      </c>
      <c r="P7" s="497" t="s">
        <v>237</v>
      </c>
      <c r="Q7" s="499">
        <v>12</v>
      </c>
      <c r="R7" s="499">
        <v>55</v>
      </c>
      <c r="U7" s="497" t="s">
        <v>250</v>
      </c>
      <c r="V7" s="497" t="s">
        <v>556</v>
      </c>
    </row>
    <row r="8" spans="1:22" x14ac:dyDescent="0.25">
      <c r="A8" s="497" t="s">
        <v>5</v>
      </c>
      <c r="B8" s="497" t="s">
        <v>14</v>
      </c>
      <c r="G8" s="497" t="s">
        <v>41</v>
      </c>
      <c r="H8" s="497" t="s">
        <v>40</v>
      </c>
      <c r="I8" s="497" t="s">
        <v>502</v>
      </c>
      <c r="J8" s="499">
        <v>67</v>
      </c>
      <c r="M8" s="497" t="s">
        <v>274</v>
      </c>
      <c r="N8" s="497" t="s">
        <v>275</v>
      </c>
      <c r="O8" s="497" t="s">
        <v>237</v>
      </c>
      <c r="P8" s="497" t="s">
        <v>237</v>
      </c>
      <c r="Q8" s="499">
        <v>44</v>
      </c>
      <c r="R8" s="499">
        <v>212</v>
      </c>
      <c r="U8" s="497" t="s">
        <v>248</v>
      </c>
      <c r="V8" s="497" t="s">
        <v>556</v>
      </c>
    </row>
    <row r="9" spans="1:22" x14ac:dyDescent="0.25">
      <c r="A9" s="497" t="s">
        <v>5</v>
      </c>
      <c r="B9" s="497" t="s">
        <v>16</v>
      </c>
      <c r="G9" s="497" t="s">
        <v>43</v>
      </c>
      <c r="H9" s="497" t="s">
        <v>42</v>
      </c>
      <c r="I9" s="497" t="s">
        <v>502</v>
      </c>
      <c r="J9" s="499">
        <v>14</v>
      </c>
      <c r="M9" s="497" t="s">
        <v>276</v>
      </c>
      <c r="N9" s="497" t="s">
        <v>277</v>
      </c>
      <c r="O9" s="497" t="s">
        <v>237</v>
      </c>
      <c r="P9" s="497" t="s">
        <v>237</v>
      </c>
      <c r="Q9" s="499">
        <v>95</v>
      </c>
      <c r="R9" s="499">
        <v>385</v>
      </c>
      <c r="U9" s="497" t="s">
        <v>274</v>
      </c>
      <c r="V9" s="497" t="s">
        <v>556</v>
      </c>
    </row>
    <row r="10" spans="1:22" x14ac:dyDescent="0.25">
      <c r="A10" s="497" t="s">
        <v>5</v>
      </c>
      <c r="B10" s="497" t="s">
        <v>18</v>
      </c>
      <c r="G10" s="497" t="s">
        <v>39</v>
      </c>
      <c r="H10" s="497" t="s">
        <v>38</v>
      </c>
      <c r="I10" s="497" t="s">
        <v>849</v>
      </c>
      <c r="J10" s="499">
        <v>0</v>
      </c>
      <c r="M10" s="497" t="s">
        <v>278</v>
      </c>
      <c r="N10" s="497" t="s">
        <v>279</v>
      </c>
      <c r="O10" s="497" t="s">
        <v>237</v>
      </c>
      <c r="P10" s="497" t="s">
        <v>237</v>
      </c>
      <c r="Q10" s="499">
        <v>28</v>
      </c>
      <c r="R10" s="499">
        <v>130</v>
      </c>
      <c r="U10" s="497" t="s">
        <v>276</v>
      </c>
      <c r="V10" s="497" t="s">
        <v>556</v>
      </c>
    </row>
    <row r="11" spans="1:22" x14ac:dyDescent="0.25">
      <c r="A11" s="497" t="s">
        <v>5</v>
      </c>
      <c r="B11" s="497" t="s">
        <v>8</v>
      </c>
      <c r="G11" s="497" t="s">
        <v>514</v>
      </c>
      <c r="H11" s="497" t="s">
        <v>377</v>
      </c>
      <c r="I11" s="497" t="s">
        <v>502</v>
      </c>
      <c r="J11" s="499">
        <v>12</v>
      </c>
      <c r="M11" s="497" t="s">
        <v>260</v>
      </c>
      <c r="N11" s="497" t="s">
        <v>261</v>
      </c>
      <c r="O11" s="497" t="s">
        <v>237</v>
      </c>
      <c r="P11" s="497" t="s">
        <v>237</v>
      </c>
      <c r="Q11" s="499">
        <v>96</v>
      </c>
      <c r="R11" s="499">
        <v>505</v>
      </c>
      <c r="U11" s="497" t="s">
        <v>278</v>
      </c>
      <c r="V11" s="497" t="s">
        <v>556</v>
      </c>
    </row>
    <row r="12" spans="1:22" x14ac:dyDescent="0.25">
      <c r="A12" s="497" t="s">
        <v>5</v>
      </c>
      <c r="B12" s="497" t="s">
        <v>20</v>
      </c>
      <c r="G12" s="497" t="s">
        <v>48</v>
      </c>
      <c r="H12" s="497" t="s">
        <v>47</v>
      </c>
      <c r="I12" s="497" t="s">
        <v>849</v>
      </c>
      <c r="J12" s="499">
        <v>0</v>
      </c>
      <c r="M12" s="497" t="s">
        <v>280</v>
      </c>
      <c r="N12" s="497" t="s">
        <v>281</v>
      </c>
      <c r="O12" s="497" t="s">
        <v>237</v>
      </c>
      <c r="P12" s="497" t="s">
        <v>237</v>
      </c>
      <c r="Q12" s="499">
        <v>90</v>
      </c>
      <c r="R12" s="499">
        <v>487</v>
      </c>
      <c r="U12" s="497" t="s">
        <v>260</v>
      </c>
      <c r="V12" s="497" t="s">
        <v>556</v>
      </c>
    </row>
    <row r="13" spans="1:22" x14ac:dyDescent="0.25">
      <c r="A13" s="497" t="s">
        <v>5</v>
      </c>
      <c r="B13" s="497" t="s">
        <v>366</v>
      </c>
      <c r="G13" s="497" t="s">
        <v>50</v>
      </c>
      <c r="H13" s="497" t="s">
        <v>49</v>
      </c>
      <c r="I13" s="497" t="s">
        <v>849</v>
      </c>
      <c r="J13" s="499">
        <v>0</v>
      </c>
      <c r="M13" s="497" t="s">
        <v>244</v>
      </c>
      <c r="N13" s="497" t="s">
        <v>245</v>
      </c>
      <c r="O13" s="497" t="s">
        <v>237</v>
      </c>
      <c r="P13" s="497" t="s">
        <v>237</v>
      </c>
      <c r="Q13" s="499">
        <v>6</v>
      </c>
      <c r="R13" s="499">
        <v>39</v>
      </c>
      <c r="U13" s="497" t="s">
        <v>280</v>
      </c>
      <c r="V13" s="497" t="s">
        <v>556</v>
      </c>
    </row>
    <row r="14" spans="1:22" x14ac:dyDescent="0.25">
      <c r="A14" s="497" t="s">
        <v>5</v>
      </c>
      <c r="B14" s="497" t="s">
        <v>22</v>
      </c>
      <c r="G14" s="497" t="s">
        <v>888</v>
      </c>
      <c r="H14" s="497" t="s">
        <v>886</v>
      </c>
      <c r="I14" s="497" t="s">
        <v>849</v>
      </c>
      <c r="J14" s="499">
        <v>0</v>
      </c>
      <c r="M14" s="497" t="s">
        <v>246</v>
      </c>
      <c r="N14" s="497" t="s">
        <v>247</v>
      </c>
      <c r="O14" s="497" t="s">
        <v>237</v>
      </c>
      <c r="P14" s="497" t="s">
        <v>237</v>
      </c>
      <c r="Q14" s="499">
        <v>50</v>
      </c>
      <c r="R14" s="499">
        <v>236</v>
      </c>
      <c r="U14" s="497" t="s">
        <v>244</v>
      </c>
      <c r="V14" s="497" t="s">
        <v>556</v>
      </c>
    </row>
    <row r="15" spans="1:22" x14ac:dyDescent="0.25">
      <c r="A15" s="497" t="s">
        <v>5</v>
      </c>
      <c r="B15" s="497" t="s">
        <v>904</v>
      </c>
      <c r="G15" s="497" t="s">
        <v>883</v>
      </c>
      <c r="H15" s="497" t="s">
        <v>887</v>
      </c>
      <c r="I15" s="497" t="s">
        <v>849</v>
      </c>
      <c r="J15" s="499">
        <v>0</v>
      </c>
      <c r="M15" s="497" t="s">
        <v>242</v>
      </c>
      <c r="N15" s="497" t="s">
        <v>243</v>
      </c>
      <c r="O15" s="497" t="s">
        <v>237</v>
      </c>
      <c r="P15" s="497" t="s">
        <v>237</v>
      </c>
      <c r="Q15" s="499">
        <v>6</v>
      </c>
      <c r="R15" s="499">
        <v>28</v>
      </c>
      <c r="U15" s="497" t="s">
        <v>246</v>
      </c>
      <c r="V15" s="497" t="s">
        <v>556</v>
      </c>
    </row>
    <row r="16" spans="1:22" x14ac:dyDescent="0.25">
      <c r="A16" s="497" t="s">
        <v>5</v>
      </c>
      <c r="B16" s="497" t="s">
        <v>24</v>
      </c>
      <c r="G16" s="497" t="s">
        <v>884</v>
      </c>
      <c r="H16" s="497" t="s">
        <v>885</v>
      </c>
      <c r="I16" s="497" t="s">
        <v>849</v>
      </c>
      <c r="J16" s="499">
        <v>0</v>
      </c>
      <c r="M16" s="497" t="s">
        <v>256</v>
      </c>
      <c r="N16" s="497" t="s">
        <v>257</v>
      </c>
      <c r="O16" s="497" t="s">
        <v>237</v>
      </c>
      <c r="P16" s="497" t="s">
        <v>237</v>
      </c>
      <c r="Q16" s="499">
        <v>45</v>
      </c>
      <c r="R16" s="499">
        <v>194</v>
      </c>
      <c r="U16" s="497" t="s">
        <v>242</v>
      </c>
      <c r="V16" s="497" t="s">
        <v>556</v>
      </c>
    </row>
    <row r="17" spans="1:22" x14ac:dyDescent="0.25">
      <c r="A17" s="497" t="s">
        <v>5</v>
      </c>
      <c r="B17" s="497" t="s">
        <v>875</v>
      </c>
      <c r="G17" s="497" t="s">
        <v>52</v>
      </c>
      <c r="H17" s="497" t="s">
        <v>51</v>
      </c>
      <c r="I17" s="497" t="s">
        <v>502</v>
      </c>
      <c r="J17" s="499">
        <v>35</v>
      </c>
      <c r="M17" s="497" t="s">
        <v>284</v>
      </c>
      <c r="N17" s="497" t="s">
        <v>285</v>
      </c>
      <c r="O17" s="497" t="s">
        <v>237</v>
      </c>
      <c r="P17" s="497" t="s">
        <v>237</v>
      </c>
      <c r="Q17" s="499">
        <v>163</v>
      </c>
      <c r="R17" s="499">
        <v>712</v>
      </c>
      <c r="U17" s="497" t="s">
        <v>256</v>
      </c>
      <c r="V17" s="497" t="s">
        <v>556</v>
      </c>
    </row>
    <row r="18" spans="1:22" x14ac:dyDescent="0.25">
      <c r="A18" s="497" t="s">
        <v>5</v>
      </c>
      <c r="B18" s="497" t="s">
        <v>26</v>
      </c>
      <c r="G18" s="497" t="s">
        <v>58</v>
      </c>
      <c r="H18" s="497" t="s">
        <v>57</v>
      </c>
      <c r="I18" s="497" t="s">
        <v>849</v>
      </c>
      <c r="J18" s="499">
        <v>0</v>
      </c>
      <c r="M18" s="497" t="s">
        <v>239</v>
      </c>
      <c r="N18" s="497" t="s">
        <v>240</v>
      </c>
      <c r="O18" s="497" t="s">
        <v>237</v>
      </c>
      <c r="P18" s="497" t="s">
        <v>237</v>
      </c>
      <c r="Q18" s="499">
        <v>108</v>
      </c>
      <c r="R18" s="499">
        <v>605</v>
      </c>
      <c r="U18" s="497" t="s">
        <v>284</v>
      </c>
      <c r="V18" s="497" t="s">
        <v>556</v>
      </c>
    </row>
    <row r="19" spans="1:22" x14ac:dyDescent="0.25">
      <c r="A19" s="497" t="s">
        <v>5</v>
      </c>
      <c r="B19" s="497" t="s">
        <v>1028</v>
      </c>
      <c r="G19" s="497" t="s">
        <v>60</v>
      </c>
      <c r="H19" s="497" t="s">
        <v>59</v>
      </c>
      <c r="I19" s="497" t="s">
        <v>849</v>
      </c>
      <c r="J19" s="499">
        <v>0</v>
      </c>
      <c r="M19" s="497" t="s">
        <v>258</v>
      </c>
      <c r="N19" s="497" t="s">
        <v>259</v>
      </c>
      <c r="O19" s="497" t="s">
        <v>237</v>
      </c>
      <c r="P19" s="497" t="s">
        <v>237</v>
      </c>
      <c r="Q19" s="499">
        <v>72</v>
      </c>
      <c r="R19" s="499">
        <v>375</v>
      </c>
      <c r="U19" s="497" t="s">
        <v>239</v>
      </c>
      <c r="V19" s="497" t="s">
        <v>556</v>
      </c>
    </row>
    <row r="20" spans="1:22" x14ac:dyDescent="0.25">
      <c r="A20" s="497" t="s">
        <v>27</v>
      </c>
      <c r="B20" s="497" t="s">
        <v>28</v>
      </c>
      <c r="G20" s="497" t="s">
        <v>358</v>
      </c>
      <c r="H20" s="497" t="s">
        <v>357</v>
      </c>
      <c r="I20" s="497" t="s">
        <v>849</v>
      </c>
      <c r="J20" s="499">
        <v>0</v>
      </c>
      <c r="M20" s="497" t="s">
        <v>266</v>
      </c>
      <c r="N20" s="497" t="s">
        <v>267</v>
      </c>
      <c r="O20" s="497" t="s">
        <v>237</v>
      </c>
      <c r="P20" s="497" t="s">
        <v>237</v>
      </c>
      <c r="Q20" s="499">
        <v>0</v>
      </c>
      <c r="R20" s="499">
        <v>0</v>
      </c>
      <c r="U20" s="497" t="s">
        <v>258</v>
      </c>
      <c r="V20" s="497" t="s">
        <v>556</v>
      </c>
    </row>
    <row r="21" spans="1:22" x14ac:dyDescent="0.25">
      <c r="A21" s="497" t="s">
        <v>27</v>
      </c>
      <c r="B21" s="497" t="s">
        <v>32</v>
      </c>
      <c r="G21" s="497" t="s">
        <v>334</v>
      </c>
      <c r="H21" s="497" t="s">
        <v>333</v>
      </c>
      <c r="I21" s="497" t="s">
        <v>502</v>
      </c>
      <c r="J21" s="499">
        <v>155</v>
      </c>
      <c r="M21" s="497" t="s">
        <v>252</v>
      </c>
      <c r="N21" s="497" t="s">
        <v>253</v>
      </c>
      <c r="O21" s="497" t="s">
        <v>237</v>
      </c>
      <c r="P21" s="497" t="s">
        <v>237</v>
      </c>
      <c r="Q21" s="499">
        <v>203</v>
      </c>
      <c r="R21" s="499">
        <v>1072</v>
      </c>
      <c r="U21" s="497" t="s">
        <v>266</v>
      </c>
      <c r="V21" s="497" t="s">
        <v>556</v>
      </c>
    </row>
    <row r="22" spans="1:22" x14ac:dyDescent="0.25">
      <c r="A22" s="497" t="s">
        <v>27</v>
      </c>
      <c r="B22" s="497" t="s">
        <v>364</v>
      </c>
      <c r="G22" s="497" t="s">
        <v>188</v>
      </c>
      <c r="H22" s="497" t="s">
        <v>187</v>
      </c>
      <c r="I22" s="497" t="s">
        <v>502</v>
      </c>
      <c r="J22" s="499">
        <v>174</v>
      </c>
      <c r="M22" s="497" t="s">
        <v>254</v>
      </c>
      <c r="N22" s="497" t="s">
        <v>255</v>
      </c>
      <c r="O22" s="497" t="s">
        <v>237</v>
      </c>
      <c r="P22" s="497" t="s">
        <v>237</v>
      </c>
      <c r="Q22" s="499">
        <v>109</v>
      </c>
      <c r="R22" s="499">
        <v>493</v>
      </c>
      <c r="U22" s="497" t="s">
        <v>252</v>
      </c>
      <c r="V22" s="497" t="s">
        <v>556</v>
      </c>
    </row>
    <row r="23" spans="1:22" x14ac:dyDescent="0.25">
      <c r="A23" s="497" t="s">
        <v>27</v>
      </c>
      <c r="B23" s="497" t="s">
        <v>34</v>
      </c>
      <c r="G23" s="497" t="s">
        <v>1041</v>
      </c>
      <c r="H23" s="497" t="s">
        <v>1042</v>
      </c>
      <c r="I23" s="497" t="s">
        <v>502</v>
      </c>
      <c r="J23" s="499">
        <v>219</v>
      </c>
      <c r="M23" s="497" t="s">
        <v>262</v>
      </c>
      <c r="N23" s="497" t="s">
        <v>263</v>
      </c>
      <c r="O23" s="497" t="s">
        <v>237</v>
      </c>
      <c r="P23" s="497" t="s">
        <v>237</v>
      </c>
      <c r="Q23" s="499">
        <v>22</v>
      </c>
      <c r="R23" s="499">
        <v>103</v>
      </c>
      <c r="U23" s="497" t="s">
        <v>254</v>
      </c>
      <c r="V23" s="497" t="s">
        <v>556</v>
      </c>
    </row>
    <row r="24" spans="1:22" x14ac:dyDescent="0.25">
      <c r="A24" s="497" t="s">
        <v>27</v>
      </c>
      <c r="B24" s="497" t="s">
        <v>365</v>
      </c>
      <c r="G24" s="497" t="s">
        <v>72</v>
      </c>
      <c r="H24" s="497" t="s">
        <v>71</v>
      </c>
      <c r="I24" s="497" t="s">
        <v>502</v>
      </c>
      <c r="J24" s="499">
        <v>6</v>
      </c>
      <c r="M24" s="497" t="s">
        <v>264</v>
      </c>
      <c r="N24" s="497" t="s">
        <v>265</v>
      </c>
      <c r="O24" s="497" t="s">
        <v>237</v>
      </c>
      <c r="P24" s="497" t="s">
        <v>237</v>
      </c>
      <c r="Q24" s="499">
        <v>14</v>
      </c>
      <c r="R24" s="499">
        <v>73</v>
      </c>
      <c r="U24" s="497" t="s">
        <v>262</v>
      </c>
      <c r="V24" s="497" t="s">
        <v>556</v>
      </c>
    </row>
    <row r="25" spans="1:22" x14ac:dyDescent="0.25">
      <c r="A25" s="497" t="s">
        <v>27</v>
      </c>
      <c r="B25" s="497" t="s">
        <v>870</v>
      </c>
      <c r="G25" s="497" t="s">
        <v>70</v>
      </c>
      <c r="H25" s="497" t="s">
        <v>69</v>
      </c>
      <c r="I25" s="497" t="s">
        <v>849</v>
      </c>
      <c r="J25" s="499">
        <v>0</v>
      </c>
      <c r="M25" s="497" t="s">
        <v>282</v>
      </c>
      <c r="N25" s="497" t="s">
        <v>283</v>
      </c>
      <c r="O25" s="497" t="s">
        <v>237</v>
      </c>
      <c r="P25" s="497" t="s">
        <v>237</v>
      </c>
      <c r="Q25" s="499">
        <v>7</v>
      </c>
      <c r="R25" s="499">
        <v>37</v>
      </c>
      <c r="U25" s="497" t="s">
        <v>264</v>
      </c>
      <c r="V25" s="497" t="s">
        <v>556</v>
      </c>
    </row>
    <row r="26" spans="1:22" x14ac:dyDescent="0.25">
      <c r="A26" s="497" t="s">
        <v>27</v>
      </c>
      <c r="B26" s="497" t="s">
        <v>37</v>
      </c>
      <c r="G26" s="497" t="s">
        <v>28</v>
      </c>
      <c r="H26" s="497" t="s">
        <v>30</v>
      </c>
      <c r="I26" s="497" t="s">
        <v>502</v>
      </c>
      <c r="J26" s="499">
        <v>118</v>
      </c>
      <c r="M26" s="497" t="s">
        <v>241</v>
      </c>
      <c r="N26" s="497" t="s">
        <v>1267</v>
      </c>
      <c r="O26" s="497" t="s">
        <v>237</v>
      </c>
      <c r="P26" s="497" t="s">
        <v>237</v>
      </c>
      <c r="Q26" s="499">
        <v>68</v>
      </c>
      <c r="R26" s="499">
        <v>339</v>
      </c>
      <c r="U26" s="497" t="s">
        <v>282</v>
      </c>
      <c r="V26" s="497" t="s">
        <v>556</v>
      </c>
    </row>
    <row r="27" spans="1:22" x14ac:dyDescent="0.25">
      <c r="A27" s="497" t="s">
        <v>27</v>
      </c>
      <c r="B27" s="497" t="s">
        <v>1026</v>
      </c>
      <c r="G27" s="497" t="s">
        <v>10</v>
      </c>
      <c r="H27" s="497" t="s">
        <v>9</v>
      </c>
      <c r="I27" s="497" t="s">
        <v>849</v>
      </c>
      <c r="J27" s="499">
        <v>0</v>
      </c>
      <c r="M27" s="497" t="s">
        <v>270</v>
      </c>
      <c r="N27" s="497" t="s">
        <v>271</v>
      </c>
      <c r="O27" s="497" t="s">
        <v>237</v>
      </c>
      <c r="P27" s="497" t="s">
        <v>237</v>
      </c>
      <c r="Q27" s="499">
        <v>70</v>
      </c>
      <c r="R27" s="499">
        <v>326</v>
      </c>
      <c r="U27" s="497" t="s">
        <v>241</v>
      </c>
      <c r="V27" s="497" t="s">
        <v>556</v>
      </c>
    </row>
    <row r="28" spans="1:22" x14ac:dyDescent="0.25">
      <c r="A28" s="497" t="s">
        <v>529</v>
      </c>
      <c r="B28" s="497" t="s">
        <v>128</v>
      </c>
      <c r="G28" s="497" t="s">
        <v>1405</v>
      </c>
      <c r="H28" s="497" t="s">
        <v>1406</v>
      </c>
      <c r="I28" s="497" t="s">
        <v>502</v>
      </c>
      <c r="J28" s="499"/>
      <c r="M28" s="497" t="s">
        <v>341</v>
      </c>
      <c r="N28" s="497" t="s">
        <v>342</v>
      </c>
      <c r="O28" s="497" t="s">
        <v>310</v>
      </c>
      <c r="P28" s="497" t="s">
        <v>310</v>
      </c>
      <c r="Q28" s="499">
        <v>65</v>
      </c>
      <c r="R28" s="499">
        <v>322</v>
      </c>
      <c r="U28" s="497" t="s">
        <v>270</v>
      </c>
      <c r="V28" s="497" t="s">
        <v>556</v>
      </c>
    </row>
    <row r="29" spans="1:22" x14ac:dyDescent="0.25">
      <c r="A29" s="497" t="s">
        <v>529</v>
      </c>
      <c r="B29" s="497" t="s">
        <v>62</v>
      </c>
      <c r="G29" s="497" t="s">
        <v>76</v>
      </c>
      <c r="H29" s="497" t="s">
        <v>75</v>
      </c>
      <c r="I29" s="497" t="s">
        <v>502</v>
      </c>
      <c r="J29" s="499">
        <v>65</v>
      </c>
      <c r="M29" s="497" t="s">
        <v>350</v>
      </c>
      <c r="N29" s="497" t="s">
        <v>351</v>
      </c>
      <c r="O29" s="497" t="s">
        <v>310</v>
      </c>
      <c r="P29" s="497" t="s">
        <v>310</v>
      </c>
      <c r="Q29" s="499">
        <v>91</v>
      </c>
      <c r="R29" s="499">
        <v>472</v>
      </c>
      <c r="U29" s="497" t="s">
        <v>341</v>
      </c>
      <c r="V29" s="497" t="s">
        <v>556</v>
      </c>
    </row>
    <row r="30" spans="1:22" x14ac:dyDescent="0.25">
      <c r="A30" s="497" t="s">
        <v>529</v>
      </c>
      <c r="B30" s="497" t="s">
        <v>120</v>
      </c>
      <c r="G30" s="497" t="s">
        <v>243</v>
      </c>
      <c r="H30" s="497" t="s">
        <v>242</v>
      </c>
      <c r="I30" s="497" t="s">
        <v>502</v>
      </c>
      <c r="J30" s="499">
        <v>6</v>
      </c>
      <c r="M30" s="497" t="s">
        <v>319</v>
      </c>
      <c r="N30" s="497" t="s">
        <v>320</v>
      </c>
      <c r="O30" s="497" t="s">
        <v>310</v>
      </c>
      <c r="P30" s="497" t="s">
        <v>310</v>
      </c>
      <c r="Q30" s="499">
        <v>25</v>
      </c>
      <c r="R30" s="499">
        <v>138</v>
      </c>
      <c r="U30" s="497" t="s">
        <v>350</v>
      </c>
      <c r="V30" s="497" t="s">
        <v>556</v>
      </c>
    </row>
    <row r="31" spans="1:22" x14ac:dyDescent="0.25">
      <c r="A31" s="497" t="s">
        <v>529</v>
      </c>
      <c r="B31" s="497" t="s">
        <v>41</v>
      </c>
      <c r="G31" s="497" t="s">
        <v>245</v>
      </c>
      <c r="H31" s="497" t="s">
        <v>244</v>
      </c>
      <c r="I31" s="497" t="s">
        <v>502</v>
      </c>
      <c r="J31" s="499">
        <v>6</v>
      </c>
      <c r="M31" s="497" t="s">
        <v>312</v>
      </c>
      <c r="N31" s="497" t="s">
        <v>313</v>
      </c>
      <c r="O31" s="497" t="s">
        <v>310</v>
      </c>
      <c r="P31" s="497" t="s">
        <v>310</v>
      </c>
      <c r="Q31" s="499">
        <v>110</v>
      </c>
      <c r="R31" s="499">
        <v>508</v>
      </c>
      <c r="U31" s="497" t="s">
        <v>319</v>
      </c>
      <c r="V31" s="497" t="s">
        <v>556</v>
      </c>
    </row>
    <row r="32" spans="1:22" x14ac:dyDescent="0.25">
      <c r="A32" s="497" t="s">
        <v>529</v>
      </c>
      <c r="B32" s="497" t="s">
        <v>43</v>
      </c>
      <c r="G32" s="497" t="s">
        <v>247</v>
      </c>
      <c r="H32" s="497" t="s">
        <v>246</v>
      </c>
      <c r="I32" s="497" t="s">
        <v>502</v>
      </c>
      <c r="J32" s="499">
        <v>50</v>
      </c>
      <c r="M32" s="497" t="s">
        <v>329</v>
      </c>
      <c r="N32" s="497" t="s">
        <v>330</v>
      </c>
      <c r="O32" s="497" t="s">
        <v>310</v>
      </c>
      <c r="P32" s="497" t="s">
        <v>310</v>
      </c>
      <c r="Q32" s="499">
        <v>227</v>
      </c>
      <c r="R32" s="499">
        <v>1218</v>
      </c>
      <c r="U32" s="497" t="s">
        <v>312</v>
      </c>
      <c r="V32" s="497" t="s">
        <v>556</v>
      </c>
    </row>
    <row r="33" spans="1:22" x14ac:dyDescent="0.25">
      <c r="A33" s="497" t="s">
        <v>529</v>
      </c>
      <c r="B33" s="497" t="s">
        <v>39</v>
      </c>
      <c r="G33" s="497" t="s">
        <v>192</v>
      </c>
      <c r="H33" s="497" t="s">
        <v>191</v>
      </c>
      <c r="I33" s="497" t="s">
        <v>502</v>
      </c>
      <c r="J33" s="499">
        <v>115</v>
      </c>
      <c r="M33" s="497" t="s">
        <v>337</v>
      </c>
      <c r="N33" s="497" t="s">
        <v>338</v>
      </c>
      <c r="O33" s="497" t="s">
        <v>310</v>
      </c>
      <c r="P33" s="497" t="s">
        <v>310</v>
      </c>
      <c r="Q33" s="499">
        <v>31</v>
      </c>
      <c r="R33" s="499">
        <v>170</v>
      </c>
      <c r="U33" s="497" t="s">
        <v>329</v>
      </c>
      <c r="V33" s="497" t="s">
        <v>556</v>
      </c>
    </row>
    <row r="34" spans="1:22" x14ac:dyDescent="0.25">
      <c r="A34" s="497" t="s">
        <v>529</v>
      </c>
      <c r="B34" s="497" t="s">
        <v>48</v>
      </c>
      <c r="G34" s="497" t="s">
        <v>78</v>
      </c>
      <c r="H34" s="497" t="s">
        <v>77</v>
      </c>
      <c r="I34" s="497" t="s">
        <v>849</v>
      </c>
      <c r="J34" s="499">
        <v>0</v>
      </c>
      <c r="M34" s="497" t="s">
        <v>327</v>
      </c>
      <c r="N34" s="497" t="s">
        <v>328</v>
      </c>
      <c r="O34" s="497" t="s">
        <v>310</v>
      </c>
      <c r="P34" s="497" t="s">
        <v>310</v>
      </c>
      <c r="Q34" s="499">
        <v>135</v>
      </c>
      <c r="R34" s="499">
        <v>738</v>
      </c>
      <c r="U34" s="497" t="s">
        <v>337</v>
      </c>
      <c r="V34" s="497" t="s">
        <v>556</v>
      </c>
    </row>
    <row r="35" spans="1:22" x14ac:dyDescent="0.25">
      <c r="A35" s="497" t="s">
        <v>529</v>
      </c>
      <c r="B35" s="497" t="s">
        <v>50</v>
      </c>
      <c r="G35" s="497" t="s">
        <v>82</v>
      </c>
      <c r="H35" s="497" t="s">
        <v>81</v>
      </c>
      <c r="I35" s="497" t="s">
        <v>849</v>
      </c>
      <c r="J35" s="499">
        <v>0</v>
      </c>
      <c r="M35" s="497" t="s">
        <v>317</v>
      </c>
      <c r="N35" s="497" t="s">
        <v>318</v>
      </c>
      <c r="O35" s="497" t="s">
        <v>310</v>
      </c>
      <c r="P35" s="497" t="s">
        <v>310</v>
      </c>
      <c r="Q35" s="499">
        <v>94</v>
      </c>
      <c r="R35" s="499">
        <v>341</v>
      </c>
      <c r="U35" s="497" t="s">
        <v>327</v>
      </c>
      <c r="V35" s="497" t="s">
        <v>556</v>
      </c>
    </row>
    <row r="36" spans="1:22" x14ac:dyDescent="0.25">
      <c r="A36" s="497" t="s">
        <v>529</v>
      </c>
      <c r="B36" s="497" t="s">
        <v>52</v>
      </c>
      <c r="G36" s="497" t="s">
        <v>937</v>
      </c>
      <c r="H36" s="497" t="s">
        <v>938</v>
      </c>
      <c r="I36" s="497" t="s">
        <v>849</v>
      </c>
      <c r="J36" s="499">
        <v>0</v>
      </c>
      <c r="M36" s="497" t="s">
        <v>343</v>
      </c>
      <c r="N36" s="497" t="s">
        <v>344</v>
      </c>
      <c r="O36" s="497" t="s">
        <v>310</v>
      </c>
      <c r="P36" s="497" t="s">
        <v>310</v>
      </c>
      <c r="Q36" s="499">
        <v>18</v>
      </c>
      <c r="R36" s="499">
        <v>82</v>
      </c>
      <c r="U36" s="497" t="s">
        <v>317</v>
      </c>
      <c r="V36" s="497" t="s">
        <v>556</v>
      </c>
    </row>
    <row r="37" spans="1:22" x14ac:dyDescent="0.25">
      <c r="A37" s="497" t="s">
        <v>529</v>
      </c>
      <c r="B37" s="497" t="s">
        <v>58</v>
      </c>
      <c r="G37" s="497" t="s">
        <v>939</v>
      </c>
      <c r="H37" s="497" t="s">
        <v>940</v>
      </c>
      <c r="I37" s="497" t="s">
        <v>849</v>
      </c>
      <c r="J37" s="499">
        <v>0</v>
      </c>
      <c r="M37" s="497" t="s">
        <v>360</v>
      </c>
      <c r="N37" s="497" t="s">
        <v>1270</v>
      </c>
      <c r="O37" s="497" t="s">
        <v>310</v>
      </c>
      <c r="P37" s="497" t="s">
        <v>310</v>
      </c>
      <c r="Q37" s="499">
        <v>0</v>
      </c>
      <c r="R37" s="499">
        <v>0</v>
      </c>
      <c r="U37" s="497" t="s">
        <v>343</v>
      </c>
      <c r="V37" s="497" t="s">
        <v>556</v>
      </c>
    </row>
    <row r="38" spans="1:22" x14ac:dyDescent="0.25">
      <c r="A38" s="497" t="s">
        <v>529</v>
      </c>
      <c r="B38" s="497" t="s">
        <v>60</v>
      </c>
      <c r="G38" s="497" t="s">
        <v>32</v>
      </c>
      <c r="H38" s="497" t="s">
        <v>31</v>
      </c>
      <c r="I38" s="497" t="s">
        <v>849</v>
      </c>
      <c r="J38" s="499"/>
      <c r="M38" s="497" t="s">
        <v>359</v>
      </c>
      <c r="N38" s="497" t="s">
        <v>1269</v>
      </c>
      <c r="O38" s="497" t="s">
        <v>310</v>
      </c>
      <c r="P38" s="497" t="s">
        <v>310</v>
      </c>
      <c r="Q38" s="499">
        <v>0</v>
      </c>
      <c r="R38" s="499">
        <v>0</v>
      </c>
      <c r="U38" s="497" t="s">
        <v>360</v>
      </c>
      <c r="V38" s="497" t="s">
        <v>556</v>
      </c>
    </row>
    <row r="39" spans="1:22" x14ac:dyDescent="0.25">
      <c r="A39" s="497" t="s">
        <v>529</v>
      </c>
      <c r="B39" s="497" t="s">
        <v>72</v>
      </c>
      <c r="G39" s="497" t="s">
        <v>313</v>
      </c>
      <c r="H39" s="497" t="s">
        <v>312</v>
      </c>
      <c r="I39" s="497" t="s">
        <v>502</v>
      </c>
      <c r="J39" s="499">
        <v>110</v>
      </c>
      <c r="M39" s="497" t="s">
        <v>309</v>
      </c>
      <c r="N39" s="497" t="s">
        <v>311</v>
      </c>
      <c r="O39" s="497" t="s">
        <v>310</v>
      </c>
      <c r="P39" s="497" t="s">
        <v>310</v>
      </c>
      <c r="Q39" s="499">
        <v>0</v>
      </c>
      <c r="R39" s="499">
        <v>90</v>
      </c>
      <c r="U39" s="497" t="s">
        <v>359</v>
      </c>
      <c r="V39" s="497" t="s">
        <v>556</v>
      </c>
    </row>
    <row r="40" spans="1:22" x14ac:dyDescent="0.25">
      <c r="A40" s="497" t="s">
        <v>529</v>
      </c>
      <c r="B40" s="497" t="s">
        <v>70</v>
      </c>
      <c r="G40" s="497" t="s">
        <v>336</v>
      </c>
      <c r="H40" s="497" t="s">
        <v>335</v>
      </c>
      <c r="I40" s="497" t="s">
        <v>502</v>
      </c>
      <c r="J40" s="499">
        <v>136</v>
      </c>
      <c r="M40" s="497" t="s">
        <v>348</v>
      </c>
      <c r="N40" s="497" t="s">
        <v>349</v>
      </c>
      <c r="O40" s="497" t="s">
        <v>310</v>
      </c>
      <c r="P40" s="497" t="s">
        <v>310</v>
      </c>
      <c r="Q40" s="499">
        <v>42</v>
      </c>
      <c r="R40" s="499">
        <v>180</v>
      </c>
      <c r="U40" s="497" t="s">
        <v>309</v>
      </c>
      <c r="V40" s="497" t="s">
        <v>993</v>
      </c>
    </row>
    <row r="41" spans="1:22" x14ac:dyDescent="0.25">
      <c r="A41" s="497" t="s">
        <v>529</v>
      </c>
      <c r="B41" s="497" t="s">
        <v>76</v>
      </c>
      <c r="G41" s="497" t="s">
        <v>88</v>
      </c>
      <c r="H41" s="497" t="s">
        <v>87</v>
      </c>
      <c r="I41" s="497" t="s">
        <v>502</v>
      </c>
      <c r="J41" s="499">
        <v>12</v>
      </c>
      <c r="M41" s="497" t="s">
        <v>315</v>
      </c>
      <c r="N41" s="497" t="s">
        <v>316</v>
      </c>
      <c r="O41" s="497" t="s">
        <v>310</v>
      </c>
      <c r="P41" s="497" t="s">
        <v>310</v>
      </c>
      <c r="Q41" s="499">
        <v>91</v>
      </c>
      <c r="R41" s="499">
        <v>368</v>
      </c>
      <c r="U41" s="497" t="s">
        <v>348</v>
      </c>
      <c r="V41" s="497" t="s">
        <v>556</v>
      </c>
    </row>
    <row r="42" spans="1:22" x14ac:dyDescent="0.25">
      <c r="A42" s="497" t="s">
        <v>529</v>
      </c>
      <c r="B42" s="497" t="s">
        <v>78</v>
      </c>
      <c r="G42" s="497" t="s">
        <v>44</v>
      </c>
      <c r="H42" s="497" t="s">
        <v>45</v>
      </c>
      <c r="I42" s="497" t="s">
        <v>502</v>
      </c>
      <c r="J42" s="499">
        <v>13</v>
      </c>
      <c r="M42" s="497" t="s">
        <v>325</v>
      </c>
      <c r="N42" s="497" t="s">
        <v>326</v>
      </c>
      <c r="O42" s="497" t="s">
        <v>310</v>
      </c>
      <c r="P42" s="497" t="s">
        <v>310</v>
      </c>
      <c r="Q42" s="499">
        <v>48</v>
      </c>
      <c r="R42" s="499">
        <v>199</v>
      </c>
      <c r="U42" s="497" t="s">
        <v>315</v>
      </c>
      <c r="V42" s="497" t="s">
        <v>556</v>
      </c>
    </row>
    <row r="43" spans="1:22" x14ac:dyDescent="0.25">
      <c r="A43" s="497" t="s">
        <v>529</v>
      </c>
      <c r="B43" s="497" t="s">
        <v>82</v>
      </c>
      <c r="G43" s="497" t="s">
        <v>56</v>
      </c>
      <c r="H43" s="497" t="s">
        <v>55</v>
      </c>
      <c r="I43" s="497" t="s">
        <v>849</v>
      </c>
      <c r="J43" s="499">
        <v>0</v>
      </c>
      <c r="M43" s="497" t="s">
        <v>323</v>
      </c>
      <c r="N43" s="497" t="s">
        <v>324</v>
      </c>
      <c r="O43" s="497" t="s">
        <v>310</v>
      </c>
      <c r="P43" s="497" t="s">
        <v>310</v>
      </c>
      <c r="Q43" s="499">
        <v>428</v>
      </c>
      <c r="R43" s="499">
        <v>2219</v>
      </c>
      <c r="U43" s="497" t="s">
        <v>325</v>
      </c>
      <c r="V43" s="497" t="s">
        <v>556</v>
      </c>
    </row>
    <row r="44" spans="1:22" x14ac:dyDescent="0.25">
      <c r="A44" s="497" t="s">
        <v>529</v>
      </c>
      <c r="B44" s="497" t="s">
        <v>88</v>
      </c>
      <c r="G44" s="497" t="s">
        <v>1172</v>
      </c>
      <c r="H44" s="497" t="s">
        <v>1174</v>
      </c>
      <c r="I44" s="497" t="s">
        <v>502</v>
      </c>
      <c r="J44" s="499">
        <v>36</v>
      </c>
      <c r="M44" s="497" t="s">
        <v>346</v>
      </c>
      <c r="N44" s="497" t="s">
        <v>347</v>
      </c>
      <c r="O44" s="497" t="s">
        <v>310</v>
      </c>
      <c r="P44" s="497" t="s">
        <v>310</v>
      </c>
      <c r="Q44" s="499">
        <v>172</v>
      </c>
      <c r="R44" s="499">
        <v>838</v>
      </c>
      <c r="U44" s="497" t="s">
        <v>323</v>
      </c>
      <c r="V44" s="497" t="s">
        <v>556</v>
      </c>
    </row>
    <row r="45" spans="1:22" x14ac:dyDescent="0.25">
      <c r="A45" s="497" t="s">
        <v>529</v>
      </c>
      <c r="B45" s="497" t="s">
        <v>44</v>
      </c>
      <c r="G45" s="497" t="s">
        <v>12</v>
      </c>
      <c r="H45" s="497" t="s">
        <v>11</v>
      </c>
      <c r="I45" s="497" t="s">
        <v>502</v>
      </c>
      <c r="J45" s="499">
        <v>211</v>
      </c>
      <c r="M45" s="497" t="s">
        <v>30</v>
      </c>
      <c r="N45" s="497" t="s">
        <v>28</v>
      </c>
      <c r="O45" s="497" t="s">
        <v>27</v>
      </c>
      <c r="P45" s="497" t="s">
        <v>27</v>
      </c>
      <c r="Q45" s="499">
        <v>118</v>
      </c>
      <c r="R45" s="499">
        <v>518</v>
      </c>
      <c r="U45" s="497" t="s">
        <v>346</v>
      </c>
      <c r="V45" s="497" t="s">
        <v>556</v>
      </c>
    </row>
    <row r="46" spans="1:22" x14ac:dyDescent="0.25">
      <c r="A46" s="497" t="s">
        <v>529</v>
      </c>
      <c r="B46" s="497" t="s">
        <v>56</v>
      </c>
      <c r="G46" s="497" t="s">
        <v>12</v>
      </c>
      <c r="H46" s="497" t="s">
        <v>391</v>
      </c>
      <c r="I46" s="497" t="s">
        <v>502</v>
      </c>
      <c r="J46" s="499">
        <v>76</v>
      </c>
      <c r="M46" s="497" t="s">
        <v>29</v>
      </c>
      <c r="N46" s="497" t="s">
        <v>364</v>
      </c>
      <c r="O46" s="497" t="s">
        <v>27</v>
      </c>
      <c r="P46" s="497" t="s">
        <v>27</v>
      </c>
      <c r="Q46" s="499">
        <v>154</v>
      </c>
      <c r="R46" s="499">
        <v>920</v>
      </c>
      <c r="U46" s="497" t="s">
        <v>30</v>
      </c>
      <c r="V46" s="497" t="s">
        <v>556</v>
      </c>
    </row>
    <row r="47" spans="1:22" x14ac:dyDescent="0.25">
      <c r="A47" s="497" t="s">
        <v>529</v>
      </c>
      <c r="B47" s="497" t="s">
        <v>90</v>
      </c>
      <c r="G47" s="497" t="s">
        <v>12</v>
      </c>
      <c r="H47" s="497" t="s">
        <v>392</v>
      </c>
      <c r="I47" s="497" t="s">
        <v>502</v>
      </c>
      <c r="J47" s="499">
        <v>320</v>
      </c>
      <c r="M47" s="497" t="s">
        <v>36</v>
      </c>
      <c r="N47" s="497" t="s">
        <v>37</v>
      </c>
      <c r="O47" s="497" t="s">
        <v>27</v>
      </c>
      <c r="P47" s="497" t="s">
        <v>27</v>
      </c>
      <c r="Q47" s="499">
        <v>0</v>
      </c>
      <c r="R47" s="499">
        <v>0</v>
      </c>
      <c r="U47" s="497" t="s">
        <v>29</v>
      </c>
      <c r="V47" s="497" t="s">
        <v>556</v>
      </c>
    </row>
    <row r="48" spans="1:22" x14ac:dyDescent="0.25">
      <c r="A48" s="497" t="s">
        <v>529</v>
      </c>
      <c r="B48" s="497" t="s">
        <v>92</v>
      </c>
      <c r="G48" s="497" t="s">
        <v>12</v>
      </c>
      <c r="H48" s="497" t="s">
        <v>394</v>
      </c>
      <c r="I48" s="497" t="s">
        <v>502</v>
      </c>
      <c r="J48" s="499">
        <v>9</v>
      </c>
      <c r="M48" s="497" t="s">
        <v>33</v>
      </c>
      <c r="N48" s="497" t="s">
        <v>34</v>
      </c>
      <c r="O48" s="497" t="s">
        <v>27</v>
      </c>
      <c r="P48" s="497" t="s">
        <v>27</v>
      </c>
      <c r="Q48" s="499"/>
      <c r="R48" s="499"/>
      <c r="U48" s="497" t="s">
        <v>36</v>
      </c>
      <c r="V48" s="497" t="s">
        <v>556</v>
      </c>
    </row>
    <row r="49" spans="1:22" x14ac:dyDescent="0.25">
      <c r="A49" s="497" t="s">
        <v>529</v>
      </c>
      <c r="B49" s="497" t="s">
        <v>94</v>
      </c>
      <c r="G49" s="497" t="s">
        <v>169</v>
      </c>
      <c r="H49" s="497" t="s">
        <v>168</v>
      </c>
      <c r="I49" s="497" t="s">
        <v>502</v>
      </c>
      <c r="J49" s="499">
        <v>32</v>
      </c>
      <c r="M49" s="497" t="s">
        <v>31</v>
      </c>
      <c r="N49" s="497" t="s">
        <v>32</v>
      </c>
      <c r="O49" s="497" t="s">
        <v>27</v>
      </c>
      <c r="P49" s="497" t="s">
        <v>27</v>
      </c>
      <c r="Q49" s="499"/>
      <c r="R49" s="499"/>
      <c r="U49" s="497" t="s">
        <v>33</v>
      </c>
      <c r="V49" s="497" t="s">
        <v>12</v>
      </c>
    </row>
    <row r="50" spans="1:22" x14ac:dyDescent="0.25">
      <c r="A50" s="497" t="s">
        <v>529</v>
      </c>
      <c r="B50" s="497" t="s">
        <v>54</v>
      </c>
      <c r="G50" s="497" t="s">
        <v>231</v>
      </c>
      <c r="H50" s="497" t="s">
        <v>388</v>
      </c>
      <c r="I50" s="497" t="s">
        <v>502</v>
      </c>
      <c r="J50" s="499">
        <v>32</v>
      </c>
      <c r="M50" s="497" t="s">
        <v>21</v>
      </c>
      <c r="N50" s="497" t="s">
        <v>22</v>
      </c>
      <c r="O50" s="497" t="s">
        <v>5</v>
      </c>
      <c r="P50" s="497" t="s">
        <v>5</v>
      </c>
      <c r="Q50" s="499">
        <v>652</v>
      </c>
      <c r="R50" s="499">
        <v>3706</v>
      </c>
      <c r="U50" s="497" t="s">
        <v>31</v>
      </c>
      <c r="V50" s="497" t="s">
        <v>556</v>
      </c>
    </row>
    <row r="51" spans="1:22" x14ac:dyDescent="0.25">
      <c r="A51" s="497" t="s">
        <v>529</v>
      </c>
      <c r="B51" s="497" t="s">
        <v>66</v>
      </c>
      <c r="G51" s="497" t="s">
        <v>1072</v>
      </c>
      <c r="H51" s="497" t="s">
        <v>1073</v>
      </c>
      <c r="I51" s="497" t="s">
        <v>502</v>
      </c>
      <c r="J51" s="499">
        <v>116</v>
      </c>
      <c r="M51" s="497" t="s">
        <v>15</v>
      </c>
      <c r="N51" s="497" t="s">
        <v>16</v>
      </c>
      <c r="O51" s="497" t="s">
        <v>5</v>
      </c>
      <c r="P51" s="497" t="s">
        <v>5</v>
      </c>
      <c r="Q51" s="499">
        <v>0</v>
      </c>
      <c r="R51" s="499">
        <v>0</v>
      </c>
      <c r="U51" s="497" t="s">
        <v>21</v>
      </c>
      <c r="V51" s="497" t="s">
        <v>556</v>
      </c>
    </row>
    <row r="52" spans="1:22" x14ac:dyDescent="0.25">
      <c r="A52" s="497" t="s">
        <v>529</v>
      </c>
      <c r="B52" s="497" t="s">
        <v>80</v>
      </c>
      <c r="G52" s="497" t="s">
        <v>364</v>
      </c>
      <c r="H52" s="497" t="s">
        <v>29</v>
      </c>
      <c r="I52" s="497" t="s">
        <v>502</v>
      </c>
      <c r="J52" s="499">
        <v>154</v>
      </c>
      <c r="M52" s="497" t="s">
        <v>17</v>
      </c>
      <c r="N52" s="497" t="s">
        <v>18</v>
      </c>
      <c r="O52" s="497" t="s">
        <v>5</v>
      </c>
      <c r="P52" s="497" t="s">
        <v>5</v>
      </c>
      <c r="Q52" s="499">
        <v>116</v>
      </c>
      <c r="R52" s="499">
        <v>659</v>
      </c>
      <c r="U52" s="497" t="s">
        <v>15</v>
      </c>
      <c r="V52" s="497" t="s">
        <v>556</v>
      </c>
    </row>
    <row r="53" spans="1:22" x14ac:dyDescent="0.25">
      <c r="A53" s="497" t="s">
        <v>529</v>
      </c>
      <c r="B53" s="497" t="s">
        <v>102</v>
      </c>
      <c r="G53" s="497" t="s">
        <v>194</v>
      </c>
      <c r="H53" s="497" t="s">
        <v>193</v>
      </c>
      <c r="I53" s="497" t="s">
        <v>502</v>
      </c>
      <c r="J53" s="499">
        <v>613</v>
      </c>
      <c r="M53" s="497" t="s">
        <v>4</v>
      </c>
      <c r="N53" s="497" t="s">
        <v>6</v>
      </c>
      <c r="O53" s="497" t="s">
        <v>5</v>
      </c>
      <c r="P53" s="497" t="s">
        <v>5</v>
      </c>
      <c r="Q53" s="499">
        <v>301</v>
      </c>
      <c r="R53" s="499">
        <v>1404</v>
      </c>
      <c r="U53" s="497" t="s">
        <v>17</v>
      </c>
      <c r="V53" s="497" t="s">
        <v>556</v>
      </c>
    </row>
    <row r="54" spans="1:22" x14ac:dyDescent="0.25">
      <c r="A54" s="497" t="s">
        <v>529</v>
      </c>
      <c r="B54" s="497" t="s">
        <v>106</v>
      </c>
      <c r="G54" s="497" t="s">
        <v>14</v>
      </c>
      <c r="H54" s="497" t="s">
        <v>13</v>
      </c>
      <c r="I54" s="497" t="s">
        <v>502</v>
      </c>
      <c r="J54" s="499">
        <v>43</v>
      </c>
      <c r="M54" s="497" t="s">
        <v>7</v>
      </c>
      <c r="N54" s="497" t="s">
        <v>8</v>
      </c>
      <c r="O54" s="497" t="s">
        <v>5</v>
      </c>
      <c r="P54" s="497" t="s">
        <v>5</v>
      </c>
      <c r="Q54" s="499">
        <v>23</v>
      </c>
      <c r="R54" s="499">
        <v>86</v>
      </c>
      <c r="U54" s="497" t="s">
        <v>4</v>
      </c>
      <c r="V54" s="497" t="s">
        <v>556</v>
      </c>
    </row>
    <row r="55" spans="1:22" x14ac:dyDescent="0.25">
      <c r="A55" s="497" t="s">
        <v>529</v>
      </c>
      <c r="B55" s="497" t="s">
        <v>116</v>
      </c>
      <c r="G55" s="497" t="s">
        <v>818</v>
      </c>
      <c r="H55" s="497" t="s">
        <v>819</v>
      </c>
      <c r="I55" s="497" t="s">
        <v>502</v>
      </c>
      <c r="J55" s="499"/>
      <c r="M55" s="497" t="s">
        <v>13</v>
      </c>
      <c r="N55" s="497" t="s">
        <v>14</v>
      </c>
      <c r="O55" s="497" t="s">
        <v>5</v>
      </c>
      <c r="P55" s="497" t="s">
        <v>5</v>
      </c>
      <c r="Q55" s="499">
        <v>43</v>
      </c>
      <c r="R55" s="499">
        <v>237</v>
      </c>
      <c r="U55" s="497" t="s">
        <v>7</v>
      </c>
      <c r="V55" s="497" t="s">
        <v>556</v>
      </c>
    </row>
    <row r="56" spans="1:22" x14ac:dyDescent="0.25">
      <c r="A56" s="497" t="s">
        <v>529</v>
      </c>
      <c r="B56" s="497" t="s">
        <v>130</v>
      </c>
      <c r="G56" s="497" t="s">
        <v>890</v>
      </c>
      <c r="H56" s="497" t="s">
        <v>889</v>
      </c>
      <c r="I56" s="497" t="s">
        <v>849</v>
      </c>
      <c r="J56" s="499">
        <v>0</v>
      </c>
      <c r="M56" s="497" t="s">
        <v>25</v>
      </c>
      <c r="N56" s="497" t="s">
        <v>26</v>
      </c>
      <c r="O56" s="497" t="s">
        <v>5</v>
      </c>
      <c r="P56" s="497" t="s">
        <v>5</v>
      </c>
      <c r="Q56" s="499">
        <v>15</v>
      </c>
      <c r="R56" s="499">
        <v>64</v>
      </c>
      <c r="U56" s="497" t="s">
        <v>13</v>
      </c>
      <c r="V56" s="497" t="s">
        <v>556</v>
      </c>
    </row>
    <row r="57" spans="1:22" x14ac:dyDescent="0.25">
      <c r="A57" s="497" t="s">
        <v>529</v>
      </c>
      <c r="B57" s="497" t="s">
        <v>138</v>
      </c>
      <c r="G57" s="497" t="s">
        <v>1048</v>
      </c>
      <c r="H57" s="497" t="s">
        <v>1050</v>
      </c>
      <c r="I57" s="497" t="s">
        <v>502</v>
      </c>
      <c r="J57" s="499">
        <v>10</v>
      </c>
      <c r="M57" s="497" t="s">
        <v>19</v>
      </c>
      <c r="N57" s="497" t="s">
        <v>20</v>
      </c>
      <c r="O57" s="497" t="s">
        <v>5</v>
      </c>
      <c r="P57" s="497" t="s">
        <v>5</v>
      </c>
      <c r="Q57" s="499">
        <v>23</v>
      </c>
      <c r="R57" s="499">
        <v>124</v>
      </c>
      <c r="U57" s="497" t="s">
        <v>25</v>
      </c>
      <c r="V57" s="497" t="s">
        <v>556</v>
      </c>
    </row>
    <row r="58" spans="1:22" x14ac:dyDescent="0.25">
      <c r="A58" s="497" t="s">
        <v>529</v>
      </c>
      <c r="B58" s="497" t="s">
        <v>136</v>
      </c>
      <c r="G58" s="497" t="s">
        <v>253</v>
      </c>
      <c r="H58" s="497" t="s">
        <v>252</v>
      </c>
      <c r="I58" s="497" t="s">
        <v>502</v>
      </c>
      <c r="J58" s="499">
        <v>203</v>
      </c>
      <c r="M58" s="497" t="s">
        <v>23</v>
      </c>
      <c r="N58" s="497" t="s">
        <v>24</v>
      </c>
      <c r="O58" s="497" t="s">
        <v>5</v>
      </c>
      <c r="P58" s="497" t="s">
        <v>5</v>
      </c>
      <c r="Q58" s="499">
        <v>25</v>
      </c>
      <c r="R58" s="499">
        <v>104</v>
      </c>
      <c r="U58" s="497" t="s">
        <v>19</v>
      </c>
      <c r="V58" s="497" t="s">
        <v>556</v>
      </c>
    </row>
    <row r="59" spans="1:22" x14ac:dyDescent="0.25">
      <c r="A59" s="497" t="s">
        <v>529</v>
      </c>
      <c r="B59" s="497" t="s">
        <v>68</v>
      </c>
      <c r="G59" s="497" t="s">
        <v>255</v>
      </c>
      <c r="H59" s="497" t="s">
        <v>254</v>
      </c>
      <c r="I59" s="497" t="s">
        <v>502</v>
      </c>
      <c r="J59" s="499">
        <v>109</v>
      </c>
      <c r="M59" s="497" t="s">
        <v>208</v>
      </c>
      <c r="N59" s="497" t="s">
        <v>209</v>
      </c>
      <c r="O59" s="497" t="s">
        <v>185</v>
      </c>
      <c r="P59" s="497" t="s">
        <v>185</v>
      </c>
      <c r="Q59" s="499">
        <v>207</v>
      </c>
      <c r="R59" s="499">
        <v>1863</v>
      </c>
      <c r="U59" s="497" t="s">
        <v>23</v>
      </c>
      <c r="V59" s="497" t="s">
        <v>556</v>
      </c>
    </row>
    <row r="60" spans="1:22" x14ac:dyDescent="0.25">
      <c r="A60" s="497" t="s">
        <v>529</v>
      </c>
      <c r="B60" s="497" t="s">
        <v>84</v>
      </c>
      <c r="G60" s="497" t="s">
        <v>196</v>
      </c>
      <c r="H60" s="497" t="s">
        <v>195</v>
      </c>
      <c r="I60" s="497" t="s">
        <v>502</v>
      </c>
      <c r="J60" s="499">
        <v>1692</v>
      </c>
      <c r="M60" s="497" t="s">
        <v>210</v>
      </c>
      <c r="N60" s="497" t="s">
        <v>211</v>
      </c>
      <c r="O60" s="497" t="s">
        <v>185</v>
      </c>
      <c r="P60" s="497" t="s">
        <v>185</v>
      </c>
      <c r="Q60" s="499"/>
      <c r="R60" s="499"/>
      <c r="U60" s="497" t="s">
        <v>208</v>
      </c>
      <c r="V60" s="497" t="s">
        <v>556</v>
      </c>
    </row>
    <row r="61" spans="1:22" x14ac:dyDescent="0.25">
      <c r="A61" s="497" t="s">
        <v>529</v>
      </c>
      <c r="B61" s="497" t="s">
        <v>86</v>
      </c>
      <c r="G61" s="497" t="s">
        <v>16</v>
      </c>
      <c r="H61" s="497" t="s">
        <v>15</v>
      </c>
      <c r="I61" s="497" t="s">
        <v>849</v>
      </c>
      <c r="J61" s="499">
        <v>0</v>
      </c>
      <c r="M61" s="497" t="s">
        <v>206</v>
      </c>
      <c r="N61" s="497" t="s">
        <v>207</v>
      </c>
      <c r="O61" s="497" t="s">
        <v>185</v>
      </c>
      <c r="P61" s="497" t="s">
        <v>185</v>
      </c>
      <c r="Q61" s="499"/>
      <c r="R61" s="499"/>
      <c r="U61" s="497" t="s">
        <v>210</v>
      </c>
      <c r="V61" s="497" t="s">
        <v>556</v>
      </c>
    </row>
    <row r="62" spans="1:22" x14ac:dyDescent="0.25">
      <c r="A62" s="497" t="s">
        <v>529</v>
      </c>
      <c r="B62" s="497" t="s">
        <v>100</v>
      </c>
      <c r="G62" s="497" t="s">
        <v>523</v>
      </c>
      <c r="H62" s="497" t="s">
        <v>524</v>
      </c>
      <c r="I62" s="497" t="s">
        <v>502</v>
      </c>
      <c r="J62" s="499">
        <v>4</v>
      </c>
      <c r="M62" s="497" t="s">
        <v>216</v>
      </c>
      <c r="N62" s="497" t="s">
        <v>217</v>
      </c>
      <c r="O62" s="497" t="s">
        <v>185</v>
      </c>
      <c r="P62" s="497" t="s">
        <v>185</v>
      </c>
      <c r="Q62" s="499">
        <v>24</v>
      </c>
      <c r="R62" s="499">
        <v>89</v>
      </c>
      <c r="U62" s="497" t="s">
        <v>206</v>
      </c>
      <c r="V62" s="497" t="s">
        <v>556</v>
      </c>
    </row>
    <row r="63" spans="1:22" x14ac:dyDescent="0.25">
      <c r="A63" s="497" t="s">
        <v>529</v>
      </c>
      <c r="B63" s="497" t="s">
        <v>104</v>
      </c>
      <c r="G63" s="497" t="s">
        <v>372</v>
      </c>
      <c r="H63" s="497" t="s">
        <v>382</v>
      </c>
      <c r="I63" s="497" t="s">
        <v>502</v>
      </c>
      <c r="J63" s="499">
        <v>87</v>
      </c>
      <c r="M63" s="497" t="s">
        <v>226</v>
      </c>
      <c r="N63" s="497" t="s">
        <v>227</v>
      </c>
      <c r="O63" s="497" t="s">
        <v>185</v>
      </c>
      <c r="P63" s="497" t="s">
        <v>185</v>
      </c>
      <c r="Q63" s="499">
        <v>10</v>
      </c>
      <c r="R63" s="499">
        <v>38</v>
      </c>
      <c r="U63" s="497" t="s">
        <v>216</v>
      </c>
      <c r="V63" s="497" t="s">
        <v>556</v>
      </c>
    </row>
    <row r="64" spans="1:22" x14ac:dyDescent="0.25">
      <c r="A64" s="497" t="s">
        <v>529</v>
      </c>
      <c r="B64" s="497" t="s">
        <v>98</v>
      </c>
      <c r="G64" s="497" t="s">
        <v>1129</v>
      </c>
      <c r="H64" s="497" t="s">
        <v>1130</v>
      </c>
      <c r="I64" s="497" t="s">
        <v>502</v>
      </c>
      <c r="J64" s="499">
        <v>50</v>
      </c>
      <c r="M64" s="497" t="s">
        <v>212</v>
      </c>
      <c r="N64" s="497" t="s">
        <v>213</v>
      </c>
      <c r="O64" s="497" t="s">
        <v>185</v>
      </c>
      <c r="P64" s="497" t="s">
        <v>185</v>
      </c>
      <c r="Q64" s="499">
        <v>13</v>
      </c>
      <c r="R64" s="499">
        <v>53</v>
      </c>
      <c r="U64" s="497" t="s">
        <v>226</v>
      </c>
      <c r="V64" s="497" t="s">
        <v>12</v>
      </c>
    </row>
    <row r="65" spans="1:22" x14ac:dyDescent="0.25">
      <c r="A65" s="497" t="s">
        <v>529</v>
      </c>
      <c r="B65" s="497" t="s">
        <v>142</v>
      </c>
      <c r="G65" s="497" t="s">
        <v>369</v>
      </c>
      <c r="H65" s="497" t="s">
        <v>383</v>
      </c>
      <c r="I65" s="497" t="s">
        <v>502</v>
      </c>
      <c r="J65" s="499">
        <v>64</v>
      </c>
      <c r="M65" s="497" t="s">
        <v>201</v>
      </c>
      <c r="N65" s="497" t="s">
        <v>202</v>
      </c>
      <c r="O65" s="497" t="s">
        <v>185</v>
      </c>
      <c r="P65" s="497" t="s">
        <v>185</v>
      </c>
      <c r="Q65" s="499">
        <v>265</v>
      </c>
      <c r="R65" s="499">
        <v>1084</v>
      </c>
      <c r="U65" s="497" t="s">
        <v>212</v>
      </c>
      <c r="V65" s="497" t="s">
        <v>12</v>
      </c>
    </row>
    <row r="66" spans="1:22" x14ac:dyDescent="0.25">
      <c r="A66" s="497" t="s">
        <v>529</v>
      </c>
      <c r="B66" s="497" t="s">
        <v>613</v>
      </c>
      <c r="G66" s="497" t="s">
        <v>370</v>
      </c>
      <c r="H66" s="497" t="s">
        <v>384</v>
      </c>
      <c r="I66" s="497" t="s">
        <v>502</v>
      </c>
      <c r="J66" s="499">
        <v>30</v>
      </c>
      <c r="M66" s="497" t="s">
        <v>203</v>
      </c>
      <c r="N66" s="497" t="s">
        <v>204</v>
      </c>
      <c r="O66" s="497" t="s">
        <v>185</v>
      </c>
      <c r="P66" s="497" t="s">
        <v>185</v>
      </c>
      <c r="Q66" s="499">
        <v>28</v>
      </c>
      <c r="R66" s="499">
        <v>136</v>
      </c>
      <c r="U66" s="497" t="s">
        <v>201</v>
      </c>
      <c r="V66" s="497" t="s">
        <v>556</v>
      </c>
    </row>
    <row r="67" spans="1:22" x14ac:dyDescent="0.25">
      <c r="A67" s="497" t="s">
        <v>529</v>
      </c>
      <c r="B67" s="497" t="s">
        <v>108</v>
      </c>
      <c r="G67" s="497" t="s">
        <v>257</v>
      </c>
      <c r="H67" s="497" t="s">
        <v>256</v>
      </c>
      <c r="I67" s="497" t="s">
        <v>502</v>
      </c>
      <c r="J67" s="499">
        <v>45</v>
      </c>
      <c r="M67" s="497" t="s">
        <v>199</v>
      </c>
      <c r="N67" s="497" t="s">
        <v>200</v>
      </c>
      <c r="O67" s="497" t="s">
        <v>185</v>
      </c>
      <c r="P67" s="497" t="s">
        <v>185</v>
      </c>
      <c r="Q67" s="499">
        <v>2</v>
      </c>
      <c r="R67" s="499">
        <v>9</v>
      </c>
      <c r="U67" s="497" t="s">
        <v>203</v>
      </c>
      <c r="V67" s="497" t="s">
        <v>12</v>
      </c>
    </row>
    <row r="68" spans="1:22" x14ac:dyDescent="0.25">
      <c r="A68" s="497" t="s">
        <v>529</v>
      </c>
      <c r="B68" s="497" t="s">
        <v>110</v>
      </c>
      <c r="G68" s="497" t="s">
        <v>174</v>
      </c>
      <c r="H68" s="497" t="s">
        <v>172</v>
      </c>
      <c r="I68" s="497" t="s">
        <v>502</v>
      </c>
      <c r="J68" s="499">
        <v>16</v>
      </c>
      <c r="M68" s="497" t="s">
        <v>220</v>
      </c>
      <c r="N68" s="497" t="s">
        <v>221</v>
      </c>
      <c r="O68" s="497" t="s">
        <v>185</v>
      </c>
      <c r="P68" s="497" t="s">
        <v>185</v>
      </c>
      <c r="Q68" s="499">
        <v>39</v>
      </c>
      <c r="R68" s="499">
        <v>176</v>
      </c>
      <c r="U68" s="497" t="s">
        <v>199</v>
      </c>
      <c r="V68" s="497" t="s">
        <v>12</v>
      </c>
    </row>
    <row r="69" spans="1:22" x14ac:dyDescent="0.25">
      <c r="A69" s="497" t="s">
        <v>529</v>
      </c>
      <c r="B69" s="497" t="s">
        <v>112</v>
      </c>
      <c r="G69" s="497" t="s">
        <v>145</v>
      </c>
      <c r="H69" s="497" t="s">
        <v>143</v>
      </c>
      <c r="I69" s="497" t="s">
        <v>502</v>
      </c>
      <c r="J69" s="499">
        <v>11</v>
      </c>
      <c r="M69" s="497" t="s">
        <v>150</v>
      </c>
      <c r="N69" s="497" t="s">
        <v>152</v>
      </c>
      <c r="O69" s="497" t="s">
        <v>151</v>
      </c>
      <c r="P69" s="497" t="s">
        <v>151</v>
      </c>
      <c r="Q69" s="499">
        <v>221</v>
      </c>
      <c r="R69" s="499">
        <v>1003</v>
      </c>
      <c r="U69" s="497" t="s">
        <v>220</v>
      </c>
      <c r="V69" s="497" t="s">
        <v>12</v>
      </c>
    </row>
    <row r="70" spans="1:22" x14ac:dyDescent="0.25">
      <c r="A70" s="497" t="s">
        <v>529</v>
      </c>
      <c r="B70" s="497" t="s">
        <v>114</v>
      </c>
      <c r="G70" s="497" t="s">
        <v>518</v>
      </c>
      <c r="H70" s="497" t="s">
        <v>519</v>
      </c>
      <c r="I70" s="497" t="s">
        <v>849</v>
      </c>
      <c r="J70" s="499">
        <v>0</v>
      </c>
      <c r="M70" s="497" t="s">
        <v>305</v>
      </c>
      <c r="N70" s="497" t="s">
        <v>306</v>
      </c>
      <c r="O70" s="497" t="s">
        <v>1204</v>
      </c>
      <c r="P70" s="497" t="s">
        <v>302</v>
      </c>
      <c r="Q70" s="499">
        <v>83</v>
      </c>
      <c r="R70" s="499">
        <v>293</v>
      </c>
      <c r="U70" s="497" t="s">
        <v>150</v>
      </c>
      <c r="V70" s="497" t="s">
        <v>556</v>
      </c>
    </row>
    <row r="71" spans="1:22" x14ac:dyDescent="0.25">
      <c r="A71" s="497" t="s">
        <v>529</v>
      </c>
      <c r="B71" s="497" t="s">
        <v>118</v>
      </c>
      <c r="G71" s="497" t="s">
        <v>1271</v>
      </c>
      <c r="H71" s="497" t="s">
        <v>314</v>
      </c>
      <c r="I71" s="497" t="s">
        <v>849</v>
      </c>
      <c r="J71" s="499">
        <v>0</v>
      </c>
      <c r="M71" s="497" t="s">
        <v>307</v>
      </c>
      <c r="N71" s="497" t="s">
        <v>308</v>
      </c>
      <c r="O71" s="497" t="s">
        <v>1204</v>
      </c>
      <c r="P71" s="497" t="s">
        <v>302</v>
      </c>
      <c r="Q71" s="499">
        <v>40</v>
      </c>
      <c r="R71" s="499">
        <v>208</v>
      </c>
      <c r="U71" s="497" t="s">
        <v>305</v>
      </c>
      <c r="V71" s="497" t="s">
        <v>556</v>
      </c>
    </row>
    <row r="72" spans="1:22" x14ac:dyDescent="0.25">
      <c r="A72" s="497" t="s">
        <v>529</v>
      </c>
      <c r="B72" s="497" t="s">
        <v>122</v>
      </c>
      <c r="G72" s="497" t="s">
        <v>340</v>
      </c>
      <c r="H72" s="497" t="s">
        <v>339</v>
      </c>
      <c r="I72" s="497" t="s">
        <v>502</v>
      </c>
      <c r="J72" s="499">
        <v>355</v>
      </c>
      <c r="M72" s="497" t="s">
        <v>222</v>
      </c>
      <c r="N72" s="497" t="s">
        <v>223</v>
      </c>
      <c r="O72" s="497" t="s">
        <v>185</v>
      </c>
      <c r="P72" s="497" t="s">
        <v>185</v>
      </c>
      <c r="Q72" s="499">
        <v>70</v>
      </c>
      <c r="R72" s="499">
        <v>609</v>
      </c>
      <c r="U72" s="497" t="s">
        <v>307</v>
      </c>
      <c r="V72" s="497" t="s">
        <v>556</v>
      </c>
    </row>
    <row r="73" spans="1:22" x14ac:dyDescent="0.25">
      <c r="A73" s="497" t="s">
        <v>529</v>
      </c>
      <c r="B73" s="497" t="s">
        <v>124</v>
      </c>
      <c r="G73" s="497" t="s">
        <v>34</v>
      </c>
      <c r="H73" s="497" t="s">
        <v>33</v>
      </c>
      <c r="I73" s="497" t="s">
        <v>502</v>
      </c>
      <c r="J73" s="499"/>
      <c r="M73" s="497" t="s">
        <v>189</v>
      </c>
      <c r="N73" s="497" t="s">
        <v>190</v>
      </c>
      <c r="O73" s="497" t="s">
        <v>185</v>
      </c>
      <c r="P73" s="497" t="s">
        <v>185</v>
      </c>
      <c r="Q73" s="499">
        <v>188</v>
      </c>
      <c r="R73" s="499">
        <v>993</v>
      </c>
      <c r="U73" s="497" t="s">
        <v>222</v>
      </c>
      <c r="V73" s="497" t="s">
        <v>556</v>
      </c>
    </row>
    <row r="74" spans="1:22" x14ac:dyDescent="0.25">
      <c r="A74" s="497" t="s">
        <v>529</v>
      </c>
      <c r="B74" s="497" t="s">
        <v>96</v>
      </c>
      <c r="G74" s="497" t="s">
        <v>198</v>
      </c>
      <c r="H74" s="497" t="s">
        <v>197</v>
      </c>
      <c r="I74" s="497" t="s">
        <v>502</v>
      </c>
      <c r="J74" s="499">
        <v>541</v>
      </c>
      <c r="M74" s="497" t="s">
        <v>184</v>
      </c>
      <c r="N74" s="497" t="s">
        <v>186</v>
      </c>
      <c r="O74" s="497" t="s">
        <v>185</v>
      </c>
      <c r="P74" s="497" t="s">
        <v>185</v>
      </c>
      <c r="Q74" s="499">
        <v>29</v>
      </c>
      <c r="R74" s="499">
        <v>182</v>
      </c>
      <c r="U74" s="497" t="s">
        <v>189</v>
      </c>
      <c r="V74" s="497" t="s">
        <v>556</v>
      </c>
    </row>
    <row r="75" spans="1:22" x14ac:dyDescent="0.25">
      <c r="A75" s="497" t="s">
        <v>529</v>
      </c>
      <c r="B75" s="497" t="s">
        <v>132</v>
      </c>
      <c r="G75" s="497" t="s">
        <v>304</v>
      </c>
      <c r="H75" s="497" t="s">
        <v>303</v>
      </c>
      <c r="I75" s="497" t="s">
        <v>502</v>
      </c>
      <c r="J75" s="499">
        <v>375</v>
      </c>
      <c r="M75" s="497" t="s">
        <v>228</v>
      </c>
      <c r="N75" s="497" t="s">
        <v>229</v>
      </c>
      <c r="O75" s="497" t="s">
        <v>185</v>
      </c>
      <c r="P75" s="497" t="s">
        <v>185</v>
      </c>
      <c r="Q75" s="499">
        <v>50</v>
      </c>
      <c r="R75" s="499">
        <v>293</v>
      </c>
      <c r="U75" s="497" t="s">
        <v>184</v>
      </c>
      <c r="V75" s="497" t="s">
        <v>556</v>
      </c>
    </row>
    <row r="76" spans="1:22" x14ac:dyDescent="0.25">
      <c r="A76" s="497" t="s">
        <v>529</v>
      </c>
      <c r="B76" s="497" t="s">
        <v>134</v>
      </c>
      <c r="G76" s="497" t="s">
        <v>35</v>
      </c>
      <c r="H76" s="497" t="s">
        <v>362</v>
      </c>
      <c r="I76" s="497" t="s">
        <v>849</v>
      </c>
      <c r="J76" s="499">
        <v>0</v>
      </c>
      <c r="M76" s="497" t="s">
        <v>224</v>
      </c>
      <c r="N76" s="497" t="s">
        <v>225</v>
      </c>
      <c r="O76" s="497" t="s">
        <v>185</v>
      </c>
      <c r="P76" s="497" t="s">
        <v>185</v>
      </c>
      <c r="Q76" s="499">
        <v>45</v>
      </c>
      <c r="R76" s="499">
        <v>269</v>
      </c>
      <c r="U76" s="497" t="s">
        <v>228</v>
      </c>
      <c r="V76" s="497" t="s">
        <v>556</v>
      </c>
    </row>
    <row r="77" spans="1:22" x14ac:dyDescent="0.25">
      <c r="A77" s="497" t="s">
        <v>529</v>
      </c>
      <c r="B77" s="497" t="s">
        <v>64</v>
      </c>
      <c r="G77" s="497" t="s">
        <v>240</v>
      </c>
      <c r="H77" s="497" t="s">
        <v>239</v>
      </c>
      <c r="I77" s="497" t="s">
        <v>502</v>
      </c>
      <c r="J77" s="499">
        <v>108</v>
      </c>
      <c r="M77" s="497" t="s">
        <v>143</v>
      </c>
      <c r="N77" s="497" t="s">
        <v>145</v>
      </c>
      <c r="O77" s="497" t="s">
        <v>1204</v>
      </c>
      <c r="P77" s="497" t="s">
        <v>144</v>
      </c>
      <c r="Q77" s="499">
        <v>11</v>
      </c>
      <c r="R77" s="499">
        <v>17</v>
      </c>
      <c r="U77" s="497" t="s">
        <v>224</v>
      </c>
      <c r="V77" s="497" t="s">
        <v>556</v>
      </c>
    </row>
    <row r="78" spans="1:22" x14ac:dyDescent="0.25">
      <c r="A78" s="497" t="s">
        <v>529</v>
      </c>
      <c r="B78" s="497" t="s">
        <v>126</v>
      </c>
      <c r="G78" s="497" t="s">
        <v>285</v>
      </c>
      <c r="H78" s="497" t="s">
        <v>284</v>
      </c>
      <c r="I78" s="497" t="s">
        <v>502</v>
      </c>
      <c r="J78" s="499">
        <v>163</v>
      </c>
      <c r="M78" s="497" t="s">
        <v>299</v>
      </c>
      <c r="N78" s="497" t="s">
        <v>301</v>
      </c>
      <c r="O78" s="497" t="s">
        <v>1204</v>
      </c>
      <c r="P78" s="497" t="s">
        <v>300</v>
      </c>
      <c r="Q78" s="499">
        <v>14</v>
      </c>
      <c r="R78" s="499">
        <v>64</v>
      </c>
      <c r="U78" s="497" t="s">
        <v>143</v>
      </c>
      <c r="V78" s="497" t="s">
        <v>556</v>
      </c>
    </row>
    <row r="79" spans="1:22" x14ac:dyDescent="0.25">
      <c r="A79" s="497" t="s">
        <v>529</v>
      </c>
      <c r="B79" s="497" t="s">
        <v>74</v>
      </c>
      <c r="G79" s="497" t="s">
        <v>365</v>
      </c>
      <c r="H79" s="497" t="s">
        <v>378</v>
      </c>
      <c r="I79" s="497" t="s">
        <v>502</v>
      </c>
      <c r="J79" s="499">
        <v>144</v>
      </c>
      <c r="M79" s="497" t="s">
        <v>175</v>
      </c>
      <c r="N79" s="497" t="s">
        <v>176</v>
      </c>
      <c r="O79" s="497" t="s">
        <v>1204</v>
      </c>
      <c r="P79" s="497" t="s">
        <v>173</v>
      </c>
      <c r="Q79" s="499">
        <v>18</v>
      </c>
      <c r="R79" s="499">
        <v>79</v>
      </c>
      <c r="U79" s="497" t="s">
        <v>299</v>
      </c>
      <c r="V79" s="497" t="s">
        <v>12</v>
      </c>
    </row>
    <row r="80" spans="1:22" x14ac:dyDescent="0.25">
      <c r="A80" s="497" t="s">
        <v>529</v>
      </c>
      <c r="B80" s="497" t="s">
        <v>140</v>
      </c>
      <c r="G80" s="497" t="s">
        <v>90</v>
      </c>
      <c r="H80" s="497" t="s">
        <v>89</v>
      </c>
      <c r="I80" s="497" t="s">
        <v>502</v>
      </c>
      <c r="J80" s="499">
        <v>25</v>
      </c>
      <c r="M80" s="497" t="s">
        <v>172</v>
      </c>
      <c r="N80" s="497" t="s">
        <v>174</v>
      </c>
      <c r="O80" s="497" t="s">
        <v>1204</v>
      </c>
      <c r="P80" s="497" t="s">
        <v>173</v>
      </c>
      <c r="Q80" s="499">
        <v>16</v>
      </c>
      <c r="R80" s="499">
        <v>69</v>
      </c>
      <c r="U80" s="497" t="s">
        <v>175</v>
      </c>
      <c r="V80" s="497" t="s">
        <v>556</v>
      </c>
    </row>
    <row r="81" spans="1:22" x14ac:dyDescent="0.25">
      <c r="A81" s="497" t="s">
        <v>529</v>
      </c>
      <c r="B81" s="497" t="s">
        <v>516</v>
      </c>
      <c r="G81" s="497" t="s">
        <v>92</v>
      </c>
      <c r="H81" s="497" t="s">
        <v>91</v>
      </c>
      <c r="I81" s="497" t="s">
        <v>502</v>
      </c>
      <c r="J81" s="499">
        <v>15</v>
      </c>
      <c r="M81" s="497" t="s">
        <v>177</v>
      </c>
      <c r="N81" s="497" t="s">
        <v>178</v>
      </c>
      <c r="O81" s="497" t="s">
        <v>1204</v>
      </c>
      <c r="P81" s="497" t="s">
        <v>173</v>
      </c>
      <c r="Q81" s="499">
        <v>14</v>
      </c>
      <c r="R81" s="499">
        <v>44</v>
      </c>
      <c r="U81" s="497" t="s">
        <v>172</v>
      </c>
      <c r="V81" s="497" t="s">
        <v>556</v>
      </c>
    </row>
    <row r="82" spans="1:22" x14ac:dyDescent="0.25">
      <c r="A82" s="497" t="s">
        <v>529</v>
      </c>
      <c r="B82" s="497" t="s">
        <v>1072</v>
      </c>
      <c r="G82" s="497" t="s">
        <v>18</v>
      </c>
      <c r="H82" s="497" t="s">
        <v>17</v>
      </c>
      <c r="I82" s="497" t="s">
        <v>502</v>
      </c>
      <c r="J82" s="499">
        <v>116</v>
      </c>
      <c r="M82" s="497" t="s">
        <v>179</v>
      </c>
      <c r="N82" s="497" t="s">
        <v>181</v>
      </c>
      <c r="O82" s="497" t="s">
        <v>1204</v>
      </c>
      <c r="P82" s="497" t="s">
        <v>180</v>
      </c>
      <c r="Q82" s="499">
        <v>12</v>
      </c>
      <c r="R82" s="499">
        <v>52</v>
      </c>
      <c r="U82" s="497" t="s">
        <v>177</v>
      </c>
      <c r="V82" s="497" t="s">
        <v>556</v>
      </c>
    </row>
    <row r="83" spans="1:22" x14ac:dyDescent="0.25">
      <c r="A83" s="497" t="s">
        <v>529</v>
      </c>
      <c r="B83" s="497" t="s">
        <v>1129</v>
      </c>
      <c r="G83" s="497" t="s">
        <v>186</v>
      </c>
      <c r="H83" s="497" t="s">
        <v>184</v>
      </c>
      <c r="I83" s="497" t="s">
        <v>502</v>
      </c>
      <c r="J83" s="499">
        <v>29</v>
      </c>
      <c r="M83" s="497" t="s">
        <v>182</v>
      </c>
      <c r="N83" s="497" t="s">
        <v>183</v>
      </c>
      <c r="O83" s="497" t="s">
        <v>1204</v>
      </c>
      <c r="P83" s="497" t="s">
        <v>180</v>
      </c>
      <c r="Q83" s="499">
        <v>0</v>
      </c>
      <c r="R83" s="499">
        <v>0</v>
      </c>
      <c r="U83" s="497" t="s">
        <v>179</v>
      </c>
      <c r="V83" s="497" t="s">
        <v>556</v>
      </c>
    </row>
    <row r="84" spans="1:22" x14ac:dyDescent="0.25">
      <c r="A84" s="497" t="s">
        <v>784</v>
      </c>
      <c r="B84" s="497" t="s">
        <v>596</v>
      </c>
      <c r="G84" s="497" t="s">
        <v>223</v>
      </c>
      <c r="H84" s="497" t="s">
        <v>222</v>
      </c>
      <c r="I84" s="497" t="s">
        <v>502</v>
      </c>
      <c r="J84" s="499">
        <v>70</v>
      </c>
      <c r="M84" s="497" t="s">
        <v>109</v>
      </c>
      <c r="N84" s="497" t="s">
        <v>110</v>
      </c>
      <c r="O84" s="497" t="s">
        <v>529</v>
      </c>
      <c r="P84" s="497" t="s">
        <v>529</v>
      </c>
      <c r="Q84" s="499">
        <v>0</v>
      </c>
      <c r="R84" s="499">
        <v>0</v>
      </c>
      <c r="U84" s="497" t="s">
        <v>182</v>
      </c>
      <c r="V84" s="497" t="s">
        <v>556</v>
      </c>
    </row>
    <row r="85" spans="1:22" x14ac:dyDescent="0.25">
      <c r="A85" s="497" t="s">
        <v>784</v>
      </c>
      <c r="B85" s="497" t="s">
        <v>1309</v>
      </c>
      <c r="G85" s="497" t="s">
        <v>190</v>
      </c>
      <c r="H85" s="497" t="s">
        <v>189</v>
      </c>
      <c r="I85" s="497" t="s">
        <v>502</v>
      </c>
      <c r="J85" s="499">
        <v>188</v>
      </c>
      <c r="M85" s="497" t="s">
        <v>111</v>
      </c>
      <c r="N85" s="497" t="s">
        <v>112</v>
      </c>
      <c r="O85" s="497" t="s">
        <v>529</v>
      </c>
      <c r="P85" s="497" t="s">
        <v>529</v>
      </c>
      <c r="Q85" s="499">
        <v>0</v>
      </c>
      <c r="R85" s="499">
        <v>0</v>
      </c>
      <c r="U85" s="497" t="s">
        <v>109</v>
      </c>
      <c r="V85" s="497" t="s">
        <v>556</v>
      </c>
    </row>
    <row r="86" spans="1:22" x14ac:dyDescent="0.25">
      <c r="A86" s="497" t="s">
        <v>363</v>
      </c>
      <c r="B86" s="497" t="s">
        <v>35</v>
      </c>
      <c r="G86" s="497" t="s">
        <v>158</v>
      </c>
      <c r="H86" s="497" t="s">
        <v>157</v>
      </c>
      <c r="I86" s="497" t="s">
        <v>849</v>
      </c>
      <c r="J86" s="499">
        <v>0</v>
      </c>
      <c r="M86" s="497" t="s">
        <v>85</v>
      </c>
      <c r="N86" s="497" t="s">
        <v>86</v>
      </c>
      <c r="O86" s="497" t="s">
        <v>529</v>
      </c>
      <c r="P86" s="497" t="s">
        <v>529</v>
      </c>
      <c r="Q86" s="499">
        <v>0</v>
      </c>
      <c r="R86" s="499">
        <v>0</v>
      </c>
      <c r="U86" s="497" t="s">
        <v>111</v>
      </c>
      <c r="V86" s="497" t="s">
        <v>556</v>
      </c>
    </row>
    <row r="87" spans="1:22" x14ac:dyDescent="0.25">
      <c r="A87" s="497" t="s">
        <v>144</v>
      </c>
      <c r="B87" s="497" t="s">
        <v>145</v>
      </c>
      <c r="G87" s="497" t="s">
        <v>1292</v>
      </c>
      <c r="H87" s="497" t="s">
        <v>1291</v>
      </c>
      <c r="I87" s="497" t="s">
        <v>502</v>
      </c>
      <c r="J87" s="499">
        <v>59</v>
      </c>
      <c r="M87" s="497" t="s">
        <v>83</v>
      </c>
      <c r="N87" s="497" t="s">
        <v>84</v>
      </c>
      <c r="O87" s="497" t="s">
        <v>529</v>
      </c>
      <c r="P87" s="497" t="s">
        <v>529</v>
      </c>
      <c r="Q87" s="499">
        <v>0</v>
      </c>
      <c r="R87" s="499">
        <v>0</v>
      </c>
      <c r="U87" s="497" t="s">
        <v>85</v>
      </c>
      <c r="V87" s="497" t="s">
        <v>556</v>
      </c>
    </row>
    <row r="88" spans="1:22" x14ac:dyDescent="0.25">
      <c r="A88" s="497" t="s">
        <v>146</v>
      </c>
      <c r="B88" s="497" t="s">
        <v>937</v>
      </c>
      <c r="G88" s="497" t="s">
        <v>1302</v>
      </c>
      <c r="H88" s="497" t="s">
        <v>1305</v>
      </c>
      <c r="I88" s="497" t="s">
        <v>502</v>
      </c>
      <c r="J88" s="499">
        <v>9</v>
      </c>
      <c r="M88" s="497" t="s">
        <v>69</v>
      </c>
      <c r="N88" s="497" t="s">
        <v>70</v>
      </c>
      <c r="O88" s="497" t="s">
        <v>529</v>
      </c>
      <c r="P88" s="497" t="s">
        <v>529</v>
      </c>
      <c r="Q88" s="499">
        <v>0</v>
      </c>
      <c r="R88" s="499">
        <v>0</v>
      </c>
      <c r="U88" s="497" t="s">
        <v>83</v>
      </c>
      <c r="V88" s="497" t="s">
        <v>556</v>
      </c>
    </row>
    <row r="89" spans="1:22" x14ac:dyDescent="0.25">
      <c r="A89" s="497" t="s">
        <v>146</v>
      </c>
      <c r="B89" s="497" t="s">
        <v>939</v>
      </c>
      <c r="G89" s="497" t="s">
        <v>94</v>
      </c>
      <c r="H89" s="497" t="s">
        <v>93</v>
      </c>
      <c r="I89" s="497" t="s">
        <v>849</v>
      </c>
      <c r="J89" s="499">
        <v>0</v>
      </c>
      <c r="M89" s="497" t="s">
        <v>103</v>
      </c>
      <c r="N89" s="497" t="s">
        <v>104</v>
      </c>
      <c r="O89" s="497" t="s">
        <v>529</v>
      </c>
      <c r="P89" s="497" t="s">
        <v>529</v>
      </c>
      <c r="Q89" s="499">
        <v>0</v>
      </c>
      <c r="R89" s="499">
        <v>0</v>
      </c>
      <c r="U89" s="497" t="s">
        <v>69</v>
      </c>
      <c r="V89" s="497" t="s">
        <v>556</v>
      </c>
    </row>
    <row r="90" spans="1:22" x14ac:dyDescent="0.25">
      <c r="A90" s="497" t="s">
        <v>146</v>
      </c>
      <c r="B90" s="497" t="s">
        <v>372</v>
      </c>
      <c r="G90" s="497" t="s">
        <v>901</v>
      </c>
      <c r="H90" s="497" t="s">
        <v>902</v>
      </c>
      <c r="I90" s="497" t="s">
        <v>849</v>
      </c>
      <c r="J90" s="499">
        <v>0</v>
      </c>
      <c r="M90" s="497" t="s">
        <v>67</v>
      </c>
      <c r="N90" s="497" t="s">
        <v>68</v>
      </c>
      <c r="O90" s="497" t="s">
        <v>529</v>
      </c>
      <c r="P90" s="497" t="s">
        <v>529</v>
      </c>
      <c r="Q90" s="499">
        <v>0</v>
      </c>
      <c r="R90" s="499">
        <v>0</v>
      </c>
      <c r="U90" s="497" t="s">
        <v>103</v>
      </c>
      <c r="V90" s="497" t="s">
        <v>556</v>
      </c>
    </row>
    <row r="91" spans="1:22" x14ac:dyDescent="0.25">
      <c r="A91" s="497" t="s">
        <v>146</v>
      </c>
      <c r="B91" s="497" t="s">
        <v>369</v>
      </c>
      <c r="G91" s="497" t="s">
        <v>320</v>
      </c>
      <c r="H91" s="497" t="s">
        <v>319</v>
      </c>
      <c r="I91" s="497" t="s">
        <v>502</v>
      </c>
      <c r="J91" s="499">
        <v>25</v>
      </c>
      <c r="M91" s="497" t="s">
        <v>99</v>
      </c>
      <c r="N91" s="497" t="s">
        <v>100</v>
      </c>
      <c r="O91" s="497" t="s">
        <v>529</v>
      </c>
      <c r="P91" s="497" t="s">
        <v>529</v>
      </c>
      <c r="Q91" s="499">
        <v>5</v>
      </c>
      <c r="R91" s="499">
        <v>26</v>
      </c>
      <c r="U91" s="497" t="s">
        <v>67</v>
      </c>
      <c r="V91" s="497" t="s">
        <v>556</v>
      </c>
    </row>
    <row r="92" spans="1:22" x14ac:dyDescent="0.25">
      <c r="A92" s="497" t="s">
        <v>146</v>
      </c>
      <c r="B92" s="497" t="s">
        <v>370</v>
      </c>
      <c r="G92" s="497" t="s">
        <v>322</v>
      </c>
      <c r="H92" s="497" t="s">
        <v>321</v>
      </c>
      <c r="I92" s="497" t="s">
        <v>502</v>
      </c>
      <c r="J92" s="499">
        <v>609</v>
      </c>
      <c r="M92" s="497" t="s">
        <v>49</v>
      </c>
      <c r="N92" s="497" t="s">
        <v>50</v>
      </c>
      <c r="O92" s="497" t="s">
        <v>529</v>
      </c>
      <c r="P92" s="497" t="s">
        <v>529</v>
      </c>
      <c r="Q92" s="499">
        <v>0</v>
      </c>
      <c r="R92" s="499">
        <v>0</v>
      </c>
      <c r="U92" s="497" t="s">
        <v>99</v>
      </c>
      <c r="V92" s="497" t="s">
        <v>556</v>
      </c>
    </row>
    <row r="93" spans="1:22" x14ac:dyDescent="0.25">
      <c r="A93" s="497" t="s">
        <v>146</v>
      </c>
      <c r="B93" s="497" t="s">
        <v>368</v>
      </c>
      <c r="G93" s="497" t="s">
        <v>200</v>
      </c>
      <c r="H93" s="497" t="s">
        <v>199</v>
      </c>
      <c r="I93" s="497" t="s">
        <v>502</v>
      </c>
      <c r="J93" s="499">
        <v>2</v>
      </c>
      <c r="M93" s="497" t="s">
        <v>65</v>
      </c>
      <c r="N93" s="497" t="s">
        <v>66</v>
      </c>
      <c r="O93" s="497" t="s">
        <v>529</v>
      </c>
      <c r="P93" s="497" t="s">
        <v>529</v>
      </c>
      <c r="Q93" s="499">
        <v>0</v>
      </c>
      <c r="R93" s="499">
        <v>0</v>
      </c>
      <c r="U93" s="497" t="s">
        <v>49</v>
      </c>
      <c r="V93" s="497" t="s">
        <v>556</v>
      </c>
    </row>
    <row r="94" spans="1:22" x14ac:dyDescent="0.25">
      <c r="A94" s="497" t="s">
        <v>146</v>
      </c>
      <c r="B94" s="497" t="s">
        <v>371</v>
      </c>
      <c r="G94" s="497" t="s">
        <v>328</v>
      </c>
      <c r="H94" s="497" t="s">
        <v>327</v>
      </c>
      <c r="I94" s="497" t="s">
        <v>502</v>
      </c>
      <c r="J94" s="499">
        <v>135</v>
      </c>
      <c r="M94" s="497" t="s">
        <v>53</v>
      </c>
      <c r="N94" s="497" t="s">
        <v>54</v>
      </c>
      <c r="O94" s="497" t="s">
        <v>529</v>
      </c>
      <c r="P94" s="497" t="s">
        <v>529</v>
      </c>
      <c r="Q94" s="499">
        <v>0</v>
      </c>
      <c r="R94" s="499">
        <v>0</v>
      </c>
      <c r="U94" s="497" t="s">
        <v>65</v>
      </c>
      <c r="V94" s="497" t="s">
        <v>556</v>
      </c>
    </row>
    <row r="95" spans="1:22" x14ac:dyDescent="0.25">
      <c r="A95" s="497" t="s">
        <v>146</v>
      </c>
      <c r="B95" s="497" t="s">
        <v>367</v>
      </c>
      <c r="G95" s="497" t="s">
        <v>330</v>
      </c>
      <c r="H95" s="497" t="s">
        <v>329</v>
      </c>
      <c r="I95" s="497" t="s">
        <v>502</v>
      </c>
      <c r="J95" s="499">
        <v>227</v>
      </c>
      <c r="M95" s="497" t="s">
        <v>115</v>
      </c>
      <c r="N95" s="497" t="s">
        <v>116</v>
      </c>
      <c r="O95" s="497" t="s">
        <v>529</v>
      </c>
      <c r="P95" s="497" t="s">
        <v>529</v>
      </c>
      <c r="Q95" s="499">
        <v>0</v>
      </c>
      <c r="R95" s="499">
        <v>0</v>
      </c>
      <c r="U95" s="497" t="s">
        <v>53</v>
      </c>
      <c r="V95" s="497" t="s">
        <v>556</v>
      </c>
    </row>
    <row r="96" spans="1:22" x14ac:dyDescent="0.25">
      <c r="A96" s="497" t="s">
        <v>146</v>
      </c>
      <c r="B96" s="497" t="s">
        <v>149</v>
      </c>
      <c r="G96" s="497" t="s">
        <v>324</v>
      </c>
      <c r="H96" s="497" t="s">
        <v>323</v>
      </c>
      <c r="I96" s="497" t="s">
        <v>502</v>
      </c>
      <c r="J96" s="499">
        <v>428</v>
      </c>
      <c r="M96" s="497" t="s">
        <v>79</v>
      </c>
      <c r="N96" s="497" t="s">
        <v>80</v>
      </c>
      <c r="O96" s="497" t="s">
        <v>529</v>
      </c>
      <c r="P96" s="497" t="s">
        <v>529</v>
      </c>
      <c r="Q96" s="499">
        <v>0</v>
      </c>
      <c r="R96" s="499">
        <v>0</v>
      </c>
      <c r="U96" s="497" t="s">
        <v>115</v>
      </c>
      <c r="V96" s="497" t="s">
        <v>556</v>
      </c>
    </row>
    <row r="97" spans="1:22" x14ac:dyDescent="0.25">
      <c r="A97" s="497" t="s">
        <v>146</v>
      </c>
      <c r="B97" s="497" t="s">
        <v>373</v>
      </c>
      <c r="G97" s="497" t="s">
        <v>326</v>
      </c>
      <c r="H97" s="497" t="s">
        <v>325</v>
      </c>
      <c r="I97" s="497" t="s">
        <v>502</v>
      </c>
      <c r="J97" s="499">
        <v>48</v>
      </c>
      <c r="M97" s="497" t="s">
        <v>137</v>
      </c>
      <c r="N97" s="497" t="s">
        <v>138</v>
      </c>
      <c r="O97" s="497" t="s">
        <v>529</v>
      </c>
      <c r="P97" s="497" t="s">
        <v>529</v>
      </c>
      <c r="Q97" s="499">
        <v>0</v>
      </c>
      <c r="R97" s="499">
        <v>0</v>
      </c>
      <c r="U97" s="497" t="s">
        <v>79</v>
      </c>
      <c r="V97" s="497" t="s">
        <v>556</v>
      </c>
    </row>
    <row r="98" spans="1:22" x14ac:dyDescent="0.25">
      <c r="A98" s="497" t="s">
        <v>146</v>
      </c>
      <c r="B98" s="497" t="s">
        <v>1111</v>
      </c>
      <c r="G98" s="497" t="s">
        <v>891</v>
      </c>
      <c r="H98" s="497" t="s">
        <v>892</v>
      </c>
      <c r="I98" s="497" t="s">
        <v>502</v>
      </c>
      <c r="J98" s="499">
        <v>372</v>
      </c>
      <c r="M98" s="497" t="s">
        <v>101</v>
      </c>
      <c r="N98" s="497" t="s">
        <v>102</v>
      </c>
      <c r="O98" s="497" t="s">
        <v>529</v>
      </c>
      <c r="P98" s="497" t="s">
        <v>529</v>
      </c>
      <c r="Q98" s="499">
        <v>0</v>
      </c>
      <c r="R98" s="499">
        <v>0</v>
      </c>
      <c r="U98" s="497" t="s">
        <v>137</v>
      </c>
      <c r="V98" s="497" t="s">
        <v>556</v>
      </c>
    </row>
    <row r="99" spans="1:22" x14ac:dyDescent="0.25">
      <c r="A99" s="497" t="s">
        <v>146</v>
      </c>
      <c r="B99" s="497" t="s">
        <v>1408</v>
      </c>
      <c r="G99" s="497" t="s">
        <v>949</v>
      </c>
      <c r="H99" s="497" t="s">
        <v>948</v>
      </c>
      <c r="I99" s="497" t="s">
        <v>502</v>
      </c>
      <c r="J99" s="499">
        <v>121</v>
      </c>
      <c r="M99" s="497" t="s">
        <v>105</v>
      </c>
      <c r="N99" s="497" t="s">
        <v>106</v>
      </c>
      <c r="O99" s="497" t="s">
        <v>529</v>
      </c>
      <c r="P99" s="497" t="s">
        <v>529</v>
      </c>
      <c r="Q99" s="499">
        <v>0</v>
      </c>
      <c r="R99" s="499">
        <v>0</v>
      </c>
      <c r="U99" s="497" t="s">
        <v>101</v>
      </c>
      <c r="V99" s="497" t="s">
        <v>556</v>
      </c>
    </row>
    <row r="100" spans="1:22" x14ac:dyDescent="0.25">
      <c r="A100" s="497" t="s">
        <v>899</v>
      </c>
      <c r="B100" s="497" t="s">
        <v>901</v>
      </c>
      <c r="G100" s="497" t="s">
        <v>259</v>
      </c>
      <c r="H100" s="497" t="s">
        <v>258</v>
      </c>
      <c r="I100" s="497" t="s">
        <v>502</v>
      </c>
      <c r="J100" s="499">
        <v>72</v>
      </c>
      <c r="M100" s="497" t="s">
        <v>129</v>
      </c>
      <c r="N100" s="497" t="s">
        <v>130</v>
      </c>
      <c r="O100" s="497" t="s">
        <v>529</v>
      </c>
      <c r="P100" s="497" t="s">
        <v>529</v>
      </c>
      <c r="Q100" s="499">
        <v>0</v>
      </c>
      <c r="R100" s="499">
        <v>0</v>
      </c>
      <c r="U100" s="497" t="s">
        <v>105</v>
      </c>
      <c r="V100" s="497" t="s">
        <v>556</v>
      </c>
    </row>
    <row r="101" spans="1:22" x14ac:dyDescent="0.25">
      <c r="A101" s="497" t="s">
        <v>151</v>
      </c>
      <c r="B101" s="497" t="s">
        <v>888</v>
      </c>
      <c r="G101" s="497" t="s">
        <v>202</v>
      </c>
      <c r="H101" s="497" t="s">
        <v>201</v>
      </c>
      <c r="I101" s="497" t="s">
        <v>502</v>
      </c>
      <c r="J101" s="499">
        <v>265</v>
      </c>
      <c r="M101" s="497" t="s">
        <v>133</v>
      </c>
      <c r="N101" s="497" t="s">
        <v>134</v>
      </c>
      <c r="O101" s="497" t="s">
        <v>529</v>
      </c>
      <c r="P101" s="497" t="s">
        <v>529</v>
      </c>
      <c r="Q101" s="499">
        <v>0</v>
      </c>
      <c r="R101" s="499">
        <v>0</v>
      </c>
      <c r="U101" s="497" t="s">
        <v>129</v>
      </c>
      <c r="V101" s="497" t="s">
        <v>556</v>
      </c>
    </row>
    <row r="102" spans="1:22" x14ac:dyDescent="0.25">
      <c r="A102" s="497" t="s">
        <v>151</v>
      </c>
      <c r="B102" s="497" t="s">
        <v>883</v>
      </c>
      <c r="G102" s="497" t="s">
        <v>261</v>
      </c>
      <c r="H102" s="497" t="s">
        <v>260</v>
      </c>
      <c r="I102" s="497" t="s">
        <v>502</v>
      </c>
      <c r="J102" s="499">
        <v>96</v>
      </c>
      <c r="M102" s="497" t="s">
        <v>113</v>
      </c>
      <c r="N102" s="497" t="s">
        <v>114</v>
      </c>
      <c r="O102" s="497" t="s">
        <v>529</v>
      </c>
      <c r="P102" s="497" t="s">
        <v>529</v>
      </c>
      <c r="Q102" s="499">
        <v>0</v>
      </c>
      <c r="R102" s="499">
        <v>0</v>
      </c>
      <c r="U102" s="497" t="s">
        <v>133</v>
      </c>
      <c r="V102" s="497" t="s">
        <v>556</v>
      </c>
    </row>
    <row r="103" spans="1:22" x14ac:dyDescent="0.25">
      <c r="A103" s="497" t="s">
        <v>151</v>
      </c>
      <c r="B103" s="497" t="s">
        <v>884</v>
      </c>
      <c r="G103" s="497" t="s">
        <v>882</v>
      </c>
      <c r="H103" s="497" t="s">
        <v>876</v>
      </c>
      <c r="I103" s="497" t="s">
        <v>849</v>
      </c>
      <c r="J103" s="499">
        <v>0</v>
      </c>
      <c r="M103" s="497" t="s">
        <v>107</v>
      </c>
      <c r="N103" s="497" t="s">
        <v>108</v>
      </c>
      <c r="O103" s="497" t="s">
        <v>529</v>
      </c>
      <c r="P103" s="497" t="s">
        <v>529</v>
      </c>
      <c r="Q103" s="499">
        <v>54</v>
      </c>
      <c r="R103" s="499">
        <v>262</v>
      </c>
      <c r="U103" s="497" t="s">
        <v>113</v>
      </c>
      <c r="V103" s="497" t="s">
        <v>556</v>
      </c>
    </row>
    <row r="104" spans="1:22" x14ac:dyDescent="0.25">
      <c r="A104" s="497" t="s">
        <v>151</v>
      </c>
      <c r="B104" s="497" t="s">
        <v>188</v>
      </c>
      <c r="G104" s="497" t="s">
        <v>881</v>
      </c>
      <c r="H104" s="497" t="s">
        <v>880</v>
      </c>
      <c r="I104" s="497" t="s">
        <v>849</v>
      </c>
      <c r="J104" s="499">
        <v>0</v>
      </c>
      <c r="M104" s="497" t="s">
        <v>95</v>
      </c>
      <c r="N104" s="497" t="s">
        <v>96</v>
      </c>
      <c r="O104" s="497" t="s">
        <v>529</v>
      </c>
      <c r="P104" s="497" t="s">
        <v>529</v>
      </c>
      <c r="Q104" s="499">
        <v>0</v>
      </c>
      <c r="R104" s="499">
        <v>0</v>
      </c>
      <c r="U104" s="497" t="s">
        <v>107</v>
      </c>
      <c r="V104" s="497" t="s">
        <v>556</v>
      </c>
    </row>
    <row r="105" spans="1:22" x14ac:dyDescent="0.25">
      <c r="A105" s="497" t="s">
        <v>151</v>
      </c>
      <c r="B105" s="497" t="s">
        <v>12</v>
      </c>
      <c r="G105" s="497" t="s">
        <v>204</v>
      </c>
      <c r="H105" s="497" t="s">
        <v>203</v>
      </c>
      <c r="I105" s="497" t="s">
        <v>502</v>
      </c>
      <c r="J105" s="499">
        <v>28</v>
      </c>
      <c r="M105" s="497" t="s">
        <v>139</v>
      </c>
      <c r="N105" s="497" t="s">
        <v>140</v>
      </c>
      <c r="O105" s="497" t="s">
        <v>529</v>
      </c>
      <c r="P105" s="497" t="s">
        <v>529</v>
      </c>
      <c r="Q105" s="499">
        <v>20</v>
      </c>
      <c r="R105" s="499">
        <v>80</v>
      </c>
      <c r="U105" s="497" t="s">
        <v>95</v>
      </c>
      <c r="V105" s="497" t="s">
        <v>556</v>
      </c>
    </row>
    <row r="106" spans="1:22" x14ac:dyDescent="0.25">
      <c r="A106" s="497" t="s">
        <v>151</v>
      </c>
      <c r="B106" s="497" t="s">
        <v>890</v>
      </c>
      <c r="G106" s="497" t="s">
        <v>205</v>
      </c>
      <c r="H106" s="497" t="s">
        <v>393</v>
      </c>
      <c r="I106" s="497" t="s">
        <v>502</v>
      </c>
      <c r="J106" s="499"/>
      <c r="M106" s="497" t="s">
        <v>135</v>
      </c>
      <c r="N106" s="497" t="s">
        <v>136</v>
      </c>
      <c r="O106" s="497" t="s">
        <v>529</v>
      </c>
      <c r="P106" s="497" t="s">
        <v>529</v>
      </c>
      <c r="Q106" s="499">
        <v>0</v>
      </c>
      <c r="R106" s="499">
        <v>0</v>
      </c>
      <c r="U106" s="497" t="s">
        <v>139</v>
      </c>
      <c r="V106" s="497" t="s">
        <v>556</v>
      </c>
    </row>
    <row r="107" spans="1:22" x14ac:dyDescent="0.25">
      <c r="A107" s="497" t="s">
        <v>151</v>
      </c>
      <c r="B107" s="497" t="s">
        <v>518</v>
      </c>
      <c r="G107" s="497" t="s">
        <v>160</v>
      </c>
      <c r="H107" s="497" t="s">
        <v>159</v>
      </c>
      <c r="I107" s="497" t="s">
        <v>502</v>
      </c>
      <c r="J107" s="499">
        <v>114</v>
      </c>
      <c r="M107" s="497" t="s">
        <v>93</v>
      </c>
      <c r="N107" s="497" t="s">
        <v>94</v>
      </c>
      <c r="O107" s="497" t="s">
        <v>529</v>
      </c>
      <c r="P107" s="497" t="s">
        <v>529</v>
      </c>
      <c r="Q107" s="499">
        <v>0</v>
      </c>
      <c r="R107" s="499">
        <v>0</v>
      </c>
      <c r="U107" s="497" t="s">
        <v>135</v>
      </c>
      <c r="V107" s="497" t="s">
        <v>556</v>
      </c>
    </row>
    <row r="108" spans="1:22" x14ac:dyDescent="0.25">
      <c r="A108" s="497" t="s">
        <v>151</v>
      </c>
      <c r="B108" s="497" t="s">
        <v>198</v>
      </c>
      <c r="G108" s="497" t="s">
        <v>1102</v>
      </c>
      <c r="H108" s="497" t="s">
        <v>1103</v>
      </c>
      <c r="I108" s="497" t="s">
        <v>502</v>
      </c>
      <c r="J108" s="499">
        <v>114</v>
      </c>
      <c r="M108" s="497" t="s">
        <v>121</v>
      </c>
      <c r="N108" s="497" t="s">
        <v>122</v>
      </c>
      <c r="O108" s="497" t="s">
        <v>529</v>
      </c>
      <c r="P108" s="497" t="s">
        <v>529</v>
      </c>
      <c r="Q108" s="499">
        <v>0</v>
      </c>
      <c r="R108" s="499">
        <v>0</v>
      </c>
      <c r="U108" s="497" t="s">
        <v>93</v>
      </c>
      <c r="V108" s="497" t="s">
        <v>556</v>
      </c>
    </row>
    <row r="109" spans="1:22" x14ac:dyDescent="0.25">
      <c r="A109" s="497" t="s">
        <v>151</v>
      </c>
      <c r="B109" s="497" t="s">
        <v>158</v>
      </c>
      <c r="G109" s="497" t="s">
        <v>154</v>
      </c>
      <c r="H109" s="497" t="s">
        <v>153</v>
      </c>
      <c r="I109" s="497" t="s">
        <v>502</v>
      </c>
      <c r="J109" s="499">
        <v>486</v>
      </c>
      <c r="M109" s="497" t="s">
        <v>71</v>
      </c>
      <c r="N109" s="497" t="s">
        <v>72</v>
      </c>
      <c r="O109" s="497" t="s">
        <v>529</v>
      </c>
      <c r="P109" s="497" t="s">
        <v>529</v>
      </c>
      <c r="Q109" s="499">
        <v>6</v>
      </c>
      <c r="R109" s="499">
        <v>30</v>
      </c>
      <c r="U109" s="497" t="s">
        <v>121</v>
      </c>
      <c r="V109" s="497" t="s">
        <v>556</v>
      </c>
    </row>
    <row r="110" spans="1:22" x14ac:dyDescent="0.25">
      <c r="A110" s="497" t="s">
        <v>151</v>
      </c>
      <c r="B110" s="497" t="s">
        <v>891</v>
      </c>
      <c r="G110" s="497" t="s">
        <v>1068</v>
      </c>
      <c r="H110" s="497" t="s">
        <v>1069</v>
      </c>
      <c r="I110" s="497" t="s">
        <v>502</v>
      </c>
      <c r="J110" s="499">
        <v>115</v>
      </c>
      <c r="M110" s="497" t="s">
        <v>131</v>
      </c>
      <c r="N110" s="497" t="s">
        <v>132</v>
      </c>
      <c r="O110" s="497" t="s">
        <v>529</v>
      </c>
      <c r="P110" s="497" t="s">
        <v>529</v>
      </c>
      <c r="Q110" s="499">
        <v>0</v>
      </c>
      <c r="R110" s="499">
        <v>0</v>
      </c>
      <c r="U110" s="497" t="s">
        <v>71</v>
      </c>
      <c r="V110" s="497" t="s">
        <v>556</v>
      </c>
    </row>
    <row r="111" spans="1:22" x14ac:dyDescent="0.25">
      <c r="A111" s="497" t="s">
        <v>151</v>
      </c>
      <c r="B111" s="497" t="s">
        <v>882</v>
      </c>
      <c r="G111" s="497" t="s">
        <v>156</v>
      </c>
      <c r="H111" s="497" t="s">
        <v>155</v>
      </c>
      <c r="I111" s="497" t="s">
        <v>502</v>
      </c>
      <c r="J111" s="499">
        <v>205</v>
      </c>
      <c r="M111" s="497" t="s">
        <v>356</v>
      </c>
      <c r="N111" s="497" t="s">
        <v>1268</v>
      </c>
      <c r="O111" s="497" t="s">
        <v>310</v>
      </c>
      <c r="P111" s="497" t="s">
        <v>310</v>
      </c>
      <c r="Q111" s="499">
        <v>680</v>
      </c>
      <c r="R111" s="499">
        <v>2913</v>
      </c>
      <c r="U111" s="497" t="s">
        <v>131</v>
      </c>
      <c r="V111" s="497" t="s">
        <v>556</v>
      </c>
    </row>
    <row r="112" spans="1:22" x14ac:dyDescent="0.25">
      <c r="A112" s="497" t="s">
        <v>151</v>
      </c>
      <c r="B112" s="497" t="s">
        <v>881</v>
      </c>
      <c r="G112" s="497" t="s">
        <v>332</v>
      </c>
      <c r="H112" s="497" t="s">
        <v>331</v>
      </c>
      <c r="I112" s="497" t="s">
        <v>849</v>
      </c>
      <c r="J112" s="499">
        <v>0</v>
      </c>
      <c r="M112" s="497" t="s">
        <v>333</v>
      </c>
      <c r="N112" s="497" t="s">
        <v>334</v>
      </c>
      <c r="O112" s="497" t="s">
        <v>310</v>
      </c>
      <c r="P112" s="497" t="s">
        <v>310</v>
      </c>
      <c r="Q112" s="499">
        <v>155</v>
      </c>
      <c r="R112" s="499">
        <v>630</v>
      </c>
      <c r="U112" s="497" t="s">
        <v>356</v>
      </c>
      <c r="V112" s="497" t="s">
        <v>556</v>
      </c>
    </row>
    <row r="113" spans="1:22" x14ac:dyDescent="0.25">
      <c r="A113" s="497" t="s">
        <v>151</v>
      </c>
      <c r="B113" s="497" t="s">
        <v>160</v>
      </c>
      <c r="G113" s="497" t="s">
        <v>207</v>
      </c>
      <c r="H113" s="497" t="s">
        <v>206</v>
      </c>
      <c r="I113" s="497" t="s">
        <v>849</v>
      </c>
      <c r="J113" s="499"/>
      <c r="M113" s="497" t="s">
        <v>357</v>
      </c>
      <c r="N113" s="497" t="s">
        <v>358</v>
      </c>
      <c r="O113" s="497" t="s">
        <v>310</v>
      </c>
      <c r="P113" s="497" t="s">
        <v>310</v>
      </c>
      <c r="Q113" s="499">
        <v>0</v>
      </c>
      <c r="R113" s="499">
        <v>0</v>
      </c>
      <c r="U113" s="497" t="s">
        <v>333</v>
      </c>
      <c r="V113" s="497" t="s">
        <v>556</v>
      </c>
    </row>
    <row r="114" spans="1:22" x14ac:dyDescent="0.25">
      <c r="A114" s="497" t="s">
        <v>151</v>
      </c>
      <c r="B114" s="497" t="s">
        <v>154</v>
      </c>
      <c r="G114" s="497" t="s">
        <v>167</v>
      </c>
      <c r="H114" s="497" t="s">
        <v>165</v>
      </c>
      <c r="I114" s="497" t="s">
        <v>502</v>
      </c>
      <c r="J114" s="499">
        <v>38</v>
      </c>
      <c r="M114" s="497" t="s">
        <v>335</v>
      </c>
      <c r="N114" s="497" t="s">
        <v>336</v>
      </c>
      <c r="O114" s="497" t="s">
        <v>310</v>
      </c>
      <c r="P114" s="497" t="s">
        <v>310</v>
      </c>
      <c r="Q114" s="499">
        <v>136</v>
      </c>
      <c r="R114" s="499">
        <v>1116</v>
      </c>
      <c r="U114" s="497" t="s">
        <v>357</v>
      </c>
      <c r="V114" s="497" t="s">
        <v>556</v>
      </c>
    </row>
    <row r="115" spans="1:22" x14ac:dyDescent="0.25">
      <c r="A115" s="497" t="s">
        <v>151</v>
      </c>
      <c r="B115" s="497" t="s">
        <v>156</v>
      </c>
      <c r="G115" s="497" t="s">
        <v>828</v>
      </c>
      <c r="H115" s="497" t="s">
        <v>829</v>
      </c>
      <c r="I115" s="497" t="s">
        <v>502</v>
      </c>
      <c r="J115" s="499">
        <v>31</v>
      </c>
      <c r="M115" s="497" t="s">
        <v>352</v>
      </c>
      <c r="N115" s="497" t="s">
        <v>353</v>
      </c>
      <c r="O115" s="497" t="s">
        <v>310</v>
      </c>
      <c r="P115" s="497" t="s">
        <v>310</v>
      </c>
      <c r="Q115" s="499">
        <v>1345</v>
      </c>
      <c r="R115" s="499">
        <v>6811</v>
      </c>
      <c r="U115" s="497" t="s">
        <v>335</v>
      </c>
      <c r="V115" s="497" t="s">
        <v>556</v>
      </c>
    </row>
    <row r="116" spans="1:22" x14ac:dyDescent="0.25">
      <c r="A116" s="497" t="s">
        <v>151</v>
      </c>
      <c r="B116" s="497" t="s">
        <v>152</v>
      </c>
      <c r="G116" s="497" t="s">
        <v>176</v>
      </c>
      <c r="H116" s="497" t="s">
        <v>175</v>
      </c>
      <c r="I116" s="497" t="s">
        <v>502</v>
      </c>
      <c r="J116" s="499">
        <v>18</v>
      </c>
      <c r="M116" s="497" t="s">
        <v>314</v>
      </c>
      <c r="N116" s="497" t="s">
        <v>1271</v>
      </c>
      <c r="O116" s="497" t="s">
        <v>310</v>
      </c>
      <c r="P116" s="497" t="s">
        <v>310</v>
      </c>
      <c r="Q116" s="499">
        <v>0</v>
      </c>
      <c r="R116" s="499">
        <v>0</v>
      </c>
      <c r="U116" s="497" t="s">
        <v>352</v>
      </c>
      <c r="V116" s="497" t="s">
        <v>556</v>
      </c>
    </row>
    <row r="117" spans="1:22" x14ac:dyDescent="0.25">
      <c r="A117" s="497" t="s">
        <v>151</v>
      </c>
      <c r="B117" s="497" t="s">
        <v>296</v>
      </c>
      <c r="G117" s="497" t="s">
        <v>152</v>
      </c>
      <c r="H117" s="497" t="s">
        <v>150</v>
      </c>
      <c r="I117" s="497" t="s">
        <v>502</v>
      </c>
      <c r="J117" s="499">
        <v>221</v>
      </c>
      <c r="M117" s="497" t="s">
        <v>331</v>
      </c>
      <c r="N117" s="497" t="s">
        <v>332</v>
      </c>
      <c r="O117" s="497" t="s">
        <v>310</v>
      </c>
      <c r="P117" s="497" t="s">
        <v>310</v>
      </c>
      <c r="Q117" s="499">
        <v>0</v>
      </c>
      <c r="R117" s="499">
        <v>0</v>
      </c>
      <c r="U117" s="497" t="s">
        <v>314</v>
      </c>
      <c r="V117" s="497" t="s">
        <v>556</v>
      </c>
    </row>
    <row r="118" spans="1:22" x14ac:dyDescent="0.25">
      <c r="A118" s="497" t="s">
        <v>151</v>
      </c>
      <c r="B118" s="497" t="s">
        <v>520</v>
      </c>
      <c r="G118" s="497" t="s">
        <v>54</v>
      </c>
      <c r="H118" s="497" t="s">
        <v>53</v>
      </c>
      <c r="I118" s="497" t="s">
        <v>849</v>
      </c>
      <c r="J118" s="499">
        <v>0</v>
      </c>
      <c r="M118" s="497" t="s">
        <v>321</v>
      </c>
      <c r="N118" s="497" t="s">
        <v>322</v>
      </c>
      <c r="O118" s="497" t="s">
        <v>310</v>
      </c>
      <c r="P118" s="497" t="s">
        <v>310</v>
      </c>
      <c r="Q118" s="499">
        <v>609</v>
      </c>
      <c r="R118" s="499">
        <v>2627</v>
      </c>
      <c r="U118" s="497" t="s">
        <v>331</v>
      </c>
      <c r="V118" s="497" t="s">
        <v>556</v>
      </c>
    </row>
    <row r="119" spans="1:22" x14ac:dyDescent="0.25">
      <c r="A119" s="497" t="s">
        <v>151</v>
      </c>
      <c r="B119" s="497" t="s">
        <v>162</v>
      </c>
      <c r="G119" s="497" t="s">
        <v>66</v>
      </c>
      <c r="H119" s="497" t="s">
        <v>65</v>
      </c>
      <c r="I119" s="497" t="s">
        <v>849</v>
      </c>
      <c r="J119" s="499">
        <v>0</v>
      </c>
      <c r="M119" s="497" t="s">
        <v>345</v>
      </c>
      <c r="N119" s="497" t="s">
        <v>1266</v>
      </c>
      <c r="O119" s="497" t="s">
        <v>310</v>
      </c>
      <c r="P119" s="497" t="s">
        <v>310</v>
      </c>
      <c r="Q119" s="499">
        <v>191</v>
      </c>
      <c r="R119" s="499">
        <v>768</v>
      </c>
      <c r="U119" s="497" t="s">
        <v>321</v>
      </c>
      <c r="V119" s="497" t="s">
        <v>556</v>
      </c>
    </row>
    <row r="120" spans="1:22" x14ac:dyDescent="0.25">
      <c r="A120" s="497" t="s">
        <v>151</v>
      </c>
      <c r="B120" s="497" t="s">
        <v>871</v>
      </c>
      <c r="G120" s="497" t="s">
        <v>80</v>
      </c>
      <c r="H120" s="497" t="s">
        <v>79</v>
      </c>
      <c r="I120" s="497" t="s">
        <v>849</v>
      </c>
      <c r="J120" s="499">
        <v>0</v>
      </c>
      <c r="M120" s="497" t="s">
        <v>195</v>
      </c>
      <c r="N120" s="497" t="s">
        <v>196</v>
      </c>
      <c r="O120" s="497" t="s">
        <v>185</v>
      </c>
      <c r="P120" s="497" t="s">
        <v>185</v>
      </c>
      <c r="Q120" s="499">
        <v>1692</v>
      </c>
      <c r="R120" s="499">
        <v>8818</v>
      </c>
      <c r="U120" s="497" t="s">
        <v>345</v>
      </c>
      <c r="V120" s="497" t="s">
        <v>556</v>
      </c>
    </row>
    <row r="121" spans="1:22" x14ac:dyDescent="0.25">
      <c r="A121" s="497" t="s">
        <v>151</v>
      </c>
      <c r="B121" s="497" t="s">
        <v>872</v>
      </c>
      <c r="G121" s="497" t="s">
        <v>102</v>
      </c>
      <c r="H121" s="497" t="s">
        <v>101</v>
      </c>
      <c r="I121" s="497" t="s">
        <v>849</v>
      </c>
      <c r="J121" s="499">
        <v>0</v>
      </c>
      <c r="M121" s="497" t="s">
        <v>193</v>
      </c>
      <c r="N121" s="497" t="s">
        <v>194</v>
      </c>
      <c r="O121" s="497" t="s">
        <v>185</v>
      </c>
      <c r="P121" s="497" t="s">
        <v>185</v>
      </c>
      <c r="Q121" s="499">
        <v>613</v>
      </c>
      <c r="R121" s="499">
        <v>2969</v>
      </c>
      <c r="U121" s="497" t="s">
        <v>195</v>
      </c>
      <c r="V121" s="497" t="s">
        <v>556</v>
      </c>
    </row>
    <row r="122" spans="1:22" x14ac:dyDescent="0.25">
      <c r="A122" s="497" t="s">
        <v>151</v>
      </c>
      <c r="B122" s="497" t="s">
        <v>164</v>
      </c>
      <c r="G122" s="497" t="s">
        <v>106</v>
      </c>
      <c r="H122" s="497" t="s">
        <v>105</v>
      </c>
      <c r="I122" s="497" t="s">
        <v>849</v>
      </c>
      <c r="J122" s="499">
        <v>0</v>
      </c>
      <c r="M122" s="497" t="s">
        <v>191</v>
      </c>
      <c r="N122" s="497" t="s">
        <v>192</v>
      </c>
      <c r="O122" s="497" t="s">
        <v>185</v>
      </c>
      <c r="P122" s="497" t="s">
        <v>185</v>
      </c>
      <c r="Q122" s="499">
        <v>115</v>
      </c>
      <c r="R122" s="499">
        <v>596</v>
      </c>
      <c r="U122" s="497" t="s">
        <v>193</v>
      </c>
      <c r="V122" s="497" t="s">
        <v>556</v>
      </c>
    </row>
    <row r="123" spans="1:22" x14ac:dyDescent="0.25">
      <c r="A123" s="497" t="s">
        <v>151</v>
      </c>
      <c r="B123" s="497" t="s">
        <v>893</v>
      </c>
      <c r="G123" s="497" t="s">
        <v>116</v>
      </c>
      <c r="H123" s="497" t="s">
        <v>115</v>
      </c>
      <c r="I123" s="497" t="s">
        <v>849</v>
      </c>
      <c r="J123" s="499">
        <v>0</v>
      </c>
      <c r="M123" s="497" t="s">
        <v>218</v>
      </c>
      <c r="N123" s="497" t="s">
        <v>219</v>
      </c>
      <c r="O123" s="497" t="s">
        <v>185</v>
      </c>
      <c r="P123" s="497" t="s">
        <v>185</v>
      </c>
      <c r="Q123" s="499">
        <v>840</v>
      </c>
      <c r="R123" s="499">
        <v>3249</v>
      </c>
      <c r="U123" s="497" t="s">
        <v>191</v>
      </c>
      <c r="V123" s="497" t="s">
        <v>556</v>
      </c>
    </row>
    <row r="124" spans="1:22" x14ac:dyDescent="0.25">
      <c r="A124" s="497" t="s">
        <v>151</v>
      </c>
      <c r="B124" s="497" t="s">
        <v>949</v>
      </c>
      <c r="G124" s="497" t="s">
        <v>130</v>
      </c>
      <c r="H124" s="497" t="s">
        <v>129</v>
      </c>
      <c r="I124" s="497" t="s">
        <v>849</v>
      </c>
      <c r="J124" s="499">
        <v>0</v>
      </c>
      <c r="M124" s="497" t="s">
        <v>197</v>
      </c>
      <c r="N124" s="497" t="s">
        <v>198</v>
      </c>
      <c r="O124" s="497" t="s">
        <v>151</v>
      </c>
      <c r="P124" s="497" t="s">
        <v>151</v>
      </c>
      <c r="Q124" s="499">
        <v>541</v>
      </c>
      <c r="R124" s="499">
        <v>2607</v>
      </c>
      <c r="U124" s="497" t="s">
        <v>218</v>
      </c>
      <c r="V124" s="497" t="s">
        <v>556</v>
      </c>
    </row>
    <row r="125" spans="1:22" x14ac:dyDescent="0.25">
      <c r="A125" s="497" t="s">
        <v>151</v>
      </c>
      <c r="B125" s="497" t="s">
        <v>1041</v>
      </c>
      <c r="G125" s="497" t="s">
        <v>138</v>
      </c>
      <c r="H125" s="497" t="s">
        <v>137</v>
      </c>
      <c r="I125" s="497" t="s">
        <v>849</v>
      </c>
      <c r="J125" s="499">
        <v>0</v>
      </c>
      <c r="M125" s="497" t="s">
        <v>187</v>
      </c>
      <c r="N125" s="497" t="s">
        <v>188</v>
      </c>
      <c r="O125" s="497" t="s">
        <v>151</v>
      </c>
      <c r="P125" s="497" t="s">
        <v>151</v>
      </c>
      <c r="Q125" s="499">
        <v>174</v>
      </c>
      <c r="R125" s="499">
        <v>1185</v>
      </c>
      <c r="U125" s="497" t="s">
        <v>197</v>
      </c>
      <c r="V125" s="497" t="s">
        <v>556</v>
      </c>
    </row>
    <row r="126" spans="1:22" x14ac:dyDescent="0.25">
      <c r="A126" s="497" t="s">
        <v>151</v>
      </c>
      <c r="B126" s="497" t="s">
        <v>1068</v>
      </c>
      <c r="G126" s="497" t="s">
        <v>263</v>
      </c>
      <c r="H126" s="497" t="s">
        <v>262</v>
      </c>
      <c r="I126" s="497" t="s">
        <v>502</v>
      </c>
      <c r="J126" s="499">
        <v>22</v>
      </c>
      <c r="M126" s="497" t="s">
        <v>214</v>
      </c>
      <c r="N126" s="497" t="s">
        <v>215</v>
      </c>
      <c r="O126" s="497" t="s">
        <v>185</v>
      </c>
      <c r="P126" s="497" t="s">
        <v>185</v>
      </c>
      <c r="Q126" s="499">
        <v>412</v>
      </c>
      <c r="R126" s="499">
        <v>1700</v>
      </c>
      <c r="U126" s="497" t="s">
        <v>187</v>
      </c>
      <c r="V126" s="497" t="s">
        <v>556</v>
      </c>
    </row>
    <row r="127" spans="1:22" x14ac:dyDescent="0.25">
      <c r="A127" s="497" t="s">
        <v>151</v>
      </c>
      <c r="B127" s="497" t="s">
        <v>1102</v>
      </c>
      <c r="G127" s="497" t="s">
        <v>265</v>
      </c>
      <c r="H127" s="497" t="s">
        <v>264</v>
      </c>
      <c r="I127" s="497" t="s">
        <v>502</v>
      </c>
      <c r="J127" s="499">
        <v>14</v>
      </c>
      <c r="M127" s="497" t="s">
        <v>153</v>
      </c>
      <c r="N127" s="497" t="s">
        <v>154</v>
      </c>
      <c r="O127" s="497" t="s">
        <v>151</v>
      </c>
      <c r="P127" s="497" t="s">
        <v>151</v>
      </c>
      <c r="Q127" s="499">
        <v>486</v>
      </c>
      <c r="R127" s="499">
        <v>2371</v>
      </c>
      <c r="U127" s="497" t="s">
        <v>214</v>
      </c>
      <c r="V127" s="497" t="s">
        <v>556</v>
      </c>
    </row>
    <row r="128" spans="1:22" x14ac:dyDescent="0.25">
      <c r="A128" s="497" t="s">
        <v>166</v>
      </c>
      <c r="B128" s="497" t="s">
        <v>167</v>
      </c>
      <c r="G128" s="497" t="s">
        <v>136</v>
      </c>
      <c r="H128" s="497" t="s">
        <v>135</v>
      </c>
      <c r="I128" s="497" t="s">
        <v>849</v>
      </c>
      <c r="J128" s="499">
        <v>0</v>
      </c>
      <c r="M128" s="497" t="s">
        <v>159</v>
      </c>
      <c r="N128" s="497" t="s">
        <v>160</v>
      </c>
      <c r="O128" s="497" t="s">
        <v>151</v>
      </c>
      <c r="P128" s="497" t="s">
        <v>151</v>
      </c>
      <c r="Q128" s="499">
        <v>114</v>
      </c>
      <c r="R128" s="499">
        <v>524</v>
      </c>
      <c r="U128" s="497" t="s">
        <v>153</v>
      </c>
      <c r="V128" s="497" t="s">
        <v>556</v>
      </c>
    </row>
    <row r="129" spans="1:22" x14ac:dyDescent="0.25">
      <c r="A129" s="497" t="s">
        <v>166</v>
      </c>
      <c r="B129" s="497" t="s">
        <v>828</v>
      </c>
      <c r="G129" s="497" t="s">
        <v>68</v>
      </c>
      <c r="H129" s="497" t="s">
        <v>67</v>
      </c>
      <c r="I129" s="497" t="s">
        <v>849</v>
      </c>
      <c r="J129" s="499">
        <v>0</v>
      </c>
      <c r="M129" s="497" t="s">
        <v>155</v>
      </c>
      <c r="N129" s="497" t="s">
        <v>156</v>
      </c>
      <c r="O129" s="497" t="s">
        <v>151</v>
      </c>
      <c r="P129" s="497" t="s">
        <v>151</v>
      </c>
      <c r="Q129" s="499">
        <v>205</v>
      </c>
      <c r="R129" s="499">
        <v>1043</v>
      </c>
      <c r="U129" s="497" t="s">
        <v>159</v>
      </c>
      <c r="V129" s="497" t="s">
        <v>556</v>
      </c>
    </row>
    <row r="130" spans="1:22" x14ac:dyDescent="0.25">
      <c r="A130" s="497" t="s">
        <v>173</v>
      </c>
      <c r="B130" s="497" t="s">
        <v>174</v>
      </c>
      <c r="G130" s="497" t="s">
        <v>84</v>
      </c>
      <c r="H130" s="497" t="s">
        <v>83</v>
      </c>
      <c r="I130" s="497" t="s">
        <v>849</v>
      </c>
      <c r="J130" s="499">
        <v>0</v>
      </c>
      <c r="M130" s="497" t="s">
        <v>157</v>
      </c>
      <c r="N130" s="497" t="s">
        <v>158</v>
      </c>
      <c r="O130" s="497" t="s">
        <v>151</v>
      </c>
      <c r="P130" s="497" t="s">
        <v>151</v>
      </c>
      <c r="Q130" s="499">
        <v>0</v>
      </c>
      <c r="R130" s="499">
        <v>0</v>
      </c>
      <c r="U130" s="497" t="s">
        <v>155</v>
      </c>
      <c r="V130" s="497" t="s">
        <v>12</v>
      </c>
    </row>
    <row r="131" spans="1:22" x14ac:dyDescent="0.25">
      <c r="A131" s="497" t="s">
        <v>173</v>
      </c>
      <c r="B131" s="497" t="s">
        <v>176</v>
      </c>
      <c r="G131" s="497" t="s">
        <v>86</v>
      </c>
      <c r="H131" s="497" t="s">
        <v>85</v>
      </c>
      <c r="I131" s="497" t="s">
        <v>849</v>
      </c>
      <c r="J131" s="499">
        <v>0</v>
      </c>
      <c r="M131" s="497" t="s">
        <v>161</v>
      </c>
      <c r="N131" s="497" t="s">
        <v>162</v>
      </c>
      <c r="O131" s="497" t="s">
        <v>151</v>
      </c>
      <c r="P131" s="497" t="s">
        <v>151</v>
      </c>
      <c r="Q131" s="499">
        <v>0</v>
      </c>
      <c r="R131" s="499">
        <v>0</v>
      </c>
      <c r="U131" s="497" t="s">
        <v>157</v>
      </c>
      <c r="V131" s="497" t="s">
        <v>556</v>
      </c>
    </row>
    <row r="132" spans="1:22" x14ac:dyDescent="0.25">
      <c r="A132" s="497" t="s">
        <v>173</v>
      </c>
      <c r="B132" s="497" t="s">
        <v>178</v>
      </c>
      <c r="G132" s="497" t="s">
        <v>100</v>
      </c>
      <c r="H132" s="497" t="s">
        <v>99</v>
      </c>
      <c r="I132" s="497" t="s">
        <v>502</v>
      </c>
      <c r="J132" s="499">
        <v>5</v>
      </c>
      <c r="M132" s="497" t="s">
        <v>163</v>
      </c>
      <c r="N132" s="497" t="s">
        <v>164</v>
      </c>
      <c r="O132" s="497" t="s">
        <v>151</v>
      </c>
      <c r="P132" s="497" t="s">
        <v>151</v>
      </c>
      <c r="Q132" s="499">
        <v>0</v>
      </c>
      <c r="R132" s="499">
        <v>0</v>
      </c>
      <c r="U132" s="497" t="s">
        <v>161</v>
      </c>
      <c r="V132" s="497" t="s">
        <v>556</v>
      </c>
    </row>
    <row r="133" spans="1:22" x14ac:dyDescent="0.25">
      <c r="A133" s="497" t="s">
        <v>173</v>
      </c>
      <c r="B133" s="497" t="s">
        <v>1312</v>
      </c>
      <c r="G133" s="497" t="s">
        <v>104</v>
      </c>
      <c r="H133" s="497" t="s">
        <v>103</v>
      </c>
      <c r="I133" s="497" t="s">
        <v>849</v>
      </c>
      <c r="J133" s="499">
        <v>0</v>
      </c>
      <c r="M133" s="497" t="s">
        <v>362</v>
      </c>
      <c r="N133" s="497" t="s">
        <v>35</v>
      </c>
      <c r="O133" s="497" t="s">
        <v>363</v>
      </c>
      <c r="P133" s="497" t="s">
        <v>363</v>
      </c>
      <c r="Q133" s="499">
        <v>0</v>
      </c>
      <c r="R133" s="499">
        <v>0</v>
      </c>
      <c r="U133" s="497" t="s">
        <v>163</v>
      </c>
      <c r="V133" s="497" t="s">
        <v>556</v>
      </c>
    </row>
    <row r="134" spans="1:22" x14ac:dyDescent="0.25">
      <c r="A134" s="497" t="s">
        <v>173</v>
      </c>
      <c r="B134" s="497" t="s">
        <v>1311</v>
      </c>
      <c r="G134" s="497" t="s">
        <v>98</v>
      </c>
      <c r="H134" s="497" t="s">
        <v>97</v>
      </c>
      <c r="I134" s="497" t="s">
        <v>849</v>
      </c>
      <c r="J134" s="499">
        <v>0</v>
      </c>
      <c r="M134" s="497" t="s">
        <v>303</v>
      </c>
      <c r="N134" s="497" t="s">
        <v>304</v>
      </c>
      <c r="O134" s="497" t="s">
        <v>1204</v>
      </c>
      <c r="P134" s="497" t="s">
        <v>302</v>
      </c>
      <c r="Q134" s="499">
        <v>375</v>
      </c>
      <c r="R134" s="499">
        <v>1691</v>
      </c>
      <c r="U134" s="497" t="s">
        <v>362</v>
      </c>
      <c r="V134" s="497" t="s">
        <v>556</v>
      </c>
    </row>
    <row r="135" spans="1:22" x14ac:dyDescent="0.25">
      <c r="A135" s="497" t="s">
        <v>173</v>
      </c>
      <c r="B135" s="497" t="s">
        <v>1302</v>
      </c>
      <c r="G135" s="497" t="s">
        <v>368</v>
      </c>
      <c r="H135" s="497" t="s">
        <v>385</v>
      </c>
      <c r="I135" s="497" t="s">
        <v>502</v>
      </c>
      <c r="J135" s="499">
        <v>79</v>
      </c>
      <c r="M135" s="497" t="s">
        <v>87</v>
      </c>
      <c r="N135" s="497" t="s">
        <v>88</v>
      </c>
      <c r="O135" s="497" t="s">
        <v>529</v>
      </c>
      <c r="P135" s="497" t="s">
        <v>529</v>
      </c>
      <c r="Q135" s="499">
        <v>12</v>
      </c>
      <c r="R135" s="499">
        <v>52</v>
      </c>
      <c r="U135" s="497" t="s">
        <v>303</v>
      </c>
      <c r="V135" s="497" t="s">
        <v>12</v>
      </c>
    </row>
    <row r="136" spans="1:22" x14ac:dyDescent="0.25">
      <c r="A136" s="497" t="s">
        <v>180</v>
      </c>
      <c r="B136" s="497" t="s">
        <v>183</v>
      </c>
      <c r="G136" s="497" t="s">
        <v>1173</v>
      </c>
      <c r="H136" s="497" t="s">
        <v>1175</v>
      </c>
      <c r="I136" s="497" t="s">
        <v>502</v>
      </c>
      <c r="J136" s="499">
        <v>18</v>
      </c>
      <c r="M136" s="497" t="s">
        <v>339</v>
      </c>
      <c r="N136" s="497" t="s">
        <v>340</v>
      </c>
      <c r="O136" s="497" t="s">
        <v>310</v>
      </c>
      <c r="P136" s="497" t="s">
        <v>310</v>
      </c>
      <c r="Q136" s="499">
        <v>355</v>
      </c>
      <c r="R136" s="499">
        <v>4450</v>
      </c>
      <c r="U136" s="497" t="s">
        <v>87</v>
      </c>
      <c r="V136" s="497" t="s">
        <v>556</v>
      </c>
    </row>
    <row r="137" spans="1:22" x14ac:dyDescent="0.25">
      <c r="A137" s="497" t="s">
        <v>180</v>
      </c>
      <c r="B137" s="497" t="s">
        <v>287</v>
      </c>
      <c r="G137" s="497" t="s">
        <v>1269</v>
      </c>
      <c r="H137" s="497" t="s">
        <v>359</v>
      </c>
      <c r="I137" s="497" t="s">
        <v>849</v>
      </c>
      <c r="J137" s="499">
        <v>0</v>
      </c>
      <c r="M137" s="497" t="s">
        <v>286</v>
      </c>
      <c r="N137" s="497" t="s">
        <v>287</v>
      </c>
      <c r="O137" s="497" t="s">
        <v>1204</v>
      </c>
      <c r="P137" s="497" t="s">
        <v>180</v>
      </c>
      <c r="Q137" s="499">
        <v>18</v>
      </c>
      <c r="R137" s="499">
        <v>141</v>
      </c>
      <c r="U137" s="497" t="s">
        <v>339</v>
      </c>
      <c r="V137" s="497" t="s">
        <v>1258</v>
      </c>
    </row>
    <row r="138" spans="1:22" x14ac:dyDescent="0.25">
      <c r="A138" s="497" t="s">
        <v>180</v>
      </c>
      <c r="B138" s="497" t="s">
        <v>181</v>
      </c>
      <c r="G138" s="497" t="s">
        <v>209</v>
      </c>
      <c r="H138" s="497" t="s">
        <v>208</v>
      </c>
      <c r="I138" s="497" t="s">
        <v>502</v>
      </c>
      <c r="J138" s="499">
        <v>207</v>
      </c>
      <c r="M138" s="497" t="s">
        <v>9</v>
      </c>
      <c r="N138" s="497" t="s">
        <v>10</v>
      </c>
      <c r="O138" s="497" t="s">
        <v>5</v>
      </c>
      <c r="P138" s="497" t="s">
        <v>5</v>
      </c>
      <c r="Q138" s="499">
        <v>0</v>
      </c>
      <c r="R138" s="499">
        <v>0</v>
      </c>
      <c r="U138" s="497" t="s">
        <v>286</v>
      </c>
      <c r="V138" s="497" t="s">
        <v>556</v>
      </c>
    </row>
    <row r="139" spans="1:22" x14ac:dyDescent="0.25">
      <c r="A139" s="497" t="s">
        <v>180</v>
      </c>
      <c r="B139" s="497" t="s">
        <v>1172</v>
      </c>
      <c r="G139" s="497" t="s">
        <v>211</v>
      </c>
      <c r="H139" s="497" t="s">
        <v>210</v>
      </c>
      <c r="I139" s="497" t="s">
        <v>849</v>
      </c>
      <c r="J139" s="499"/>
      <c r="M139" s="497" t="s">
        <v>354</v>
      </c>
      <c r="N139" s="497" t="s">
        <v>355</v>
      </c>
      <c r="O139" s="497" t="s">
        <v>310</v>
      </c>
      <c r="P139" s="497" t="s">
        <v>310</v>
      </c>
      <c r="Q139" s="499">
        <v>108</v>
      </c>
      <c r="R139" s="499">
        <v>647</v>
      </c>
      <c r="U139" s="497" t="s">
        <v>9</v>
      </c>
      <c r="V139" s="497" t="s">
        <v>12</v>
      </c>
    </row>
    <row r="140" spans="1:22" x14ac:dyDescent="0.25">
      <c r="A140" s="497" t="s">
        <v>180</v>
      </c>
      <c r="B140" s="497" t="s">
        <v>1173</v>
      </c>
      <c r="G140" s="497" t="s">
        <v>233</v>
      </c>
      <c r="H140" s="497" t="s">
        <v>232</v>
      </c>
      <c r="I140" s="497" t="s">
        <v>502</v>
      </c>
      <c r="J140" s="499">
        <v>9</v>
      </c>
      <c r="M140" s="497" t="s">
        <v>272</v>
      </c>
      <c r="N140" s="497" t="s">
        <v>273</v>
      </c>
      <c r="O140" s="497" t="s">
        <v>237</v>
      </c>
      <c r="P140" s="497" t="s">
        <v>237</v>
      </c>
      <c r="Q140" s="499">
        <v>57</v>
      </c>
      <c r="R140" s="499">
        <v>292</v>
      </c>
      <c r="U140" s="497" t="s">
        <v>354</v>
      </c>
      <c r="V140" s="497" t="s">
        <v>556</v>
      </c>
    </row>
    <row r="141" spans="1:22" x14ac:dyDescent="0.25">
      <c r="A141" s="497" t="s">
        <v>185</v>
      </c>
      <c r="B141" s="497" t="s">
        <v>192</v>
      </c>
      <c r="G141" s="497" t="s">
        <v>235</v>
      </c>
      <c r="H141" s="497" t="s">
        <v>234</v>
      </c>
      <c r="I141" s="497" t="s">
        <v>502</v>
      </c>
      <c r="J141" s="499">
        <v>123</v>
      </c>
      <c r="M141" s="497" t="s">
        <v>11</v>
      </c>
      <c r="N141" s="497" t="s">
        <v>12</v>
      </c>
      <c r="O141" s="497" t="s">
        <v>5</v>
      </c>
      <c r="P141" s="497" t="s">
        <v>5</v>
      </c>
      <c r="Q141" s="499">
        <v>211</v>
      </c>
      <c r="R141" s="499">
        <v>989</v>
      </c>
      <c r="U141" s="497" t="s">
        <v>272</v>
      </c>
      <c r="V141" s="497" t="s">
        <v>556</v>
      </c>
    </row>
    <row r="142" spans="1:22" x14ac:dyDescent="0.25">
      <c r="A142" s="497" t="s">
        <v>185</v>
      </c>
      <c r="B142" s="497" t="s">
        <v>12</v>
      </c>
      <c r="G142" s="497" t="s">
        <v>296</v>
      </c>
      <c r="H142" s="497" t="s">
        <v>389</v>
      </c>
      <c r="I142" s="497" t="s">
        <v>849</v>
      </c>
      <c r="J142" s="499">
        <v>0</v>
      </c>
      <c r="M142" s="497" t="s">
        <v>91</v>
      </c>
      <c r="N142" s="497" t="s">
        <v>92</v>
      </c>
      <c r="O142" s="497" t="s">
        <v>529</v>
      </c>
      <c r="P142" s="497" t="s">
        <v>529</v>
      </c>
      <c r="Q142" s="499">
        <v>15</v>
      </c>
      <c r="R142" s="499">
        <v>74</v>
      </c>
      <c r="U142" s="497" t="s">
        <v>11</v>
      </c>
      <c r="V142" s="497" t="s">
        <v>12</v>
      </c>
    </row>
    <row r="143" spans="1:22" x14ac:dyDescent="0.25">
      <c r="A143" s="497" t="s">
        <v>185</v>
      </c>
      <c r="B143" s="497" t="s">
        <v>194</v>
      </c>
      <c r="G143" s="497" t="s">
        <v>520</v>
      </c>
      <c r="H143" s="497" t="s">
        <v>521</v>
      </c>
      <c r="I143" s="497" t="s">
        <v>849</v>
      </c>
      <c r="J143" s="499">
        <v>0</v>
      </c>
      <c r="M143" s="497" t="s">
        <v>119</v>
      </c>
      <c r="N143" s="497" t="s">
        <v>120</v>
      </c>
      <c r="O143" s="497" t="s">
        <v>529</v>
      </c>
      <c r="P143" s="497" t="s">
        <v>529</v>
      </c>
      <c r="Q143" s="499">
        <v>75</v>
      </c>
      <c r="R143" s="499">
        <v>404</v>
      </c>
      <c r="U143" s="497" t="s">
        <v>91</v>
      </c>
      <c r="V143" s="497" t="s">
        <v>556</v>
      </c>
    </row>
    <row r="144" spans="1:22" x14ac:dyDescent="0.25">
      <c r="A144" s="497" t="s">
        <v>185</v>
      </c>
      <c r="B144" s="497" t="s">
        <v>196</v>
      </c>
      <c r="G144" s="497" t="s">
        <v>371</v>
      </c>
      <c r="H144" s="497" t="s">
        <v>147</v>
      </c>
      <c r="I144" s="497" t="s">
        <v>502</v>
      </c>
      <c r="J144" s="499">
        <v>51</v>
      </c>
      <c r="M144" s="497" t="s">
        <v>51</v>
      </c>
      <c r="N144" s="497" t="s">
        <v>52</v>
      </c>
      <c r="O144" s="497" t="s">
        <v>529</v>
      </c>
      <c r="P144" s="497" t="s">
        <v>529</v>
      </c>
      <c r="Q144" s="499">
        <v>35</v>
      </c>
      <c r="R144" s="499">
        <v>214</v>
      </c>
      <c r="U144" s="497" t="s">
        <v>119</v>
      </c>
      <c r="V144" s="497" t="s">
        <v>556</v>
      </c>
    </row>
    <row r="145" spans="1:22" x14ac:dyDescent="0.25">
      <c r="A145" s="497" t="s">
        <v>185</v>
      </c>
      <c r="B145" s="497" t="s">
        <v>523</v>
      </c>
      <c r="G145" s="497" t="s">
        <v>1111</v>
      </c>
      <c r="H145" s="497" t="s">
        <v>1110</v>
      </c>
      <c r="I145" s="497" t="s">
        <v>502</v>
      </c>
      <c r="J145" s="499">
        <v>21</v>
      </c>
      <c r="M145" s="497" t="s">
        <v>47</v>
      </c>
      <c r="N145" s="497" t="s">
        <v>48</v>
      </c>
      <c r="O145" s="497" t="s">
        <v>529</v>
      </c>
      <c r="P145" s="497" t="s">
        <v>529</v>
      </c>
      <c r="Q145" s="499">
        <v>0</v>
      </c>
      <c r="R145" s="499">
        <v>0</v>
      </c>
      <c r="U145" s="497" t="s">
        <v>51</v>
      </c>
      <c r="V145" s="497" t="s">
        <v>556</v>
      </c>
    </row>
    <row r="146" spans="1:22" x14ac:dyDescent="0.25">
      <c r="A146" s="497" t="s">
        <v>185</v>
      </c>
      <c r="B146" s="497" t="s">
        <v>186</v>
      </c>
      <c r="G146" s="497" t="s">
        <v>367</v>
      </c>
      <c r="H146" s="497" t="s">
        <v>386</v>
      </c>
      <c r="I146" s="497" t="s">
        <v>849</v>
      </c>
      <c r="J146" s="499">
        <v>0</v>
      </c>
      <c r="M146" s="497" t="s">
        <v>127</v>
      </c>
      <c r="N146" s="497" t="s">
        <v>128</v>
      </c>
      <c r="O146" s="497" t="s">
        <v>529</v>
      </c>
      <c r="P146" s="497" t="s">
        <v>529</v>
      </c>
      <c r="Q146" s="499">
        <v>0</v>
      </c>
      <c r="R146" s="499">
        <v>0</v>
      </c>
      <c r="U146" s="497" t="s">
        <v>47</v>
      </c>
      <c r="V146" s="497" t="s">
        <v>556</v>
      </c>
    </row>
    <row r="147" spans="1:22" x14ac:dyDescent="0.25">
      <c r="A147" s="497" t="s">
        <v>185</v>
      </c>
      <c r="B147" s="497" t="s">
        <v>223</v>
      </c>
      <c r="G147" s="497" t="s">
        <v>142</v>
      </c>
      <c r="H147" s="497" t="s">
        <v>141</v>
      </c>
      <c r="I147" s="497" t="s">
        <v>849</v>
      </c>
      <c r="J147" s="499">
        <v>0</v>
      </c>
      <c r="M147" s="497" t="s">
        <v>59</v>
      </c>
      <c r="N147" s="497" t="s">
        <v>60</v>
      </c>
      <c r="O147" s="497" t="s">
        <v>529</v>
      </c>
      <c r="P147" s="497" t="s">
        <v>529</v>
      </c>
      <c r="Q147" s="499">
        <v>0</v>
      </c>
      <c r="R147" s="499">
        <v>0</v>
      </c>
      <c r="U147" s="497" t="s">
        <v>127</v>
      </c>
      <c r="V147" s="497" t="s">
        <v>556</v>
      </c>
    </row>
    <row r="148" spans="1:22" x14ac:dyDescent="0.25">
      <c r="A148" s="497" t="s">
        <v>185</v>
      </c>
      <c r="B148" s="497" t="s">
        <v>190</v>
      </c>
      <c r="G148" s="497" t="s">
        <v>1060</v>
      </c>
      <c r="H148" s="497" t="s">
        <v>1061</v>
      </c>
      <c r="I148" s="497" t="s">
        <v>502</v>
      </c>
      <c r="J148" s="499">
        <v>55</v>
      </c>
      <c r="M148" s="497" t="s">
        <v>38</v>
      </c>
      <c r="N148" s="497" t="s">
        <v>39</v>
      </c>
      <c r="O148" s="497" t="s">
        <v>529</v>
      </c>
      <c r="P148" s="497" t="s">
        <v>529</v>
      </c>
      <c r="Q148" s="499">
        <v>0</v>
      </c>
      <c r="R148" s="499">
        <v>0</v>
      </c>
      <c r="U148" s="497" t="s">
        <v>59</v>
      </c>
      <c r="V148" s="497" t="s">
        <v>556</v>
      </c>
    </row>
    <row r="149" spans="1:22" x14ac:dyDescent="0.25">
      <c r="A149" s="497" t="s">
        <v>185</v>
      </c>
      <c r="B149" s="497" t="s">
        <v>200</v>
      </c>
      <c r="G149" s="497" t="s">
        <v>1070</v>
      </c>
      <c r="H149" s="497" t="s">
        <v>1071</v>
      </c>
      <c r="I149" s="497" t="s">
        <v>502</v>
      </c>
      <c r="J149" s="499">
        <v>30</v>
      </c>
      <c r="M149" s="497" t="s">
        <v>75</v>
      </c>
      <c r="N149" s="497" t="s">
        <v>76</v>
      </c>
      <c r="O149" s="497" t="s">
        <v>529</v>
      </c>
      <c r="P149" s="497" t="s">
        <v>529</v>
      </c>
      <c r="Q149" s="499">
        <v>65</v>
      </c>
      <c r="R149" s="499">
        <v>347</v>
      </c>
      <c r="U149" s="497" t="s">
        <v>38</v>
      </c>
      <c r="V149" s="497" t="s">
        <v>556</v>
      </c>
    </row>
    <row r="150" spans="1:22" x14ac:dyDescent="0.25">
      <c r="A150" s="497" t="s">
        <v>185</v>
      </c>
      <c r="B150" s="497" t="s">
        <v>202</v>
      </c>
      <c r="G150" s="497" t="s">
        <v>8</v>
      </c>
      <c r="H150" s="497" t="s">
        <v>7</v>
      </c>
      <c r="I150" s="497" t="s">
        <v>502</v>
      </c>
      <c r="J150" s="499">
        <v>23</v>
      </c>
      <c r="M150" s="497" t="s">
        <v>73</v>
      </c>
      <c r="N150" s="497" t="s">
        <v>74</v>
      </c>
      <c r="O150" s="497" t="s">
        <v>529</v>
      </c>
      <c r="P150" s="497" t="s">
        <v>529</v>
      </c>
      <c r="Q150" s="499">
        <v>0</v>
      </c>
      <c r="R150" s="499">
        <v>0</v>
      </c>
      <c r="U150" s="497" t="s">
        <v>75</v>
      </c>
      <c r="V150" s="497" t="s">
        <v>556</v>
      </c>
    </row>
    <row r="151" spans="1:22" x14ac:dyDescent="0.25">
      <c r="A151" s="497" t="s">
        <v>185</v>
      </c>
      <c r="B151" s="497" t="s">
        <v>204</v>
      </c>
      <c r="G151" s="497" t="s">
        <v>267</v>
      </c>
      <c r="H151" s="497" t="s">
        <v>266</v>
      </c>
      <c r="I151" s="497" t="s">
        <v>849</v>
      </c>
      <c r="J151" s="499">
        <v>0</v>
      </c>
      <c r="M151" s="497" t="s">
        <v>40</v>
      </c>
      <c r="N151" s="497" t="s">
        <v>41</v>
      </c>
      <c r="O151" s="497" t="s">
        <v>529</v>
      </c>
      <c r="P151" s="497" t="s">
        <v>529</v>
      </c>
      <c r="Q151" s="499">
        <v>67</v>
      </c>
      <c r="R151" s="499">
        <v>350</v>
      </c>
      <c r="U151" s="497" t="s">
        <v>73</v>
      </c>
      <c r="V151" s="497" t="s">
        <v>556</v>
      </c>
    </row>
    <row r="152" spans="1:22" x14ac:dyDescent="0.25">
      <c r="A152" s="497" t="s">
        <v>185</v>
      </c>
      <c r="B152" s="497" t="s">
        <v>205</v>
      </c>
      <c r="G152" s="497" t="s">
        <v>213</v>
      </c>
      <c r="H152" s="497" t="s">
        <v>212</v>
      </c>
      <c r="I152" s="497" t="s">
        <v>502</v>
      </c>
      <c r="J152" s="499">
        <v>13</v>
      </c>
      <c r="M152" s="497" t="s">
        <v>141</v>
      </c>
      <c r="N152" s="497" t="s">
        <v>142</v>
      </c>
      <c r="O152" s="497" t="s">
        <v>529</v>
      </c>
      <c r="P152" s="497" t="s">
        <v>529</v>
      </c>
      <c r="Q152" s="499">
        <v>0</v>
      </c>
      <c r="R152" s="499">
        <v>0</v>
      </c>
      <c r="U152" s="497" t="s">
        <v>40</v>
      </c>
      <c r="V152" s="497" t="s">
        <v>556</v>
      </c>
    </row>
    <row r="153" spans="1:22" x14ac:dyDescent="0.25">
      <c r="A153" s="497" t="s">
        <v>185</v>
      </c>
      <c r="B153" s="497" t="s">
        <v>207</v>
      </c>
      <c r="G153" s="497" t="s">
        <v>162</v>
      </c>
      <c r="H153" s="497" t="s">
        <v>161</v>
      </c>
      <c r="I153" s="497" t="s">
        <v>849</v>
      </c>
      <c r="J153" s="499">
        <v>0</v>
      </c>
      <c r="M153" s="497" t="s">
        <v>97</v>
      </c>
      <c r="N153" s="497" t="s">
        <v>98</v>
      </c>
      <c r="O153" s="497" t="s">
        <v>529</v>
      </c>
      <c r="P153" s="497" t="s">
        <v>529</v>
      </c>
      <c r="Q153" s="499">
        <v>0</v>
      </c>
      <c r="R153" s="499">
        <v>0</v>
      </c>
      <c r="U153" s="497" t="s">
        <v>141</v>
      </c>
      <c r="V153" s="497" t="s">
        <v>556</v>
      </c>
    </row>
    <row r="154" spans="1:22" x14ac:dyDescent="0.25">
      <c r="A154" s="497" t="s">
        <v>185</v>
      </c>
      <c r="B154" s="497" t="s">
        <v>209</v>
      </c>
      <c r="G154" s="497" t="s">
        <v>292</v>
      </c>
      <c r="H154" s="497" t="s">
        <v>291</v>
      </c>
      <c r="I154" s="497" t="s">
        <v>502</v>
      </c>
      <c r="J154" s="499">
        <v>82</v>
      </c>
      <c r="M154" s="497" t="s">
        <v>61</v>
      </c>
      <c r="N154" s="497" t="s">
        <v>62</v>
      </c>
      <c r="O154" s="497" t="s">
        <v>529</v>
      </c>
      <c r="P154" s="497" t="s">
        <v>529</v>
      </c>
      <c r="Q154" s="499">
        <v>76</v>
      </c>
      <c r="R154" s="499">
        <v>344</v>
      </c>
      <c r="U154" s="497" t="s">
        <v>97</v>
      </c>
      <c r="V154" s="497" t="s">
        <v>556</v>
      </c>
    </row>
    <row r="155" spans="1:22" x14ac:dyDescent="0.25">
      <c r="A155" s="497" t="s">
        <v>185</v>
      </c>
      <c r="B155" s="497" t="s">
        <v>211</v>
      </c>
      <c r="G155" s="497" t="s">
        <v>290</v>
      </c>
      <c r="H155" s="497" t="s">
        <v>288</v>
      </c>
      <c r="I155" s="497" t="s">
        <v>502</v>
      </c>
      <c r="J155" s="499">
        <v>68</v>
      </c>
      <c r="M155" s="497" t="s">
        <v>77</v>
      </c>
      <c r="N155" s="497" t="s">
        <v>78</v>
      </c>
      <c r="O155" s="497" t="s">
        <v>529</v>
      </c>
      <c r="P155" s="497" t="s">
        <v>529</v>
      </c>
      <c r="Q155" s="499">
        <v>0</v>
      </c>
      <c r="R155" s="499">
        <v>0</v>
      </c>
      <c r="U155" s="497" t="s">
        <v>61</v>
      </c>
      <c r="V155" s="497" t="s">
        <v>556</v>
      </c>
    </row>
    <row r="156" spans="1:22" x14ac:dyDescent="0.25">
      <c r="A156" s="497" t="s">
        <v>185</v>
      </c>
      <c r="B156" s="497" t="s">
        <v>213</v>
      </c>
      <c r="G156" s="497" t="s">
        <v>1062</v>
      </c>
      <c r="H156" s="497" t="s">
        <v>1063</v>
      </c>
      <c r="I156" s="497" t="s">
        <v>502</v>
      </c>
      <c r="J156" s="499">
        <v>41</v>
      </c>
      <c r="M156" s="497" t="s">
        <v>89</v>
      </c>
      <c r="N156" s="497" t="s">
        <v>90</v>
      </c>
      <c r="O156" s="497" t="s">
        <v>529</v>
      </c>
      <c r="P156" s="497" t="s">
        <v>529</v>
      </c>
      <c r="Q156" s="499">
        <v>25</v>
      </c>
      <c r="R156" s="499">
        <v>133</v>
      </c>
      <c r="U156" s="497" t="s">
        <v>77</v>
      </c>
      <c r="V156" s="497" t="s">
        <v>556</v>
      </c>
    </row>
    <row r="157" spans="1:22" x14ac:dyDescent="0.25">
      <c r="A157" s="497" t="s">
        <v>185</v>
      </c>
      <c r="B157" s="497" t="s">
        <v>215</v>
      </c>
      <c r="G157" s="497" t="s">
        <v>374</v>
      </c>
      <c r="H157" s="497" t="s">
        <v>295</v>
      </c>
      <c r="I157" s="497" t="s">
        <v>502</v>
      </c>
      <c r="J157" s="499">
        <v>50</v>
      </c>
      <c r="M157" s="497" t="s">
        <v>117</v>
      </c>
      <c r="N157" s="497" t="s">
        <v>118</v>
      </c>
      <c r="O157" s="497" t="s">
        <v>529</v>
      </c>
      <c r="P157" s="497" t="s">
        <v>529</v>
      </c>
      <c r="Q157" s="499">
        <v>10</v>
      </c>
      <c r="R157" s="499">
        <v>39</v>
      </c>
      <c r="U157" s="497" t="s">
        <v>89</v>
      </c>
      <c r="V157" s="497" t="s">
        <v>556</v>
      </c>
    </row>
    <row r="158" spans="1:22" x14ac:dyDescent="0.25">
      <c r="A158" s="497" t="s">
        <v>185</v>
      </c>
      <c r="B158" s="497" t="s">
        <v>217</v>
      </c>
      <c r="G158" s="497" t="s">
        <v>375</v>
      </c>
      <c r="H158" s="497" t="s">
        <v>390</v>
      </c>
      <c r="I158" s="497" t="s">
        <v>849</v>
      </c>
      <c r="J158" s="499">
        <v>0</v>
      </c>
      <c r="M158" s="497" t="s">
        <v>123</v>
      </c>
      <c r="N158" s="497" t="s">
        <v>124</v>
      </c>
      <c r="O158" s="497" t="s">
        <v>529</v>
      </c>
      <c r="P158" s="497" t="s">
        <v>529</v>
      </c>
      <c r="Q158" s="499">
        <v>8</v>
      </c>
      <c r="R158" s="499">
        <v>40</v>
      </c>
      <c r="U158" s="497" t="s">
        <v>117</v>
      </c>
      <c r="V158" s="497" t="s">
        <v>556</v>
      </c>
    </row>
    <row r="159" spans="1:22" x14ac:dyDescent="0.25">
      <c r="A159" s="497" t="s">
        <v>185</v>
      </c>
      <c r="B159" s="497" t="s">
        <v>229</v>
      </c>
      <c r="G159" s="497" t="s">
        <v>294</v>
      </c>
      <c r="H159" s="497" t="s">
        <v>293</v>
      </c>
      <c r="I159" s="497" t="s">
        <v>849</v>
      </c>
      <c r="J159" s="499">
        <v>0</v>
      </c>
      <c r="M159" s="497" t="s">
        <v>125</v>
      </c>
      <c r="N159" s="497" t="s">
        <v>126</v>
      </c>
      <c r="O159" s="497" t="s">
        <v>529</v>
      </c>
      <c r="P159" s="497" t="s">
        <v>529</v>
      </c>
      <c r="Q159" s="499">
        <v>41</v>
      </c>
      <c r="R159" s="499">
        <v>201</v>
      </c>
      <c r="U159" s="497" t="s">
        <v>123</v>
      </c>
      <c r="V159" s="497" t="s">
        <v>556</v>
      </c>
    </row>
    <row r="160" spans="1:22" x14ac:dyDescent="0.25">
      <c r="A160" s="497" t="s">
        <v>185</v>
      </c>
      <c r="B160" s="497" t="s">
        <v>219</v>
      </c>
      <c r="G160" s="497" t="s">
        <v>361</v>
      </c>
      <c r="H160" s="497" t="s">
        <v>843</v>
      </c>
      <c r="I160" s="497" t="s">
        <v>502</v>
      </c>
      <c r="J160" s="499">
        <v>9</v>
      </c>
      <c r="M160" s="497" t="s">
        <v>63</v>
      </c>
      <c r="N160" s="497" t="s">
        <v>64</v>
      </c>
      <c r="O160" s="497" t="s">
        <v>529</v>
      </c>
      <c r="P160" s="497" t="s">
        <v>529</v>
      </c>
      <c r="Q160" s="499">
        <v>0</v>
      </c>
      <c r="R160" s="499">
        <v>0</v>
      </c>
      <c r="U160" s="497" t="s">
        <v>125</v>
      </c>
      <c r="V160" s="497" t="s">
        <v>556</v>
      </c>
    </row>
    <row r="161" spans="1:22" x14ac:dyDescent="0.25">
      <c r="A161" s="497" t="s">
        <v>185</v>
      </c>
      <c r="B161" s="497" t="s">
        <v>221</v>
      </c>
      <c r="G161" s="497" t="s">
        <v>171</v>
      </c>
      <c r="H161" s="497" t="s">
        <v>170</v>
      </c>
      <c r="I161" s="497" t="s">
        <v>502</v>
      </c>
      <c r="J161" s="499">
        <v>6</v>
      </c>
      <c r="M161" s="497" t="s">
        <v>81</v>
      </c>
      <c r="N161" s="497" t="s">
        <v>82</v>
      </c>
      <c r="O161" s="497" t="s">
        <v>529</v>
      </c>
      <c r="P161" s="497" t="s">
        <v>529</v>
      </c>
      <c r="Q161" s="499">
        <v>0</v>
      </c>
      <c r="R161" s="499">
        <v>0</v>
      </c>
      <c r="U161" s="497" t="s">
        <v>63</v>
      </c>
      <c r="V161" s="497" t="s">
        <v>556</v>
      </c>
    </row>
    <row r="162" spans="1:22" x14ac:dyDescent="0.25">
      <c r="A162" s="497" t="s">
        <v>185</v>
      </c>
      <c r="B162" s="497" t="s">
        <v>225</v>
      </c>
      <c r="G162" s="497" t="s">
        <v>149</v>
      </c>
      <c r="H162" s="497" t="s">
        <v>148</v>
      </c>
      <c r="I162" s="497" t="s">
        <v>502</v>
      </c>
      <c r="J162" s="499">
        <v>71</v>
      </c>
      <c r="M162" s="497" t="s">
        <v>57</v>
      </c>
      <c r="N162" s="497" t="s">
        <v>58</v>
      </c>
      <c r="O162" s="497" t="s">
        <v>529</v>
      </c>
      <c r="P162" s="497" t="s">
        <v>529</v>
      </c>
      <c r="Q162" s="499">
        <v>0</v>
      </c>
      <c r="R162" s="499">
        <v>0</v>
      </c>
      <c r="U162" s="497" t="s">
        <v>81</v>
      </c>
      <c r="V162" s="497" t="s">
        <v>556</v>
      </c>
    </row>
    <row r="163" spans="1:22" x14ac:dyDescent="0.25">
      <c r="A163" s="497" t="s">
        <v>185</v>
      </c>
      <c r="B163" s="497" t="s">
        <v>227</v>
      </c>
      <c r="G163" s="497" t="s">
        <v>871</v>
      </c>
      <c r="H163" s="497" t="s">
        <v>522</v>
      </c>
      <c r="I163" s="497" t="s">
        <v>849</v>
      </c>
      <c r="J163" s="499">
        <v>0</v>
      </c>
      <c r="M163" s="497" t="s">
        <v>55</v>
      </c>
      <c r="N163" s="497" t="s">
        <v>56</v>
      </c>
      <c r="O163" s="497" t="s">
        <v>529</v>
      </c>
      <c r="P163" s="497" t="s">
        <v>529</v>
      </c>
      <c r="Q163" s="499">
        <v>0</v>
      </c>
      <c r="R163" s="499">
        <v>0</v>
      </c>
      <c r="U163" s="497" t="s">
        <v>57</v>
      </c>
      <c r="V163" s="497" t="s">
        <v>556</v>
      </c>
    </row>
    <row r="164" spans="1:22" x14ac:dyDescent="0.25">
      <c r="A164" s="497" t="s">
        <v>185</v>
      </c>
      <c r="B164" s="497" t="s">
        <v>1405</v>
      </c>
      <c r="G164" s="497" t="s">
        <v>872</v>
      </c>
      <c r="H164" s="497" t="s">
        <v>873</v>
      </c>
      <c r="I164" s="497" t="s">
        <v>849</v>
      </c>
      <c r="J164" s="499">
        <v>0</v>
      </c>
      <c r="M164" s="497" t="s">
        <v>42</v>
      </c>
      <c r="N164" s="497" t="s">
        <v>43</v>
      </c>
      <c r="O164" s="497" t="s">
        <v>529</v>
      </c>
      <c r="P164" s="497" t="s">
        <v>529</v>
      </c>
      <c r="Q164" s="499">
        <v>14</v>
      </c>
      <c r="R164" s="499">
        <v>83</v>
      </c>
      <c r="U164" s="497" t="s">
        <v>55</v>
      </c>
      <c r="V164" s="497" t="s">
        <v>556</v>
      </c>
    </row>
    <row r="165" spans="1:22" x14ac:dyDescent="0.25">
      <c r="A165" s="497" t="s">
        <v>230</v>
      </c>
      <c r="B165" s="497" t="s">
        <v>169</v>
      </c>
      <c r="G165" s="497" t="s">
        <v>164</v>
      </c>
      <c r="H165" s="497" t="s">
        <v>163</v>
      </c>
      <c r="I165" s="497" t="s">
        <v>849</v>
      </c>
      <c r="J165" s="499">
        <v>0</v>
      </c>
      <c r="M165" s="497" t="s">
        <v>45</v>
      </c>
      <c r="N165" s="497" t="s">
        <v>44</v>
      </c>
      <c r="O165" s="497" t="s">
        <v>529</v>
      </c>
      <c r="P165" s="497" t="s">
        <v>529</v>
      </c>
      <c r="Q165" s="499">
        <v>13</v>
      </c>
      <c r="R165" s="499">
        <v>75</v>
      </c>
      <c r="U165" s="497" t="s">
        <v>42</v>
      </c>
      <c r="V165" s="497" t="s">
        <v>556</v>
      </c>
    </row>
    <row r="166" spans="1:22" x14ac:dyDescent="0.25">
      <c r="A166" s="497" t="s">
        <v>230</v>
      </c>
      <c r="B166" s="497" t="s">
        <v>231</v>
      </c>
      <c r="G166" s="497" t="s">
        <v>613</v>
      </c>
      <c r="H166" s="497" t="s">
        <v>46</v>
      </c>
      <c r="I166" s="497" t="s">
        <v>502</v>
      </c>
      <c r="J166" s="499">
        <v>17</v>
      </c>
      <c r="M166" s="497" t="s">
        <v>46</v>
      </c>
      <c r="N166" s="497" t="s">
        <v>613</v>
      </c>
      <c r="O166" s="497" t="s">
        <v>529</v>
      </c>
      <c r="P166" s="497" t="s">
        <v>529</v>
      </c>
      <c r="Q166" s="499">
        <v>17</v>
      </c>
      <c r="R166" s="499">
        <v>64</v>
      </c>
      <c r="U166" s="497" t="s">
        <v>45</v>
      </c>
      <c r="V166" s="497" t="s">
        <v>556</v>
      </c>
    </row>
    <row r="167" spans="1:22" x14ac:dyDescent="0.25">
      <c r="A167" s="497" t="s">
        <v>230</v>
      </c>
      <c r="B167" s="497" t="s">
        <v>233</v>
      </c>
      <c r="G167" s="497" t="s">
        <v>1309</v>
      </c>
      <c r="H167" s="497" t="s">
        <v>1290</v>
      </c>
      <c r="I167" s="497" t="s">
        <v>502</v>
      </c>
      <c r="J167" s="499">
        <v>44</v>
      </c>
      <c r="M167" s="497" t="s">
        <v>376</v>
      </c>
      <c r="N167" s="497" t="s">
        <v>366</v>
      </c>
      <c r="O167" s="497" t="s">
        <v>5</v>
      </c>
      <c r="P167" s="497" t="s">
        <v>5</v>
      </c>
      <c r="Q167" s="499">
        <v>157</v>
      </c>
      <c r="R167" s="499">
        <v>761</v>
      </c>
      <c r="U167" s="497" t="s">
        <v>46</v>
      </c>
      <c r="V167" s="497" t="s">
        <v>556</v>
      </c>
    </row>
    <row r="168" spans="1:22" x14ac:dyDescent="0.25">
      <c r="A168" s="497" t="s">
        <v>230</v>
      </c>
      <c r="B168" s="497" t="s">
        <v>235</v>
      </c>
      <c r="G168" s="497" t="s">
        <v>827</v>
      </c>
      <c r="H168" s="497" t="s">
        <v>297</v>
      </c>
      <c r="I168" s="497" t="s">
        <v>502</v>
      </c>
      <c r="J168" s="499">
        <v>10</v>
      </c>
      <c r="M168" s="497" t="s">
        <v>377</v>
      </c>
      <c r="N168" s="497" t="s">
        <v>514</v>
      </c>
      <c r="O168" s="497" t="s">
        <v>5</v>
      </c>
      <c r="P168" s="497" t="s">
        <v>5</v>
      </c>
      <c r="Q168" s="499">
        <v>12</v>
      </c>
      <c r="R168" s="499">
        <v>51</v>
      </c>
      <c r="U168" s="497" t="s">
        <v>376</v>
      </c>
      <c r="V168" s="497" t="s">
        <v>556</v>
      </c>
    </row>
    <row r="169" spans="1:22" x14ac:dyDescent="0.25">
      <c r="A169" s="497" t="s">
        <v>230</v>
      </c>
      <c r="B169" s="497" t="s">
        <v>361</v>
      </c>
      <c r="G169" s="497" t="s">
        <v>595</v>
      </c>
      <c r="H169" s="497" t="s">
        <v>830</v>
      </c>
      <c r="I169" s="497" t="s">
        <v>502</v>
      </c>
      <c r="J169" s="499">
        <v>118</v>
      </c>
      <c r="M169" s="497" t="s">
        <v>378</v>
      </c>
      <c r="N169" s="497" t="s">
        <v>365</v>
      </c>
      <c r="O169" s="497" t="s">
        <v>27</v>
      </c>
      <c r="P169" s="497" t="s">
        <v>27</v>
      </c>
      <c r="Q169" s="499">
        <v>144</v>
      </c>
      <c r="R169" s="499">
        <v>645</v>
      </c>
      <c r="U169" s="497" t="s">
        <v>377</v>
      </c>
      <c r="V169" s="497" t="s">
        <v>556</v>
      </c>
    </row>
    <row r="170" spans="1:22" x14ac:dyDescent="0.25">
      <c r="A170" s="497" t="s">
        <v>230</v>
      </c>
      <c r="B170" s="497" t="s">
        <v>171</v>
      </c>
      <c r="G170" s="497" t="s">
        <v>1074</v>
      </c>
      <c r="H170" s="497" t="s">
        <v>1067</v>
      </c>
      <c r="I170" s="497" t="s">
        <v>502</v>
      </c>
      <c r="J170" s="499">
        <v>141</v>
      </c>
      <c r="M170" s="497" t="s">
        <v>391</v>
      </c>
      <c r="N170" s="497" t="s">
        <v>12</v>
      </c>
      <c r="O170" s="497" t="s">
        <v>151</v>
      </c>
      <c r="P170" s="497" t="s">
        <v>151</v>
      </c>
      <c r="Q170" s="499">
        <v>76</v>
      </c>
      <c r="R170" s="499">
        <v>256</v>
      </c>
      <c r="U170" s="497" t="s">
        <v>378</v>
      </c>
      <c r="V170" s="497" t="s">
        <v>556</v>
      </c>
    </row>
    <row r="171" spans="1:22" x14ac:dyDescent="0.25">
      <c r="A171" s="497" t="s">
        <v>230</v>
      </c>
      <c r="B171" s="497" t="s">
        <v>1060</v>
      </c>
      <c r="G171" s="497" t="s">
        <v>271</v>
      </c>
      <c r="H171" s="497" t="s">
        <v>270</v>
      </c>
      <c r="I171" s="497" t="s">
        <v>502</v>
      </c>
      <c r="J171" s="499">
        <v>70</v>
      </c>
      <c r="M171" s="497" t="s">
        <v>392</v>
      </c>
      <c r="N171" s="497" t="s">
        <v>12</v>
      </c>
      <c r="O171" s="497" t="s">
        <v>185</v>
      </c>
      <c r="P171" s="497" t="s">
        <v>185</v>
      </c>
      <c r="Q171" s="499">
        <v>320</v>
      </c>
      <c r="R171" s="499">
        <v>1125</v>
      </c>
      <c r="U171" s="497" t="s">
        <v>391</v>
      </c>
      <c r="V171" s="497" t="s">
        <v>12</v>
      </c>
    </row>
    <row r="172" spans="1:22" x14ac:dyDescent="0.25">
      <c r="A172" s="497" t="s">
        <v>230</v>
      </c>
      <c r="B172" s="497" t="s">
        <v>1070</v>
      </c>
      <c r="G172" s="497" t="s">
        <v>20</v>
      </c>
      <c r="H172" s="497" t="s">
        <v>19</v>
      </c>
      <c r="I172" s="497" t="s">
        <v>502</v>
      </c>
      <c r="J172" s="499">
        <v>23</v>
      </c>
      <c r="M172" s="497" t="s">
        <v>393</v>
      </c>
      <c r="N172" s="497" t="s">
        <v>205</v>
      </c>
      <c r="O172" s="497" t="s">
        <v>185</v>
      </c>
      <c r="P172" s="497" t="s">
        <v>185</v>
      </c>
      <c r="Q172" s="499"/>
      <c r="R172" s="499"/>
      <c r="U172" s="497" t="s">
        <v>392</v>
      </c>
      <c r="V172" s="497" t="s">
        <v>12</v>
      </c>
    </row>
    <row r="173" spans="1:22" x14ac:dyDescent="0.25">
      <c r="A173" s="497" t="s">
        <v>237</v>
      </c>
      <c r="B173" s="497" t="s">
        <v>243</v>
      </c>
      <c r="G173" s="497" t="s">
        <v>108</v>
      </c>
      <c r="H173" s="497" t="s">
        <v>107</v>
      </c>
      <c r="I173" s="497" t="s">
        <v>502</v>
      </c>
      <c r="J173" s="499">
        <v>54</v>
      </c>
      <c r="M173" s="497" t="s">
        <v>394</v>
      </c>
      <c r="N173" s="497" t="s">
        <v>12</v>
      </c>
      <c r="O173" s="497" t="s">
        <v>1204</v>
      </c>
      <c r="P173" s="497" t="s">
        <v>302</v>
      </c>
      <c r="Q173" s="499">
        <v>9</v>
      </c>
      <c r="R173" s="499">
        <v>30</v>
      </c>
      <c r="U173" s="497" t="s">
        <v>393</v>
      </c>
      <c r="V173" s="497" t="s">
        <v>12</v>
      </c>
    </row>
    <row r="174" spans="1:22" x14ac:dyDescent="0.25">
      <c r="A174" s="497" t="s">
        <v>237</v>
      </c>
      <c r="B174" s="497" t="s">
        <v>245</v>
      </c>
      <c r="G174" s="497" t="s">
        <v>183</v>
      </c>
      <c r="H174" s="497" t="s">
        <v>182</v>
      </c>
      <c r="I174" s="497" t="s">
        <v>849</v>
      </c>
      <c r="J174" s="499">
        <v>0</v>
      </c>
      <c r="M174" s="497" t="s">
        <v>524</v>
      </c>
      <c r="N174" s="497" t="s">
        <v>523</v>
      </c>
      <c r="O174" s="497" t="s">
        <v>185</v>
      </c>
      <c r="P174" s="497" t="s">
        <v>185</v>
      </c>
      <c r="Q174" s="499">
        <v>4</v>
      </c>
      <c r="R174" s="499">
        <v>26</v>
      </c>
      <c r="U174" s="497" t="s">
        <v>394</v>
      </c>
      <c r="V174" s="497" t="s">
        <v>12</v>
      </c>
    </row>
    <row r="175" spans="1:22" x14ac:dyDescent="0.25">
      <c r="A175" s="497" t="s">
        <v>237</v>
      </c>
      <c r="B175" s="497" t="s">
        <v>247</v>
      </c>
      <c r="G175" s="497" t="s">
        <v>596</v>
      </c>
      <c r="H175" s="497" t="s">
        <v>844</v>
      </c>
      <c r="I175" s="497" t="s">
        <v>502</v>
      </c>
      <c r="J175" s="499">
        <v>67</v>
      </c>
      <c r="M175" s="497" t="s">
        <v>517</v>
      </c>
      <c r="N175" s="497" t="s">
        <v>516</v>
      </c>
      <c r="O175" s="497" t="s">
        <v>529</v>
      </c>
      <c r="P175" s="497" t="s">
        <v>529</v>
      </c>
      <c r="Q175" s="499">
        <v>0</v>
      </c>
      <c r="R175" s="499">
        <v>0</v>
      </c>
      <c r="U175" s="497" t="s">
        <v>524</v>
      </c>
      <c r="V175" s="497" t="s">
        <v>12</v>
      </c>
    </row>
    <row r="176" spans="1:22" x14ac:dyDescent="0.25">
      <c r="A176" s="497" t="s">
        <v>237</v>
      </c>
      <c r="B176" s="497" t="s">
        <v>253</v>
      </c>
      <c r="G176" s="497" t="s">
        <v>178</v>
      </c>
      <c r="H176" s="497" t="s">
        <v>177</v>
      </c>
      <c r="I176" s="497" t="s">
        <v>502</v>
      </c>
      <c r="J176" s="499">
        <v>14</v>
      </c>
      <c r="M176" s="497" t="s">
        <v>519</v>
      </c>
      <c r="N176" s="497" t="s">
        <v>518</v>
      </c>
      <c r="O176" s="497" t="s">
        <v>151</v>
      </c>
      <c r="P176" s="497" t="s">
        <v>151</v>
      </c>
      <c r="Q176" s="499">
        <v>0</v>
      </c>
      <c r="R176" s="499">
        <v>0</v>
      </c>
      <c r="U176" s="497" t="s">
        <v>517</v>
      </c>
      <c r="V176" s="497" t="s">
        <v>556</v>
      </c>
    </row>
    <row r="177" spans="1:22" x14ac:dyDescent="0.25">
      <c r="A177" s="497" t="s">
        <v>237</v>
      </c>
      <c r="B177" s="497" t="s">
        <v>255</v>
      </c>
      <c r="G177" s="497" t="s">
        <v>897</v>
      </c>
      <c r="H177" s="497" t="s">
        <v>898</v>
      </c>
      <c r="I177" s="497" t="s">
        <v>849</v>
      </c>
      <c r="J177" s="499">
        <v>0</v>
      </c>
      <c r="M177" s="497" t="s">
        <v>521</v>
      </c>
      <c r="N177" s="497" t="s">
        <v>520</v>
      </c>
      <c r="O177" s="497" t="s">
        <v>151</v>
      </c>
      <c r="P177" s="497" t="s">
        <v>151</v>
      </c>
      <c r="Q177" s="499">
        <v>0</v>
      </c>
      <c r="R177" s="499">
        <v>0</v>
      </c>
      <c r="U177" s="497" t="s">
        <v>519</v>
      </c>
      <c r="V177" s="497" t="s">
        <v>556</v>
      </c>
    </row>
    <row r="178" spans="1:22" x14ac:dyDescent="0.25">
      <c r="A178" s="497" t="s">
        <v>237</v>
      </c>
      <c r="B178" s="497" t="s">
        <v>257</v>
      </c>
      <c r="G178" s="497" t="s">
        <v>344</v>
      </c>
      <c r="H178" s="497" t="s">
        <v>343</v>
      </c>
      <c r="I178" s="497" t="s">
        <v>502</v>
      </c>
      <c r="J178" s="499">
        <v>18</v>
      </c>
      <c r="M178" s="497" t="s">
        <v>522</v>
      </c>
      <c r="N178" s="497" t="s">
        <v>871</v>
      </c>
      <c r="O178" s="497" t="s">
        <v>151</v>
      </c>
      <c r="P178" s="497" t="s">
        <v>151</v>
      </c>
      <c r="Q178" s="499">
        <v>0</v>
      </c>
      <c r="R178" s="499">
        <v>0</v>
      </c>
      <c r="U178" s="497" t="s">
        <v>521</v>
      </c>
      <c r="V178" s="497" t="s">
        <v>556</v>
      </c>
    </row>
    <row r="179" spans="1:22" x14ac:dyDescent="0.25">
      <c r="A179" s="497" t="s">
        <v>237</v>
      </c>
      <c r="B179" s="497" t="s">
        <v>240</v>
      </c>
      <c r="G179" s="497" t="s">
        <v>287</v>
      </c>
      <c r="H179" s="497" t="s">
        <v>286</v>
      </c>
      <c r="I179" s="497" t="s">
        <v>502</v>
      </c>
      <c r="J179" s="499">
        <v>18</v>
      </c>
      <c r="M179" s="497" t="s">
        <v>817</v>
      </c>
      <c r="N179" s="497" t="s">
        <v>813</v>
      </c>
      <c r="O179" s="497" t="s">
        <v>1204</v>
      </c>
      <c r="P179" s="497" t="s">
        <v>813</v>
      </c>
      <c r="Q179" s="499">
        <v>5</v>
      </c>
      <c r="R179" s="499">
        <v>32</v>
      </c>
      <c r="U179" s="497" t="s">
        <v>522</v>
      </c>
      <c r="V179" s="497" t="s">
        <v>556</v>
      </c>
    </row>
    <row r="180" spans="1:22" x14ac:dyDescent="0.25">
      <c r="A180" s="497" t="s">
        <v>237</v>
      </c>
      <c r="B180" s="497" t="s">
        <v>285</v>
      </c>
      <c r="G180" s="497" t="s">
        <v>1270</v>
      </c>
      <c r="H180" s="497" t="s">
        <v>360</v>
      </c>
      <c r="I180" s="497" t="s">
        <v>849</v>
      </c>
      <c r="J180" s="499">
        <v>0</v>
      </c>
      <c r="M180" s="497" t="s">
        <v>819</v>
      </c>
      <c r="N180" s="497" t="s">
        <v>818</v>
      </c>
      <c r="O180" s="497" t="s">
        <v>310</v>
      </c>
      <c r="P180" s="497" t="s">
        <v>310</v>
      </c>
      <c r="Q180" s="499"/>
      <c r="R180" s="499">
        <v>1047</v>
      </c>
      <c r="U180" s="497" t="s">
        <v>817</v>
      </c>
      <c r="V180" s="497" t="s">
        <v>556</v>
      </c>
    </row>
    <row r="181" spans="1:22" x14ac:dyDescent="0.25">
      <c r="A181" s="497" t="s">
        <v>237</v>
      </c>
      <c r="B181" s="497" t="s">
        <v>259</v>
      </c>
      <c r="G181" s="497" t="s">
        <v>1361</v>
      </c>
      <c r="H181" s="497" t="s">
        <v>1362</v>
      </c>
      <c r="I181" s="497" t="s">
        <v>502</v>
      </c>
      <c r="J181" s="499">
        <v>161</v>
      </c>
      <c r="M181" s="497" t="s">
        <v>873</v>
      </c>
      <c r="N181" s="497" t="s">
        <v>872</v>
      </c>
      <c r="O181" s="497" t="s">
        <v>151</v>
      </c>
      <c r="P181" s="497" t="s">
        <v>151</v>
      </c>
      <c r="Q181" s="499">
        <v>0</v>
      </c>
      <c r="R181" s="499">
        <v>0</v>
      </c>
      <c r="U181" s="497" t="s">
        <v>819</v>
      </c>
      <c r="V181" s="497" t="s">
        <v>993</v>
      </c>
    </row>
    <row r="182" spans="1:22" x14ac:dyDescent="0.25">
      <c r="A182" s="497" t="s">
        <v>237</v>
      </c>
      <c r="B182" s="497" t="s">
        <v>261</v>
      </c>
      <c r="G182" s="497" t="s">
        <v>1408</v>
      </c>
      <c r="H182" s="497" t="s">
        <v>1409</v>
      </c>
      <c r="I182" s="497" t="s">
        <v>502</v>
      </c>
      <c r="J182" s="499">
        <v>105</v>
      </c>
      <c r="M182" s="497" t="s">
        <v>869</v>
      </c>
      <c r="N182" s="497" t="s">
        <v>870</v>
      </c>
      <c r="O182" s="497" t="s">
        <v>27</v>
      </c>
      <c r="P182" s="497" t="s">
        <v>27</v>
      </c>
      <c r="Q182" s="499">
        <v>65</v>
      </c>
      <c r="R182" s="499">
        <v>306</v>
      </c>
      <c r="U182" s="497" t="s">
        <v>873</v>
      </c>
      <c r="V182" s="497" t="s">
        <v>556</v>
      </c>
    </row>
    <row r="183" spans="1:22" x14ac:dyDescent="0.25">
      <c r="A183" s="497" t="s">
        <v>237</v>
      </c>
      <c r="B183" s="497" t="s">
        <v>263</v>
      </c>
      <c r="G183" s="497" t="s">
        <v>110</v>
      </c>
      <c r="H183" s="497" t="s">
        <v>109</v>
      </c>
      <c r="I183" s="497" t="s">
        <v>849</v>
      </c>
      <c r="J183" s="499">
        <v>0</v>
      </c>
      <c r="M183" s="497" t="s">
        <v>861</v>
      </c>
      <c r="N183" s="497" t="s">
        <v>875</v>
      </c>
      <c r="O183" s="497" t="s">
        <v>5</v>
      </c>
      <c r="P183" s="497" t="s">
        <v>5</v>
      </c>
      <c r="Q183" s="499">
        <v>0</v>
      </c>
      <c r="R183" s="499">
        <v>0</v>
      </c>
      <c r="U183" s="497" t="s">
        <v>869</v>
      </c>
      <c r="V183" s="497" t="s">
        <v>556</v>
      </c>
    </row>
    <row r="184" spans="1:22" x14ac:dyDescent="0.25">
      <c r="A184" s="497" t="s">
        <v>237</v>
      </c>
      <c r="B184" s="497" t="s">
        <v>265</v>
      </c>
      <c r="G184" s="497" t="s">
        <v>112</v>
      </c>
      <c r="H184" s="497" t="s">
        <v>111</v>
      </c>
      <c r="I184" s="497" t="s">
        <v>849</v>
      </c>
      <c r="J184" s="499">
        <v>0</v>
      </c>
      <c r="M184" s="497" t="s">
        <v>876</v>
      </c>
      <c r="N184" s="497" t="s">
        <v>882</v>
      </c>
      <c r="O184" s="497" t="s">
        <v>151</v>
      </c>
      <c r="P184" s="497" t="s">
        <v>151</v>
      </c>
      <c r="Q184" s="499">
        <v>0</v>
      </c>
      <c r="R184" s="499">
        <v>0</v>
      </c>
      <c r="U184" s="497" t="s">
        <v>861</v>
      </c>
      <c r="V184" s="497" t="s">
        <v>556</v>
      </c>
    </row>
    <row r="185" spans="1:22" x14ac:dyDescent="0.25">
      <c r="A185" s="497" t="s">
        <v>237</v>
      </c>
      <c r="B185" s="497" t="s">
        <v>267</v>
      </c>
      <c r="G185" s="497" t="s">
        <v>215</v>
      </c>
      <c r="H185" s="497" t="s">
        <v>214</v>
      </c>
      <c r="I185" s="497" t="s">
        <v>502</v>
      </c>
      <c r="J185" s="499">
        <v>412</v>
      </c>
      <c r="M185" s="497" t="s">
        <v>880</v>
      </c>
      <c r="N185" s="497" t="s">
        <v>881</v>
      </c>
      <c r="O185" s="497" t="s">
        <v>151</v>
      </c>
      <c r="P185" s="497" t="s">
        <v>151</v>
      </c>
      <c r="Q185" s="499">
        <v>0</v>
      </c>
      <c r="R185" s="499">
        <v>0</v>
      </c>
      <c r="U185" s="497" t="s">
        <v>876</v>
      </c>
      <c r="V185" s="497" t="s">
        <v>556</v>
      </c>
    </row>
    <row r="186" spans="1:22" x14ac:dyDescent="0.25">
      <c r="A186" s="497" t="s">
        <v>237</v>
      </c>
      <c r="B186" s="497" t="s">
        <v>271</v>
      </c>
      <c r="G186" s="497" t="s">
        <v>217</v>
      </c>
      <c r="H186" s="497" t="s">
        <v>216</v>
      </c>
      <c r="I186" s="497" t="s">
        <v>502</v>
      </c>
      <c r="J186" s="499">
        <v>24</v>
      </c>
      <c r="M186" s="497" t="s">
        <v>885</v>
      </c>
      <c r="N186" s="497" t="s">
        <v>884</v>
      </c>
      <c r="O186" s="497" t="s">
        <v>151</v>
      </c>
      <c r="P186" s="497" t="s">
        <v>151</v>
      </c>
      <c r="Q186" s="499">
        <v>0</v>
      </c>
      <c r="R186" s="499">
        <v>0</v>
      </c>
      <c r="U186" s="497" t="s">
        <v>880</v>
      </c>
      <c r="V186" s="497" t="s">
        <v>556</v>
      </c>
    </row>
    <row r="187" spans="1:22" x14ac:dyDescent="0.25">
      <c r="A187" s="497" t="s">
        <v>237</v>
      </c>
      <c r="B187" s="497" t="s">
        <v>269</v>
      </c>
      <c r="G187" s="497" t="s">
        <v>269</v>
      </c>
      <c r="H187" s="497" t="s">
        <v>268</v>
      </c>
      <c r="I187" s="497" t="s">
        <v>502</v>
      </c>
      <c r="J187" s="499">
        <v>57</v>
      </c>
      <c r="M187" s="497" t="s">
        <v>886</v>
      </c>
      <c r="N187" s="497" t="s">
        <v>888</v>
      </c>
      <c r="O187" s="497" t="s">
        <v>151</v>
      </c>
      <c r="P187" s="497" t="s">
        <v>151</v>
      </c>
      <c r="Q187" s="499">
        <v>0</v>
      </c>
      <c r="R187" s="499">
        <v>0</v>
      </c>
      <c r="U187" s="497" t="s">
        <v>885</v>
      </c>
      <c r="V187" s="497" t="s">
        <v>556</v>
      </c>
    </row>
    <row r="188" spans="1:22" x14ac:dyDescent="0.25">
      <c r="A188" s="497" t="s">
        <v>237</v>
      </c>
      <c r="B188" s="497" t="s">
        <v>273</v>
      </c>
      <c r="G188" s="497" t="s">
        <v>229</v>
      </c>
      <c r="H188" s="497" t="s">
        <v>228</v>
      </c>
      <c r="I188" s="497" t="s">
        <v>502</v>
      </c>
      <c r="J188" s="499">
        <v>50</v>
      </c>
      <c r="M188" s="497" t="s">
        <v>887</v>
      </c>
      <c r="N188" s="497" t="s">
        <v>883</v>
      </c>
      <c r="O188" s="497" t="s">
        <v>151</v>
      </c>
      <c r="P188" s="497" t="s">
        <v>151</v>
      </c>
      <c r="Q188" s="499">
        <v>0</v>
      </c>
      <c r="R188" s="499">
        <v>0</v>
      </c>
      <c r="U188" s="497" t="s">
        <v>886</v>
      </c>
      <c r="V188" s="497" t="s">
        <v>556</v>
      </c>
    </row>
    <row r="189" spans="1:22" x14ac:dyDescent="0.25">
      <c r="A189" s="497" t="s">
        <v>237</v>
      </c>
      <c r="B189" s="497" t="s">
        <v>277</v>
      </c>
      <c r="G189" s="497" t="s">
        <v>273</v>
      </c>
      <c r="H189" s="497" t="s">
        <v>272</v>
      </c>
      <c r="I189" s="497" t="s">
        <v>502</v>
      </c>
      <c r="J189" s="499">
        <v>57</v>
      </c>
      <c r="M189" s="497" t="s">
        <v>889</v>
      </c>
      <c r="N189" s="497" t="s">
        <v>890</v>
      </c>
      <c r="O189" s="497" t="s">
        <v>151</v>
      </c>
      <c r="P189" s="497" t="s">
        <v>151</v>
      </c>
      <c r="Q189" s="499">
        <v>0</v>
      </c>
      <c r="R189" s="499">
        <v>0</v>
      </c>
      <c r="U189" s="497" t="s">
        <v>887</v>
      </c>
      <c r="V189" s="497" t="s">
        <v>12</v>
      </c>
    </row>
    <row r="190" spans="1:22" x14ac:dyDescent="0.25">
      <c r="A190" s="497" t="s">
        <v>237</v>
      </c>
      <c r="B190" s="497" t="s">
        <v>279</v>
      </c>
      <c r="G190" s="497" t="s">
        <v>219</v>
      </c>
      <c r="H190" s="497" t="s">
        <v>218</v>
      </c>
      <c r="I190" s="497" t="s">
        <v>502</v>
      </c>
      <c r="J190" s="499">
        <v>840</v>
      </c>
      <c r="M190" s="497" t="s">
        <v>892</v>
      </c>
      <c r="N190" s="497" t="s">
        <v>891</v>
      </c>
      <c r="O190" s="497" t="s">
        <v>151</v>
      </c>
      <c r="P190" s="497" t="s">
        <v>151</v>
      </c>
      <c r="Q190" s="499">
        <v>372</v>
      </c>
      <c r="R190" s="499">
        <v>1141</v>
      </c>
      <c r="U190" s="497" t="s">
        <v>889</v>
      </c>
      <c r="V190" s="497" t="s">
        <v>862</v>
      </c>
    </row>
    <row r="191" spans="1:22" x14ac:dyDescent="0.25">
      <c r="A191" s="497" t="s">
        <v>237</v>
      </c>
      <c r="B191" s="497" t="s">
        <v>281</v>
      </c>
      <c r="G191" s="497" t="s">
        <v>1266</v>
      </c>
      <c r="H191" s="497" t="s">
        <v>345</v>
      </c>
      <c r="I191" s="497" t="s">
        <v>502</v>
      </c>
      <c r="J191" s="499">
        <v>191</v>
      </c>
      <c r="M191" s="497" t="s">
        <v>894</v>
      </c>
      <c r="N191" s="497" t="s">
        <v>893</v>
      </c>
      <c r="O191" s="497" t="s">
        <v>151</v>
      </c>
      <c r="P191" s="497" t="s">
        <v>151</v>
      </c>
      <c r="Q191" s="499">
        <v>0</v>
      </c>
      <c r="R191" s="499">
        <v>0</v>
      </c>
      <c r="U191" s="497" t="s">
        <v>892</v>
      </c>
      <c r="V191" s="497" t="s">
        <v>556</v>
      </c>
    </row>
    <row r="192" spans="1:22" x14ac:dyDescent="0.25">
      <c r="A192" s="497" t="s">
        <v>237</v>
      </c>
      <c r="B192" s="497" t="s">
        <v>238</v>
      </c>
      <c r="G192" s="497" t="s">
        <v>870</v>
      </c>
      <c r="H192" s="497" t="s">
        <v>869</v>
      </c>
      <c r="I192" s="497" t="s">
        <v>502</v>
      </c>
      <c r="J192" s="499">
        <v>65</v>
      </c>
      <c r="M192" s="497" t="s">
        <v>898</v>
      </c>
      <c r="N192" s="497" t="s">
        <v>897</v>
      </c>
      <c r="O192" s="497" t="s">
        <v>1204</v>
      </c>
      <c r="P192" s="497" t="s">
        <v>300</v>
      </c>
      <c r="Q192" s="499">
        <v>0</v>
      </c>
      <c r="R192" s="499">
        <v>0</v>
      </c>
      <c r="U192" s="497" t="s">
        <v>894</v>
      </c>
      <c r="V192" s="497" t="s">
        <v>556</v>
      </c>
    </row>
    <row r="193" spans="1:22" x14ac:dyDescent="0.25">
      <c r="A193" s="497" t="s">
        <v>237</v>
      </c>
      <c r="B193" s="497" t="s">
        <v>249</v>
      </c>
      <c r="G193" s="497" t="s">
        <v>114</v>
      </c>
      <c r="H193" s="497" t="s">
        <v>113</v>
      </c>
      <c r="I193" s="497" t="s">
        <v>849</v>
      </c>
      <c r="J193" s="499">
        <v>0</v>
      </c>
      <c r="M193" s="497" t="s">
        <v>902</v>
      </c>
      <c r="N193" s="497" t="s">
        <v>901</v>
      </c>
      <c r="O193" s="497" t="s">
        <v>1204</v>
      </c>
      <c r="P193" s="497" t="s">
        <v>899</v>
      </c>
      <c r="Q193" s="499">
        <v>0</v>
      </c>
      <c r="R193" s="499">
        <v>0</v>
      </c>
      <c r="U193" s="497" t="s">
        <v>898</v>
      </c>
      <c r="V193" s="497" t="s">
        <v>556</v>
      </c>
    </row>
    <row r="194" spans="1:22" x14ac:dyDescent="0.25">
      <c r="A194" s="497" t="s">
        <v>237</v>
      </c>
      <c r="B194" s="497" t="s">
        <v>251</v>
      </c>
      <c r="G194" s="497" t="s">
        <v>366</v>
      </c>
      <c r="H194" s="497" t="s">
        <v>376</v>
      </c>
      <c r="I194" s="497" t="s">
        <v>502</v>
      </c>
      <c r="J194" s="499">
        <v>157</v>
      </c>
      <c r="M194" s="497" t="s">
        <v>903</v>
      </c>
      <c r="N194" s="497" t="s">
        <v>904</v>
      </c>
      <c r="O194" s="497" t="s">
        <v>5</v>
      </c>
      <c r="P194" s="497" t="s">
        <v>5</v>
      </c>
      <c r="Q194" s="499">
        <v>0</v>
      </c>
      <c r="R194" s="499">
        <v>0</v>
      </c>
      <c r="U194" s="497" t="s">
        <v>902</v>
      </c>
      <c r="V194" s="497" t="s">
        <v>556</v>
      </c>
    </row>
    <row r="195" spans="1:22" x14ac:dyDescent="0.25">
      <c r="A195" s="497" t="s">
        <v>237</v>
      </c>
      <c r="B195" s="497" t="s">
        <v>275</v>
      </c>
      <c r="G195" s="497" t="s">
        <v>221</v>
      </c>
      <c r="H195" s="497" t="s">
        <v>220</v>
      </c>
      <c r="I195" s="497" t="s">
        <v>502</v>
      </c>
      <c r="J195" s="499">
        <v>39</v>
      </c>
      <c r="M195" s="497" t="s">
        <v>288</v>
      </c>
      <c r="N195" s="497" t="s">
        <v>290</v>
      </c>
      <c r="O195" s="497" t="s">
        <v>289</v>
      </c>
      <c r="P195" s="497" t="s">
        <v>289</v>
      </c>
      <c r="Q195" s="499">
        <v>68</v>
      </c>
      <c r="R195" s="499">
        <v>376</v>
      </c>
      <c r="U195" s="497" t="s">
        <v>903</v>
      </c>
      <c r="V195" s="497" t="s">
        <v>556</v>
      </c>
    </row>
    <row r="196" spans="1:22" x14ac:dyDescent="0.25">
      <c r="A196" s="497" t="s">
        <v>237</v>
      </c>
      <c r="B196" s="497" t="s">
        <v>283</v>
      </c>
      <c r="G196" s="497" t="s">
        <v>355</v>
      </c>
      <c r="H196" s="497" t="s">
        <v>354</v>
      </c>
      <c r="I196" s="497" t="s">
        <v>502</v>
      </c>
      <c r="J196" s="499">
        <v>108</v>
      </c>
      <c r="M196" s="497" t="s">
        <v>293</v>
      </c>
      <c r="N196" s="497" t="s">
        <v>294</v>
      </c>
      <c r="O196" s="497" t="s">
        <v>289</v>
      </c>
      <c r="P196" s="497" t="s">
        <v>289</v>
      </c>
      <c r="Q196" s="499">
        <v>0</v>
      </c>
      <c r="R196" s="499">
        <v>0</v>
      </c>
      <c r="U196" s="497" t="s">
        <v>948</v>
      </c>
      <c r="V196" s="497" t="s">
        <v>556</v>
      </c>
    </row>
    <row r="197" spans="1:22" x14ac:dyDescent="0.25">
      <c r="A197" s="497" t="s">
        <v>237</v>
      </c>
      <c r="B197" s="497" t="s">
        <v>1267</v>
      </c>
      <c r="G197" s="497" t="s">
        <v>318</v>
      </c>
      <c r="H197" s="497" t="s">
        <v>317</v>
      </c>
      <c r="I197" s="497" t="s">
        <v>502</v>
      </c>
      <c r="J197" s="499">
        <v>94</v>
      </c>
      <c r="M197" s="497" t="s">
        <v>295</v>
      </c>
      <c r="N197" s="497" t="s">
        <v>374</v>
      </c>
      <c r="O197" s="497" t="s">
        <v>289</v>
      </c>
      <c r="P197" s="497" t="s">
        <v>289</v>
      </c>
      <c r="Q197" s="499">
        <v>50</v>
      </c>
      <c r="R197" s="499">
        <v>218</v>
      </c>
      <c r="U197" s="497" t="s">
        <v>1025</v>
      </c>
      <c r="V197" s="497" t="s">
        <v>556</v>
      </c>
    </row>
    <row r="198" spans="1:22" x14ac:dyDescent="0.25">
      <c r="A198" s="497" t="s">
        <v>289</v>
      </c>
      <c r="B198" s="497" t="s">
        <v>292</v>
      </c>
      <c r="G198" s="497" t="s">
        <v>342</v>
      </c>
      <c r="H198" s="497" t="s">
        <v>341</v>
      </c>
      <c r="I198" s="497" t="s">
        <v>502</v>
      </c>
      <c r="J198" s="499">
        <v>65</v>
      </c>
      <c r="M198" s="497" t="s">
        <v>291</v>
      </c>
      <c r="N198" s="497" t="s">
        <v>292</v>
      </c>
      <c r="O198" s="497" t="s">
        <v>289</v>
      </c>
      <c r="P198" s="497" t="s">
        <v>289</v>
      </c>
      <c r="Q198" s="499">
        <v>82</v>
      </c>
      <c r="R198" s="499">
        <v>408</v>
      </c>
      <c r="U198" s="497" t="s">
        <v>1027</v>
      </c>
      <c r="V198" s="497" t="s">
        <v>556</v>
      </c>
    </row>
    <row r="199" spans="1:22" x14ac:dyDescent="0.25">
      <c r="A199" s="497" t="s">
        <v>289</v>
      </c>
      <c r="B199" s="497" t="s">
        <v>290</v>
      </c>
      <c r="G199" s="497" t="s">
        <v>338</v>
      </c>
      <c r="H199" s="497" t="s">
        <v>337</v>
      </c>
      <c r="I199" s="497" t="s">
        <v>502</v>
      </c>
      <c r="J199" s="499">
        <v>31</v>
      </c>
      <c r="M199" s="497" t="s">
        <v>234</v>
      </c>
      <c r="N199" s="497" t="s">
        <v>235</v>
      </c>
      <c r="O199" s="497" t="s">
        <v>1204</v>
      </c>
      <c r="P199" s="497" t="s">
        <v>230</v>
      </c>
      <c r="Q199" s="499">
        <v>123</v>
      </c>
      <c r="R199" s="499">
        <v>503</v>
      </c>
      <c r="U199" s="497" t="s">
        <v>1042</v>
      </c>
      <c r="V199" s="497" t="s">
        <v>556</v>
      </c>
    </row>
    <row r="200" spans="1:22" x14ac:dyDescent="0.25">
      <c r="A200" s="497" t="s">
        <v>289</v>
      </c>
      <c r="B200" s="497" t="s">
        <v>374</v>
      </c>
      <c r="G200" s="497" t="s">
        <v>351</v>
      </c>
      <c r="H200" s="497" t="s">
        <v>350</v>
      </c>
      <c r="I200" s="497" t="s">
        <v>502</v>
      </c>
      <c r="J200" s="499">
        <v>91</v>
      </c>
      <c r="M200" s="497" t="s">
        <v>147</v>
      </c>
      <c r="N200" s="497" t="s">
        <v>371</v>
      </c>
      <c r="O200" s="497" t="s">
        <v>146</v>
      </c>
      <c r="P200" s="497" t="s">
        <v>146</v>
      </c>
      <c r="Q200" s="499">
        <v>51</v>
      </c>
      <c r="R200" s="499">
        <v>261</v>
      </c>
      <c r="U200" s="497" t="s">
        <v>1050</v>
      </c>
      <c r="V200" s="497" t="s">
        <v>12</v>
      </c>
    </row>
    <row r="201" spans="1:22" x14ac:dyDescent="0.25">
      <c r="A201" s="497" t="s">
        <v>289</v>
      </c>
      <c r="B201" s="497" t="s">
        <v>375</v>
      </c>
      <c r="G201" s="497" t="s">
        <v>118</v>
      </c>
      <c r="H201" s="497" t="s">
        <v>117</v>
      </c>
      <c r="I201" s="497" t="s">
        <v>502</v>
      </c>
      <c r="J201" s="499">
        <v>10</v>
      </c>
      <c r="M201" s="497" t="s">
        <v>148</v>
      </c>
      <c r="N201" s="497" t="s">
        <v>149</v>
      </c>
      <c r="O201" s="497" t="s">
        <v>146</v>
      </c>
      <c r="P201" s="497" t="s">
        <v>146</v>
      </c>
      <c r="Q201" s="499">
        <v>71</v>
      </c>
      <c r="R201" s="499">
        <v>278</v>
      </c>
      <c r="U201" s="497" t="s">
        <v>1069</v>
      </c>
      <c r="V201" s="497" t="s">
        <v>556</v>
      </c>
    </row>
    <row r="202" spans="1:22" x14ac:dyDescent="0.25">
      <c r="A202" s="497" t="s">
        <v>289</v>
      </c>
      <c r="B202" s="497" t="s">
        <v>294</v>
      </c>
      <c r="G202" s="497" t="s">
        <v>22</v>
      </c>
      <c r="H202" s="497" t="s">
        <v>21</v>
      </c>
      <c r="I202" s="497" t="s">
        <v>502</v>
      </c>
      <c r="J202" s="499">
        <v>652</v>
      </c>
      <c r="M202" s="497" t="s">
        <v>165</v>
      </c>
      <c r="N202" s="497" t="s">
        <v>167</v>
      </c>
      <c r="O202" s="497" t="s">
        <v>1204</v>
      </c>
      <c r="P202" s="497" t="s">
        <v>166</v>
      </c>
      <c r="Q202" s="499">
        <v>38</v>
      </c>
      <c r="R202" s="499">
        <v>164</v>
      </c>
      <c r="U202" s="497" t="s">
        <v>1073</v>
      </c>
      <c r="V202" s="497" t="s">
        <v>556</v>
      </c>
    </row>
    <row r="203" spans="1:22" x14ac:dyDescent="0.25">
      <c r="A203" s="497" t="s">
        <v>289</v>
      </c>
      <c r="B203" s="497" t="s">
        <v>1062</v>
      </c>
      <c r="G203" s="497" t="s">
        <v>122</v>
      </c>
      <c r="H203" s="497" t="s">
        <v>121</v>
      </c>
      <c r="I203" s="497" t="s">
        <v>849</v>
      </c>
      <c r="J203" s="499">
        <v>0</v>
      </c>
      <c r="M203" s="497" t="s">
        <v>168</v>
      </c>
      <c r="N203" s="497" t="s">
        <v>169</v>
      </c>
      <c r="O203" s="497" t="s">
        <v>1204</v>
      </c>
      <c r="P203" s="497" t="s">
        <v>230</v>
      </c>
      <c r="Q203" s="499">
        <v>32</v>
      </c>
      <c r="R203" s="499"/>
      <c r="U203" s="497" t="s">
        <v>288</v>
      </c>
      <c r="V203" s="497" t="s">
        <v>556</v>
      </c>
    </row>
    <row r="204" spans="1:22" x14ac:dyDescent="0.25">
      <c r="A204" s="497" t="s">
        <v>289</v>
      </c>
      <c r="B204" s="497" t="s">
        <v>1074</v>
      </c>
      <c r="G204" s="497" t="s">
        <v>124</v>
      </c>
      <c r="H204" s="497" t="s">
        <v>123</v>
      </c>
      <c r="I204" s="497" t="s">
        <v>502</v>
      </c>
      <c r="J204" s="499">
        <v>8</v>
      </c>
      <c r="M204" s="497" t="s">
        <v>170</v>
      </c>
      <c r="N204" s="497" t="s">
        <v>171</v>
      </c>
      <c r="O204" s="497" t="s">
        <v>1204</v>
      </c>
      <c r="P204" s="497" t="s">
        <v>230</v>
      </c>
      <c r="Q204" s="499">
        <v>6</v>
      </c>
      <c r="R204" s="499"/>
      <c r="U204" s="497" t="s">
        <v>293</v>
      </c>
      <c r="V204" s="497" t="s">
        <v>556</v>
      </c>
    </row>
    <row r="205" spans="1:22" x14ac:dyDescent="0.25">
      <c r="A205" s="497" t="s">
        <v>298</v>
      </c>
      <c r="B205" s="497" t="s">
        <v>827</v>
      </c>
      <c r="G205" s="497" t="s">
        <v>1364</v>
      </c>
      <c r="H205" s="497" t="s">
        <v>1365</v>
      </c>
      <c r="I205" s="497" t="s">
        <v>502</v>
      </c>
      <c r="J205" s="499"/>
      <c r="M205" s="497" t="s">
        <v>232</v>
      </c>
      <c r="N205" s="497" t="s">
        <v>233</v>
      </c>
      <c r="O205" s="497" t="s">
        <v>1204</v>
      </c>
      <c r="P205" s="497" t="s">
        <v>230</v>
      </c>
      <c r="Q205" s="499">
        <v>9</v>
      </c>
      <c r="R205" s="499">
        <v>52</v>
      </c>
      <c r="U205" s="497" t="s">
        <v>295</v>
      </c>
      <c r="V205" s="497" t="s">
        <v>556</v>
      </c>
    </row>
    <row r="206" spans="1:22" x14ac:dyDescent="0.25">
      <c r="A206" s="497" t="s">
        <v>298</v>
      </c>
      <c r="B206" s="497" t="s">
        <v>595</v>
      </c>
      <c r="G206" s="497" t="s">
        <v>96</v>
      </c>
      <c r="H206" s="497" t="s">
        <v>95</v>
      </c>
      <c r="I206" s="497" t="s">
        <v>849</v>
      </c>
      <c r="J206" s="499">
        <v>0</v>
      </c>
      <c r="M206" s="497" t="s">
        <v>297</v>
      </c>
      <c r="N206" s="497" t="s">
        <v>827</v>
      </c>
      <c r="O206" s="497" t="s">
        <v>1204</v>
      </c>
      <c r="P206" s="497" t="s">
        <v>298</v>
      </c>
      <c r="Q206" s="499">
        <v>10</v>
      </c>
      <c r="R206" s="499">
        <v>41</v>
      </c>
      <c r="U206" s="497" t="s">
        <v>291</v>
      </c>
      <c r="V206" s="497" t="s">
        <v>556</v>
      </c>
    </row>
    <row r="207" spans="1:22" x14ac:dyDescent="0.25">
      <c r="A207" s="497" t="s">
        <v>300</v>
      </c>
      <c r="B207" s="497" t="s">
        <v>897</v>
      </c>
      <c r="G207" s="497" t="s">
        <v>1312</v>
      </c>
      <c r="H207" s="497" t="s">
        <v>1303</v>
      </c>
      <c r="I207" s="497" t="s">
        <v>502</v>
      </c>
      <c r="J207" s="499">
        <v>24</v>
      </c>
      <c r="M207" s="497" t="s">
        <v>382</v>
      </c>
      <c r="N207" s="497" t="s">
        <v>372</v>
      </c>
      <c r="O207" s="497" t="s">
        <v>146</v>
      </c>
      <c r="P207" s="497" t="s">
        <v>146</v>
      </c>
      <c r="Q207" s="499">
        <v>87</v>
      </c>
      <c r="R207" s="499">
        <v>488</v>
      </c>
      <c r="U207" s="497" t="s">
        <v>234</v>
      </c>
      <c r="V207" s="497" t="s">
        <v>12</v>
      </c>
    </row>
    <row r="208" spans="1:22" x14ac:dyDescent="0.25">
      <c r="A208" s="497" t="s">
        <v>300</v>
      </c>
      <c r="B208" s="497" t="s">
        <v>301</v>
      </c>
      <c r="G208" s="497" t="s">
        <v>1311</v>
      </c>
      <c r="H208" s="497" t="s">
        <v>1304</v>
      </c>
      <c r="I208" s="497" t="s">
        <v>502</v>
      </c>
      <c r="J208" s="499">
        <v>40</v>
      </c>
      <c r="M208" s="497" t="s">
        <v>383</v>
      </c>
      <c r="N208" s="497" t="s">
        <v>369</v>
      </c>
      <c r="O208" s="497" t="s">
        <v>146</v>
      </c>
      <c r="P208" s="497" t="s">
        <v>146</v>
      </c>
      <c r="Q208" s="499">
        <v>64</v>
      </c>
      <c r="R208" s="499">
        <v>305</v>
      </c>
      <c r="U208" s="497" t="s">
        <v>147</v>
      </c>
      <c r="V208" s="497" t="s">
        <v>556</v>
      </c>
    </row>
    <row r="209" spans="1:22" x14ac:dyDescent="0.25">
      <c r="A209" s="497" t="s">
        <v>300</v>
      </c>
      <c r="B209" s="497" t="s">
        <v>1048</v>
      </c>
      <c r="G209" s="497" t="s">
        <v>1026</v>
      </c>
      <c r="H209" s="497" t="s">
        <v>1027</v>
      </c>
      <c r="I209" s="497" t="s">
        <v>502</v>
      </c>
      <c r="J209" s="499">
        <v>30</v>
      </c>
      <c r="M209" s="497" t="s">
        <v>384</v>
      </c>
      <c r="N209" s="497" t="s">
        <v>370</v>
      </c>
      <c r="O209" s="497" t="s">
        <v>146</v>
      </c>
      <c r="P209" s="497" t="s">
        <v>146</v>
      </c>
      <c r="Q209" s="499">
        <v>30</v>
      </c>
      <c r="R209" s="499">
        <v>139</v>
      </c>
      <c r="U209" s="497" t="s">
        <v>148</v>
      </c>
      <c r="V209" s="497" t="s">
        <v>556</v>
      </c>
    </row>
    <row r="210" spans="1:22" x14ac:dyDescent="0.25">
      <c r="A210" s="497" t="s">
        <v>300</v>
      </c>
      <c r="B210" s="497" t="s">
        <v>1292</v>
      </c>
      <c r="G210" s="497" t="s">
        <v>225</v>
      </c>
      <c r="H210" s="497" t="s">
        <v>224</v>
      </c>
      <c r="I210" s="497" t="s">
        <v>502</v>
      </c>
      <c r="J210" s="499">
        <v>45</v>
      </c>
      <c r="M210" s="497" t="s">
        <v>385</v>
      </c>
      <c r="N210" s="497" t="s">
        <v>368</v>
      </c>
      <c r="O210" s="497" t="s">
        <v>146</v>
      </c>
      <c r="P210" s="497" t="s">
        <v>146</v>
      </c>
      <c r="Q210" s="499">
        <v>79</v>
      </c>
      <c r="R210" s="499">
        <v>318</v>
      </c>
      <c r="U210" s="497" t="s">
        <v>165</v>
      </c>
      <c r="V210" s="497" t="s">
        <v>556</v>
      </c>
    </row>
    <row r="211" spans="1:22" x14ac:dyDescent="0.25">
      <c r="A211" s="497" t="s">
        <v>302</v>
      </c>
      <c r="B211" s="497" t="s">
        <v>12</v>
      </c>
      <c r="G211" s="497" t="s">
        <v>277</v>
      </c>
      <c r="H211" s="497" t="s">
        <v>276</v>
      </c>
      <c r="I211" s="497" t="s">
        <v>502</v>
      </c>
      <c r="J211" s="499">
        <v>95</v>
      </c>
      <c r="M211" s="497" t="s">
        <v>386</v>
      </c>
      <c r="N211" s="497" t="s">
        <v>367</v>
      </c>
      <c r="O211" s="497" t="s">
        <v>146</v>
      </c>
      <c r="P211" s="497" t="s">
        <v>146</v>
      </c>
      <c r="Q211" s="499">
        <v>0</v>
      </c>
      <c r="R211" s="499">
        <v>0</v>
      </c>
      <c r="U211" s="497" t="s">
        <v>168</v>
      </c>
      <c r="V211" s="497" t="s">
        <v>12</v>
      </c>
    </row>
    <row r="212" spans="1:22" x14ac:dyDescent="0.25">
      <c r="A212" s="497" t="s">
        <v>302</v>
      </c>
      <c r="B212" s="497" t="s">
        <v>304</v>
      </c>
      <c r="G212" s="497" t="s">
        <v>279</v>
      </c>
      <c r="H212" s="497" t="s">
        <v>278</v>
      </c>
      <c r="I212" s="497" t="s">
        <v>502</v>
      </c>
      <c r="J212" s="499">
        <v>28</v>
      </c>
      <c r="M212" s="497" t="s">
        <v>387</v>
      </c>
      <c r="N212" s="497" t="s">
        <v>373</v>
      </c>
      <c r="O212" s="497" t="s">
        <v>146</v>
      </c>
      <c r="P212" s="497" t="s">
        <v>146</v>
      </c>
      <c r="Q212" s="499">
        <v>178</v>
      </c>
      <c r="R212" s="499">
        <v>827</v>
      </c>
      <c r="U212" s="497" t="s">
        <v>170</v>
      </c>
      <c r="V212" s="497" t="s">
        <v>12</v>
      </c>
    </row>
    <row r="213" spans="1:22" x14ac:dyDescent="0.25">
      <c r="A213" s="497" t="s">
        <v>302</v>
      </c>
      <c r="B213" s="497" t="s">
        <v>306</v>
      </c>
      <c r="G213" s="497" t="s">
        <v>347</v>
      </c>
      <c r="H213" s="497" t="s">
        <v>346</v>
      </c>
      <c r="I213" s="497" t="s">
        <v>502</v>
      </c>
      <c r="J213" s="499">
        <v>172</v>
      </c>
      <c r="M213" s="497" t="s">
        <v>388</v>
      </c>
      <c r="N213" s="497" t="s">
        <v>231</v>
      </c>
      <c r="O213" s="497" t="s">
        <v>1204</v>
      </c>
      <c r="P213" s="497" t="s">
        <v>230</v>
      </c>
      <c r="Q213" s="499">
        <v>32</v>
      </c>
      <c r="R213" s="499">
        <v>187</v>
      </c>
      <c r="U213" s="497" t="s">
        <v>232</v>
      </c>
      <c r="V213" s="497" t="s">
        <v>556</v>
      </c>
    </row>
    <row r="214" spans="1:22" x14ac:dyDescent="0.25">
      <c r="A214" s="497" t="s">
        <v>302</v>
      </c>
      <c r="B214" s="497" t="s">
        <v>308</v>
      </c>
      <c r="G214" s="497" t="s">
        <v>306</v>
      </c>
      <c r="H214" s="497" t="s">
        <v>305</v>
      </c>
      <c r="I214" s="497" t="s">
        <v>502</v>
      </c>
      <c r="J214" s="499">
        <v>83</v>
      </c>
      <c r="M214" s="497" t="s">
        <v>389</v>
      </c>
      <c r="N214" s="497" t="s">
        <v>296</v>
      </c>
      <c r="O214" s="497" t="s">
        <v>151</v>
      </c>
      <c r="P214" s="497" t="s">
        <v>151</v>
      </c>
      <c r="Q214" s="499">
        <v>0</v>
      </c>
      <c r="R214" s="499">
        <v>0</v>
      </c>
      <c r="U214" s="497" t="s">
        <v>297</v>
      </c>
      <c r="V214" s="497" t="s">
        <v>556</v>
      </c>
    </row>
    <row r="215" spans="1:22" x14ac:dyDescent="0.25">
      <c r="A215" s="497" t="s">
        <v>813</v>
      </c>
      <c r="B215" s="497" t="s">
        <v>813</v>
      </c>
      <c r="G215" s="497" t="s">
        <v>308</v>
      </c>
      <c r="H215" s="497" t="s">
        <v>307</v>
      </c>
      <c r="I215" s="497" t="s">
        <v>502</v>
      </c>
      <c r="J215" s="499">
        <v>40</v>
      </c>
      <c r="M215" s="497" t="s">
        <v>390</v>
      </c>
      <c r="N215" s="497" t="s">
        <v>375</v>
      </c>
      <c r="O215" s="497" t="s">
        <v>289</v>
      </c>
      <c r="P215" s="497" t="s">
        <v>289</v>
      </c>
      <c r="Q215" s="499">
        <v>0</v>
      </c>
      <c r="R215" s="499">
        <v>0</v>
      </c>
      <c r="U215" s="497" t="s">
        <v>382</v>
      </c>
      <c r="V215" s="497" t="s">
        <v>556</v>
      </c>
    </row>
    <row r="216" spans="1:22" x14ac:dyDescent="0.25">
      <c r="A216" s="497" t="s">
        <v>813</v>
      </c>
      <c r="B216" s="497" t="s">
        <v>1361</v>
      </c>
      <c r="G216" s="497" t="s">
        <v>281</v>
      </c>
      <c r="H216" s="497" t="s">
        <v>280</v>
      </c>
      <c r="I216" s="497" t="s">
        <v>502</v>
      </c>
      <c r="J216" s="499">
        <v>90</v>
      </c>
      <c r="M216" s="497" t="s">
        <v>843</v>
      </c>
      <c r="N216" s="497" t="s">
        <v>361</v>
      </c>
      <c r="O216" s="497" t="s">
        <v>1204</v>
      </c>
      <c r="P216" s="497" t="s">
        <v>230</v>
      </c>
      <c r="Q216" s="499">
        <v>9</v>
      </c>
      <c r="R216" s="499">
        <v>44</v>
      </c>
      <c r="U216" s="497" t="s">
        <v>383</v>
      </c>
      <c r="V216" s="497" t="s">
        <v>556</v>
      </c>
    </row>
    <row r="217" spans="1:22" x14ac:dyDescent="0.25">
      <c r="A217" s="497" t="s">
        <v>813</v>
      </c>
      <c r="B217" s="497" t="s">
        <v>1364</v>
      </c>
      <c r="G217" s="497" t="s">
        <v>893</v>
      </c>
      <c r="H217" s="497" t="s">
        <v>894</v>
      </c>
      <c r="I217" s="497" t="s">
        <v>849</v>
      </c>
      <c r="J217" s="499">
        <v>0</v>
      </c>
      <c r="M217" s="497" t="s">
        <v>844</v>
      </c>
      <c r="N217" s="497" t="s">
        <v>596</v>
      </c>
      <c r="O217" s="497" t="s">
        <v>784</v>
      </c>
      <c r="P217" s="497" t="s">
        <v>784</v>
      </c>
      <c r="Q217" s="499">
        <v>67</v>
      </c>
      <c r="R217" s="499">
        <v>392</v>
      </c>
      <c r="U217" s="497" t="s">
        <v>384</v>
      </c>
      <c r="V217" s="497" t="s">
        <v>556</v>
      </c>
    </row>
    <row r="218" spans="1:22" x14ac:dyDescent="0.25">
      <c r="A218" s="497" t="s">
        <v>310</v>
      </c>
      <c r="B218" s="497" t="s">
        <v>358</v>
      </c>
      <c r="G218" s="497" t="s">
        <v>181</v>
      </c>
      <c r="H218" s="497" t="s">
        <v>179</v>
      </c>
      <c r="I218" s="497" t="s">
        <v>502</v>
      </c>
      <c r="J218" s="499">
        <v>12</v>
      </c>
      <c r="M218" s="497" t="s">
        <v>829</v>
      </c>
      <c r="N218" s="497" t="s">
        <v>828</v>
      </c>
      <c r="O218" s="497" t="s">
        <v>1204</v>
      </c>
      <c r="P218" s="497" t="s">
        <v>166</v>
      </c>
      <c r="Q218" s="499">
        <v>31</v>
      </c>
      <c r="R218" s="499">
        <v>191</v>
      </c>
      <c r="U218" s="497" t="s">
        <v>385</v>
      </c>
      <c r="V218" s="497" t="s">
        <v>556</v>
      </c>
    </row>
    <row r="219" spans="1:22" x14ac:dyDescent="0.25">
      <c r="A219" s="497" t="s">
        <v>310</v>
      </c>
      <c r="B219" s="497" t="s">
        <v>334</v>
      </c>
      <c r="G219" s="497" t="s">
        <v>904</v>
      </c>
      <c r="H219" s="497" t="s">
        <v>903</v>
      </c>
      <c r="I219" s="497" t="s">
        <v>849</v>
      </c>
      <c r="J219" s="499">
        <v>0</v>
      </c>
      <c r="M219" s="497" t="s">
        <v>830</v>
      </c>
      <c r="N219" s="497" t="s">
        <v>595</v>
      </c>
      <c r="O219" s="497" t="s">
        <v>1204</v>
      </c>
      <c r="P219" s="497" t="s">
        <v>298</v>
      </c>
      <c r="Q219" s="499">
        <v>118</v>
      </c>
      <c r="R219" s="499">
        <v>520</v>
      </c>
      <c r="U219" s="497" t="s">
        <v>386</v>
      </c>
      <c r="V219" s="497" t="s">
        <v>556</v>
      </c>
    </row>
    <row r="220" spans="1:22" x14ac:dyDescent="0.25">
      <c r="A220" s="497" t="s">
        <v>310</v>
      </c>
      <c r="B220" s="497" t="s">
        <v>313</v>
      </c>
      <c r="G220" s="497" t="s">
        <v>813</v>
      </c>
      <c r="H220" s="497" t="s">
        <v>817</v>
      </c>
      <c r="I220" s="497" t="s">
        <v>502</v>
      </c>
      <c r="J220" s="499">
        <v>5</v>
      </c>
      <c r="M220" s="497" t="s">
        <v>938</v>
      </c>
      <c r="N220" s="497" t="s">
        <v>937</v>
      </c>
      <c r="O220" s="497" t="s">
        <v>146</v>
      </c>
      <c r="P220" s="497" t="s">
        <v>146</v>
      </c>
      <c r="Q220" s="499">
        <v>0</v>
      </c>
      <c r="R220" s="499">
        <v>0</v>
      </c>
      <c r="U220" s="497" t="s">
        <v>387</v>
      </c>
      <c r="V220" s="497" t="s">
        <v>556</v>
      </c>
    </row>
    <row r="221" spans="1:22" x14ac:dyDescent="0.25">
      <c r="A221" s="497" t="s">
        <v>310</v>
      </c>
      <c r="B221" s="497" t="s">
        <v>336</v>
      </c>
      <c r="G221" s="497" t="s">
        <v>24</v>
      </c>
      <c r="H221" s="497" t="s">
        <v>23</v>
      </c>
      <c r="I221" s="497" t="s">
        <v>502</v>
      </c>
      <c r="J221" s="499">
        <v>25</v>
      </c>
      <c r="M221" s="497" t="s">
        <v>940</v>
      </c>
      <c r="N221" s="497" t="s">
        <v>939</v>
      </c>
      <c r="O221" s="497" t="s">
        <v>146</v>
      </c>
      <c r="P221" s="497" t="s">
        <v>146</v>
      </c>
      <c r="Q221" s="499">
        <v>0</v>
      </c>
      <c r="R221" s="499">
        <v>0</v>
      </c>
      <c r="U221" s="497" t="s">
        <v>388</v>
      </c>
      <c r="V221" s="497" t="s">
        <v>12</v>
      </c>
    </row>
    <row r="222" spans="1:22" x14ac:dyDescent="0.25">
      <c r="A222" s="497" t="s">
        <v>310</v>
      </c>
      <c r="B222" s="497" t="s">
        <v>818</v>
      </c>
      <c r="G222" s="497" t="s">
        <v>132</v>
      </c>
      <c r="H222" s="497" t="s">
        <v>131</v>
      </c>
      <c r="I222" s="497" t="s">
        <v>849</v>
      </c>
      <c r="J222" s="499">
        <v>0</v>
      </c>
      <c r="M222" s="497" t="s">
        <v>948</v>
      </c>
      <c r="N222" s="497" t="s">
        <v>949</v>
      </c>
      <c r="O222" s="497" t="s">
        <v>151</v>
      </c>
      <c r="P222" s="497" t="s">
        <v>151</v>
      </c>
      <c r="Q222" s="499">
        <v>121</v>
      </c>
      <c r="R222" s="499">
        <v>596</v>
      </c>
      <c r="U222" s="497" t="s">
        <v>389</v>
      </c>
      <c r="V222" s="497" t="s">
        <v>556</v>
      </c>
    </row>
    <row r="223" spans="1:22" x14ac:dyDescent="0.25">
      <c r="A223" s="497" t="s">
        <v>310</v>
      </c>
      <c r="B223" s="497" t="s">
        <v>340</v>
      </c>
      <c r="G223" s="497" t="s">
        <v>227</v>
      </c>
      <c r="H223" s="497" t="s">
        <v>226</v>
      </c>
      <c r="I223" s="497" t="s">
        <v>502</v>
      </c>
      <c r="J223" s="499">
        <v>10</v>
      </c>
      <c r="M223" s="497" t="s">
        <v>1025</v>
      </c>
      <c r="N223" s="497" t="s">
        <v>1028</v>
      </c>
      <c r="O223" s="497" t="s">
        <v>5</v>
      </c>
      <c r="P223" s="497" t="s">
        <v>5</v>
      </c>
      <c r="Q223" s="499">
        <v>0</v>
      </c>
      <c r="R223" s="499">
        <v>0</v>
      </c>
      <c r="U223" s="497" t="s">
        <v>390</v>
      </c>
      <c r="V223" s="497" t="s">
        <v>556</v>
      </c>
    </row>
    <row r="224" spans="1:22" x14ac:dyDescent="0.25">
      <c r="A224" s="497" t="s">
        <v>310</v>
      </c>
      <c r="B224" s="497" t="s">
        <v>320</v>
      </c>
      <c r="G224" s="497" t="s">
        <v>238</v>
      </c>
      <c r="H224" s="497" t="s">
        <v>236</v>
      </c>
      <c r="I224" s="497" t="s">
        <v>502</v>
      </c>
      <c r="J224" s="499">
        <v>70</v>
      </c>
      <c r="M224" s="497" t="s">
        <v>1027</v>
      </c>
      <c r="N224" s="497" t="s">
        <v>1026</v>
      </c>
      <c r="O224" s="497" t="s">
        <v>27</v>
      </c>
      <c r="P224" s="497" t="s">
        <v>27</v>
      </c>
      <c r="Q224" s="499">
        <v>30</v>
      </c>
      <c r="R224" s="499">
        <v>181</v>
      </c>
      <c r="U224" s="497" t="s">
        <v>843</v>
      </c>
      <c r="V224" s="497" t="s">
        <v>556</v>
      </c>
    </row>
    <row r="225" spans="1:22" x14ac:dyDescent="0.25">
      <c r="A225" s="497" t="s">
        <v>310</v>
      </c>
      <c r="B225" s="497" t="s">
        <v>322</v>
      </c>
      <c r="G225" s="497" t="s">
        <v>1267</v>
      </c>
      <c r="H225" s="497" t="s">
        <v>241</v>
      </c>
      <c r="I225" s="497" t="s">
        <v>502</v>
      </c>
      <c r="J225" s="499">
        <v>68</v>
      </c>
      <c r="M225" s="497" t="s">
        <v>1042</v>
      </c>
      <c r="N225" s="497" t="s">
        <v>1041</v>
      </c>
      <c r="O225" s="497" t="s">
        <v>151</v>
      </c>
      <c r="P225" s="497" t="s">
        <v>151</v>
      </c>
      <c r="Q225" s="499">
        <v>219</v>
      </c>
      <c r="R225" s="499">
        <v>891</v>
      </c>
      <c r="U225" s="497" t="s">
        <v>844</v>
      </c>
      <c r="V225" s="497" t="s">
        <v>12</v>
      </c>
    </row>
    <row r="226" spans="1:22" x14ac:dyDescent="0.25">
      <c r="A226" s="497" t="s">
        <v>310</v>
      </c>
      <c r="B226" s="497" t="s">
        <v>328</v>
      </c>
      <c r="G226" s="497" t="s">
        <v>249</v>
      </c>
      <c r="H226" s="497" t="s">
        <v>248</v>
      </c>
      <c r="I226" s="497" t="s">
        <v>502</v>
      </c>
      <c r="J226" s="499">
        <v>12</v>
      </c>
      <c r="M226" s="497" t="s">
        <v>1050</v>
      </c>
      <c r="N226" s="497" t="s">
        <v>1048</v>
      </c>
      <c r="O226" s="497" t="s">
        <v>1204</v>
      </c>
      <c r="P226" s="497" t="s">
        <v>300</v>
      </c>
      <c r="Q226" s="499">
        <v>10</v>
      </c>
      <c r="R226" s="499">
        <v>56</v>
      </c>
      <c r="U226" s="497" t="s">
        <v>829</v>
      </c>
      <c r="V226" s="497" t="s">
        <v>556</v>
      </c>
    </row>
    <row r="227" spans="1:22" x14ac:dyDescent="0.25">
      <c r="A227" s="497" t="s">
        <v>310</v>
      </c>
      <c r="B227" s="497" t="s">
        <v>330</v>
      </c>
      <c r="G227" s="497" t="s">
        <v>251</v>
      </c>
      <c r="H227" s="497" t="s">
        <v>250</v>
      </c>
      <c r="I227" s="497" t="s">
        <v>502</v>
      </c>
      <c r="J227" s="499">
        <v>32</v>
      </c>
      <c r="M227" s="497" t="s">
        <v>1061</v>
      </c>
      <c r="N227" s="497" t="s">
        <v>1060</v>
      </c>
      <c r="O227" s="497" t="s">
        <v>1204</v>
      </c>
      <c r="P227" s="497" t="s">
        <v>230</v>
      </c>
      <c r="Q227" s="499">
        <v>55</v>
      </c>
      <c r="R227" s="499">
        <v>237</v>
      </c>
      <c r="U227" s="497" t="s">
        <v>830</v>
      </c>
      <c r="V227" s="497" t="s">
        <v>12</v>
      </c>
    </row>
    <row r="228" spans="1:22" x14ac:dyDescent="0.25">
      <c r="A228" s="497" t="s">
        <v>310</v>
      </c>
      <c r="B228" s="497" t="s">
        <v>324</v>
      </c>
      <c r="G228" s="497" t="s">
        <v>275</v>
      </c>
      <c r="H228" s="497" t="s">
        <v>274</v>
      </c>
      <c r="I228" s="497" t="s">
        <v>502</v>
      </c>
      <c r="J228" s="499">
        <v>44</v>
      </c>
      <c r="M228" s="497" t="s">
        <v>1063</v>
      </c>
      <c r="N228" s="497" t="s">
        <v>1062</v>
      </c>
      <c r="O228" s="497" t="s">
        <v>289</v>
      </c>
      <c r="P228" s="497" t="s">
        <v>289</v>
      </c>
      <c r="Q228" s="499">
        <v>41</v>
      </c>
      <c r="R228" s="499">
        <v>225</v>
      </c>
      <c r="U228" s="497" t="s">
        <v>938</v>
      </c>
      <c r="V228" s="497" t="s">
        <v>556</v>
      </c>
    </row>
    <row r="229" spans="1:22" x14ac:dyDescent="0.25">
      <c r="A229" s="497" t="s">
        <v>310</v>
      </c>
      <c r="B229" s="497" t="s">
        <v>326</v>
      </c>
      <c r="G229" s="497" t="s">
        <v>349</v>
      </c>
      <c r="H229" s="497" t="s">
        <v>348</v>
      </c>
      <c r="I229" s="497" t="s">
        <v>502</v>
      </c>
      <c r="J229" s="499">
        <v>42</v>
      </c>
      <c r="M229" s="497" t="s">
        <v>1067</v>
      </c>
      <c r="N229" s="497" t="s">
        <v>1074</v>
      </c>
      <c r="O229" s="497" t="s">
        <v>289</v>
      </c>
      <c r="P229" s="497" t="s">
        <v>289</v>
      </c>
      <c r="Q229" s="499">
        <v>141</v>
      </c>
      <c r="R229" s="499">
        <v>669</v>
      </c>
      <c r="U229" s="497" t="s">
        <v>940</v>
      </c>
      <c r="V229" s="497" t="s">
        <v>556</v>
      </c>
    </row>
    <row r="230" spans="1:22" x14ac:dyDescent="0.25">
      <c r="A230" s="497" t="s">
        <v>310</v>
      </c>
      <c r="B230" s="497" t="s">
        <v>332</v>
      </c>
      <c r="G230" s="497" t="s">
        <v>1028</v>
      </c>
      <c r="H230" s="497" t="s">
        <v>1025</v>
      </c>
      <c r="I230" s="497" t="s">
        <v>849</v>
      </c>
      <c r="J230" s="499">
        <v>0</v>
      </c>
      <c r="M230" s="497" t="s">
        <v>1069</v>
      </c>
      <c r="N230" s="497" t="s">
        <v>1068</v>
      </c>
      <c r="O230" s="497" t="s">
        <v>151</v>
      </c>
      <c r="P230" s="497" t="s">
        <v>151</v>
      </c>
      <c r="Q230" s="499">
        <v>115</v>
      </c>
      <c r="R230" s="499">
        <v>502</v>
      </c>
      <c r="U230" s="497" t="s">
        <v>1061</v>
      </c>
      <c r="V230" s="497" t="s">
        <v>556</v>
      </c>
    </row>
    <row r="231" spans="1:22" x14ac:dyDescent="0.25">
      <c r="A231" s="497" t="s">
        <v>310</v>
      </c>
      <c r="B231" s="497" t="s">
        <v>344</v>
      </c>
      <c r="G231" s="497" t="s">
        <v>134</v>
      </c>
      <c r="H231" s="497" t="s">
        <v>133</v>
      </c>
      <c r="I231" s="497" t="s">
        <v>849</v>
      </c>
      <c r="J231" s="499">
        <v>0</v>
      </c>
      <c r="M231" s="497" t="s">
        <v>1071</v>
      </c>
      <c r="N231" s="497" t="s">
        <v>1070</v>
      </c>
      <c r="O231" s="497" t="s">
        <v>1204</v>
      </c>
      <c r="P231" s="497" t="s">
        <v>230</v>
      </c>
      <c r="Q231" s="499">
        <v>30</v>
      </c>
      <c r="R231" s="499">
        <v>188</v>
      </c>
      <c r="U231" s="497" t="s">
        <v>1063</v>
      </c>
      <c r="V231" s="497" t="s">
        <v>556</v>
      </c>
    </row>
    <row r="232" spans="1:22" x14ac:dyDescent="0.25">
      <c r="A232" s="497" t="s">
        <v>310</v>
      </c>
      <c r="B232" s="497" t="s">
        <v>355</v>
      </c>
      <c r="G232" s="497" t="s">
        <v>875</v>
      </c>
      <c r="H232" s="497" t="s">
        <v>861</v>
      </c>
      <c r="I232" s="497" t="s">
        <v>849</v>
      </c>
      <c r="J232" s="499">
        <v>0</v>
      </c>
      <c r="M232" s="497" t="s">
        <v>1073</v>
      </c>
      <c r="N232" s="497" t="s">
        <v>1072</v>
      </c>
      <c r="O232" s="497" t="s">
        <v>529</v>
      </c>
      <c r="P232" s="497" t="s">
        <v>529</v>
      </c>
      <c r="Q232" s="499">
        <v>116</v>
      </c>
      <c r="R232" s="499">
        <v>530</v>
      </c>
      <c r="U232" s="497" t="s">
        <v>1067</v>
      </c>
      <c r="V232" s="497" t="s">
        <v>556</v>
      </c>
    </row>
    <row r="233" spans="1:22" x14ac:dyDescent="0.25">
      <c r="A233" s="497" t="s">
        <v>310</v>
      </c>
      <c r="B233" s="497" t="s">
        <v>318</v>
      </c>
      <c r="G233" s="497" t="s">
        <v>301</v>
      </c>
      <c r="H233" s="497" t="s">
        <v>299</v>
      </c>
      <c r="I233" s="497" t="s">
        <v>502</v>
      </c>
      <c r="J233" s="499">
        <v>14</v>
      </c>
      <c r="M233" s="497" t="s">
        <v>1103</v>
      </c>
      <c r="N233" s="497" t="s">
        <v>1102</v>
      </c>
      <c r="O233" s="497" t="s">
        <v>151</v>
      </c>
      <c r="P233" s="497" t="s">
        <v>151</v>
      </c>
      <c r="Q233" s="499">
        <v>114</v>
      </c>
      <c r="R233" s="499">
        <v>524</v>
      </c>
      <c r="U233" s="497" t="s">
        <v>1071</v>
      </c>
      <c r="V233" s="497" t="s">
        <v>556</v>
      </c>
    </row>
    <row r="234" spans="1:22" x14ac:dyDescent="0.25">
      <c r="A234" s="497" t="s">
        <v>310</v>
      </c>
      <c r="B234" s="497" t="s">
        <v>342</v>
      </c>
      <c r="G234" s="497" t="s">
        <v>316</v>
      </c>
      <c r="H234" s="497" t="s">
        <v>315</v>
      </c>
      <c r="I234" s="497" t="s">
        <v>502</v>
      </c>
      <c r="J234" s="499">
        <v>91</v>
      </c>
      <c r="M234" s="497" t="s">
        <v>1110</v>
      </c>
      <c r="N234" s="497" t="s">
        <v>1111</v>
      </c>
      <c r="O234" s="497" t="s">
        <v>146</v>
      </c>
      <c r="P234" s="497" t="s">
        <v>146</v>
      </c>
      <c r="Q234" s="499">
        <v>21</v>
      </c>
      <c r="R234" s="499">
        <v>107</v>
      </c>
      <c r="U234" s="497" t="s">
        <v>1103</v>
      </c>
      <c r="V234" s="497" t="s">
        <v>556</v>
      </c>
    </row>
    <row r="235" spans="1:22" x14ac:dyDescent="0.25">
      <c r="A235" s="497" t="s">
        <v>310</v>
      </c>
      <c r="B235" s="497" t="s">
        <v>338</v>
      </c>
      <c r="G235" s="497" t="s">
        <v>311</v>
      </c>
      <c r="H235" s="497" t="s">
        <v>309</v>
      </c>
      <c r="I235" s="497" t="s">
        <v>502</v>
      </c>
      <c r="J235" s="499">
        <v>0</v>
      </c>
      <c r="M235" s="497" t="s">
        <v>1130</v>
      </c>
      <c r="N235" s="497" t="s">
        <v>1129</v>
      </c>
      <c r="O235" s="497" t="s">
        <v>529</v>
      </c>
      <c r="P235" s="497" t="s">
        <v>529</v>
      </c>
      <c r="Q235" s="499">
        <v>50</v>
      </c>
      <c r="R235" s="499">
        <v>226</v>
      </c>
      <c r="U235" s="497" t="s">
        <v>1110</v>
      </c>
      <c r="V235" s="497" t="s">
        <v>556</v>
      </c>
    </row>
    <row r="236" spans="1:22" x14ac:dyDescent="0.25">
      <c r="A236" s="497" t="s">
        <v>310</v>
      </c>
      <c r="B236" s="497" t="s">
        <v>351</v>
      </c>
      <c r="G236" s="497" t="s">
        <v>64</v>
      </c>
      <c r="H236" s="497" t="s">
        <v>63</v>
      </c>
      <c r="I236" s="497" t="s">
        <v>849</v>
      </c>
      <c r="J236" s="499">
        <v>0</v>
      </c>
      <c r="M236" s="497" t="s">
        <v>1174</v>
      </c>
      <c r="N236" s="497" t="s">
        <v>1172</v>
      </c>
      <c r="O236" s="497" t="s">
        <v>1204</v>
      </c>
      <c r="P236" s="497" t="s">
        <v>180</v>
      </c>
      <c r="Q236" s="499">
        <v>36</v>
      </c>
      <c r="R236" s="499">
        <v>153</v>
      </c>
      <c r="U236" s="497" t="s">
        <v>1130</v>
      </c>
      <c r="V236" s="497" t="s">
        <v>556</v>
      </c>
    </row>
    <row r="237" spans="1:22" x14ac:dyDescent="0.25">
      <c r="A237" s="497" t="s">
        <v>310</v>
      </c>
      <c r="B237" s="497" t="s">
        <v>347</v>
      </c>
      <c r="G237" s="497" t="s">
        <v>126</v>
      </c>
      <c r="H237" s="497" t="s">
        <v>125</v>
      </c>
      <c r="I237" s="497" t="s">
        <v>502</v>
      </c>
      <c r="J237" s="499">
        <v>41</v>
      </c>
      <c r="M237" s="497" t="s">
        <v>1175</v>
      </c>
      <c r="N237" s="497" t="s">
        <v>1173</v>
      </c>
      <c r="O237" s="497" t="s">
        <v>1204</v>
      </c>
      <c r="P237" s="497" t="s">
        <v>180</v>
      </c>
      <c r="Q237" s="499">
        <v>18</v>
      </c>
      <c r="R237" s="499">
        <v>74</v>
      </c>
      <c r="U237" s="497" t="s">
        <v>1174</v>
      </c>
      <c r="V237" s="497" t="s">
        <v>12</v>
      </c>
    </row>
    <row r="238" spans="1:22" x14ac:dyDescent="0.25">
      <c r="A238" s="497" t="s">
        <v>310</v>
      </c>
      <c r="B238" s="497" t="s">
        <v>349</v>
      </c>
      <c r="G238" s="497" t="s">
        <v>353</v>
      </c>
      <c r="H238" s="497" t="s">
        <v>352</v>
      </c>
      <c r="I238" s="497" t="s">
        <v>502</v>
      </c>
      <c r="J238" s="499">
        <v>1345</v>
      </c>
      <c r="M238" s="497" t="s">
        <v>1290</v>
      </c>
      <c r="N238" s="497" t="s">
        <v>1309</v>
      </c>
      <c r="O238" s="497" t="s">
        <v>784</v>
      </c>
      <c r="P238" s="497" t="s">
        <v>784</v>
      </c>
      <c r="Q238" s="499">
        <v>44</v>
      </c>
      <c r="R238" s="499">
        <v>273</v>
      </c>
      <c r="U238" s="497" t="s">
        <v>1175</v>
      </c>
      <c r="V238" s="497" t="s">
        <v>12</v>
      </c>
    </row>
    <row r="239" spans="1:22" x14ac:dyDescent="0.25">
      <c r="A239" s="497" t="s">
        <v>310</v>
      </c>
      <c r="B239" s="497" t="s">
        <v>316</v>
      </c>
      <c r="G239" s="497" t="s">
        <v>37</v>
      </c>
      <c r="H239" s="497" t="s">
        <v>36</v>
      </c>
      <c r="I239" s="497" t="s">
        <v>849</v>
      </c>
      <c r="J239" s="499">
        <v>0</v>
      </c>
      <c r="M239" s="497" t="s">
        <v>1291</v>
      </c>
      <c r="N239" s="497" t="s">
        <v>1292</v>
      </c>
      <c r="O239" s="497" t="s">
        <v>1204</v>
      </c>
      <c r="P239" s="497" t="s">
        <v>300</v>
      </c>
      <c r="Q239" s="499">
        <v>59</v>
      </c>
      <c r="R239" s="499">
        <v>274</v>
      </c>
      <c r="U239" s="497" t="s">
        <v>1290</v>
      </c>
      <c r="V239" s="497" t="s">
        <v>556</v>
      </c>
    </row>
    <row r="240" spans="1:22" x14ac:dyDescent="0.25">
      <c r="A240" s="497" t="s">
        <v>310</v>
      </c>
      <c r="B240" s="497" t="s">
        <v>311</v>
      </c>
      <c r="G240" s="497" t="s">
        <v>74</v>
      </c>
      <c r="H240" s="497" t="s">
        <v>73</v>
      </c>
      <c r="I240" s="497" t="s">
        <v>849</v>
      </c>
      <c r="J240" s="499">
        <v>0</v>
      </c>
      <c r="M240" s="497" t="s">
        <v>1303</v>
      </c>
      <c r="N240" s="497" t="s">
        <v>1312</v>
      </c>
      <c r="O240" s="497" t="s">
        <v>1204</v>
      </c>
      <c r="P240" s="497" t="s">
        <v>173</v>
      </c>
      <c r="Q240" s="499">
        <v>24</v>
      </c>
      <c r="R240" s="499">
        <v>83</v>
      </c>
      <c r="U240" s="497" t="s">
        <v>1291</v>
      </c>
      <c r="V240" s="497" t="s">
        <v>556</v>
      </c>
    </row>
    <row r="241" spans="1:22" x14ac:dyDescent="0.25">
      <c r="A241" s="497" t="s">
        <v>310</v>
      </c>
      <c r="B241" s="497" t="s">
        <v>353</v>
      </c>
      <c r="G241" s="497" t="s">
        <v>283</v>
      </c>
      <c r="H241" s="497" t="s">
        <v>282</v>
      </c>
      <c r="I241" s="497" t="s">
        <v>502</v>
      </c>
      <c r="J241" s="499">
        <v>7</v>
      </c>
      <c r="M241" s="497" t="s">
        <v>1304</v>
      </c>
      <c r="N241" s="497" t="s">
        <v>1311</v>
      </c>
      <c r="O241" s="497" t="s">
        <v>1204</v>
      </c>
      <c r="P241" s="497" t="s">
        <v>173</v>
      </c>
      <c r="Q241" s="499">
        <v>40</v>
      </c>
      <c r="R241" s="499">
        <v>158</v>
      </c>
      <c r="U241" s="497" t="s">
        <v>1303</v>
      </c>
      <c r="V241" s="497" t="s">
        <v>12</v>
      </c>
    </row>
    <row r="242" spans="1:22" x14ac:dyDescent="0.25">
      <c r="A242" s="497" t="s">
        <v>310</v>
      </c>
      <c r="B242" s="497" t="s">
        <v>1269</v>
      </c>
      <c r="G242" s="497" t="s">
        <v>26</v>
      </c>
      <c r="H242" s="497" t="s">
        <v>25</v>
      </c>
      <c r="I242" s="497" t="s">
        <v>502</v>
      </c>
      <c r="J242" s="499">
        <v>15</v>
      </c>
      <c r="M242" s="497" t="s">
        <v>1305</v>
      </c>
      <c r="N242" s="497" t="s">
        <v>1302</v>
      </c>
      <c r="O242" s="497" t="s">
        <v>1204</v>
      </c>
      <c r="P242" s="497" t="s">
        <v>173</v>
      </c>
      <c r="Q242" s="499">
        <v>9</v>
      </c>
      <c r="R242" s="499">
        <v>39</v>
      </c>
      <c r="U242" s="497" t="s">
        <v>1304</v>
      </c>
      <c r="V242" s="497" t="s">
        <v>12</v>
      </c>
    </row>
    <row r="243" spans="1:22" x14ac:dyDescent="0.25">
      <c r="A243" s="497" t="s">
        <v>310</v>
      </c>
      <c r="B243" s="497" t="s">
        <v>1270</v>
      </c>
      <c r="G243" s="497" t="s">
        <v>140</v>
      </c>
      <c r="H243" s="497" t="s">
        <v>139</v>
      </c>
      <c r="I243" s="497" t="s">
        <v>502</v>
      </c>
      <c r="J243" s="499">
        <v>20</v>
      </c>
      <c r="M243" s="497" t="s">
        <v>1362</v>
      </c>
      <c r="N243" s="497" t="s">
        <v>1361</v>
      </c>
      <c r="O243" s="497" t="s">
        <v>1204</v>
      </c>
      <c r="P243" s="497" t="s">
        <v>813</v>
      </c>
      <c r="Q243" s="499">
        <v>161</v>
      </c>
      <c r="R243" s="499">
        <v>711</v>
      </c>
      <c r="U243" s="497" t="s">
        <v>1305</v>
      </c>
      <c r="V243" s="497" t="s">
        <v>556</v>
      </c>
    </row>
    <row r="244" spans="1:22" x14ac:dyDescent="0.25">
      <c r="A244" s="497" t="s">
        <v>310</v>
      </c>
      <c r="B244" s="497" t="s">
        <v>1271</v>
      </c>
      <c r="G244" s="497" t="s">
        <v>1268</v>
      </c>
      <c r="H244" s="497" t="s">
        <v>356</v>
      </c>
      <c r="I244" s="497" t="s">
        <v>502</v>
      </c>
      <c r="J244" s="499">
        <v>680</v>
      </c>
      <c r="M244" s="497" t="s">
        <v>1365</v>
      </c>
      <c r="N244" s="497" t="s">
        <v>1364</v>
      </c>
      <c r="O244" s="497" t="s">
        <v>1204</v>
      </c>
      <c r="P244" s="497" t="s">
        <v>813</v>
      </c>
      <c r="Q244" s="499"/>
      <c r="R244" s="499">
        <v>489</v>
      </c>
      <c r="U244" s="497" t="s">
        <v>1362</v>
      </c>
      <c r="V244" s="497" t="s">
        <v>556</v>
      </c>
    </row>
    <row r="245" spans="1:22" x14ac:dyDescent="0.25">
      <c r="A245" s="497" t="s">
        <v>310</v>
      </c>
      <c r="B245" s="497" t="s">
        <v>1266</v>
      </c>
      <c r="G245" s="497" t="s">
        <v>516</v>
      </c>
      <c r="H245" s="497" t="s">
        <v>517</v>
      </c>
      <c r="I245" s="497" t="s">
        <v>849</v>
      </c>
      <c r="J245" s="499">
        <v>0</v>
      </c>
      <c r="M245" s="497" t="s">
        <v>1406</v>
      </c>
      <c r="N245" s="497" t="s">
        <v>1405</v>
      </c>
      <c r="O245" s="497" t="s">
        <v>185</v>
      </c>
      <c r="P245" s="497" t="s">
        <v>185</v>
      </c>
      <c r="Q245" s="499"/>
      <c r="R245" s="499">
        <v>49</v>
      </c>
      <c r="U245" s="497" t="s">
        <v>1365</v>
      </c>
      <c r="V245" s="497" t="s">
        <v>556</v>
      </c>
    </row>
    <row r="246" spans="1:22" x14ac:dyDescent="0.25">
      <c r="A246" s="497" t="s">
        <v>310</v>
      </c>
      <c r="B246" s="497" t="s">
        <v>1268</v>
      </c>
      <c r="G246" s="497" t="s">
        <v>373</v>
      </c>
      <c r="H246" s="497" t="s">
        <v>387</v>
      </c>
      <c r="I246" s="497" t="s">
        <v>502</v>
      </c>
      <c r="J246" s="499">
        <v>178</v>
      </c>
      <c r="M246" s="497" t="s">
        <v>1409</v>
      </c>
      <c r="N246" s="497" t="s">
        <v>1408</v>
      </c>
      <c r="O246" s="497" t="s">
        <v>146</v>
      </c>
      <c r="P246" s="497" t="s">
        <v>146</v>
      </c>
      <c r="Q246" s="499">
        <v>105</v>
      </c>
      <c r="R246" s="499">
        <v>568</v>
      </c>
      <c r="U246" s="497" t="s">
        <v>1406</v>
      </c>
      <c r="V246" s="497" t="s">
        <v>993</v>
      </c>
    </row>
    <row r="247" spans="1:22" x14ac:dyDescent="0.25">
      <c r="M247"/>
      <c r="N247"/>
      <c r="O247"/>
      <c r="P247"/>
      <c r="U247" s="497" t="s">
        <v>1409</v>
      </c>
      <c r="V247" s="497" t="s">
        <v>556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129" customWidth="1"/>
    <col min="2" max="2" width="34.42578125" style="129" customWidth="1"/>
    <col min="3" max="3" width="22.5703125" style="129" customWidth="1"/>
    <col min="4" max="16384" width="9.140625" style="129"/>
  </cols>
  <sheetData>
    <row r="1" spans="1:13" x14ac:dyDescent="0.25">
      <c r="A1" s="137"/>
      <c r="B1" s="138"/>
      <c r="E1" s="129" t="s">
        <v>952</v>
      </c>
      <c r="K1" s="129" t="s">
        <v>953</v>
      </c>
      <c r="L1" s="129" t="s">
        <v>954</v>
      </c>
    </row>
    <row r="2" spans="1:13" ht="44.25" customHeight="1" x14ac:dyDescent="0.25">
      <c r="A2" s="137"/>
      <c r="B2" s="138" t="s">
        <v>955</v>
      </c>
      <c r="C2" s="138" t="str">
        <f>CONCATENATE("d:\",C3,".kml")</f>
        <v>d:\Kachin_CampList_20151101.kml</v>
      </c>
      <c r="G2" s="129" t="s">
        <v>956</v>
      </c>
      <c r="H2" s="129" t="s">
        <v>957</v>
      </c>
      <c r="K2" s="129" t="s">
        <v>958</v>
      </c>
      <c r="L2" s="129" t="s">
        <v>959</v>
      </c>
      <c r="M2" s="129" t="s">
        <v>960</v>
      </c>
    </row>
    <row r="3" spans="1:13" x14ac:dyDescent="0.25">
      <c r="A3" s="137"/>
      <c r="B3" s="139" t="s">
        <v>961</v>
      </c>
      <c r="C3" s="129" t="str">
        <f>CONCATENATE("Kachin_CampList_",TEXT(Report_Date,"yyyymmdd"))</f>
        <v>Kachin_CampList_20151101</v>
      </c>
      <c r="G3" s="129" t="s">
        <v>962</v>
      </c>
      <c r="H3" s="129" t="s">
        <v>963</v>
      </c>
      <c r="K3" s="129" t="s">
        <v>964</v>
      </c>
      <c r="L3" s="129" t="s">
        <v>965</v>
      </c>
      <c r="M3" s="129" t="s">
        <v>966</v>
      </c>
    </row>
    <row r="4" spans="1:13" x14ac:dyDescent="0.25">
      <c r="A4" s="137"/>
      <c r="B4" s="139"/>
      <c r="G4" s="129" t="s">
        <v>967</v>
      </c>
      <c r="H4" s="129" t="s">
        <v>968</v>
      </c>
      <c r="K4" s="129" t="s">
        <v>969</v>
      </c>
      <c r="L4" s="129" t="s">
        <v>970</v>
      </c>
      <c r="M4" s="129" t="s">
        <v>971</v>
      </c>
    </row>
    <row r="5" spans="1:13" x14ac:dyDescent="0.25">
      <c r="B5" s="129" t="s">
        <v>972</v>
      </c>
      <c r="C5" s="129" t="s">
        <v>973</v>
      </c>
      <c r="K5" s="129" t="s">
        <v>974</v>
      </c>
      <c r="L5" s="129" t="s">
        <v>975</v>
      </c>
      <c r="M5" s="129" t="s">
        <v>976</v>
      </c>
    </row>
    <row r="6" spans="1:13" x14ac:dyDescent="0.25">
      <c r="B6" s="129" t="s">
        <v>977</v>
      </c>
      <c r="C6" s="129" t="s">
        <v>978</v>
      </c>
      <c r="K6" s="129" t="s">
        <v>979</v>
      </c>
      <c r="L6" s="129" t="s">
        <v>980</v>
      </c>
      <c r="M6" s="129" t="s">
        <v>981</v>
      </c>
    </row>
    <row r="8" spans="1:13" x14ac:dyDescent="0.25">
      <c r="B8" s="129" t="s">
        <v>982</v>
      </c>
      <c r="C8" s="129" t="s">
        <v>983</v>
      </c>
    </row>
    <row r="9" spans="1:13" x14ac:dyDescent="0.25">
      <c r="B9" s="129" t="s">
        <v>984</v>
      </c>
      <c r="C9" s="129" t="s">
        <v>985</v>
      </c>
      <c r="D9" s="129" t="s">
        <v>986</v>
      </c>
    </row>
    <row r="10" spans="1:13" x14ac:dyDescent="0.25">
      <c r="B10" s="129" t="s">
        <v>987</v>
      </c>
      <c r="C10" s="129" t="s">
        <v>988</v>
      </c>
    </row>
    <row r="11" spans="1:13" x14ac:dyDescent="0.25">
      <c r="B11" s="129" t="s">
        <v>989</v>
      </c>
      <c r="C11" s="129" t="s">
        <v>990</v>
      </c>
    </row>
    <row r="13" spans="1:13" x14ac:dyDescent="0.25">
      <c r="B13" s="129" t="s">
        <v>991</v>
      </c>
      <c r="C13" s="129" t="s">
        <v>992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4"/>
  <sheetViews>
    <sheetView showZeros="0" workbookViewId="0">
      <selection activeCell="B24" sqref="B24"/>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129" customWidth="1"/>
    <col min="12" max="12" width="15.28515625" customWidth="1"/>
    <col min="13" max="13" width="15.28515625" style="129" customWidth="1"/>
    <col min="14" max="14" width="14.85546875" customWidth="1"/>
    <col min="16" max="16" width="22.5703125" customWidth="1"/>
    <col min="17" max="17" width="21.42578125" customWidth="1"/>
  </cols>
  <sheetData>
    <row r="1" spans="1:19" s="41" customFormat="1" x14ac:dyDescent="0.25">
      <c r="A1" s="41" t="s">
        <v>487</v>
      </c>
      <c r="B1" s="41" t="s">
        <v>489</v>
      </c>
      <c r="C1" s="41" t="s">
        <v>488</v>
      </c>
      <c r="D1" s="41" t="s">
        <v>411</v>
      </c>
      <c r="E1" s="41" t="s">
        <v>491</v>
      </c>
      <c r="F1" s="41" t="s">
        <v>490</v>
      </c>
      <c r="J1" s="2" t="s">
        <v>396</v>
      </c>
      <c r="K1" s="2"/>
      <c r="L1" s="2" t="s">
        <v>380</v>
      </c>
      <c r="M1" s="2"/>
      <c r="N1" s="2" t="s">
        <v>555</v>
      </c>
      <c r="O1" s="2"/>
      <c r="P1" s="2" t="s">
        <v>402</v>
      </c>
      <c r="Q1" s="2" t="s">
        <v>501</v>
      </c>
      <c r="R1"/>
      <c r="S1" s="2" t="s">
        <v>1366</v>
      </c>
    </row>
    <row r="2" spans="1:19" x14ac:dyDescent="0.25">
      <c r="A2" t="s">
        <v>436</v>
      </c>
      <c r="B2" t="s">
        <v>478</v>
      </c>
      <c r="C2" t="s">
        <v>468</v>
      </c>
      <c r="D2" t="s">
        <v>471</v>
      </c>
      <c r="E2" s="129">
        <v>12</v>
      </c>
      <c r="F2">
        <v>2</v>
      </c>
      <c r="J2" s="47" t="s">
        <v>380</v>
      </c>
      <c r="K2" s="47"/>
      <c r="L2" s="47" t="s">
        <v>5</v>
      </c>
      <c r="M2" s="47"/>
      <c r="N2" s="47" t="s">
        <v>146</v>
      </c>
      <c r="O2" s="47"/>
      <c r="P2" s="47" t="s">
        <v>397</v>
      </c>
      <c r="Q2" s="47" t="s">
        <v>496</v>
      </c>
      <c r="S2" t="s">
        <v>1368</v>
      </c>
    </row>
    <row r="3" spans="1:19" x14ac:dyDescent="0.25">
      <c r="A3" t="s">
        <v>1241</v>
      </c>
      <c r="B3" t="s">
        <v>1243</v>
      </c>
      <c r="C3" t="s">
        <v>1244</v>
      </c>
      <c r="D3" t="s">
        <v>1245</v>
      </c>
      <c r="E3" s="129">
        <v>12</v>
      </c>
      <c r="F3">
        <v>1</v>
      </c>
      <c r="J3" s="47" t="s">
        <v>381</v>
      </c>
      <c r="K3" s="47"/>
      <c r="L3" s="47" t="s">
        <v>27</v>
      </c>
      <c r="M3" s="47"/>
      <c r="N3" s="47" t="s">
        <v>166</v>
      </c>
      <c r="O3" s="47"/>
      <c r="P3" s="47" t="s">
        <v>398</v>
      </c>
      <c r="Q3" s="47" t="s">
        <v>497</v>
      </c>
      <c r="S3" t="s">
        <v>1369</v>
      </c>
    </row>
    <row r="4" spans="1:19" x14ac:dyDescent="0.25">
      <c r="A4" t="s">
        <v>457</v>
      </c>
      <c r="B4" t="s">
        <v>479</v>
      </c>
      <c r="C4" t="s">
        <v>464</v>
      </c>
      <c r="D4" t="s">
        <v>474</v>
      </c>
      <c r="E4" s="129">
        <v>12</v>
      </c>
      <c r="F4">
        <v>1</v>
      </c>
      <c r="J4" s="47" t="s">
        <v>555</v>
      </c>
      <c r="K4" s="47"/>
      <c r="L4" s="47" t="s">
        <v>529</v>
      </c>
      <c r="M4" s="47"/>
      <c r="N4" s="47" t="s">
        <v>230</v>
      </c>
      <c r="O4" s="47"/>
      <c r="P4" s="47" t="s">
        <v>399</v>
      </c>
      <c r="Q4" s="47" t="s">
        <v>495</v>
      </c>
    </row>
    <row r="5" spans="1:19" x14ac:dyDescent="0.25">
      <c r="A5" t="s">
        <v>437</v>
      </c>
      <c r="B5" t="s">
        <v>480</v>
      </c>
      <c r="C5" t="s">
        <v>469</v>
      </c>
      <c r="D5" t="s">
        <v>472</v>
      </c>
      <c r="E5" s="129">
        <v>12</v>
      </c>
      <c r="F5">
        <v>1</v>
      </c>
      <c r="J5" s="2"/>
      <c r="K5" s="2"/>
      <c r="L5" s="47" t="s">
        <v>363</v>
      </c>
      <c r="M5" s="47"/>
      <c r="N5" s="47" t="s">
        <v>289</v>
      </c>
      <c r="O5" s="47"/>
      <c r="P5" s="47" t="s">
        <v>400</v>
      </c>
      <c r="Q5" s="47"/>
    </row>
    <row r="6" spans="1:19" x14ac:dyDescent="0.25">
      <c r="A6" t="s">
        <v>597</v>
      </c>
      <c r="B6" t="s">
        <v>481</v>
      </c>
      <c r="C6" t="s">
        <v>473</v>
      </c>
      <c r="D6" t="s">
        <v>477</v>
      </c>
      <c r="E6" s="129">
        <v>12</v>
      </c>
      <c r="F6">
        <v>2</v>
      </c>
      <c r="J6" s="47"/>
      <c r="K6" s="47"/>
      <c r="L6" s="47" t="s">
        <v>144</v>
      </c>
      <c r="M6" s="47"/>
      <c r="N6" s="47" t="s">
        <v>298</v>
      </c>
      <c r="O6" s="47"/>
      <c r="P6" s="47" t="s">
        <v>401</v>
      </c>
      <c r="Q6" s="47"/>
    </row>
    <row r="7" spans="1:19" x14ac:dyDescent="0.25">
      <c r="A7" t="s">
        <v>405</v>
      </c>
      <c r="B7" t="s">
        <v>482</v>
      </c>
      <c r="C7" t="s">
        <v>465</v>
      </c>
      <c r="D7" t="s">
        <v>475</v>
      </c>
      <c r="E7" s="129">
        <v>12</v>
      </c>
      <c r="F7">
        <v>1</v>
      </c>
      <c r="J7" s="47"/>
      <c r="K7" s="47"/>
      <c r="L7" s="129" t="s">
        <v>899</v>
      </c>
      <c r="N7" s="47" t="s">
        <v>784</v>
      </c>
      <c r="O7" s="47"/>
      <c r="P7" s="47"/>
      <c r="Q7" s="47"/>
    </row>
    <row r="8" spans="1:19" x14ac:dyDescent="0.25">
      <c r="A8" t="s">
        <v>458</v>
      </c>
      <c r="B8" t="s">
        <v>483</v>
      </c>
      <c r="C8" t="s">
        <v>466</v>
      </c>
      <c r="D8" t="s">
        <v>476</v>
      </c>
      <c r="E8" s="129">
        <v>12</v>
      </c>
      <c r="F8">
        <v>1</v>
      </c>
      <c r="J8" s="47"/>
      <c r="K8" s="47"/>
      <c r="L8" s="47" t="s">
        <v>151</v>
      </c>
      <c r="M8" s="47"/>
      <c r="O8" s="47"/>
      <c r="P8" s="47"/>
      <c r="Q8" s="47"/>
    </row>
    <row r="9" spans="1:19" x14ac:dyDescent="0.25">
      <c r="A9" t="s">
        <v>459</v>
      </c>
      <c r="B9" t="s">
        <v>484</v>
      </c>
      <c r="C9" t="s">
        <v>467</v>
      </c>
      <c r="D9" t="s">
        <v>470</v>
      </c>
      <c r="E9" s="129">
        <v>12</v>
      </c>
      <c r="F9">
        <v>1</v>
      </c>
      <c r="J9" s="47"/>
      <c r="K9" s="47"/>
      <c r="L9" s="47" t="s">
        <v>173</v>
      </c>
      <c r="M9" s="47"/>
      <c r="N9" s="47"/>
      <c r="O9" s="47"/>
      <c r="P9" s="47"/>
      <c r="Q9" s="47"/>
    </row>
    <row r="10" spans="1:19" x14ac:dyDescent="0.25">
      <c r="A10" t="s">
        <v>579</v>
      </c>
      <c r="B10" s="82" t="s">
        <v>581</v>
      </c>
      <c r="C10" s="82" t="s">
        <v>583</v>
      </c>
      <c r="D10" s="82" t="s">
        <v>585</v>
      </c>
      <c r="E10" s="129">
        <v>12</v>
      </c>
      <c r="F10" s="82">
        <v>1</v>
      </c>
      <c r="J10" s="47"/>
      <c r="K10" s="47"/>
      <c r="L10" s="47" t="s">
        <v>180</v>
      </c>
      <c r="M10" s="47"/>
      <c r="N10" s="47"/>
      <c r="O10" s="47"/>
      <c r="P10" s="47"/>
      <c r="Q10" s="47"/>
    </row>
    <row r="11" spans="1:19" x14ac:dyDescent="0.25">
      <c r="A11" t="s">
        <v>580</v>
      </c>
      <c r="B11" s="82" t="s">
        <v>582</v>
      </c>
      <c r="C11" s="82" t="s">
        <v>584</v>
      </c>
      <c r="D11" s="82" t="s">
        <v>586</v>
      </c>
      <c r="E11" s="129">
        <v>12</v>
      </c>
      <c r="F11" s="82">
        <v>5</v>
      </c>
      <c r="J11" s="47"/>
      <c r="K11" s="47"/>
      <c r="L11" s="47" t="s">
        <v>185</v>
      </c>
      <c r="M11" s="47"/>
      <c r="N11" s="47"/>
      <c r="O11" s="47"/>
      <c r="P11" s="47"/>
      <c r="Q11" s="47"/>
    </row>
    <row r="12" spans="1:19" x14ac:dyDescent="0.25">
      <c r="A12" t="s">
        <v>994</v>
      </c>
      <c r="B12" s="129" t="s">
        <v>995</v>
      </c>
      <c r="C12" s="129" t="s">
        <v>996</v>
      </c>
      <c r="D12" s="129" t="s">
        <v>997</v>
      </c>
      <c r="E12" s="129">
        <v>12</v>
      </c>
      <c r="F12">
        <v>2</v>
      </c>
      <c r="J12" s="47"/>
      <c r="K12" s="47"/>
      <c r="L12" s="47" t="s">
        <v>379</v>
      </c>
      <c r="M12" s="47"/>
      <c r="N12" s="47"/>
      <c r="O12" s="47"/>
      <c r="P12" s="47"/>
      <c r="Q12" s="47"/>
    </row>
    <row r="13" spans="1:19" x14ac:dyDescent="0.25">
      <c r="A13" s="129" t="s">
        <v>998</v>
      </c>
      <c r="B13" s="129" t="s">
        <v>999</v>
      </c>
      <c r="C13" s="129" t="s">
        <v>1000</v>
      </c>
      <c r="D13" s="129" t="s">
        <v>1001</v>
      </c>
      <c r="E13" s="129">
        <v>12</v>
      </c>
      <c r="F13">
        <v>3</v>
      </c>
      <c r="J13" s="47"/>
      <c r="K13" s="47"/>
      <c r="L13" s="47" t="s">
        <v>237</v>
      </c>
      <c r="M13" s="47"/>
      <c r="N13" s="47"/>
      <c r="O13" s="47"/>
      <c r="P13" s="47"/>
      <c r="Q13" s="47"/>
    </row>
    <row r="14" spans="1:19" x14ac:dyDescent="0.25">
      <c r="A14" t="s">
        <v>1002</v>
      </c>
      <c r="B14" s="129" t="s">
        <v>1003</v>
      </c>
      <c r="C14" s="129" t="s">
        <v>1004</v>
      </c>
      <c r="D14" s="129" t="s">
        <v>1005</v>
      </c>
      <c r="E14" s="129">
        <v>12</v>
      </c>
      <c r="F14">
        <v>10</v>
      </c>
      <c r="J14" s="47"/>
      <c r="K14" s="47"/>
      <c r="L14" s="47" t="s">
        <v>300</v>
      </c>
      <c r="M14" s="47"/>
      <c r="N14" s="47"/>
      <c r="O14" s="47"/>
      <c r="P14" s="47"/>
      <c r="Q14" s="47"/>
    </row>
    <row r="15" spans="1:19" x14ac:dyDescent="0.25">
      <c r="A15" t="s">
        <v>1120</v>
      </c>
      <c r="B15" t="s">
        <v>1121</v>
      </c>
      <c r="C15" s="129" t="s">
        <v>1122</v>
      </c>
      <c r="D15" s="129" t="s">
        <v>1123</v>
      </c>
      <c r="E15" s="129">
        <v>24</v>
      </c>
      <c r="F15">
        <v>2</v>
      </c>
      <c r="J15" s="47"/>
      <c r="K15" s="47"/>
      <c r="L15" s="47" t="s">
        <v>302</v>
      </c>
      <c r="M15" s="47"/>
      <c r="N15" s="47"/>
      <c r="O15" s="47"/>
      <c r="P15" s="47"/>
      <c r="Q15" s="47"/>
    </row>
    <row r="16" spans="1:19" x14ac:dyDescent="0.25">
      <c r="A16" t="s">
        <v>1383</v>
      </c>
      <c r="B16" t="s">
        <v>1385</v>
      </c>
      <c r="C16" t="s">
        <v>1386</v>
      </c>
      <c r="D16" t="s">
        <v>1387</v>
      </c>
      <c r="E16">
        <v>12</v>
      </c>
      <c r="F16">
        <v>1</v>
      </c>
      <c r="J16" s="47"/>
      <c r="K16" s="47"/>
      <c r="L16" s="47" t="s">
        <v>813</v>
      </c>
      <c r="M16" s="47"/>
      <c r="N16" s="47"/>
      <c r="O16" s="47"/>
      <c r="P16" s="47"/>
      <c r="Q16" s="47"/>
    </row>
    <row r="17" spans="1:17" x14ac:dyDescent="0.25">
      <c r="J17" s="47"/>
      <c r="K17" s="47"/>
      <c r="L17" s="47" t="s">
        <v>310</v>
      </c>
      <c r="M17" s="47"/>
      <c r="N17" s="47"/>
      <c r="O17" s="47"/>
      <c r="P17" s="47"/>
      <c r="Q17" s="47"/>
    </row>
    <row r="18" spans="1:17" x14ac:dyDescent="0.25">
      <c r="J18" s="47"/>
      <c r="K18" s="47"/>
      <c r="L18" s="47"/>
      <c r="M18" s="47"/>
      <c r="N18" s="47"/>
      <c r="O18" s="47"/>
      <c r="P18" s="47"/>
      <c r="Q18" s="47"/>
    </row>
    <row r="19" spans="1:17" x14ac:dyDescent="0.25">
      <c r="J19" s="47"/>
      <c r="K19" s="47"/>
      <c r="L19" s="47"/>
      <c r="M19" s="47"/>
      <c r="N19" s="47"/>
      <c r="O19" s="47"/>
      <c r="P19" s="47"/>
      <c r="Q19" s="47"/>
    </row>
    <row r="20" spans="1:17" x14ac:dyDescent="0.25">
      <c r="A20" s="2"/>
      <c r="J20" s="47"/>
      <c r="K20" s="47"/>
      <c r="L20" s="47"/>
      <c r="M20" s="47"/>
      <c r="N20" s="47"/>
      <c r="O20" s="47"/>
      <c r="P20" s="47"/>
      <c r="Q20" s="47"/>
    </row>
    <row r="23" spans="1:17" x14ac:dyDescent="0.25">
      <c r="A23" t="s">
        <v>1164</v>
      </c>
      <c r="B23" s="64">
        <v>42309</v>
      </c>
    </row>
    <row r="24" spans="1:17" x14ac:dyDescent="0.25">
      <c r="A24" t="s">
        <v>1165</v>
      </c>
      <c r="B24" s="188">
        <v>41640</v>
      </c>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56F54182-A2E7-46D3-9B50-3EE12C2ED11C}">
  <ds:schemaRefs/>
</ds:datastoreItem>
</file>

<file path=customXml/itemProps2.xml><?xml version="1.0" encoding="utf-8"?>
<ds:datastoreItem xmlns:ds="http://schemas.openxmlformats.org/officeDocument/2006/customXml" ds:itemID="{3957C5D7-EFF0-44A3-9298-445924399827}">
  <ds:schemaRefs/>
</ds:datastoreItem>
</file>

<file path=customXml/itemProps3.xml><?xml version="1.0" encoding="utf-8"?>
<ds:datastoreItem xmlns:ds="http://schemas.openxmlformats.org/officeDocument/2006/customXml" ds:itemID="{C2BE83A5-448A-4B18-BB34-D729CAA9F86F}">
  <ds:schemaRefs/>
</ds:datastoreItem>
</file>

<file path=customXml/itemProps4.xml><?xml version="1.0" encoding="utf-8"?>
<ds:datastoreItem xmlns:ds="http://schemas.openxmlformats.org/officeDocument/2006/customXml" ds:itemID="{DB9160EE-0167-41E4-AC28-973692AB29DA}">
  <ds:schemaRefs/>
</ds:datastoreItem>
</file>

<file path=customXml/itemProps5.xml><?xml version="1.0" encoding="utf-8"?>
<ds:datastoreItem xmlns:ds="http://schemas.openxmlformats.org/officeDocument/2006/customXml" ds:itemID="{21F44420-13F1-4F50-9105-F761EFC3AFFE}">
  <ds:schemaRefs/>
</ds:datastoreItem>
</file>

<file path=customXml/itemProps6.xml><?xml version="1.0" encoding="utf-8"?>
<ds:datastoreItem xmlns:ds="http://schemas.openxmlformats.org/officeDocument/2006/customXml" ds:itemID="{69B4A3EE-0A3F-4462-99AB-FF7F45263C2E}">
  <ds:schemaRefs/>
</ds:datastoreItem>
</file>

<file path=customXml/itemProps7.xml><?xml version="1.0" encoding="utf-8"?>
<ds:datastoreItem xmlns:ds="http://schemas.openxmlformats.org/officeDocument/2006/customXml" ds:itemID="{EFDD4649-07B9-495C-8FFA-CE327D4258B8}">
  <ds:schemaRefs/>
</ds:datastoreItem>
</file>

<file path=customXml/itemProps8.xml><?xml version="1.0" encoding="utf-8"?>
<ds:datastoreItem xmlns:ds="http://schemas.openxmlformats.org/officeDocument/2006/customXml" ds:itemID="{D50E7055-9622-4A96-82B8-EBACB5B39629}">
  <ds:schemaRefs/>
</ds:datastoreItem>
</file>

<file path=customXml/itemProps9.xml><?xml version="1.0" encoding="utf-8"?>
<ds:datastoreItem xmlns:ds="http://schemas.openxmlformats.org/officeDocument/2006/customXml" ds:itemID="{29F038A7-53D4-43C9-BA81-F04FA320B26C}">
  <ds:schemaRefs/>
</ds:datastoreItem>
</file>

<file path=customXml/itemProps10.xml><?xml version="1.0" encoding="utf-8"?>
<ds:datastoreItem xmlns:ds="http://schemas.openxmlformats.org/officeDocument/2006/customXml" ds:itemID="{54F841B6-B55C-4835-A603-634668231C4E}">
  <ds:schemaRefs/>
</ds:datastoreItem>
</file>

<file path=customXml/itemProps11.xml><?xml version="1.0" encoding="utf-8"?>
<ds:datastoreItem xmlns:ds="http://schemas.openxmlformats.org/officeDocument/2006/customXml" ds:itemID="{813269B1-46E6-446B-AAFD-6C3C2E0194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102</vt:i4>
      </vt:variant>
    </vt:vector>
  </HeadingPairs>
  <TitlesOfParts>
    <vt:vector size="126" baseType="lpstr">
      <vt:lpstr>Home</vt:lpstr>
      <vt:lpstr>Camp List</vt:lpstr>
      <vt:lpstr>DistanceToCamp</vt:lpstr>
      <vt:lpstr>Camp Analysis</vt:lpstr>
      <vt:lpstr>Camp List (printable)</vt:lpstr>
      <vt:lpstr>CCCM Dashboard</vt:lpstr>
      <vt:lpstr>ForGIS</vt:lpstr>
      <vt:lpstr>Shelter Cross Check</vt:lpstr>
      <vt:lpstr>Shelter Tracking</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Map</vt:lpstr>
      <vt:lpstr>Define_TCL</vt:lpstr>
      <vt:lpstr>File_Details</vt:lpstr>
      <vt:lpstr>Definition</vt:lpstr>
      <vt:lpstr>Sheet1</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2015-10-07T08:02:50Z</cp:lastPrinted>
  <dcterms:created xsi:type="dcterms:W3CDTF">2013-03-18T02:36:38Z</dcterms:created>
  <dcterms:modified xsi:type="dcterms:W3CDTF">2016-12-14T03:29:53Z</dcterms:modified>
</cp:coreProperties>
</file>